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drawings/drawing97.xml" ContentType="application/vnd.openxmlformats-officedocument.drawing+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xml"/>
  <Override PartName="/xl/worksheets/sheet139.xml" ContentType="application/vnd.openxmlformats-officedocument.spreadsheetml.worksheet+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ml.chartshapes+xml"/>
  <Override PartName="/xl/drawings/drawing53.xml" ContentType="application/vnd.openxmlformats-officedocument.drawing+xml"/>
  <Override PartName="/xl/drawings/drawing135.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externalLinks/externalLink41.xml" ContentType="application/vnd.openxmlformats-officedocument.spreadsheetml.externalLink+xml"/>
  <Override PartName="/xl/drawings/drawing42.xml" ContentType="application/vnd.openxmlformats-officedocument.drawing+xml"/>
  <Override PartName="/xl/charts/chart27.xml" ContentType="application/vnd.openxmlformats-officedocument.drawingml.chart+xml"/>
  <Override PartName="/xl/drawings/drawing113.xml" ContentType="application/vnd.openxmlformats-officedocument.drawing+xml"/>
  <Override PartName="/xl/drawings/drawing124.xml" ContentType="application/vnd.openxmlformats-officedocument.drawing+xml"/>
  <Override PartName="/xl/charts/chart38.xml" ContentType="application/vnd.openxmlformats-officedocument.drawingml.char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30.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charts/chart16.xml" ContentType="application/vnd.openxmlformats-officedocument.drawingml.chart+xml"/>
  <Override PartName="/xl/drawings/drawing102.xml" ContentType="application/vnd.openxmlformats-officedocument.drawingml.chartshapes+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ml.chartshapes+xml"/>
  <Override PartName="/xl/drawings/drawing1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36.xml" ContentType="application/vnd.openxmlformats-officedocument.drawing+xml"/>
  <Override PartName="/xl/drawings/drawing47.xml" ContentType="application/vnd.openxmlformats-officedocument.drawing+xml"/>
  <Override PartName="/xl/drawings/drawing83.xml" ContentType="application/vnd.openxmlformats-officedocument.drawing+xml"/>
  <Override PartName="/xl/drawings/drawing94.xml" ContentType="application/vnd.openxmlformats-officedocument.drawing+xml"/>
  <Override PartName="/xl/drawings/drawing118.xml" ContentType="application/vnd.openxmlformats-officedocument.drawingml.chartshapes+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xml"/>
  <Override PartName="/xl/drawings/drawing107.xml" ContentType="application/vnd.openxmlformats-officedocument.drawing+xml"/>
  <Override PartName="/docProps/app.xml" ContentType="application/vnd.openxmlformats-officedocument.extended-properties+xml"/>
  <Override PartName="/xl/worksheets/sheet136.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ml.chartshapes+xml"/>
  <Override PartName="/xl/drawings/drawing61.xml" ContentType="application/vnd.openxmlformats-officedocument.drawing+xml"/>
  <Override PartName="/xl/drawings/drawing132.xml" ContentType="application/vnd.openxmlformats-officedocument.drawingml.chartshapes+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drawings/drawing50.xml" ContentType="application/vnd.openxmlformats-officedocument.drawing+xml"/>
  <Override PartName="/xl/drawings/drawing121.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drawings/drawing110.xml" ContentType="application/vnd.openxmlformats-officedocument.drawingml.chartshapes+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drawings/drawing99.xml" ContentType="application/vnd.openxmlformats-officedocument.drawing+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worksheets/sheet51.xml" ContentType="application/vnd.openxmlformats-officedocument.spreadsheetml.worksheet+xml"/>
  <Override PartName="/xl/externalLinks/externalLink29.xml" ContentType="application/vnd.openxmlformats-officedocument.spreadsheetml.externalLink+xml"/>
  <Override PartName="/xl/drawings/drawing19.xml" ContentType="application/vnd.openxmlformats-officedocument.drawing+xml"/>
  <Override PartName="/xl/drawings/drawing66.xml" ContentType="application/vnd.openxmlformats-officedocument.drawing+xml"/>
  <Override PartName="/xl/drawings/drawing77.xml" ContentType="application/vnd.openxmlformats-officedocument.drawingml.chartshapes+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drawings/drawing55.xml" ContentType="application/vnd.openxmlformats-officedocument.drawing+xml"/>
  <Override PartName="/xl/drawings/drawing137.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drawings/drawing44.xml" ContentType="application/vnd.openxmlformats-officedocument.drawing+xml"/>
  <Override PartName="/xl/drawings/drawing91.xml" ContentType="application/vnd.openxmlformats-officedocument.drawing+xml"/>
  <Override PartName="/xl/charts/chart29.xml" ContentType="application/vnd.openxmlformats-officedocument.drawingml.chart+xml"/>
  <Override PartName="/xl/drawings/drawing115.xml" ContentType="application/vnd.openxmlformats-officedocument.drawing+xml"/>
  <Override PartName="/xl/drawings/drawing126.xml" ContentType="application/vnd.openxmlformats-officedocument.drawingml.chartshapes+xml"/>
  <Override PartName="/xl/worksheets/sheet89.xml" ContentType="application/vnd.openxmlformats-officedocument.spreadsheetml.worksheet+xml"/>
  <Override PartName="/xl/worksheets/sheet108.xml" ContentType="application/vnd.openxmlformats-officedocument.spreadsheetml.worksheet+xml"/>
  <Override PartName="/xl/externalLinks/externalLink32.xml" ContentType="application/vnd.openxmlformats-officedocument.spreadsheetml.externalLink+xml"/>
  <Override PartName="/xl/drawings/drawing22.xml" ContentType="application/vnd.openxmlformats-officedocument.drawingml.chartshapes+xml"/>
  <Override PartName="/xl/comments2.xml" ContentType="application/vnd.openxmlformats-officedocument.spreadsheetml.comments+xml"/>
  <Override PartName="/xl/drawings/drawing33.xml" ContentType="application/vnd.openxmlformats-officedocument.drawing+xml"/>
  <Override PartName="/xl/charts/chart18.xml" ContentType="application/vnd.openxmlformats-officedocument.drawingml.chart+xml"/>
  <Override PartName="/xl/drawings/drawing80.xml" ContentType="application/vnd.openxmlformats-officedocument.drawingml.chartshapes+xml"/>
  <Override PartName="/xl/drawings/drawing104.xml" ContentType="application/vnd.openxmlformats-officedocument.drawing+xml"/>
  <Override PartName="/xl/worksheets/sheet78.xml" ContentType="application/vnd.openxmlformats-officedocument.spreadsheetml.worksheet+xml"/>
  <Override PartName="/xl/worksheets/sheet133.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worksheets/sheet67.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charts/chart32.xml" ContentType="application/vnd.openxmlformats-officedocument.drawingml.char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85.xml" ContentType="application/vnd.openxmlformats-officedocument.drawing+xml"/>
  <Override PartName="/xl/drawings/drawing96.xml" ContentType="application/vnd.openxmlformats-officedocument.drawingml.chartshapes+xml"/>
  <Override PartName="/xl/worksheets/sheet12.xml" ContentType="application/vnd.openxmlformats-officedocument.spreadsheetml.worksheet+xml"/>
  <Override PartName="/xl/externalLinks/externalLink37.xml" ContentType="application/vnd.openxmlformats-officedocument.spreadsheetml.externalLink+xml"/>
  <Override PartName="/xl/charts/chart3.xml" ContentType="application/vnd.openxmlformats-officedocument.drawingml.chart+xml"/>
  <Override PartName="/xl/drawings/drawing27.xml" ContentType="application/vnd.openxmlformats-officedocument.drawing+xml"/>
  <Override PartName="/xl/drawings/drawing74.xml" ContentType="application/vnd.openxmlformats-officedocument.drawingml.chartshapes+xml"/>
  <Override PartName="/xl/drawings/drawing109.xml" ContentType="application/vnd.openxmlformats-officedocument.drawing+xml"/>
  <Override PartName="/xl/worksheets/sheet138.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xml"/>
  <Override PartName="/xl/drawings/drawing63.xml" ContentType="application/vnd.openxmlformats-officedocument.drawing+xml"/>
  <Override PartName="/xl/drawings/drawing134.xml" ContentType="application/vnd.openxmlformats-officedocument.drawingml.chartshapes+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3.xml" ContentType="application/vnd.openxmlformats-officedocument.drawing+xml"/>
  <Override PartName="/xl/charts/chart37.xml" ContentType="application/vnd.openxmlformats-officedocument.drawingml.chart+xml"/>
  <Override PartName="/xl/worksheets/sheet97.xml" ContentType="application/vnd.openxmlformats-officedocument.spreadsheetml.worksheet+xml"/>
  <Override PartName="/xl/worksheets/sheet105.xml" ContentType="application/vnd.openxmlformats-officedocument.spreadsheetml.worksheet+xml"/>
  <Override PartName="/xl/externalLinks/externalLink40.xml" ContentType="application/vnd.openxmlformats-officedocument.spreadsheetml.externalLink+xml"/>
  <Override PartName="/xl/drawings/drawing30.xml" ContentType="application/vnd.openxmlformats-officedocument.drawing+xml"/>
  <Override PartName="/xl/charts/chart26.xml" ContentType="application/vnd.openxmlformats-officedocument.drawingml.chart+xml"/>
  <Override PartName="/xl/drawings/drawing1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charts/chart15.xml" ContentType="application/vnd.openxmlformats-officedocument.drawingml.chart+xml"/>
  <Override PartName="/xl/drawings/drawing101.xml" ContentType="application/vnd.openxmlformats-officedocument.drawing+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ml.chartshapes+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drawings/drawing93.xml" ContentType="application/vnd.openxmlformats-officedocument.drawingml.chartshapes+xml"/>
  <Override PartName="/xl/drawings/drawing117.xml" ContentType="application/vnd.openxmlformats-officedocument.drawing+xml"/>
  <Override PartName="/xl/drawings/drawing128.xml" ContentType="application/vnd.openxmlformats-officedocument.drawingml.chartshapes+xml"/>
  <Override PartName="/xl/externalLinks/externalLink34.xml" ContentType="application/vnd.openxmlformats-officedocument.spreadsheetml.externalLink+xml"/>
  <Override PartName="/xl/drawings/drawing35.xml" ContentType="application/vnd.openxmlformats-officedocument.drawing+xml"/>
  <Override PartName="/xl/drawings/drawing82.xml" ContentType="application/vnd.openxmlformats-officedocument.drawing+xml"/>
  <Override PartName="/xl/drawings/drawing106.xml" ContentType="application/vnd.openxmlformats-officedocument.drawingml.chartshapes+xml"/>
  <Override PartName="/xl/worksheets/sheet135.xml" ContentType="application/vnd.openxmlformats-officedocument.spreadsheetml.worksheet+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ml.chartshapes+xml"/>
  <Override PartName="/xl/drawings/drawing71.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20.xml" ContentType="application/vnd.openxmlformats-officedocument.drawing+xml"/>
  <Override PartName="/xl/charts/chart34.xml" ContentType="application/vnd.openxmlformats-officedocument.drawingml.chart+xml"/>
  <Override PartName="/xl/drawings/drawing131.xml" ContentType="application/vnd.openxmlformats-officedocument.drawing+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ml.chartshapes+xml"/>
  <Override PartName="/xl/drawings/drawing98.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18.xml" ContentType="application/vnd.openxmlformats-officedocument.drawingml.chartshapes+xml"/>
  <Override PartName="/xl/drawings/drawing65.xml" ContentType="application/vnd.openxmlformats-officedocument.drawingml.chartshapes+xml"/>
  <Override PartName="/xl/drawings/drawing136.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drawings/drawing54.xml" ContentType="application/vnd.openxmlformats-officedocument.drawingml.chartshapes+xml"/>
  <Override PartName="/xl/drawings/drawing90.xml" ContentType="application/vnd.openxmlformats-officedocument.drawingml.chartshapes+xml"/>
  <Override PartName="/xl/drawings/drawing125.xml" ContentType="application/vnd.openxmlformats-officedocument.drawing+xml"/>
  <Override PartName="/xl/charts/chart39.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drawings/drawing32.xml" ContentType="application/vnd.openxmlformats-officedocument.drawingml.chartshapes+xml"/>
  <Override PartName="/xl/charts/chart28.xml" ContentType="application/vnd.openxmlformats-officedocument.drawingml.chart+xml"/>
  <Override PartName="/xl/drawings/drawing114.xml" ContentType="application/vnd.openxmlformats-officedocument.drawingml.chartshapes+xml"/>
  <Override PartName="/xl/worksheets/sheet77.xml" ContentType="application/vnd.openxmlformats-officedocument.spreadsheetml.worksheet+xml"/>
  <Override PartName="/xl/worksheets/sheet88.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drawings/drawing2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103.xml" ContentType="application/vnd.openxmlformats-officedocument.drawing+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ml.chartshapes+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drawings/drawing59.xml" ContentType="application/vnd.openxmlformats-officedocument.drawing+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drawings/drawing95.xml" ContentType="application/vnd.openxmlformats-officedocument.drawing+xml"/>
  <Override PartName="/xl/drawings/drawing119.xml" ContentType="application/vnd.openxmlformats-officedocument.drawing+xml"/>
  <Override PartName="/xl/worksheets/sheet11.xml" ContentType="application/vnd.openxmlformats-officedocument.spreadsheetml.worksheet+xml"/>
  <Override PartName="/xl/externalLinks/externalLink36.xml" ContentType="application/vnd.openxmlformats-officedocument.spreadsheetml.externalLink+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xml"/>
  <Override PartName="/xl/drawings/drawing108.xml" ContentType="application/vnd.openxmlformats-officedocument.drawing+xml"/>
  <Default Extension="rels" ContentType="application/vnd.openxmlformats-package.relationships+xml"/>
  <Override PartName="/xl/worksheets/sheet137.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drawings/drawing26.xml" ContentType="application/vnd.openxmlformats-officedocument.drawingml.chartshapes+xml"/>
  <Override PartName="/xl/drawings/drawing62.xml" ContentType="application/vnd.openxmlformats-officedocument.drawingml.chartshapes+xml"/>
  <Override PartName="/xl/drawings/drawing73.xml" ContentType="application/vnd.openxmlformats-officedocument.drawing+xml"/>
  <Override PartName="/xl/worksheets/sheet126.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51.xml" ContentType="application/vnd.openxmlformats-officedocument.drawing+xml"/>
  <Override PartName="/xl/charts/chart36.xml" ContentType="application/vnd.openxmlformats-officedocument.drawingml.chart+xml"/>
  <Override PartName="/xl/drawings/drawing1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drawings/drawing40.xml" ContentType="application/vnd.openxmlformats-officedocument.drawingml.chartshapes+xml"/>
  <Override PartName="/xl/charts/chart25.xml" ContentType="application/vnd.openxmlformats-officedocument.drawingml.chart+xml"/>
  <Override PartName="/xl/drawings/drawing111.xml" ContentType="application/vnd.openxmlformats-officedocument.drawing+xml"/>
  <Override PartName="/xl/drawings/drawing122.xml" ContentType="application/vnd.openxmlformats-officedocument.drawingml.chartshapes+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charts/chart14.xml" ContentType="application/vnd.openxmlformats-officedocument.drawingml.chart+xml"/>
  <Override PartName="/xl/drawings/drawing100.xml" ContentType="application/vnd.openxmlformats-officedocument.drawingml.chartshapes+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drawings/drawing89.xml" ContentType="application/vnd.openxmlformats-officedocument.drawing+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78.xml" ContentType="application/vnd.openxmlformats-officedocument.drawing+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67.xml" ContentType="application/vnd.openxmlformats-officedocument.drawingml.chartshapes+xml"/>
  <Override PartName="/xl/drawings/drawing138.xml" ContentType="application/vnd.openxmlformats-officedocument.drawingml.chartshapes+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45.xml" ContentType="application/vnd.openxmlformats-officedocument.drawing+xml"/>
  <Override PartName="/xl/drawings/drawing56.xml" ContentType="application/vnd.openxmlformats-officedocument.drawingml.chartshapes+xml"/>
  <Override PartName="/xl/drawings/drawing92.xml" ContentType="application/vnd.openxmlformats-officedocument.drawing+xml"/>
  <Override PartName="/xl/drawings/drawing127.xml" ContentType="application/vnd.openxmlformats-officedocument.drawing+xml"/>
  <Override PartName="/xl/worksheets/sheet109.xml" ContentType="application/vnd.openxmlformats-officedocument.spreadsheetml.worksheet+xml"/>
  <Override PartName="/xl/drawings/drawing34.xml" ContentType="application/vnd.openxmlformats-officedocument.drawingml.chartshapes+xml"/>
  <Override PartName="/xl/drawings/drawing81.xml" ContentType="application/vnd.openxmlformats-officedocument.drawing+xml"/>
  <Override PartName="/xl/drawings/drawing116.xml" ContentType="application/vnd.openxmlformats-officedocument.drawing+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23.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drawings/drawing70.xml" ContentType="application/vnd.openxmlformats-officedocument.drawingml.chartshapes+xml"/>
  <Override PartName="/xl/drawings/drawing105.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drawings/drawing130.xml" ContentType="application/vnd.openxmlformats-officedocument.drawingml.chartshapes+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charts/chart3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8915" windowHeight="11835" tabRatio="950" firstSheet="120" activeTab="129"/>
  </bookViews>
  <sheets>
    <sheet name="DEFINICIONES" sheetId="146" r:id="rId1"/>
    <sheet name="SIMBOLOGIA" sheetId="147" r:id="rId2"/>
    <sheet name="INDICE DE RECURSOS HUMANOS" sheetId="1" r:id="rId3"/>
    <sheet name="CUADRO RH1" sheetId="2" r:id="rId4"/>
    <sheet name="GRAFICO RH1" sheetId="3" r:id="rId5"/>
    <sheet name="CUADRO RH2" sheetId="4" r:id="rId6"/>
    <sheet name="CUADRO RH3" sheetId="5" r:id="rId7"/>
    <sheet name="GRAFICO RH2" sheetId="6" r:id="rId8"/>
    <sheet name="CUADRO RH4" sheetId="7" r:id="rId9"/>
    <sheet name="CUADRO RH5" sheetId="8" r:id="rId10"/>
    <sheet name="GRAFICO RH3" sheetId="9" r:id="rId11"/>
    <sheet name="CUADRO RH6" sheetId="10" r:id="rId12"/>
    <sheet name="CUADRO RH7" sheetId="12" r:id="rId13"/>
    <sheet name="GRAFICO RH4" sheetId="11" r:id="rId14"/>
    <sheet name="CUADRO RH8" sheetId="13" r:id="rId15"/>
    <sheet name="CUADRO RH9" sheetId="14" r:id="rId16"/>
    <sheet name="GRAFICO RH5" sheetId="15" r:id="rId17"/>
    <sheet name="CUADRO RH10" sheetId="16" r:id="rId18"/>
    <sheet name="CUADRO RH11" sheetId="17" r:id="rId19"/>
    <sheet name="GRAFICO RH6" sheetId="18" r:id="rId20"/>
    <sheet name="CUADRO RH12" sheetId="19" r:id="rId21"/>
    <sheet name="CUADRO RH13" sheetId="20" r:id="rId22"/>
    <sheet name="GRAFICO RH7" sheetId="21" r:id="rId23"/>
    <sheet name="CUADRO RH14" sheetId="22" r:id="rId24"/>
    <sheet name="CUADRO RH 15" sheetId="23" r:id="rId25"/>
    <sheet name="GRAFICO RH8" sheetId="24" r:id="rId26"/>
    <sheet name="INDICE RECURSOS FINANCIEROS " sheetId="25" r:id="rId27"/>
    <sheet name="CUADRO RF1" sheetId="31" r:id="rId28"/>
    <sheet name="GRAFICO RF1" sheetId="27" r:id="rId29"/>
    <sheet name="CUADRO RF2" sheetId="28" r:id="rId30"/>
    <sheet name="CUADRO RF3" sheetId="29" r:id="rId31"/>
    <sheet name="CUADRO RF4" sheetId="30" r:id="rId32"/>
    <sheet name="INDICE DE DOCENCIA" sheetId="32" r:id="rId33"/>
    <sheet name="CUADRO D1" sheetId="33" r:id="rId34"/>
    <sheet name="GRAFICO D1" sheetId="34" r:id="rId35"/>
    <sheet name="CUADRO D2" sheetId="35" r:id="rId36"/>
    <sheet name="GRAFICO D2" sheetId="36" r:id="rId37"/>
    <sheet name="CUADRO D3" sheetId="37" r:id="rId38"/>
    <sheet name="GRAFICO D3" sheetId="38" r:id="rId39"/>
    <sheet name="CUADRO D4" sheetId="39" r:id="rId40"/>
    <sheet name="CUADRO D5" sheetId="41" r:id="rId41"/>
    <sheet name="CUADRO D6" sheetId="42" r:id="rId42"/>
    <sheet name="CUADRO D7" sheetId="43" r:id="rId43"/>
    <sheet name="CUADRO D8" sheetId="44" r:id="rId44"/>
    <sheet name="CUADRO D9" sheetId="45" r:id="rId45"/>
    <sheet name="CUADRO D10" sheetId="46" r:id="rId46"/>
    <sheet name="CUADRO D11" sheetId="47" r:id="rId47"/>
    <sheet name="CUADRO D12" sheetId="49" r:id="rId48"/>
    <sheet name="CUADRO D13" sheetId="50" r:id="rId49"/>
    <sheet name="CUADRO D14" sheetId="51" r:id="rId50"/>
    <sheet name="CUADRO D15" sheetId="52" r:id="rId51"/>
    <sheet name="CUADRO D16" sheetId="53" r:id="rId52"/>
    <sheet name="GRAFICO D4" sheetId="54" r:id="rId53"/>
    <sheet name="CUADRO D17" sheetId="55" r:id="rId54"/>
    <sheet name="GRAFICO D5" sheetId="56" r:id="rId55"/>
    <sheet name="GRAFICO D5.1" sheetId="57" r:id="rId56"/>
    <sheet name="CUADRO D18" sheetId="58" r:id="rId57"/>
    <sheet name="GRAFICO D6" sheetId="59" r:id="rId58"/>
    <sheet name="GRAFICO D6.1" sheetId="60" r:id="rId59"/>
    <sheet name="CUADRO D19" sheetId="61" r:id="rId60"/>
    <sheet name="GRAFICO D7" sheetId="62" r:id="rId61"/>
    <sheet name="INDICE DE INVESTIGACION" sheetId="63" r:id="rId62"/>
    <sheet name="CUADRO I-1" sheetId="64" r:id="rId63"/>
    <sheet name="GRAFICO I-1" sheetId="65" r:id="rId64"/>
    <sheet name="CUADRO I-2" sheetId="66" r:id="rId65"/>
    <sheet name="GRAFICO I-2" sheetId="67" r:id="rId66"/>
    <sheet name="CUADRO I-3" sheetId="68" r:id="rId67"/>
    <sheet name="CUADRO I-4" sheetId="69" r:id="rId68"/>
    <sheet name="GRAFICO I-3" sheetId="70" r:id="rId69"/>
    <sheet name="CUADRO I-5" sheetId="71" r:id="rId70"/>
    <sheet name="GRAFICO I-4" sheetId="72" r:id="rId71"/>
    <sheet name="CUADRO I-6" sheetId="73" r:id="rId72"/>
    <sheet name="CUADRO I-7" sheetId="74" r:id="rId73"/>
    <sheet name="CUADRO I-8" sheetId="75" r:id="rId74"/>
    <sheet name="GRAFICO I-5" sheetId="76" r:id="rId75"/>
    <sheet name="CUADRO I-9" sheetId="77" r:id="rId76"/>
    <sheet name="CUADRO I-10" sheetId="78" r:id="rId77"/>
    <sheet name="CUADRO I-11" sheetId="79" r:id="rId78"/>
    <sheet name="CUADRO I-12" sheetId="80" r:id="rId79"/>
    <sheet name="CUADRO I-13" sheetId="81" r:id="rId80"/>
    <sheet name="INDICE DE ACCION SOCIAL" sheetId="82" r:id="rId81"/>
    <sheet name="CUADRO AS1" sheetId="83" r:id="rId82"/>
    <sheet name="GRAFICO AS1" sheetId="84" r:id="rId83"/>
    <sheet name="CUADRO AS2" sheetId="85" r:id="rId84"/>
    <sheet name="GRAFICO AS2" sheetId="86" r:id="rId85"/>
    <sheet name="CUADRO AS3" sheetId="87" r:id="rId86"/>
    <sheet name="CUADRO AS4" sheetId="88" r:id="rId87"/>
    <sheet name="GRAFICO AS3" sheetId="89" r:id="rId88"/>
    <sheet name="CUADRO AS5" sheetId="90" r:id="rId89"/>
    <sheet name="CUADRO AS6 " sheetId="91" r:id="rId90"/>
    <sheet name="GRAFICO AS4" sheetId="92" r:id="rId91"/>
    <sheet name="CUADRO AS7" sheetId="93" r:id="rId92"/>
    <sheet name="CUADRO AS8" sheetId="96" r:id="rId93"/>
    <sheet name="CUADRO AS9" sheetId="97" r:id="rId94"/>
    <sheet name="CUADRO AS10" sheetId="99" r:id="rId95"/>
    <sheet name="GRAFICO AS5" sheetId="98" r:id="rId96"/>
    <sheet name="INDICE DE VIDA ESTUDIANTIL" sheetId="100" r:id="rId97"/>
    <sheet name="CUADRO VE1" sheetId="101" r:id="rId98"/>
    <sheet name="GRAFICO VE1" sheetId="102" r:id="rId99"/>
    <sheet name="CUADRO VE2" sheetId="103" r:id="rId100"/>
    <sheet name="CUADRO VE3" sheetId="105" r:id="rId101"/>
    <sheet name="GRAFICO VE2" sheetId="104" r:id="rId102"/>
    <sheet name="CUADRO VE4" sheetId="106" r:id="rId103"/>
    <sheet name="CUADRO VE5" sheetId="107" r:id="rId104"/>
    <sheet name="GRAFICO VE3" sheetId="108" r:id="rId105"/>
    <sheet name="CUADRO VE6" sheetId="109" r:id="rId106"/>
    <sheet name="CUADRO VE7" sheetId="110" r:id="rId107"/>
    <sheet name="GRAFICO VE4" sheetId="111" r:id="rId108"/>
    <sheet name="CUADRO VE8" sheetId="112" r:id="rId109"/>
    <sheet name="CUADRO VE9" sheetId="113" r:id="rId110"/>
    <sheet name="GRAFICO VE5" sheetId="114" r:id="rId111"/>
    <sheet name="CUADRO VE10" sheetId="115" r:id="rId112"/>
    <sheet name="CUADRO VE11" sheetId="116" r:id="rId113"/>
    <sheet name="GRAFICO VE6" sheetId="117" r:id="rId114"/>
    <sheet name="CUADRO VE12" sheetId="118" r:id="rId115"/>
    <sheet name="CUADRO VE13" sheetId="119" r:id="rId116"/>
    <sheet name="CUADRO VE14" sheetId="120" r:id="rId117"/>
    <sheet name="GRAFICO VE7" sheetId="121" r:id="rId118"/>
    <sheet name="CUADRO VE15" sheetId="122" r:id="rId119"/>
    <sheet name="CUADRO VE16" sheetId="123" r:id="rId120"/>
    <sheet name="GRAFICO VE8" sheetId="124" r:id="rId121"/>
    <sheet name="CUADRO VE17" sheetId="125" r:id="rId122"/>
    <sheet name="CUADRO VE18" sheetId="126" r:id="rId123"/>
    <sheet name="GRAFICO VE9" sheetId="127" r:id="rId124"/>
    <sheet name="CUADRO VE19" sheetId="128" r:id="rId125"/>
    <sheet name="CUADRO VE20" sheetId="129" r:id="rId126"/>
    <sheet name="CUADRO VE21" sheetId="130" r:id="rId127"/>
    <sheet name="CUADRO VE22" sheetId="131" r:id="rId128"/>
    <sheet name="CUADRO VE23" sheetId="132" r:id="rId129"/>
    <sheet name="CUADRO VE24" sheetId="133" r:id="rId130"/>
    <sheet name="CUADRO VE 25" sheetId="134" r:id="rId131"/>
    <sheet name="CUADRO VE26" sheetId="135" r:id="rId132"/>
    <sheet name="GRAFICO VE10" sheetId="136" r:id="rId133"/>
    <sheet name="INDICE DE ADMINISTRACION" sheetId="137" r:id="rId134"/>
    <sheet name="CUADRO AD1" sheetId="138" r:id="rId135"/>
    <sheet name="GRAFICO AD1" sheetId="139" r:id="rId136"/>
    <sheet name="INDICE DIRECCION SUPERIOR" sheetId="140" r:id="rId137"/>
    <sheet name="CUADRO DS1" sheetId="141" r:id="rId138"/>
    <sheet name="GRAFICO DS1" sheetId="142" r:id="rId139"/>
    <sheet name="CUADRO AI-1" sheetId="143" r:id="rId140"/>
    <sheet name="CUADRO AI-2" sheetId="144" r:id="rId141"/>
    <sheet name="GRAFICO AI-1" sheetId="145" r:id="rId142"/>
  </sheets>
  <externalReferences>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OLE_LINK1" localSheetId="61">'INDICE DE INVESTIGACION'!$A$10</definedName>
  </definedNames>
  <calcPr calcId="125725"/>
</workbook>
</file>

<file path=xl/calcChain.xml><?xml version="1.0" encoding="utf-8"?>
<calcChain xmlns="http://schemas.openxmlformats.org/spreadsheetml/2006/main">
  <c r="S80" i="47"/>
  <c r="S81"/>
  <c r="S82"/>
  <c r="S83"/>
  <c r="S84"/>
  <c r="S85"/>
  <c r="S86"/>
  <c r="S87"/>
  <c r="S88"/>
  <c r="S89"/>
  <c r="S90"/>
  <c r="S91"/>
  <c r="S92"/>
  <c r="S93"/>
  <c r="S94"/>
  <c r="S95"/>
  <c r="S96"/>
  <c r="S97"/>
  <c r="S98"/>
  <c r="S99"/>
  <c r="S100"/>
  <c r="P80"/>
  <c r="P81"/>
  <c r="P82"/>
  <c r="P83"/>
  <c r="P84"/>
  <c r="P85"/>
  <c r="P86"/>
  <c r="P87"/>
  <c r="P88"/>
  <c r="P89"/>
  <c r="P90"/>
  <c r="P91"/>
  <c r="P92"/>
  <c r="P93"/>
  <c r="P94"/>
  <c r="P95"/>
  <c r="P96"/>
  <c r="P97"/>
  <c r="P98"/>
  <c r="P99"/>
  <c r="P100"/>
  <c r="M80"/>
  <c r="M81"/>
  <c r="M82"/>
  <c r="M83"/>
  <c r="M84"/>
  <c r="M85"/>
  <c r="M86"/>
  <c r="M87"/>
  <c r="M88"/>
  <c r="M89"/>
  <c r="M90"/>
  <c r="M91"/>
  <c r="M92"/>
  <c r="M93"/>
  <c r="M94"/>
  <c r="M95"/>
  <c r="M96"/>
  <c r="M97"/>
  <c r="M98"/>
  <c r="M99"/>
  <c r="M100"/>
  <c r="J80"/>
  <c r="J81"/>
  <c r="J82"/>
  <c r="J83"/>
  <c r="J84"/>
  <c r="J85"/>
  <c r="J86"/>
  <c r="J87"/>
  <c r="J88"/>
  <c r="J89"/>
  <c r="J90"/>
  <c r="J91"/>
  <c r="J92"/>
  <c r="J93"/>
  <c r="J94"/>
  <c r="J95"/>
  <c r="J96"/>
  <c r="J97"/>
  <c r="J98"/>
  <c r="J99"/>
  <c r="J100"/>
  <c r="S48"/>
  <c r="S49"/>
  <c r="S50"/>
  <c r="M181" i="22"/>
  <c r="J181"/>
  <c r="G181"/>
  <c r="D181"/>
  <c r="C178"/>
  <c r="M178" s="1"/>
  <c r="R31" i="119"/>
  <c r="R32"/>
  <c r="R33"/>
  <c r="R34"/>
  <c r="R35"/>
  <c r="R36"/>
  <c r="R37"/>
  <c r="R38"/>
  <c r="R39"/>
  <c r="R40"/>
  <c r="R41"/>
  <c r="R42"/>
  <c r="R43"/>
  <c r="R44"/>
  <c r="R45"/>
  <c r="R46"/>
  <c r="R47"/>
  <c r="R48"/>
  <c r="R49"/>
  <c r="R50"/>
  <c r="R51"/>
  <c r="O31"/>
  <c r="O32"/>
  <c r="O33"/>
  <c r="O34"/>
  <c r="O35"/>
  <c r="O36"/>
  <c r="O37"/>
  <c r="O38"/>
  <c r="O39"/>
  <c r="O40"/>
  <c r="O41"/>
  <c r="O42"/>
  <c r="O43"/>
  <c r="O44"/>
  <c r="O45"/>
  <c r="O46"/>
  <c r="O47"/>
  <c r="O48"/>
  <c r="O49"/>
  <c r="O50"/>
  <c r="O51"/>
  <c r="L31"/>
  <c r="L32"/>
  <c r="L33"/>
  <c r="L34"/>
  <c r="L35"/>
  <c r="L36"/>
  <c r="L37"/>
  <c r="L38"/>
  <c r="L39"/>
  <c r="L40"/>
  <c r="L41"/>
  <c r="L42"/>
  <c r="L43"/>
  <c r="L44"/>
  <c r="L45"/>
  <c r="L46"/>
  <c r="L47"/>
  <c r="L48"/>
  <c r="L49"/>
  <c r="L50"/>
  <c r="L51"/>
  <c r="F31"/>
  <c r="F32"/>
  <c r="F33"/>
  <c r="F34"/>
  <c r="F35"/>
  <c r="F36"/>
  <c r="F37"/>
  <c r="F38"/>
  <c r="F39"/>
  <c r="F40"/>
  <c r="F41"/>
  <c r="F42"/>
  <c r="F43"/>
  <c r="F44"/>
  <c r="F45"/>
  <c r="F46"/>
  <c r="F47"/>
  <c r="F48"/>
  <c r="F49"/>
  <c r="F50"/>
  <c r="F51"/>
  <c r="V16" i="93"/>
  <c r="V17"/>
  <c r="S16"/>
  <c r="P16"/>
  <c r="P17"/>
  <c r="M16"/>
  <c r="M17"/>
  <c r="G16"/>
  <c r="G17"/>
  <c r="B36" i="80"/>
  <c r="B37"/>
  <c r="U17" i="79"/>
  <c r="U18"/>
  <c r="U19"/>
  <c r="F22" i="47"/>
  <c r="B22"/>
  <c r="I16"/>
  <c r="R81"/>
  <c r="P12" i="30"/>
  <c r="M12"/>
  <c r="J12"/>
  <c r="G12"/>
  <c r="D12"/>
  <c r="B11" i="144"/>
  <c r="C10"/>
  <c r="B10"/>
  <c r="C16" i="143"/>
  <c r="C14"/>
  <c r="C12" s="1"/>
  <c r="B12"/>
  <c r="E12" s="1"/>
  <c r="J55" i="141"/>
  <c r="C55"/>
  <c r="G55" s="1"/>
  <c r="M54"/>
  <c r="J54"/>
  <c r="G54"/>
  <c r="D54"/>
  <c r="C54"/>
  <c r="L53"/>
  <c r="M53" s="1"/>
  <c r="I53"/>
  <c r="J53" s="1"/>
  <c r="F53"/>
  <c r="G53" s="1"/>
  <c r="D53" s="1"/>
  <c r="C53"/>
  <c r="M52"/>
  <c r="J52"/>
  <c r="G52"/>
  <c r="D52"/>
  <c r="C52"/>
  <c r="C51"/>
  <c r="M51" s="1"/>
  <c r="J50"/>
  <c r="C50"/>
  <c r="G50" s="1"/>
  <c r="C49"/>
  <c r="G49" s="1"/>
  <c r="J48"/>
  <c r="C48"/>
  <c r="M48" s="1"/>
  <c r="G47"/>
  <c r="C47"/>
  <c r="M47" s="1"/>
  <c r="J46"/>
  <c r="C46"/>
  <c r="G46" s="1"/>
  <c r="C45"/>
  <c r="G45" s="1"/>
  <c r="J44"/>
  <c r="C44"/>
  <c r="M44" s="1"/>
  <c r="C43"/>
  <c r="M43" s="1"/>
  <c r="J42"/>
  <c r="C42"/>
  <c r="G42" s="1"/>
  <c r="M41"/>
  <c r="J41"/>
  <c r="G41"/>
  <c r="D41"/>
  <c r="C41"/>
  <c r="L40"/>
  <c r="M40" s="1"/>
  <c r="I40"/>
  <c r="J40" s="1"/>
  <c r="F40"/>
  <c r="G40" s="1"/>
  <c r="C40"/>
  <c r="M39"/>
  <c r="J39"/>
  <c r="G39"/>
  <c r="D39"/>
  <c r="C39"/>
  <c r="C38"/>
  <c r="M38" s="1"/>
  <c r="J37"/>
  <c r="C37"/>
  <c r="G37" s="1"/>
  <c r="C36"/>
  <c r="G36" s="1"/>
  <c r="J35"/>
  <c r="C35"/>
  <c r="M35" s="1"/>
  <c r="C34"/>
  <c r="M34" s="1"/>
  <c r="J33"/>
  <c r="C33"/>
  <c r="G33" s="1"/>
  <c r="C32"/>
  <c r="G32" s="1"/>
  <c r="J31"/>
  <c r="C31"/>
  <c r="M31" s="1"/>
  <c r="C30"/>
  <c r="M30" s="1"/>
  <c r="M29"/>
  <c r="J29"/>
  <c r="G29"/>
  <c r="D29"/>
  <c r="C29"/>
  <c r="M28"/>
  <c r="L28"/>
  <c r="J28"/>
  <c r="I28"/>
  <c r="G28"/>
  <c r="D28" s="1"/>
  <c r="F28"/>
  <c r="C28"/>
  <c r="M27"/>
  <c r="J27"/>
  <c r="G27"/>
  <c r="D27"/>
  <c r="C27"/>
  <c r="J26"/>
  <c r="C26"/>
  <c r="M26" s="1"/>
  <c r="C25"/>
  <c r="M25" s="1"/>
  <c r="J24"/>
  <c r="C24"/>
  <c r="G24" s="1"/>
  <c r="C23"/>
  <c r="G23" s="1"/>
  <c r="J22"/>
  <c r="C22"/>
  <c r="M22" s="1"/>
  <c r="M21"/>
  <c r="J21"/>
  <c r="G21"/>
  <c r="D21"/>
  <c r="C21"/>
  <c r="L20"/>
  <c r="L14" s="1"/>
  <c r="I20"/>
  <c r="J20" s="1"/>
  <c r="F20"/>
  <c r="F14" s="1"/>
  <c r="C20"/>
  <c r="M19"/>
  <c r="J19"/>
  <c r="G19"/>
  <c r="D19"/>
  <c r="C19"/>
  <c r="G18"/>
  <c r="C18"/>
  <c r="J18" s="1"/>
  <c r="M17"/>
  <c r="J17"/>
  <c r="G17"/>
  <c r="D17"/>
  <c r="C17"/>
  <c r="C16"/>
  <c r="M16" s="1"/>
  <c r="M15"/>
  <c r="J15"/>
  <c r="G15"/>
  <c r="D15"/>
  <c r="C15"/>
  <c r="M13"/>
  <c r="J13"/>
  <c r="G13"/>
  <c r="D13"/>
  <c r="C13"/>
  <c r="J39" i="138"/>
  <c r="C39"/>
  <c r="G39" s="1"/>
  <c r="C38"/>
  <c r="G38" s="1"/>
  <c r="L37"/>
  <c r="M37" s="1"/>
  <c r="G37"/>
  <c r="C37"/>
  <c r="J37" s="1"/>
  <c r="L36"/>
  <c r="M36" s="1"/>
  <c r="C36"/>
  <c r="G36" s="1"/>
  <c r="L35"/>
  <c r="I35"/>
  <c r="M34"/>
  <c r="J34"/>
  <c r="G34"/>
  <c r="D34"/>
  <c r="C34"/>
  <c r="L33"/>
  <c r="M33" s="1"/>
  <c r="I33"/>
  <c r="J33" s="1"/>
  <c r="F33"/>
  <c r="G33" s="1"/>
  <c r="D33" s="1"/>
  <c r="C33"/>
  <c r="M32"/>
  <c r="J32"/>
  <c r="G32"/>
  <c r="D32"/>
  <c r="C32"/>
  <c r="C31"/>
  <c r="M31" s="1"/>
  <c r="J30"/>
  <c r="C30"/>
  <c r="G30" s="1"/>
  <c r="C29"/>
  <c r="G29" s="1"/>
  <c r="J28"/>
  <c r="C28"/>
  <c r="M28" s="1"/>
  <c r="C27"/>
  <c r="M27" s="1"/>
  <c r="J26"/>
  <c r="C26"/>
  <c r="G26" s="1"/>
  <c r="C25"/>
  <c r="G25" s="1"/>
  <c r="J24"/>
  <c r="C24"/>
  <c r="M24" s="1"/>
  <c r="C23"/>
  <c r="M23" s="1"/>
  <c r="M22"/>
  <c r="J22"/>
  <c r="G22"/>
  <c r="D22"/>
  <c r="C22"/>
  <c r="M21"/>
  <c r="L21"/>
  <c r="J21"/>
  <c r="I21"/>
  <c r="G21"/>
  <c r="D21" s="1"/>
  <c r="F21"/>
  <c r="C21"/>
  <c r="M20"/>
  <c r="J20"/>
  <c r="G20"/>
  <c r="D20"/>
  <c r="C20"/>
  <c r="J19"/>
  <c r="C19"/>
  <c r="M19" s="1"/>
  <c r="C18"/>
  <c r="M18" s="1"/>
  <c r="M17"/>
  <c r="J17"/>
  <c r="G17"/>
  <c r="D17"/>
  <c r="C17"/>
  <c r="M16"/>
  <c r="L16"/>
  <c r="J16"/>
  <c r="I16"/>
  <c r="G16"/>
  <c r="F16"/>
  <c r="D16"/>
  <c r="C16"/>
  <c r="M15"/>
  <c r="J15"/>
  <c r="G15"/>
  <c r="D15"/>
  <c r="C15"/>
  <c r="L14"/>
  <c r="M14" s="1"/>
  <c r="I14"/>
  <c r="I12" s="1"/>
  <c r="F14"/>
  <c r="G14" s="1"/>
  <c r="C14"/>
  <c r="M13"/>
  <c r="J13"/>
  <c r="G13"/>
  <c r="D13"/>
  <c r="C13"/>
  <c r="J178" i="22" l="1"/>
  <c r="G178"/>
  <c r="P178"/>
  <c r="F12" i="141"/>
  <c r="D40"/>
  <c r="D24"/>
  <c r="L12"/>
  <c r="D18"/>
  <c r="D50"/>
  <c r="I14"/>
  <c r="J16"/>
  <c r="G20"/>
  <c r="D20" s="1"/>
  <c r="M20"/>
  <c r="G22"/>
  <c r="D22" s="1"/>
  <c r="M24"/>
  <c r="J25"/>
  <c r="G26"/>
  <c r="D26" s="1"/>
  <c r="J30"/>
  <c r="G31"/>
  <c r="D31" s="1"/>
  <c r="M33"/>
  <c r="D33" s="1"/>
  <c r="J34"/>
  <c r="G35"/>
  <c r="D35" s="1"/>
  <c r="M37"/>
  <c r="D37" s="1"/>
  <c r="J38"/>
  <c r="M42"/>
  <c r="D42" s="1"/>
  <c r="J43"/>
  <c r="G44"/>
  <c r="D44" s="1"/>
  <c r="M46"/>
  <c r="D46" s="1"/>
  <c r="J47"/>
  <c r="D47" s="1"/>
  <c r="G48"/>
  <c r="D48" s="1"/>
  <c r="M50"/>
  <c r="J51"/>
  <c r="M55"/>
  <c r="D55" s="1"/>
  <c r="G16"/>
  <c r="D16" s="1"/>
  <c r="M18"/>
  <c r="M23"/>
  <c r="D23" s="1"/>
  <c r="G25"/>
  <c r="D25" s="1"/>
  <c r="G30"/>
  <c r="D30" s="1"/>
  <c r="M32"/>
  <c r="G34"/>
  <c r="D34" s="1"/>
  <c r="M36"/>
  <c r="G38"/>
  <c r="G43"/>
  <c r="D43" s="1"/>
  <c r="M45"/>
  <c r="M49"/>
  <c r="D49" s="1"/>
  <c r="G51"/>
  <c r="J23"/>
  <c r="J32"/>
  <c r="D32" s="1"/>
  <c r="J36"/>
  <c r="D36" s="1"/>
  <c r="J45"/>
  <c r="D45" s="1"/>
  <c r="J49"/>
  <c r="D37" i="138"/>
  <c r="D25"/>
  <c r="D38"/>
  <c r="F12"/>
  <c r="L12"/>
  <c r="J14"/>
  <c r="D14" s="1"/>
  <c r="J18"/>
  <c r="G19"/>
  <c r="D19" s="1"/>
  <c r="J23"/>
  <c r="G24"/>
  <c r="D24" s="1"/>
  <c r="M26"/>
  <c r="D26" s="1"/>
  <c r="J27"/>
  <c r="G28"/>
  <c r="D28" s="1"/>
  <c r="M30"/>
  <c r="D30" s="1"/>
  <c r="J31"/>
  <c r="C35"/>
  <c r="G35" s="1"/>
  <c r="M39"/>
  <c r="D39" s="1"/>
  <c r="G18"/>
  <c r="D18" s="1"/>
  <c r="G23"/>
  <c r="D23" s="1"/>
  <c r="M25"/>
  <c r="G27"/>
  <c r="D27" s="1"/>
  <c r="M29"/>
  <c r="G31"/>
  <c r="D31" s="1"/>
  <c r="M38"/>
  <c r="J25"/>
  <c r="J29"/>
  <c r="D29" s="1"/>
  <c r="J36"/>
  <c r="D36" s="1"/>
  <c r="J38"/>
  <c r="C9" i="117"/>
  <c r="B9"/>
  <c r="C6" i="114"/>
  <c r="B6"/>
  <c r="A8" s="1"/>
  <c r="A6"/>
  <c r="E8" i="111"/>
  <c r="D8"/>
  <c r="C8"/>
  <c r="B7"/>
  <c r="B6"/>
  <c r="C28" i="135"/>
  <c r="E27"/>
  <c r="C21"/>
  <c r="E20"/>
  <c r="C15"/>
  <c r="E15" s="1"/>
  <c r="C13"/>
  <c r="E32" s="1"/>
  <c r="E23" i="134"/>
  <c r="C13"/>
  <c r="E41" s="1"/>
  <c r="C24" i="133"/>
  <c r="E24" s="1"/>
  <c r="E23"/>
  <c r="C15"/>
  <c r="E15" s="1"/>
  <c r="E13" s="1"/>
  <c r="C13"/>
  <c r="E42" s="1"/>
  <c r="E56" i="132"/>
  <c r="E54"/>
  <c r="E52"/>
  <c r="E50"/>
  <c r="E48"/>
  <c r="E46"/>
  <c r="C45"/>
  <c r="E44"/>
  <c r="E42"/>
  <c r="E40"/>
  <c r="E38"/>
  <c r="E36"/>
  <c r="E34"/>
  <c r="E32"/>
  <c r="E30"/>
  <c r="E28"/>
  <c r="E26"/>
  <c r="E24"/>
  <c r="E22"/>
  <c r="E20"/>
  <c r="E18"/>
  <c r="E16"/>
  <c r="C15"/>
  <c r="C13" s="1"/>
  <c r="E41" s="1"/>
  <c r="E14"/>
  <c r="D25" i="131"/>
  <c r="D24"/>
  <c r="D22"/>
  <c r="D21"/>
  <c r="D20"/>
  <c r="D18"/>
  <c r="D17"/>
  <c r="D16"/>
  <c r="D14"/>
  <c r="C13"/>
  <c r="D23" s="1"/>
  <c r="B21" i="130"/>
  <c r="X20"/>
  <c r="U20"/>
  <c r="R20"/>
  <c r="O20"/>
  <c r="L20"/>
  <c r="I20"/>
  <c r="F20"/>
  <c r="C20"/>
  <c r="B20"/>
  <c r="B19"/>
  <c r="X18"/>
  <c r="U18"/>
  <c r="R18"/>
  <c r="O18"/>
  <c r="L18"/>
  <c r="I18"/>
  <c r="F18"/>
  <c r="C18"/>
  <c r="B18"/>
  <c r="U17"/>
  <c r="O17"/>
  <c r="I17"/>
  <c r="B17"/>
  <c r="X16"/>
  <c r="U16"/>
  <c r="R16"/>
  <c r="O16"/>
  <c r="L16"/>
  <c r="I16"/>
  <c r="F16"/>
  <c r="C16"/>
  <c r="B16"/>
  <c r="U15"/>
  <c r="O15"/>
  <c r="I15"/>
  <c r="B15"/>
  <c r="X14"/>
  <c r="U14"/>
  <c r="R14"/>
  <c r="O14"/>
  <c r="L14"/>
  <c r="I14"/>
  <c r="F14"/>
  <c r="C14"/>
  <c r="X13"/>
  <c r="R13"/>
  <c r="L13"/>
  <c r="F13"/>
  <c r="B13"/>
  <c r="X12"/>
  <c r="U12"/>
  <c r="R12"/>
  <c r="O12"/>
  <c r="L12"/>
  <c r="I12"/>
  <c r="F12"/>
  <c r="C12"/>
  <c r="B12"/>
  <c r="W11"/>
  <c r="X19" s="1"/>
  <c r="T11"/>
  <c r="U19" s="1"/>
  <c r="Q11"/>
  <c r="R21" s="1"/>
  <c r="N11"/>
  <c r="O21" s="1"/>
  <c r="K11"/>
  <c r="L19" s="1"/>
  <c r="H11"/>
  <c r="I19" s="1"/>
  <c r="E11"/>
  <c r="F21" s="1"/>
  <c r="B17" i="129"/>
  <c r="C16"/>
  <c r="B16"/>
  <c r="B15"/>
  <c r="C15" s="1"/>
  <c r="C14"/>
  <c r="B14"/>
  <c r="B13"/>
  <c r="R12"/>
  <c r="O12"/>
  <c r="L12"/>
  <c r="I12"/>
  <c r="F12"/>
  <c r="C12"/>
  <c r="B12"/>
  <c r="X11"/>
  <c r="W11"/>
  <c r="U11"/>
  <c r="T11"/>
  <c r="R11"/>
  <c r="Q11"/>
  <c r="O11"/>
  <c r="N11"/>
  <c r="L11"/>
  <c r="K11"/>
  <c r="I11"/>
  <c r="H11"/>
  <c r="F11"/>
  <c r="B11" s="1"/>
  <c r="E11"/>
  <c r="O28" i="128"/>
  <c r="I28"/>
  <c r="C28"/>
  <c r="R27"/>
  <c r="R26"/>
  <c r="L26"/>
  <c r="F26"/>
  <c r="R25"/>
  <c r="O25"/>
  <c r="L25"/>
  <c r="I25"/>
  <c r="F25"/>
  <c r="C25"/>
  <c r="R24"/>
  <c r="L24"/>
  <c r="F24"/>
  <c r="R23"/>
  <c r="O23"/>
  <c r="L23"/>
  <c r="I23"/>
  <c r="F23"/>
  <c r="C23"/>
  <c r="R22"/>
  <c r="L22"/>
  <c r="F22"/>
  <c r="R21"/>
  <c r="O21"/>
  <c r="L21"/>
  <c r="I21"/>
  <c r="F21"/>
  <c r="C21"/>
  <c r="R20"/>
  <c r="L20"/>
  <c r="F20"/>
  <c r="R19"/>
  <c r="O19"/>
  <c r="L19"/>
  <c r="I19"/>
  <c r="F19"/>
  <c r="C19"/>
  <c r="R18"/>
  <c r="L18"/>
  <c r="F18"/>
  <c r="R17"/>
  <c r="O17"/>
  <c r="L17"/>
  <c r="I17"/>
  <c r="F17"/>
  <c r="C17"/>
  <c r="R16"/>
  <c r="L16"/>
  <c r="F16"/>
  <c r="R15"/>
  <c r="O15"/>
  <c r="L15"/>
  <c r="I15"/>
  <c r="F15"/>
  <c r="C15"/>
  <c r="Q14"/>
  <c r="R28" s="1"/>
  <c r="R14" s="1"/>
  <c r="N14"/>
  <c r="O26" s="1"/>
  <c r="K14"/>
  <c r="L28" s="1"/>
  <c r="L14" s="1"/>
  <c r="H14"/>
  <c r="I26" s="1"/>
  <c r="E14"/>
  <c r="F28" s="1"/>
  <c r="F14" s="1"/>
  <c r="B14"/>
  <c r="C26" s="1"/>
  <c r="B26" i="126"/>
  <c r="X21"/>
  <c r="R21"/>
  <c r="L21"/>
  <c r="F21"/>
  <c r="B21"/>
  <c r="X20"/>
  <c r="U20"/>
  <c r="R20"/>
  <c r="O20"/>
  <c r="L20"/>
  <c r="I20"/>
  <c r="F20"/>
  <c r="C20"/>
  <c r="B20"/>
  <c r="X19"/>
  <c r="R19"/>
  <c r="L19"/>
  <c r="F19"/>
  <c r="B19"/>
  <c r="X18"/>
  <c r="U18"/>
  <c r="R18"/>
  <c r="O18"/>
  <c r="L18"/>
  <c r="I18"/>
  <c r="F18"/>
  <c r="C18"/>
  <c r="B18"/>
  <c r="X17"/>
  <c r="R17"/>
  <c r="L17"/>
  <c r="F17"/>
  <c r="B17"/>
  <c r="X16"/>
  <c r="U16"/>
  <c r="R16"/>
  <c r="O16"/>
  <c r="L16"/>
  <c r="I16"/>
  <c r="F16"/>
  <c r="C16"/>
  <c r="B16"/>
  <c r="X15"/>
  <c r="R15"/>
  <c r="L15"/>
  <c r="F15"/>
  <c r="B15"/>
  <c r="X14"/>
  <c r="U14"/>
  <c r="R14"/>
  <c r="O14"/>
  <c r="L14"/>
  <c r="I14"/>
  <c r="F14"/>
  <c r="C14"/>
  <c r="B14"/>
  <c r="X13"/>
  <c r="R13"/>
  <c r="L13"/>
  <c r="F13"/>
  <c r="B13"/>
  <c r="R12"/>
  <c r="O12"/>
  <c r="L12"/>
  <c r="I12"/>
  <c r="F12"/>
  <c r="C12"/>
  <c r="B12"/>
  <c r="X11"/>
  <c r="W11"/>
  <c r="T11"/>
  <c r="R11"/>
  <c r="Q11"/>
  <c r="N11"/>
  <c r="O26" s="1"/>
  <c r="L11"/>
  <c r="K11"/>
  <c r="H11"/>
  <c r="F11"/>
  <c r="E11"/>
  <c r="X14" i="125"/>
  <c r="U14"/>
  <c r="B13"/>
  <c r="R12"/>
  <c r="O12"/>
  <c r="L12"/>
  <c r="I12"/>
  <c r="F12"/>
  <c r="C12"/>
  <c r="B12"/>
  <c r="W11"/>
  <c r="X13" s="1"/>
  <c r="X11" s="1"/>
  <c r="T11"/>
  <c r="U13" s="1"/>
  <c r="U11" s="1"/>
  <c r="Q11"/>
  <c r="R15" s="1"/>
  <c r="N11"/>
  <c r="O15" s="1"/>
  <c r="K11"/>
  <c r="L13" s="1"/>
  <c r="L11" s="1"/>
  <c r="H11"/>
  <c r="I13" s="1"/>
  <c r="I11" s="1"/>
  <c r="E11"/>
  <c r="F15" s="1"/>
  <c r="B11"/>
  <c r="C13" s="1"/>
  <c r="C11" s="1"/>
  <c r="B26" i="123"/>
  <c r="B21"/>
  <c r="X20"/>
  <c r="U20"/>
  <c r="R20"/>
  <c r="O20"/>
  <c r="L20"/>
  <c r="I20"/>
  <c r="F20"/>
  <c r="C20"/>
  <c r="B20"/>
  <c r="X19"/>
  <c r="R19"/>
  <c r="L19"/>
  <c r="F19"/>
  <c r="B19"/>
  <c r="X18"/>
  <c r="U18"/>
  <c r="R18"/>
  <c r="O18"/>
  <c r="L18"/>
  <c r="I18"/>
  <c r="F18"/>
  <c r="C18"/>
  <c r="B18"/>
  <c r="X17"/>
  <c r="R17"/>
  <c r="L17"/>
  <c r="F17"/>
  <c r="B17"/>
  <c r="X16"/>
  <c r="U16"/>
  <c r="R16"/>
  <c r="O16"/>
  <c r="L16"/>
  <c r="I16"/>
  <c r="F16"/>
  <c r="C16"/>
  <c r="B16"/>
  <c r="X15"/>
  <c r="R15"/>
  <c r="L15"/>
  <c r="F15"/>
  <c r="B15"/>
  <c r="X14"/>
  <c r="U14"/>
  <c r="R14"/>
  <c r="O14"/>
  <c r="L14"/>
  <c r="I14"/>
  <c r="F14"/>
  <c r="C14"/>
  <c r="B14"/>
  <c r="X13"/>
  <c r="R13"/>
  <c r="L13"/>
  <c r="F13"/>
  <c r="B13"/>
  <c r="R12"/>
  <c r="O12"/>
  <c r="L12"/>
  <c r="I12"/>
  <c r="F12"/>
  <c r="C12"/>
  <c r="B12"/>
  <c r="W11"/>
  <c r="T11"/>
  <c r="Q11"/>
  <c r="N11"/>
  <c r="O26" s="1"/>
  <c r="K11"/>
  <c r="H11"/>
  <c r="E11"/>
  <c r="B21" i="122"/>
  <c r="X20"/>
  <c r="U20"/>
  <c r="R20"/>
  <c r="O20"/>
  <c r="L20"/>
  <c r="I20"/>
  <c r="F20"/>
  <c r="C20"/>
  <c r="B20"/>
  <c r="B19"/>
  <c r="X18"/>
  <c r="U18"/>
  <c r="R18"/>
  <c r="O18"/>
  <c r="L18"/>
  <c r="I18"/>
  <c r="F18"/>
  <c r="C18"/>
  <c r="B18"/>
  <c r="B17"/>
  <c r="X16"/>
  <c r="U16"/>
  <c r="R16"/>
  <c r="O16"/>
  <c r="L16"/>
  <c r="I16"/>
  <c r="F16"/>
  <c r="C16"/>
  <c r="B16"/>
  <c r="B15"/>
  <c r="X14"/>
  <c r="U14"/>
  <c r="R14"/>
  <c r="O14"/>
  <c r="L14"/>
  <c r="I14"/>
  <c r="F14"/>
  <c r="C14"/>
  <c r="B14"/>
  <c r="B13"/>
  <c r="R12"/>
  <c r="O12"/>
  <c r="L12"/>
  <c r="I12"/>
  <c r="F12"/>
  <c r="C12"/>
  <c r="B12"/>
  <c r="W11"/>
  <c r="X19" s="1"/>
  <c r="T11"/>
  <c r="U19" s="1"/>
  <c r="Q11"/>
  <c r="R23" s="1"/>
  <c r="N11"/>
  <c r="O23" s="1"/>
  <c r="K11"/>
  <c r="L19" s="1"/>
  <c r="H11"/>
  <c r="I19" s="1"/>
  <c r="E11"/>
  <c r="F23" s="1"/>
  <c r="B11"/>
  <c r="C21" s="1"/>
  <c r="X21" i="120"/>
  <c r="L21"/>
  <c r="B21"/>
  <c r="X20"/>
  <c r="U20"/>
  <c r="R20"/>
  <c r="O20"/>
  <c r="L20"/>
  <c r="I20"/>
  <c r="F20"/>
  <c r="C20"/>
  <c r="B20"/>
  <c r="R19"/>
  <c r="F19"/>
  <c r="B19"/>
  <c r="X18"/>
  <c r="U18"/>
  <c r="R18"/>
  <c r="O18"/>
  <c r="L18"/>
  <c r="I18"/>
  <c r="F18"/>
  <c r="C18"/>
  <c r="B18"/>
  <c r="X17"/>
  <c r="L17"/>
  <c r="B17"/>
  <c r="X16"/>
  <c r="U16"/>
  <c r="R16"/>
  <c r="O16"/>
  <c r="L16"/>
  <c r="I16"/>
  <c r="F16"/>
  <c r="C16"/>
  <c r="B16"/>
  <c r="R15"/>
  <c r="F15"/>
  <c r="B15"/>
  <c r="X14"/>
  <c r="U14"/>
  <c r="R14"/>
  <c r="O14"/>
  <c r="L14"/>
  <c r="I14"/>
  <c r="F14"/>
  <c r="C14"/>
  <c r="B14"/>
  <c r="X13"/>
  <c r="L13"/>
  <c r="B13"/>
  <c r="R12"/>
  <c r="O12"/>
  <c r="L12"/>
  <c r="I12"/>
  <c r="F12"/>
  <c r="C12"/>
  <c r="B12"/>
  <c r="W11"/>
  <c r="X19" s="1"/>
  <c r="T11"/>
  <c r="U19" s="1"/>
  <c r="Q11"/>
  <c r="R21" s="1"/>
  <c r="N11"/>
  <c r="O21" s="1"/>
  <c r="K11"/>
  <c r="L19" s="1"/>
  <c r="H11"/>
  <c r="I19" s="1"/>
  <c r="E11"/>
  <c r="F21" s="1"/>
  <c r="B51" i="119"/>
  <c r="B50"/>
  <c r="I50" s="1"/>
  <c r="B49"/>
  <c r="B48"/>
  <c r="B47"/>
  <c r="I46"/>
  <c r="B46"/>
  <c r="B45"/>
  <c r="I44"/>
  <c r="B44"/>
  <c r="B43"/>
  <c r="I42"/>
  <c r="B42"/>
  <c r="B41"/>
  <c r="I40"/>
  <c r="B40"/>
  <c r="B39"/>
  <c r="I38"/>
  <c r="B38"/>
  <c r="B37"/>
  <c r="I36"/>
  <c r="B36"/>
  <c r="B35"/>
  <c r="I34"/>
  <c r="B34"/>
  <c r="B33"/>
  <c r="B32"/>
  <c r="B31"/>
  <c r="I31" s="1"/>
  <c r="O30"/>
  <c r="B30"/>
  <c r="R30" s="1"/>
  <c r="B29"/>
  <c r="L29" s="1"/>
  <c r="O28"/>
  <c r="B28"/>
  <c r="L28" s="1"/>
  <c r="B27"/>
  <c r="R27" s="1"/>
  <c r="O26"/>
  <c r="B26"/>
  <c r="R26" s="1"/>
  <c r="B25"/>
  <c r="L25" s="1"/>
  <c r="O24"/>
  <c r="B24"/>
  <c r="L24" s="1"/>
  <c r="B23"/>
  <c r="R23" s="1"/>
  <c r="O22"/>
  <c r="B22"/>
  <c r="R22" s="1"/>
  <c r="B21"/>
  <c r="L21" s="1"/>
  <c r="O20"/>
  <c r="I20"/>
  <c r="B20"/>
  <c r="L20" s="1"/>
  <c r="B19"/>
  <c r="R19" s="1"/>
  <c r="B18"/>
  <c r="R18" s="1"/>
  <c r="B17"/>
  <c r="L17" s="1"/>
  <c r="O16"/>
  <c r="B16"/>
  <c r="L16" s="1"/>
  <c r="B15"/>
  <c r="R15" s="1"/>
  <c r="I14"/>
  <c r="B14"/>
  <c r="R14" s="1"/>
  <c r="R13"/>
  <c r="O13"/>
  <c r="L13"/>
  <c r="I13"/>
  <c r="F13"/>
  <c r="C13"/>
  <c r="B13"/>
  <c r="S12"/>
  <c r="Q12"/>
  <c r="N12"/>
  <c r="K12"/>
  <c r="H12"/>
  <c r="E12"/>
  <c r="A1"/>
  <c r="O102" i="118"/>
  <c r="I102"/>
  <c r="B102"/>
  <c r="L102" s="1"/>
  <c r="B101"/>
  <c r="R101" s="1"/>
  <c r="O100"/>
  <c r="I100"/>
  <c r="B100"/>
  <c r="R100" s="1"/>
  <c r="B99"/>
  <c r="L99" s="1"/>
  <c r="O98"/>
  <c r="I98"/>
  <c r="B98"/>
  <c r="L98" s="1"/>
  <c r="R97"/>
  <c r="Q97"/>
  <c r="O97"/>
  <c r="N97"/>
  <c r="L97"/>
  <c r="K97"/>
  <c r="I97"/>
  <c r="H97"/>
  <c r="F97"/>
  <c r="E97"/>
  <c r="B97"/>
  <c r="R96"/>
  <c r="O96"/>
  <c r="L96"/>
  <c r="I96"/>
  <c r="F96"/>
  <c r="C96"/>
  <c r="B96"/>
  <c r="O95"/>
  <c r="I95"/>
  <c r="B95"/>
  <c r="R95" s="1"/>
  <c r="B94"/>
  <c r="L94" s="1"/>
  <c r="R93"/>
  <c r="O93"/>
  <c r="L93"/>
  <c r="I93"/>
  <c r="F93"/>
  <c r="C93"/>
  <c r="B93"/>
  <c r="B92"/>
  <c r="R92" s="1"/>
  <c r="O91"/>
  <c r="I91"/>
  <c r="B91"/>
  <c r="R91" s="1"/>
  <c r="B90"/>
  <c r="L90" s="1"/>
  <c r="O89"/>
  <c r="I89"/>
  <c r="B89"/>
  <c r="L89" s="1"/>
  <c r="B88"/>
  <c r="R88" s="1"/>
  <c r="O87"/>
  <c r="I87"/>
  <c r="B87"/>
  <c r="R87" s="1"/>
  <c r="B86"/>
  <c r="L86" s="1"/>
  <c r="O85"/>
  <c r="I85"/>
  <c r="B85"/>
  <c r="L85" s="1"/>
  <c r="B84"/>
  <c r="R84" s="1"/>
  <c r="Q83"/>
  <c r="R83" s="1"/>
  <c r="N83"/>
  <c r="O83" s="1"/>
  <c r="K83"/>
  <c r="L83" s="1"/>
  <c r="H83"/>
  <c r="I83" s="1"/>
  <c r="E83"/>
  <c r="F83" s="1"/>
  <c r="B83"/>
  <c r="Q82"/>
  <c r="R82" s="1"/>
  <c r="N82"/>
  <c r="O82" s="1"/>
  <c r="K82"/>
  <c r="L82" s="1"/>
  <c r="H82"/>
  <c r="I82" s="1"/>
  <c r="E82"/>
  <c r="F82" s="1"/>
  <c r="B82"/>
  <c r="R81"/>
  <c r="O81"/>
  <c r="L81"/>
  <c r="I81"/>
  <c r="F81"/>
  <c r="C81"/>
  <c r="B81"/>
  <c r="B80"/>
  <c r="L80" s="1"/>
  <c r="O79"/>
  <c r="I79"/>
  <c r="B79"/>
  <c r="L79" s="1"/>
  <c r="B78"/>
  <c r="R78" s="1"/>
  <c r="O77"/>
  <c r="I77"/>
  <c r="B77"/>
  <c r="R77" s="1"/>
  <c r="R76"/>
  <c r="Q76"/>
  <c r="O76"/>
  <c r="N76"/>
  <c r="L76"/>
  <c r="K76"/>
  <c r="I76"/>
  <c r="H76"/>
  <c r="F76"/>
  <c r="E76"/>
  <c r="B76"/>
  <c r="R75"/>
  <c r="Q75"/>
  <c r="O75"/>
  <c r="N75"/>
  <c r="L75"/>
  <c r="K75"/>
  <c r="I75"/>
  <c r="H75"/>
  <c r="F75"/>
  <c r="E75"/>
  <c r="B75"/>
  <c r="O74"/>
  <c r="L74"/>
  <c r="I74"/>
  <c r="F74"/>
  <c r="B73"/>
  <c r="L73" s="1"/>
  <c r="R72"/>
  <c r="O72"/>
  <c r="L72"/>
  <c r="I72"/>
  <c r="F72"/>
  <c r="C72"/>
  <c r="B72"/>
  <c r="B71"/>
  <c r="R71" s="1"/>
  <c r="R70"/>
  <c r="O70"/>
  <c r="L70"/>
  <c r="I70"/>
  <c r="F70"/>
  <c r="C70"/>
  <c r="B70"/>
  <c r="B69"/>
  <c r="L69" s="1"/>
  <c r="O68"/>
  <c r="I68"/>
  <c r="B68"/>
  <c r="L68" s="1"/>
  <c r="B67"/>
  <c r="R67" s="1"/>
  <c r="O66"/>
  <c r="I66"/>
  <c r="B66"/>
  <c r="R66" s="1"/>
  <c r="B65"/>
  <c r="L65" s="1"/>
  <c r="Q64"/>
  <c r="R64" s="1"/>
  <c r="N64"/>
  <c r="O64" s="1"/>
  <c r="K64"/>
  <c r="L64" s="1"/>
  <c r="H64"/>
  <c r="I64" s="1"/>
  <c r="E64"/>
  <c r="F64" s="1"/>
  <c r="B64"/>
  <c r="R63"/>
  <c r="O63"/>
  <c r="L63"/>
  <c r="I63"/>
  <c r="F63"/>
  <c r="C63"/>
  <c r="B63"/>
  <c r="B62"/>
  <c r="R62" s="1"/>
  <c r="Q61"/>
  <c r="N61"/>
  <c r="K61"/>
  <c r="H61"/>
  <c r="E61"/>
  <c r="R60"/>
  <c r="O60"/>
  <c r="L60"/>
  <c r="I60"/>
  <c r="F60"/>
  <c r="C60"/>
  <c r="B60"/>
  <c r="B59"/>
  <c r="L59" s="1"/>
  <c r="O58"/>
  <c r="I58"/>
  <c r="B58"/>
  <c r="L58" s="1"/>
  <c r="B57"/>
  <c r="R57" s="1"/>
  <c r="O56"/>
  <c r="I56"/>
  <c r="B56"/>
  <c r="R56" s="1"/>
  <c r="B55"/>
  <c r="L55" s="1"/>
  <c r="Q54"/>
  <c r="R54" s="1"/>
  <c r="N54"/>
  <c r="O54" s="1"/>
  <c r="K54"/>
  <c r="L54" s="1"/>
  <c r="H54"/>
  <c r="I54" s="1"/>
  <c r="E54"/>
  <c r="F54" s="1"/>
  <c r="B54"/>
  <c r="R53"/>
  <c r="O53"/>
  <c r="L53"/>
  <c r="I53"/>
  <c r="F53"/>
  <c r="C53"/>
  <c r="B53"/>
  <c r="O52"/>
  <c r="I52"/>
  <c r="F52"/>
  <c r="B52"/>
  <c r="L52" s="1"/>
  <c r="O51"/>
  <c r="L51"/>
  <c r="I51"/>
  <c r="F51"/>
  <c r="C51"/>
  <c r="B51"/>
  <c r="O50"/>
  <c r="I50"/>
  <c r="F50"/>
  <c r="B50"/>
  <c r="L50" s="1"/>
  <c r="O49"/>
  <c r="I49"/>
  <c r="B49"/>
  <c r="L49" s="1"/>
  <c r="O48"/>
  <c r="I48"/>
  <c r="B48"/>
  <c r="F48" s="1"/>
  <c r="O47"/>
  <c r="I47"/>
  <c r="B47"/>
  <c r="L47" s="1"/>
  <c r="O46"/>
  <c r="I46"/>
  <c r="B46"/>
  <c r="F46" s="1"/>
  <c r="O45"/>
  <c r="I45"/>
  <c r="B45"/>
  <c r="L45" s="1"/>
  <c r="O44"/>
  <c r="I44"/>
  <c r="B44"/>
  <c r="F44" s="1"/>
  <c r="O43"/>
  <c r="I43"/>
  <c r="B43"/>
  <c r="L43" s="1"/>
  <c r="R42"/>
  <c r="Q42"/>
  <c r="O42"/>
  <c r="N42"/>
  <c r="L42"/>
  <c r="K42"/>
  <c r="I42"/>
  <c r="H42"/>
  <c r="F42"/>
  <c r="E42"/>
  <c r="B42"/>
  <c r="R41"/>
  <c r="O41"/>
  <c r="L41"/>
  <c r="I41"/>
  <c r="F41"/>
  <c r="C41"/>
  <c r="B41"/>
  <c r="O40"/>
  <c r="I40"/>
  <c r="B40"/>
  <c r="R40" s="1"/>
  <c r="B39"/>
  <c r="L39" s="1"/>
  <c r="O38"/>
  <c r="I38"/>
  <c r="B38"/>
  <c r="L38" s="1"/>
  <c r="B37"/>
  <c r="R37" s="1"/>
  <c r="Q36"/>
  <c r="R36" s="1"/>
  <c r="N36"/>
  <c r="O36" s="1"/>
  <c r="K36"/>
  <c r="L36" s="1"/>
  <c r="H36"/>
  <c r="I36" s="1"/>
  <c r="E36"/>
  <c r="F36" s="1"/>
  <c r="B36"/>
  <c r="Q35"/>
  <c r="R35" s="1"/>
  <c r="N35"/>
  <c r="O35" s="1"/>
  <c r="K35"/>
  <c r="L35" s="1"/>
  <c r="H35"/>
  <c r="I35" s="1"/>
  <c r="E35"/>
  <c r="F35" s="1"/>
  <c r="B35"/>
  <c r="R34"/>
  <c r="O34"/>
  <c r="L34"/>
  <c r="I34"/>
  <c r="F34"/>
  <c r="C34"/>
  <c r="B34"/>
  <c r="B33"/>
  <c r="L33" s="1"/>
  <c r="O32"/>
  <c r="I32"/>
  <c r="B32"/>
  <c r="L32" s="1"/>
  <c r="B31"/>
  <c r="R31" s="1"/>
  <c r="O30"/>
  <c r="I30"/>
  <c r="B30"/>
  <c r="R30" s="1"/>
  <c r="B29"/>
  <c r="L29" s="1"/>
  <c r="Q28"/>
  <c r="R28" s="1"/>
  <c r="N28"/>
  <c r="O28" s="1"/>
  <c r="K28"/>
  <c r="L28" s="1"/>
  <c r="H28"/>
  <c r="I28" s="1"/>
  <c r="E28"/>
  <c r="F28" s="1"/>
  <c r="B28"/>
  <c r="Q27"/>
  <c r="R27" s="1"/>
  <c r="N27"/>
  <c r="O27" s="1"/>
  <c r="K27"/>
  <c r="L27" s="1"/>
  <c r="H27"/>
  <c r="I27" s="1"/>
  <c r="E27"/>
  <c r="F27" s="1"/>
  <c r="B27"/>
  <c r="R26"/>
  <c r="O26"/>
  <c r="L26"/>
  <c r="I26"/>
  <c r="F26"/>
  <c r="C26"/>
  <c r="B26"/>
  <c r="B25"/>
  <c r="R25" s="1"/>
  <c r="O24"/>
  <c r="I24"/>
  <c r="B24"/>
  <c r="R24" s="1"/>
  <c r="B23"/>
  <c r="L23" s="1"/>
  <c r="Q22"/>
  <c r="R22" s="1"/>
  <c r="N22"/>
  <c r="O22" s="1"/>
  <c r="K22"/>
  <c r="L22" s="1"/>
  <c r="H22"/>
  <c r="I22" s="1"/>
  <c r="E22"/>
  <c r="F22" s="1"/>
  <c r="B22"/>
  <c r="R21"/>
  <c r="O21"/>
  <c r="L21"/>
  <c r="I21"/>
  <c r="F21"/>
  <c r="C21"/>
  <c r="B21"/>
  <c r="B20"/>
  <c r="R20" s="1"/>
  <c r="O19"/>
  <c r="I19"/>
  <c r="B19"/>
  <c r="R19" s="1"/>
  <c r="B18"/>
  <c r="L18" s="1"/>
  <c r="Q17"/>
  <c r="R17" s="1"/>
  <c r="N17"/>
  <c r="O17" s="1"/>
  <c r="K17"/>
  <c r="L17" s="1"/>
  <c r="H17"/>
  <c r="I17" s="1"/>
  <c r="E17"/>
  <c r="F17" s="1"/>
  <c r="B17"/>
  <c r="Q16"/>
  <c r="R16" s="1"/>
  <c r="N16"/>
  <c r="O16" s="1"/>
  <c r="K16"/>
  <c r="L16" s="1"/>
  <c r="H16"/>
  <c r="I16" s="1"/>
  <c r="E16"/>
  <c r="F16" s="1"/>
  <c r="B16"/>
  <c r="R15"/>
  <c r="O15"/>
  <c r="L15"/>
  <c r="I15"/>
  <c r="F15"/>
  <c r="B15"/>
  <c r="Q14"/>
  <c r="N14"/>
  <c r="K14"/>
  <c r="H14"/>
  <c r="E14"/>
  <c r="R13"/>
  <c r="O13"/>
  <c r="L13"/>
  <c r="I13"/>
  <c r="F13"/>
  <c r="C13"/>
  <c r="B13"/>
  <c r="A1"/>
  <c r="B51" i="116"/>
  <c r="B50"/>
  <c r="C50" s="1"/>
  <c r="B49"/>
  <c r="B48"/>
  <c r="C48" s="1"/>
  <c r="B47"/>
  <c r="B46"/>
  <c r="C46" s="1"/>
  <c r="B45"/>
  <c r="B44"/>
  <c r="C44" s="1"/>
  <c r="B43"/>
  <c r="B42"/>
  <c r="C42" s="1"/>
  <c r="B41"/>
  <c r="B40"/>
  <c r="C40" s="1"/>
  <c r="B39"/>
  <c r="B38"/>
  <c r="C38" s="1"/>
  <c r="B37"/>
  <c r="B36"/>
  <c r="C36" s="1"/>
  <c r="B35"/>
  <c r="B34"/>
  <c r="C34" s="1"/>
  <c r="B33"/>
  <c r="B32"/>
  <c r="C32" s="1"/>
  <c r="B31"/>
  <c r="B30"/>
  <c r="C30" s="1"/>
  <c r="B29"/>
  <c r="B28"/>
  <c r="C28" s="1"/>
  <c r="B27"/>
  <c r="B26"/>
  <c r="C26" s="1"/>
  <c r="B25"/>
  <c r="B24"/>
  <c r="C24" s="1"/>
  <c r="B23"/>
  <c r="B22"/>
  <c r="C22" s="1"/>
  <c r="B21"/>
  <c r="B20"/>
  <c r="C20" s="1"/>
  <c r="B19"/>
  <c r="B18"/>
  <c r="C18" s="1"/>
  <c r="B17"/>
  <c r="B16"/>
  <c r="C16" s="1"/>
  <c r="B15"/>
  <c r="B14"/>
  <c r="C14" s="1"/>
  <c r="F13"/>
  <c r="H12"/>
  <c r="E12"/>
  <c r="B12" s="1"/>
  <c r="B101" i="115"/>
  <c r="F100"/>
  <c r="B100"/>
  <c r="F99"/>
  <c r="B99"/>
  <c r="F98"/>
  <c r="B98"/>
  <c r="F97"/>
  <c r="B97"/>
  <c r="H96"/>
  <c r="I96" s="1"/>
  <c r="E96"/>
  <c r="F96" s="1"/>
  <c r="B96"/>
  <c r="I95"/>
  <c r="F95"/>
  <c r="B95"/>
  <c r="I94"/>
  <c r="B94"/>
  <c r="F94" s="1"/>
  <c r="I93"/>
  <c r="B93"/>
  <c r="F93" s="1"/>
  <c r="F92"/>
  <c r="B92"/>
  <c r="I91"/>
  <c r="B91"/>
  <c r="F91" s="1"/>
  <c r="I90"/>
  <c r="F90"/>
  <c r="B90"/>
  <c r="F89"/>
  <c r="B89"/>
  <c r="I89" s="1"/>
  <c r="I88"/>
  <c r="F88"/>
  <c r="B88"/>
  <c r="I87"/>
  <c r="B87"/>
  <c r="F87" s="1"/>
  <c r="I86"/>
  <c r="B86"/>
  <c r="F86" s="1"/>
  <c r="I85"/>
  <c r="B85"/>
  <c r="F85" s="1"/>
  <c r="I84"/>
  <c r="B84"/>
  <c r="F84" s="1"/>
  <c r="I83"/>
  <c r="B83"/>
  <c r="F83" s="1"/>
  <c r="I82"/>
  <c r="H82"/>
  <c r="F82"/>
  <c r="E82"/>
  <c r="B82"/>
  <c r="I81"/>
  <c r="F81"/>
  <c r="B81"/>
  <c r="B80"/>
  <c r="F80" s="1"/>
  <c r="H79"/>
  <c r="I79" s="1"/>
  <c r="E79"/>
  <c r="F79" s="1"/>
  <c r="B79"/>
  <c r="I78"/>
  <c r="F78"/>
  <c r="B78"/>
  <c r="I77"/>
  <c r="F77"/>
  <c r="B77"/>
  <c r="I76"/>
  <c r="F76"/>
  <c r="B76"/>
  <c r="I75"/>
  <c r="F75"/>
  <c r="B75"/>
  <c r="I74"/>
  <c r="B74"/>
  <c r="F74" s="1"/>
  <c r="I73"/>
  <c r="B73"/>
  <c r="F73" s="1"/>
  <c r="I72"/>
  <c r="B72"/>
  <c r="F72" s="1"/>
  <c r="I71"/>
  <c r="B71"/>
  <c r="F71" s="1"/>
  <c r="I70"/>
  <c r="B70"/>
  <c r="F70" s="1"/>
  <c r="I69"/>
  <c r="B69"/>
  <c r="F69" s="1"/>
  <c r="I68"/>
  <c r="H68"/>
  <c r="F68"/>
  <c r="E68"/>
  <c r="B68"/>
  <c r="I67"/>
  <c r="H67"/>
  <c r="F67"/>
  <c r="E67"/>
  <c r="B67"/>
  <c r="I66"/>
  <c r="F66"/>
  <c r="B66"/>
  <c r="F65"/>
  <c r="B65"/>
  <c r="I65" s="1"/>
  <c r="F64"/>
  <c r="B64"/>
  <c r="I64" s="1"/>
  <c r="F63"/>
  <c r="B63"/>
  <c r="I63" s="1"/>
  <c r="F62"/>
  <c r="B62"/>
  <c r="I62" s="1"/>
  <c r="H61"/>
  <c r="I61" s="1"/>
  <c r="E61"/>
  <c r="F61" s="1"/>
  <c r="B61"/>
  <c r="E60"/>
  <c r="I59"/>
  <c r="F59"/>
  <c r="B59"/>
  <c r="I58"/>
  <c r="B58"/>
  <c r="F58" s="1"/>
  <c r="I57"/>
  <c r="B57"/>
  <c r="F57" s="1"/>
  <c r="I56"/>
  <c r="B56"/>
  <c r="F56" s="1"/>
  <c r="I55"/>
  <c r="B55"/>
  <c r="F55" s="1"/>
  <c r="I54"/>
  <c r="B54"/>
  <c r="F54" s="1"/>
  <c r="I53"/>
  <c r="H53"/>
  <c r="F53"/>
  <c r="E53"/>
  <c r="B53"/>
  <c r="I52"/>
  <c r="F52"/>
  <c r="B52"/>
  <c r="B51"/>
  <c r="F51" s="1"/>
  <c r="I50"/>
  <c r="F50"/>
  <c r="B50"/>
  <c r="I49"/>
  <c r="B49"/>
  <c r="F49" s="1"/>
  <c r="I48"/>
  <c r="F48"/>
  <c r="B48"/>
  <c r="I47"/>
  <c r="B47"/>
  <c r="F47" s="1"/>
  <c r="I46"/>
  <c r="B46"/>
  <c r="F46" s="1"/>
  <c r="I45"/>
  <c r="B45"/>
  <c r="F45" s="1"/>
  <c r="I44"/>
  <c r="B44"/>
  <c r="F44" s="1"/>
  <c r="I43"/>
  <c r="F43"/>
  <c r="B43"/>
  <c r="I42"/>
  <c r="B42"/>
  <c r="F42" s="1"/>
  <c r="I41"/>
  <c r="H41"/>
  <c r="E41"/>
  <c r="B41"/>
  <c r="F41" s="1"/>
  <c r="I40"/>
  <c r="F40"/>
  <c r="B40"/>
  <c r="B39"/>
  <c r="F39" s="1"/>
  <c r="B38"/>
  <c r="F38" s="1"/>
  <c r="B37"/>
  <c r="F37" s="1"/>
  <c r="B36"/>
  <c r="F36" s="1"/>
  <c r="H35"/>
  <c r="E35"/>
  <c r="B35" s="1"/>
  <c r="H34"/>
  <c r="I33"/>
  <c r="F33"/>
  <c r="B33"/>
  <c r="I32"/>
  <c r="B32"/>
  <c r="F32" s="1"/>
  <c r="I31"/>
  <c r="B31"/>
  <c r="F31" s="1"/>
  <c r="I30"/>
  <c r="B30"/>
  <c r="F30" s="1"/>
  <c r="I29"/>
  <c r="B29"/>
  <c r="I28"/>
  <c r="B28"/>
  <c r="I27"/>
  <c r="H27"/>
  <c r="E27"/>
  <c r="F27" s="1"/>
  <c r="B27"/>
  <c r="H26"/>
  <c r="F26"/>
  <c r="E26"/>
  <c r="B26"/>
  <c r="I26" s="1"/>
  <c r="I25"/>
  <c r="F25"/>
  <c r="B25"/>
  <c r="B24"/>
  <c r="B23"/>
  <c r="B22"/>
  <c r="H21"/>
  <c r="I21" s="1"/>
  <c r="E21"/>
  <c r="F21" s="1"/>
  <c r="B21"/>
  <c r="I20"/>
  <c r="F20"/>
  <c r="B20"/>
  <c r="I19"/>
  <c r="B19"/>
  <c r="F19" s="1"/>
  <c r="I18"/>
  <c r="B18"/>
  <c r="I17"/>
  <c r="B17"/>
  <c r="H16"/>
  <c r="E16"/>
  <c r="B16"/>
  <c r="F16" s="1"/>
  <c r="H15"/>
  <c r="E15"/>
  <c r="B15"/>
  <c r="I15" s="1"/>
  <c r="I14"/>
  <c r="F14"/>
  <c r="B14"/>
  <c r="I12"/>
  <c r="F12"/>
  <c r="B12"/>
  <c r="I50" i="113"/>
  <c r="B50"/>
  <c r="B49"/>
  <c r="B48"/>
  <c r="I47"/>
  <c r="B47"/>
  <c r="I46"/>
  <c r="B46"/>
  <c r="B45"/>
  <c r="I44"/>
  <c r="B44"/>
  <c r="I43"/>
  <c r="B43"/>
  <c r="B42"/>
  <c r="I42" s="1"/>
  <c r="B41"/>
  <c r="I40"/>
  <c r="B40"/>
  <c r="I39"/>
  <c r="B39"/>
  <c r="B38"/>
  <c r="I38" s="1"/>
  <c r="B37"/>
  <c r="B36"/>
  <c r="B35"/>
  <c r="I35" s="1"/>
  <c r="B34"/>
  <c r="I33"/>
  <c r="B33"/>
  <c r="I32"/>
  <c r="B32"/>
  <c r="B31"/>
  <c r="I31" s="1"/>
  <c r="B30"/>
  <c r="I29"/>
  <c r="B29"/>
  <c r="B28"/>
  <c r="I28" s="1"/>
  <c r="B27"/>
  <c r="I26"/>
  <c r="B26"/>
  <c r="I25"/>
  <c r="B25"/>
  <c r="B24"/>
  <c r="I24" s="1"/>
  <c r="B23"/>
  <c r="I22"/>
  <c r="B22"/>
  <c r="I21"/>
  <c r="B21"/>
  <c r="B20"/>
  <c r="I20" s="1"/>
  <c r="B19"/>
  <c r="I18"/>
  <c r="B18"/>
  <c r="I17"/>
  <c r="B17"/>
  <c r="B16"/>
  <c r="I16" s="1"/>
  <c r="B15"/>
  <c r="I14"/>
  <c r="B14"/>
  <c r="I13"/>
  <c r="B13"/>
  <c r="I12"/>
  <c r="B12"/>
  <c r="H11"/>
  <c r="E11"/>
  <c r="I101" i="112"/>
  <c r="B101"/>
  <c r="F101" s="1"/>
  <c r="B100"/>
  <c r="F100" s="1"/>
  <c r="I99"/>
  <c r="F99"/>
  <c r="B99"/>
  <c r="L99" s="1"/>
  <c r="F98"/>
  <c r="B98"/>
  <c r="L98" s="1"/>
  <c r="I97"/>
  <c r="B97"/>
  <c r="F97" s="1"/>
  <c r="L96"/>
  <c r="K96"/>
  <c r="I96"/>
  <c r="H96"/>
  <c r="F96"/>
  <c r="E96"/>
  <c r="B96"/>
  <c r="L95"/>
  <c r="I95"/>
  <c r="F95"/>
  <c r="C95"/>
  <c r="B95"/>
  <c r="I94"/>
  <c r="B94"/>
  <c r="L94" s="1"/>
  <c r="F93"/>
  <c r="B93"/>
  <c r="L93" s="1"/>
  <c r="L92"/>
  <c r="I92"/>
  <c r="F92"/>
  <c r="C92"/>
  <c r="B92"/>
  <c r="B91"/>
  <c r="F91" s="1"/>
  <c r="I90"/>
  <c r="B90"/>
  <c r="L90" s="1"/>
  <c r="B89"/>
  <c r="L89" s="1"/>
  <c r="I88"/>
  <c r="B88"/>
  <c r="F88" s="1"/>
  <c r="B87"/>
  <c r="F87" s="1"/>
  <c r="I86"/>
  <c r="B86"/>
  <c r="L86" s="1"/>
  <c r="B85"/>
  <c r="L85" s="1"/>
  <c r="I84"/>
  <c r="B84"/>
  <c r="F84" s="1"/>
  <c r="B83"/>
  <c r="F83" s="1"/>
  <c r="K82"/>
  <c r="L82" s="1"/>
  <c r="H82"/>
  <c r="I82" s="1"/>
  <c r="E82"/>
  <c r="F82" s="1"/>
  <c r="B82"/>
  <c r="K81"/>
  <c r="L81" s="1"/>
  <c r="H81"/>
  <c r="I81" s="1"/>
  <c r="E81"/>
  <c r="F81" s="1"/>
  <c r="B81"/>
  <c r="L80"/>
  <c r="I80"/>
  <c r="F80"/>
  <c r="C80"/>
  <c r="B80"/>
  <c r="B79"/>
  <c r="L79" s="1"/>
  <c r="I78"/>
  <c r="B78"/>
  <c r="F78" s="1"/>
  <c r="B77"/>
  <c r="F77" s="1"/>
  <c r="I76"/>
  <c r="B76"/>
  <c r="L76" s="1"/>
  <c r="L75"/>
  <c r="K75"/>
  <c r="I75"/>
  <c r="H75"/>
  <c r="F75"/>
  <c r="E75"/>
  <c r="B75"/>
  <c r="L74"/>
  <c r="K74"/>
  <c r="I74"/>
  <c r="H74"/>
  <c r="F74"/>
  <c r="E74"/>
  <c r="B74"/>
  <c r="L73"/>
  <c r="I73"/>
  <c r="F73"/>
  <c r="C73"/>
  <c r="B73"/>
  <c r="I72"/>
  <c r="B72"/>
  <c r="F72" s="1"/>
  <c r="L71"/>
  <c r="I71"/>
  <c r="F71"/>
  <c r="C71"/>
  <c r="B71"/>
  <c r="I70"/>
  <c r="B70"/>
  <c r="L70" s="1"/>
  <c r="L69"/>
  <c r="I69"/>
  <c r="F69"/>
  <c r="C69"/>
  <c r="B69"/>
  <c r="I68"/>
  <c r="B68"/>
  <c r="F68" s="1"/>
  <c r="L67"/>
  <c r="F67"/>
  <c r="B67"/>
  <c r="I67" s="1"/>
  <c r="B66"/>
  <c r="F66" s="1"/>
  <c r="I65"/>
  <c r="B65"/>
  <c r="L65" s="1"/>
  <c r="B64"/>
  <c r="L64" s="1"/>
  <c r="K63"/>
  <c r="L63" s="1"/>
  <c r="H63"/>
  <c r="I63" s="1"/>
  <c r="E63"/>
  <c r="F63" s="1"/>
  <c r="B63"/>
  <c r="L62"/>
  <c r="I62"/>
  <c r="F62"/>
  <c r="C62"/>
  <c r="B62"/>
  <c r="B61"/>
  <c r="F61" s="1"/>
  <c r="K60"/>
  <c r="L60" s="1"/>
  <c r="H60"/>
  <c r="I60" s="1"/>
  <c r="E60"/>
  <c r="F60" s="1"/>
  <c r="B60"/>
  <c r="L59"/>
  <c r="I59"/>
  <c r="F59"/>
  <c r="C59"/>
  <c r="B59"/>
  <c r="B58"/>
  <c r="L58" s="1"/>
  <c r="I57"/>
  <c r="F57"/>
  <c r="B57"/>
  <c r="L57" s="1"/>
  <c r="B56"/>
  <c r="F56" s="1"/>
  <c r="I55"/>
  <c r="B55"/>
  <c r="L55" s="1"/>
  <c r="B54"/>
  <c r="L54" s="1"/>
  <c r="K53"/>
  <c r="L53" s="1"/>
  <c r="H53"/>
  <c r="I53" s="1"/>
  <c r="E53"/>
  <c r="F53" s="1"/>
  <c r="B53"/>
  <c r="L52"/>
  <c r="I52"/>
  <c r="F52"/>
  <c r="C52"/>
  <c r="B52"/>
  <c r="B51"/>
  <c r="F51" s="1"/>
  <c r="L50"/>
  <c r="I50"/>
  <c r="F50"/>
  <c r="C50"/>
  <c r="B50"/>
  <c r="F49"/>
  <c r="B49"/>
  <c r="L49" s="1"/>
  <c r="I48"/>
  <c r="B48"/>
  <c r="F48" s="1"/>
  <c r="B47"/>
  <c r="F47" s="1"/>
  <c r="I46"/>
  <c r="B46"/>
  <c r="L46" s="1"/>
  <c r="F45"/>
  <c r="B45"/>
  <c r="L45" s="1"/>
  <c r="I44"/>
  <c r="B44"/>
  <c r="F44" s="1"/>
  <c r="B43"/>
  <c r="F43" s="1"/>
  <c r="I42"/>
  <c r="B42"/>
  <c r="L42" s="1"/>
  <c r="L41"/>
  <c r="K41"/>
  <c r="I41"/>
  <c r="H41"/>
  <c r="F41"/>
  <c r="E41"/>
  <c r="B41"/>
  <c r="L40"/>
  <c r="I40"/>
  <c r="F40"/>
  <c r="C40"/>
  <c r="B40"/>
  <c r="I39"/>
  <c r="B39"/>
  <c r="F39" s="1"/>
  <c r="B38"/>
  <c r="F38" s="1"/>
  <c r="I37"/>
  <c r="B37"/>
  <c r="L37" s="1"/>
  <c r="B36"/>
  <c r="L36" s="1"/>
  <c r="K35"/>
  <c r="L35" s="1"/>
  <c r="H35"/>
  <c r="I35" s="1"/>
  <c r="E35"/>
  <c r="F35" s="1"/>
  <c r="B35"/>
  <c r="K34"/>
  <c r="L34" s="1"/>
  <c r="H34"/>
  <c r="I34" s="1"/>
  <c r="E34"/>
  <c r="F34" s="1"/>
  <c r="B34"/>
  <c r="L33"/>
  <c r="I33"/>
  <c r="F33"/>
  <c r="C33"/>
  <c r="B33"/>
  <c r="B32"/>
  <c r="F32" s="1"/>
  <c r="I31"/>
  <c r="B31"/>
  <c r="L31" s="1"/>
  <c r="B30"/>
  <c r="L30" s="1"/>
  <c r="I29"/>
  <c r="B29"/>
  <c r="F29" s="1"/>
  <c r="B28"/>
  <c r="F28" s="1"/>
  <c r="K27"/>
  <c r="L27" s="1"/>
  <c r="H27"/>
  <c r="I27" s="1"/>
  <c r="E27"/>
  <c r="F27" s="1"/>
  <c r="B27"/>
  <c r="K26"/>
  <c r="L26" s="1"/>
  <c r="H26"/>
  <c r="I26" s="1"/>
  <c r="E26"/>
  <c r="F26" s="1"/>
  <c r="B26"/>
  <c r="L25"/>
  <c r="I25"/>
  <c r="F25"/>
  <c r="C25"/>
  <c r="B25"/>
  <c r="B24"/>
  <c r="L24" s="1"/>
  <c r="I23"/>
  <c r="B23"/>
  <c r="F23" s="1"/>
  <c r="B22"/>
  <c r="F22" s="1"/>
  <c r="K21"/>
  <c r="L21" s="1"/>
  <c r="H21"/>
  <c r="I21" s="1"/>
  <c r="E21"/>
  <c r="F21" s="1"/>
  <c r="B21"/>
  <c r="L20"/>
  <c r="I20"/>
  <c r="F20"/>
  <c r="C20"/>
  <c r="B20"/>
  <c r="B19"/>
  <c r="L19" s="1"/>
  <c r="I18"/>
  <c r="B18"/>
  <c r="F18" s="1"/>
  <c r="B17"/>
  <c r="F17" s="1"/>
  <c r="K16"/>
  <c r="L16" s="1"/>
  <c r="H16"/>
  <c r="I16" s="1"/>
  <c r="E16"/>
  <c r="F16" s="1"/>
  <c r="B16"/>
  <c r="K15"/>
  <c r="L15" s="1"/>
  <c r="H15"/>
  <c r="H13" s="1"/>
  <c r="E15"/>
  <c r="F15" s="1"/>
  <c r="B15"/>
  <c r="L14"/>
  <c r="I14"/>
  <c r="F14"/>
  <c r="C14"/>
  <c r="B14"/>
  <c r="L12"/>
  <c r="I12"/>
  <c r="F12"/>
  <c r="B12"/>
  <c r="B51" i="110"/>
  <c r="B50"/>
  <c r="C50" s="1"/>
  <c r="B49"/>
  <c r="B48"/>
  <c r="C48" s="1"/>
  <c r="B47"/>
  <c r="B46"/>
  <c r="C46" s="1"/>
  <c r="B45"/>
  <c r="I44"/>
  <c r="B44"/>
  <c r="F44" s="1"/>
  <c r="B43"/>
  <c r="F43" s="1"/>
  <c r="I42"/>
  <c r="F42"/>
  <c r="B42"/>
  <c r="L42" s="1"/>
  <c r="B41"/>
  <c r="L41" s="1"/>
  <c r="I40"/>
  <c r="B40"/>
  <c r="F40" s="1"/>
  <c r="B39"/>
  <c r="F39" s="1"/>
  <c r="I38"/>
  <c r="B38"/>
  <c r="L38" s="1"/>
  <c r="B37"/>
  <c r="B36"/>
  <c r="F36" s="1"/>
  <c r="I35"/>
  <c r="B35"/>
  <c r="L35" s="1"/>
  <c r="B34"/>
  <c r="L34" s="1"/>
  <c r="B33"/>
  <c r="F33" s="1"/>
  <c r="B32"/>
  <c r="L32" s="1"/>
  <c r="I31"/>
  <c r="B31"/>
  <c r="F31" s="1"/>
  <c r="B30"/>
  <c r="I29"/>
  <c r="F29"/>
  <c r="B29"/>
  <c r="L29" s="1"/>
  <c r="B28"/>
  <c r="F28" s="1"/>
  <c r="I27"/>
  <c r="B27"/>
  <c r="L27" s="1"/>
  <c r="B26"/>
  <c r="L26" s="1"/>
  <c r="I25"/>
  <c r="F25"/>
  <c r="B25"/>
  <c r="L25" s="1"/>
  <c r="B24"/>
  <c r="F24" s="1"/>
  <c r="I23"/>
  <c r="B23"/>
  <c r="L23" s="1"/>
  <c r="B22"/>
  <c r="L22" s="1"/>
  <c r="I21"/>
  <c r="B21"/>
  <c r="F21" s="1"/>
  <c r="B20"/>
  <c r="F20" s="1"/>
  <c r="I19"/>
  <c r="B19"/>
  <c r="L19" s="1"/>
  <c r="B18"/>
  <c r="L18" s="1"/>
  <c r="I17"/>
  <c r="B17"/>
  <c r="F17" s="1"/>
  <c r="B16"/>
  <c r="F16" s="1"/>
  <c r="I15"/>
  <c r="B15"/>
  <c r="L15" s="1"/>
  <c r="B14"/>
  <c r="L14" s="1"/>
  <c r="I13"/>
  <c r="B13"/>
  <c r="F13" s="1"/>
  <c r="I12"/>
  <c r="F12"/>
  <c r="B12"/>
  <c r="K11"/>
  <c r="L11" s="1"/>
  <c r="H11"/>
  <c r="I11" s="1"/>
  <c r="E11"/>
  <c r="B11" s="1"/>
  <c r="B102" i="109"/>
  <c r="B101"/>
  <c r="F101" s="1"/>
  <c r="I100"/>
  <c r="F100"/>
  <c r="B100"/>
  <c r="L100" s="1"/>
  <c r="F99"/>
  <c r="B99"/>
  <c r="L99" s="1"/>
  <c r="I98"/>
  <c r="B98"/>
  <c r="F98" s="1"/>
  <c r="B97"/>
  <c r="F97" s="1"/>
  <c r="K96"/>
  <c r="L96" s="1"/>
  <c r="H96"/>
  <c r="I96" s="1"/>
  <c r="E96"/>
  <c r="F96" s="1"/>
  <c r="B96"/>
  <c r="L95"/>
  <c r="I95"/>
  <c r="F95"/>
  <c r="C95"/>
  <c r="B95"/>
  <c r="B94"/>
  <c r="L94" s="1"/>
  <c r="B93"/>
  <c r="L93" s="1"/>
  <c r="L92"/>
  <c r="I92"/>
  <c r="F92"/>
  <c r="C92"/>
  <c r="B92"/>
  <c r="I91"/>
  <c r="B91"/>
  <c r="L91" s="1"/>
  <c r="B90"/>
  <c r="L90" s="1"/>
  <c r="I89"/>
  <c r="B89"/>
  <c r="F89" s="1"/>
  <c r="B88"/>
  <c r="F88" s="1"/>
  <c r="I87"/>
  <c r="B87"/>
  <c r="L87" s="1"/>
  <c r="B86"/>
  <c r="L86" s="1"/>
  <c r="I85"/>
  <c r="B85"/>
  <c r="F85" s="1"/>
  <c r="B84"/>
  <c r="F84" s="1"/>
  <c r="I83"/>
  <c r="B83"/>
  <c r="L83" s="1"/>
  <c r="L82"/>
  <c r="K82"/>
  <c r="I82"/>
  <c r="H82"/>
  <c r="F82"/>
  <c r="E82"/>
  <c r="B82"/>
  <c r="L81"/>
  <c r="K81"/>
  <c r="I81"/>
  <c r="H81"/>
  <c r="F81"/>
  <c r="E81"/>
  <c r="B81"/>
  <c r="I80"/>
  <c r="F80"/>
  <c r="B79"/>
  <c r="F79" s="1"/>
  <c r="I78"/>
  <c r="B78"/>
  <c r="L78" s="1"/>
  <c r="B77"/>
  <c r="L77" s="1"/>
  <c r="I76"/>
  <c r="B76"/>
  <c r="F76" s="1"/>
  <c r="L75"/>
  <c r="K75"/>
  <c r="I75"/>
  <c r="H75"/>
  <c r="F75"/>
  <c r="E75"/>
  <c r="B75"/>
  <c r="L74"/>
  <c r="K74"/>
  <c r="I74"/>
  <c r="H74"/>
  <c r="F74"/>
  <c r="E74"/>
  <c r="B74"/>
  <c r="L73"/>
  <c r="I73"/>
  <c r="F73"/>
  <c r="C73"/>
  <c r="B73"/>
  <c r="I72"/>
  <c r="B72"/>
  <c r="L72" s="1"/>
  <c r="L71"/>
  <c r="I71"/>
  <c r="F71"/>
  <c r="C71"/>
  <c r="B71"/>
  <c r="I70"/>
  <c r="B70"/>
  <c r="F70" s="1"/>
  <c r="I69"/>
  <c r="F69"/>
  <c r="B69"/>
  <c r="I68"/>
  <c r="B68"/>
  <c r="F68" s="1"/>
  <c r="B67"/>
  <c r="F67" s="1"/>
  <c r="I66"/>
  <c r="B66"/>
  <c r="L66" s="1"/>
  <c r="F65"/>
  <c r="B65"/>
  <c r="L65" s="1"/>
  <c r="I64"/>
  <c r="B64"/>
  <c r="F64" s="1"/>
  <c r="L63"/>
  <c r="K63"/>
  <c r="I63"/>
  <c r="H63"/>
  <c r="F63"/>
  <c r="E63"/>
  <c r="B63"/>
  <c r="I62"/>
  <c r="F62"/>
  <c r="B62"/>
  <c r="I61"/>
  <c r="B61"/>
  <c r="F61" s="1"/>
  <c r="K60"/>
  <c r="H60"/>
  <c r="E60"/>
  <c r="B60" s="1"/>
  <c r="L59"/>
  <c r="I59"/>
  <c r="F59"/>
  <c r="C59"/>
  <c r="B59"/>
  <c r="I58"/>
  <c r="B58"/>
  <c r="L58" s="1"/>
  <c r="F57"/>
  <c r="B57"/>
  <c r="L57" s="1"/>
  <c r="I56"/>
  <c r="B56"/>
  <c r="F56" s="1"/>
  <c r="B55"/>
  <c r="F55" s="1"/>
  <c r="I54"/>
  <c r="B54"/>
  <c r="L54" s="1"/>
  <c r="L53"/>
  <c r="K53"/>
  <c r="I53"/>
  <c r="H53"/>
  <c r="F53"/>
  <c r="E53"/>
  <c r="B53"/>
  <c r="L52"/>
  <c r="I52"/>
  <c r="F52"/>
  <c r="C52"/>
  <c r="B52"/>
  <c r="I51"/>
  <c r="F51"/>
  <c r="B51"/>
  <c r="L51" s="1"/>
  <c r="L50"/>
  <c r="I50"/>
  <c r="F50"/>
  <c r="C50"/>
  <c r="B50"/>
  <c r="I49"/>
  <c r="B49"/>
  <c r="L49" s="1"/>
  <c r="B48"/>
  <c r="L48" s="1"/>
  <c r="I47"/>
  <c r="B47"/>
  <c r="F47" s="1"/>
  <c r="B46"/>
  <c r="F46" s="1"/>
  <c r="I45"/>
  <c r="B45"/>
  <c r="L45" s="1"/>
  <c r="B44"/>
  <c r="L44" s="1"/>
  <c r="I43"/>
  <c r="B43"/>
  <c r="F43" s="1"/>
  <c r="B42"/>
  <c r="F42" s="1"/>
  <c r="K41"/>
  <c r="L41" s="1"/>
  <c r="H41"/>
  <c r="H34" s="1"/>
  <c r="E41"/>
  <c r="F41" s="1"/>
  <c r="B41"/>
  <c r="L40"/>
  <c r="I40"/>
  <c r="F40"/>
  <c r="C40"/>
  <c r="B40"/>
  <c r="B39"/>
  <c r="L39" s="1"/>
  <c r="I38"/>
  <c r="B38"/>
  <c r="F38" s="1"/>
  <c r="B37"/>
  <c r="F37" s="1"/>
  <c r="I36"/>
  <c r="B36"/>
  <c r="L36" s="1"/>
  <c r="L35"/>
  <c r="K35"/>
  <c r="I35"/>
  <c r="H35"/>
  <c r="F35"/>
  <c r="E35"/>
  <c r="B35"/>
  <c r="L33"/>
  <c r="I33"/>
  <c r="F33"/>
  <c r="C33"/>
  <c r="B33"/>
  <c r="I32"/>
  <c r="B32"/>
  <c r="F32" s="1"/>
  <c r="B31"/>
  <c r="F31" s="1"/>
  <c r="I30"/>
  <c r="B30"/>
  <c r="L30" s="1"/>
  <c r="B29"/>
  <c r="L29" s="1"/>
  <c r="I28"/>
  <c r="B28"/>
  <c r="F28" s="1"/>
  <c r="L27"/>
  <c r="K27"/>
  <c r="I27"/>
  <c r="H27"/>
  <c r="F27"/>
  <c r="E27"/>
  <c r="B27"/>
  <c r="L26"/>
  <c r="K26"/>
  <c r="I26"/>
  <c r="H26"/>
  <c r="F26"/>
  <c r="E26"/>
  <c r="B26"/>
  <c r="L25"/>
  <c r="I25"/>
  <c r="F25"/>
  <c r="C25"/>
  <c r="B25"/>
  <c r="I24"/>
  <c r="B24"/>
  <c r="L24" s="1"/>
  <c r="B23"/>
  <c r="L23" s="1"/>
  <c r="I22"/>
  <c r="B22"/>
  <c r="F22" s="1"/>
  <c r="L21"/>
  <c r="K21"/>
  <c r="I21"/>
  <c r="H21"/>
  <c r="F21"/>
  <c r="E21"/>
  <c r="B21"/>
  <c r="L20"/>
  <c r="I20"/>
  <c r="F20"/>
  <c r="C20"/>
  <c r="B20"/>
  <c r="I19"/>
  <c r="B19"/>
  <c r="L19" s="1"/>
  <c r="B18"/>
  <c r="L18" s="1"/>
  <c r="I17"/>
  <c r="B17"/>
  <c r="F17" s="1"/>
  <c r="L16"/>
  <c r="K16"/>
  <c r="I16"/>
  <c r="H16"/>
  <c r="F16"/>
  <c r="E16"/>
  <c r="B16"/>
  <c r="L15"/>
  <c r="K15"/>
  <c r="I15"/>
  <c r="H15"/>
  <c r="F15"/>
  <c r="E15"/>
  <c r="B15"/>
  <c r="B14"/>
  <c r="L12"/>
  <c r="I12"/>
  <c r="F12"/>
  <c r="C12"/>
  <c r="B12"/>
  <c r="B50" i="107"/>
  <c r="F50" s="1"/>
  <c r="F49"/>
  <c r="B49"/>
  <c r="L49" s="1"/>
  <c r="B48"/>
  <c r="F48" s="1"/>
  <c r="F47"/>
  <c r="B47"/>
  <c r="L47" s="1"/>
  <c r="B46"/>
  <c r="F46" s="1"/>
  <c r="F45"/>
  <c r="B45"/>
  <c r="L45" s="1"/>
  <c r="B44"/>
  <c r="F44" s="1"/>
  <c r="F43"/>
  <c r="B43"/>
  <c r="L43" s="1"/>
  <c r="B42"/>
  <c r="F42" s="1"/>
  <c r="F41"/>
  <c r="B41"/>
  <c r="L41" s="1"/>
  <c r="B40"/>
  <c r="F40" s="1"/>
  <c r="F39"/>
  <c r="B39"/>
  <c r="L39" s="1"/>
  <c r="B38"/>
  <c r="F38" s="1"/>
  <c r="F37"/>
  <c r="B37"/>
  <c r="L37" s="1"/>
  <c r="B36"/>
  <c r="F36" s="1"/>
  <c r="F35"/>
  <c r="B35"/>
  <c r="L35" s="1"/>
  <c r="B34"/>
  <c r="F34" s="1"/>
  <c r="F33"/>
  <c r="B33"/>
  <c r="L33" s="1"/>
  <c r="B32"/>
  <c r="F32" s="1"/>
  <c r="F31"/>
  <c r="B31"/>
  <c r="L31" s="1"/>
  <c r="B30"/>
  <c r="F30" s="1"/>
  <c r="F29"/>
  <c r="B29"/>
  <c r="L29" s="1"/>
  <c r="B28"/>
  <c r="F28" s="1"/>
  <c r="B27"/>
  <c r="L27" s="1"/>
  <c r="B26"/>
  <c r="F26" s="1"/>
  <c r="B25"/>
  <c r="L25" s="1"/>
  <c r="B24"/>
  <c r="F24" s="1"/>
  <c r="B23"/>
  <c r="L23" s="1"/>
  <c r="B22"/>
  <c r="F22" s="1"/>
  <c r="B21"/>
  <c r="L21" s="1"/>
  <c r="B20"/>
  <c r="F20" s="1"/>
  <c r="B19"/>
  <c r="L19" s="1"/>
  <c r="B18"/>
  <c r="F18" s="1"/>
  <c r="B17"/>
  <c r="L17" s="1"/>
  <c r="B16"/>
  <c r="F16" s="1"/>
  <c r="B15"/>
  <c r="L15" s="1"/>
  <c r="B14"/>
  <c r="F14" s="1"/>
  <c r="B13"/>
  <c r="L13" s="1"/>
  <c r="O12"/>
  <c r="L12"/>
  <c r="I12"/>
  <c r="F12"/>
  <c r="C12"/>
  <c r="B12"/>
  <c r="N11"/>
  <c r="O11" s="1"/>
  <c r="K11"/>
  <c r="L11" s="1"/>
  <c r="H11"/>
  <c r="I11" s="1"/>
  <c r="E11"/>
  <c r="F11" s="1"/>
  <c r="B11"/>
  <c r="O101" i="106"/>
  <c r="I101"/>
  <c r="B101"/>
  <c r="L101" s="1"/>
  <c r="B100"/>
  <c r="R100" s="1"/>
  <c r="O99"/>
  <c r="I99"/>
  <c r="B99"/>
  <c r="R99" s="1"/>
  <c r="B98"/>
  <c r="L98" s="1"/>
  <c r="O97"/>
  <c r="I97"/>
  <c r="B97"/>
  <c r="L97" s="1"/>
  <c r="R96"/>
  <c r="Q96"/>
  <c r="O96"/>
  <c r="N96"/>
  <c r="L96"/>
  <c r="K96"/>
  <c r="I96"/>
  <c r="H96"/>
  <c r="F96"/>
  <c r="E96"/>
  <c r="B96"/>
  <c r="R95"/>
  <c r="O95"/>
  <c r="L95"/>
  <c r="I95"/>
  <c r="F95"/>
  <c r="C95"/>
  <c r="B95"/>
  <c r="O94"/>
  <c r="I94"/>
  <c r="B94"/>
  <c r="R94" s="1"/>
  <c r="B93"/>
  <c r="L93" s="1"/>
  <c r="R92"/>
  <c r="O92"/>
  <c r="L92"/>
  <c r="I92"/>
  <c r="F92"/>
  <c r="C92"/>
  <c r="B92"/>
  <c r="B91"/>
  <c r="R91" s="1"/>
  <c r="O90"/>
  <c r="I90"/>
  <c r="B90"/>
  <c r="R90" s="1"/>
  <c r="B89"/>
  <c r="L89" s="1"/>
  <c r="O88"/>
  <c r="I88"/>
  <c r="B88"/>
  <c r="L88" s="1"/>
  <c r="B87"/>
  <c r="R87" s="1"/>
  <c r="O86"/>
  <c r="I86"/>
  <c r="B86"/>
  <c r="R86" s="1"/>
  <c r="B85"/>
  <c r="L85" s="1"/>
  <c r="O84"/>
  <c r="I84"/>
  <c r="B84"/>
  <c r="L84" s="1"/>
  <c r="B83"/>
  <c r="R83" s="1"/>
  <c r="Q82"/>
  <c r="R82" s="1"/>
  <c r="N82"/>
  <c r="O82" s="1"/>
  <c r="K82"/>
  <c r="L82" s="1"/>
  <c r="H82"/>
  <c r="I82" s="1"/>
  <c r="E82"/>
  <c r="F82" s="1"/>
  <c r="B82"/>
  <c r="Q81"/>
  <c r="R81" s="1"/>
  <c r="N81"/>
  <c r="O81" s="1"/>
  <c r="K81"/>
  <c r="L81" s="1"/>
  <c r="H81"/>
  <c r="I81" s="1"/>
  <c r="E81"/>
  <c r="F81" s="1"/>
  <c r="B81"/>
  <c r="R80"/>
  <c r="O80"/>
  <c r="L80"/>
  <c r="I80"/>
  <c r="F80"/>
  <c r="C80"/>
  <c r="B80"/>
  <c r="B79"/>
  <c r="L79" s="1"/>
  <c r="O78"/>
  <c r="I78"/>
  <c r="B78"/>
  <c r="L78" s="1"/>
  <c r="F77"/>
  <c r="B77"/>
  <c r="R77" s="1"/>
  <c r="O76"/>
  <c r="I76"/>
  <c r="B76"/>
  <c r="R76" s="1"/>
  <c r="R75"/>
  <c r="Q75"/>
  <c r="O75"/>
  <c r="N75"/>
  <c r="L75"/>
  <c r="K75"/>
  <c r="I75"/>
  <c r="H75"/>
  <c r="F75"/>
  <c r="E75"/>
  <c r="B75"/>
  <c r="R74"/>
  <c r="Q74"/>
  <c r="O74"/>
  <c r="N74"/>
  <c r="L74"/>
  <c r="K74"/>
  <c r="I74"/>
  <c r="H74"/>
  <c r="F74"/>
  <c r="E74"/>
  <c r="B74"/>
  <c r="O73"/>
  <c r="L73"/>
  <c r="I73"/>
  <c r="F73"/>
  <c r="C73"/>
  <c r="B73"/>
  <c r="B72"/>
  <c r="R72" s="1"/>
  <c r="R71"/>
  <c r="O71"/>
  <c r="L71"/>
  <c r="I71"/>
  <c r="F71"/>
  <c r="C71"/>
  <c r="B71"/>
  <c r="B70"/>
  <c r="L70" s="1"/>
  <c r="R69"/>
  <c r="O69"/>
  <c r="L69"/>
  <c r="I69"/>
  <c r="F69"/>
  <c r="C69"/>
  <c r="B69"/>
  <c r="B68"/>
  <c r="R68" s="1"/>
  <c r="O67"/>
  <c r="I67"/>
  <c r="B67"/>
  <c r="R67" s="1"/>
  <c r="B66"/>
  <c r="L66" s="1"/>
  <c r="O65"/>
  <c r="I65"/>
  <c r="B65"/>
  <c r="L65" s="1"/>
  <c r="B64"/>
  <c r="R64" s="1"/>
  <c r="Q63"/>
  <c r="R63" s="1"/>
  <c r="N63"/>
  <c r="O63" s="1"/>
  <c r="K63"/>
  <c r="L63" s="1"/>
  <c r="H63"/>
  <c r="I63" s="1"/>
  <c r="E63"/>
  <c r="F63" s="1"/>
  <c r="B63"/>
  <c r="R62"/>
  <c r="O62"/>
  <c r="L62"/>
  <c r="I62"/>
  <c r="F62"/>
  <c r="C62"/>
  <c r="B62"/>
  <c r="B61"/>
  <c r="L61" s="1"/>
  <c r="Q60"/>
  <c r="N60"/>
  <c r="O60" s="1"/>
  <c r="K60"/>
  <c r="H60"/>
  <c r="I60" s="1"/>
  <c r="E60"/>
  <c r="B60" s="1"/>
  <c r="R59"/>
  <c r="O59"/>
  <c r="L59"/>
  <c r="I59"/>
  <c r="F59"/>
  <c r="C59"/>
  <c r="B59"/>
  <c r="B58"/>
  <c r="R58" s="1"/>
  <c r="O57"/>
  <c r="I57"/>
  <c r="B57"/>
  <c r="R57" s="1"/>
  <c r="F56"/>
  <c r="B56"/>
  <c r="L56" s="1"/>
  <c r="O55"/>
  <c r="I55"/>
  <c r="B55"/>
  <c r="L55" s="1"/>
  <c r="B54"/>
  <c r="R54" s="1"/>
  <c r="Q53"/>
  <c r="R53" s="1"/>
  <c r="N53"/>
  <c r="O53" s="1"/>
  <c r="K53"/>
  <c r="L53" s="1"/>
  <c r="H53"/>
  <c r="I53" s="1"/>
  <c r="E53"/>
  <c r="F53" s="1"/>
  <c r="B53"/>
  <c r="R52"/>
  <c r="O52"/>
  <c r="L52"/>
  <c r="I52"/>
  <c r="F52"/>
  <c r="C52"/>
  <c r="B52"/>
  <c r="B51"/>
  <c r="L51" s="1"/>
  <c r="R50"/>
  <c r="O50"/>
  <c r="L50"/>
  <c r="I50"/>
  <c r="F50"/>
  <c r="C50"/>
  <c r="B50"/>
  <c r="B49"/>
  <c r="R49" s="1"/>
  <c r="O48"/>
  <c r="I48"/>
  <c r="B48"/>
  <c r="R48" s="1"/>
  <c r="B47"/>
  <c r="L47" s="1"/>
  <c r="O46"/>
  <c r="I46"/>
  <c r="B46"/>
  <c r="L46" s="1"/>
  <c r="B45"/>
  <c r="R45" s="1"/>
  <c r="O44"/>
  <c r="I44"/>
  <c r="B44"/>
  <c r="R44" s="1"/>
  <c r="B43"/>
  <c r="L43" s="1"/>
  <c r="O42"/>
  <c r="I42"/>
  <c r="B42"/>
  <c r="L42" s="1"/>
  <c r="R41"/>
  <c r="Q41"/>
  <c r="O41"/>
  <c r="N41"/>
  <c r="L41"/>
  <c r="K41"/>
  <c r="I41"/>
  <c r="H41"/>
  <c r="F41"/>
  <c r="E41"/>
  <c r="B41"/>
  <c r="R40"/>
  <c r="O40"/>
  <c r="L40"/>
  <c r="I40"/>
  <c r="F40"/>
  <c r="C40"/>
  <c r="B40"/>
  <c r="O39"/>
  <c r="I39"/>
  <c r="B39"/>
  <c r="R39" s="1"/>
  <c r="B38"/>
  <c r="L38" s="1"/>
  <c r="O37"/>
  <c r="I37"/>
  <c r="B37"/>
  <c r="L37" s="1"/>
  <c r="B36"/>
  <c r="R36" s="1"/>
  <c r="Q35"/>
  <c r="R35" s="1"/>
  <c r="N35"/>
  <c r="O35" s="1"/>
  <c r="K35"/>
  <c r="L35" s="1"/>
  <c r="H35"/>
  <c r="I35" s="1"/>
  <c r="E35"/>
  <c r="F35" s="1"/>
  <c r="B35"/>
  <c r="Q34"/>
  <c r="R34" s="1"/>
  <c r="N34"/>
  <c r="O34" s="1"/>
  <c r="K34"/>
  <c r="L34" s="1"/>
  <c r="H34"/>
  <c r="I34" s="1"/>
  <c r="E34"/>
  <c r="F34" s="1"/>
  <c r="B34"/>
  <c r="R33"/>
  <c r="O33"/>
  <c r="L33"/>
  <c r="I33"/>
  <c r="F33"/>
  <c r="C33"/>
  <c r="B33"/>
  <c r="B32"/>
  <c r="L32" s="1"/>
  <c r="O31"/>
  <c r="I31"/>
  <c r="B31"/>
  <c r="L31" s="1"/>
  <c r="B30"/>
  <c r="R30" s="1"/>
  <c r="O29"/>
  <c r="I29"/>
  <c r="B29"/>
  <c r="R29" s="1"/>
  <c r="B28"/>
  <c r="L28" s="1"/>
  <c r="Q27"/>
  <c r="R27" s="1"/>
  <c r="N27"/>
  <c r="O27" s="1"/>
  <c r="K27"/>
  <c r="L27" s="1"/>
  <c r="H27"/>
  <c r="I27" s="1"/>
  <c r="E27"/>
  <c r="F27" s="1"/>
  <c r="B27"/>
  <c r="Q26"/>
  <c r="R26" s="1"/>
  <c r="N26"/>
  <c r="O26" s="1"/>
  <c r="K26"/>
  <c r="L26" s="1"/>
  <c r="H26"/>
  <c r="I26" s="1"/>
  <c r="E26"/>
  <c r="F26" s="1"/>
  <c r="B26"/>
  <c r="R25"/>
  <c r="O25"/>
  <c r="L25"/>
  <c r="I25"/>
  <c r="F25"/>
  <c r="C25"/>
  <c r="B25"/>
  <c r="B24"/>
  <c r="R24" s="1"/>
  <c r="O23"/>
  <c r="I23"/>
  <c r="B23"/>
  <c r="R23" s="1"/>
  <c r="B22"/>
  <c r="L22" s="1"/>
  <c r="Q21"/>
  <c r="R21" s="1"/>
  <c r="N21"/>
  <c r="O21" s="1"/>
  <c r="K21"/>
  <c r="L21" s="1"/>
  <c r="H21"/>
  <c r="I21" s="1"/>
  <c r="E21"/>
  <c r="F21" s="1"/>
  <c r="B21"/>
  <c r="R20"/>
  <c r="O20"/>
  <c r="L20"/>
  <c r="I20"/>
  <c r="F20"/>
  <c r="C20"/>
  <c r="B20"/>
  <c r="B19"/>
  <c r="R19" s="1"/>
  <c r="O18"/>
  <c r="I18"/>
  <c r="B18"/>
  <c r="R18" s="1"/>
  <c r="B17"/>
  <c r="L17" s="1"/>
  <c r="Q16"/>
  <c r="R16" s="1"/>
  <c r="N16"/>
  <c r="O16" s="1"/>
  <c r="K16"/>
  <c r="L16" s="1"/>
  <c r="H16"/>
  <c r="I16" s="1"/>
  <c r="E16"/>
  <c r="F16" s="1"/>
  <c r="B16"/>
  <c r="Q15"/>
  <c r="Q13" s="1"/>
  <c r="N15"/>
  <c r="O15" s="1"/>
  <c r="K15"/>
  <c r="K13" s="1"/>
  <c r="H15"/>
  <c r="I15" s="1"/>
  <c r="E15"/>
  <c r="E13" s="1"/>
  <c r="B15"/>
  <c r="B14"/>
  <c r="R12"/>
  <c r="O12"/>
  <c r="L12"/>
  <c r="I12"/>
  <c r="F12"/>
  <c r="C12"/>
  <c r="B12"/>
  <c r="B51" i="105"/>
  <c r="B50"/>
  <c r="C50" s="1"/>
  <c r="B49"/>
  <c r="B48"/>
  <c r="C48" s="1"/>
  <c r="B47"/>
  <c r="B46"/>
  <c r="C46" s="1"/>
  <c r="B45"/>
  <c r="B44"/>
  <c r="C44" s="1"/>
  <c r="B43"/>
  <c r="B42"/>
  <c r="C42" s="1"/>
  <c r="B41"/>
  <c r="F40"/>
  <c r="B40"/>
  <c r="F39"/>
  <c r="B39"/>
  <c r="F38"/>
  <c r="B38"/>
  <c r="B37"/>
  <c r="C37" s="1"/>
  <c r="B36"/>
  <c r="B35"/>
  <c r="C35" s="1"/>
  <c r="B34"/>
  <c r="B33"/>
  <c r="C33" s="1"/>
  <c r="B32"/>
  <c r="B31"/>
  <c r="C31" s="1"/>
  <c r="B30"/>
  <c r="B29"/>
  <c r="C29" s="1"/>
  <c r="B28"/>
  <c r="B27"/>
  <c r="C27" s="1"/>
  <c r="B26"/>
  <c r="B25"/>
  <c r="C25" s="1"/>
  <c r="B24"/>
  <c r="B23"/>
  <c r="C23" s="1"/>
  <c r="F22"/>
  <c r="B22"/>
  <c r="C22" s="1"/>
  <c r="F21"/>
  <c r="B21"/>
  <c r="C21" s="1"/>
  <c r="F20"/>
  <c r="B20"/>
  <c r="C20" s="1"/>
  <c r="F19"/>
  <c r="B19"/>
  <c r="C19" s="1"/>
  <c r="F18"/>
  <c r="B18"/>
  <c r="C18" s="1"/>
  <c r="F17"/>
  <c r="B17"/>
  <c r="C17" s="1"/>
  <c r="F16"/>
  <c r="B16"/>
  <c r="C16" s="1"/>
  <c r="F15"/>
  <c r="B15"/>
  <c r="C15" s="1"/>
  <c r="F14"/>
  <c r="B14"/>
  <c r="C14" s="1"/>
  <c r="F13"/>
  <c r="H12"/>
  <c r="E12"/>
  <c r="B12" s="1"/>
  <c r="B101" i="103"/>
  <c r="C101" s="1"/>
  <c r="B100"/>
  <c r="C100" s="1"/>
  <c r="B99"/>
  <c r="C99" s="1"/>
  <c r="I98"/>
  <c r="B98"/>
  <c r="C98" s="1"/>
  <c r="I97"/>
  <c r="B97"/>
  <c r="C97" s="1"/>
  <c r="H96"/>
  <c r="I96" s="1"/>
  <c r="E96"/>
  <c r="F96" s="1"/>
  <c r="B96"/>
  <c r="C96" s="1"/>
  <c r="I95"/>
  <c r="F95"/>
  <c r="C95"/>
  <c r="B95"/>
  <c r="B94"/>
  <c r="F94" s="1"/>
  <c r="F93"/>
  <c r="B93"/>
  <c r="I93" s="1"/>
  <c r="F92"/>
  <c r="B91"/>
  <c r="I91" s="1"/>
  <c r="I90"/>
  <c r="B90"/>
  <c r="C90" s="1"/>
  <c r="I89"/>
  <c r="B89"/>
  <c r="C89" s="1"/>
  <c r="I88"/>
  <c r="B88"/>
  <c r="C88" s="1"/>
  <c r="I87"/>
  <c r="B87"/>
  <c r="C87" s="1"/>
  <c r="I86"/>
  <c r="B86"/>
  <c r="C86" s="1"/>
  <c r="I85"/>
  <c r="B85"/>
  <c r="F85" s="1"/>
  <c r="I84"/>
  <c r="B84"/>
  <c r="F84" s="1"/>
  <c r="I83"/>
  <c r="B83"/>
  <c r="F83" s="1"/>
  <c r="H82"/>
  <c r="I82" s="1"/>
  <c r="E82"/>
  <c r="F82" s="1"/>
  <c r="B82"/>
  <c r="C82" s="1"/>
  <c r="H81"/>
  <c r="E81"/>
  <c r="F81" s="1"/>
  <c r="B81"/>
  <c r="I81" s="1"/>
  <c r="F80"/>
  <c r="B79"/>
  <c r="C79" s="1"/>
  <c r="B78"/>
  <c r="C78" s="1"/>
  <c r="B77"/>
  <c r="C77" s="1"/>
  <c r="B76"/>
  <c r="C76" s="1"/>
  <c r="H75"/>
  <c r="I75" s="1"/>
  <c r="E75"/>
  <c r="F75" s="1"/>
  <c r="B75"/>
  <c r="C75" s="1"/>
  <c r="H74"/>
  <c r="I74" s="1"/>
  <c r="E74"/>
  <c r="F74" s="1"/>
  <c r="B74"/>
  <c r="C74" s="1"/>
  <c r="I73"/>
  <c r="F73"/>
  <c r="C73"/>
  <c r="B73"/>
  <c r="B72"/>
  <c r="F72" s="1"/>
  <c r="I71"/>
  <c r="F71"/>
  <c r="C71"/>
  <c r="B71"/>
  <c r="B70"/>
  <c r="F70" s="1"/>
  <c r="I69"/>
  <c r="F69"/>
  <c r="C69"/>
  <c r="B69"/>
  <c r="B68"/>
  <c r="F68" s="1"/>
  <c r="B67"/>
  <c r="F67" s="1"/>
  <c r="B66"/>
  <c r="F66" s="1"/>
  <c r="B65"/>
  <c r="F65" s="1"/>
  <c r="B64"/>
  <c r="F64" s="1"/>
  <c r="H63"/>
  <c r="E63"/>
  <c r="B63"/>
  <c r="F63" s="1"/>
  <c r="I62"/>
  <c r="F62"/>
  <c r="C62"/>
  <c r="B62"/>
  <c r="B61"/>
  <c r="F61" s="1"/>
  <c r="H60"/>
  <c r="I60" s="1"/>
  <c r="E60"/>
  <c r="F60" s="1"/>
  <c r="B60"/>
  <c r="C60" s="1"/>
  <c r="I59"/>
  <c r="F59"/>
  <c r="C59"/>
  <c r="B59"/>
  <c r="B58"/>
  <c r="F58" s="1"/>
  <c r="F57"/>
  <c r="B57"/>
  <c r="I57" s="1"/>
  <c r="F56"/>
  <c r="B56"/>
  <c r="I56" s="1"/>
  <c r="F55"/>
  <c r="B55"/>
  <c r="I55" s="1"/>
  <c r="I54"/>
  <c r="F54"/>
  <c r="B54"/>
  <c r="H53"/>
  <c r="I53" s="1"/>
  <c r="E53"/>
  <c r="B53"/>
  <c r="F53" s="1"/>
  <c r="I52"/>
  <c r="F52"/>
  <c r="C52"/>
  <c r="B52"/>
  <c r="B51"/>
  <c r="F51" s="1"/>
  <c r="I50"/>
  <c r="F50"/>
  <c r="C50"/>
  <c r="B50"/>
  <c r="B49"/>
  <c r="F49" s="1"/>
  <c r="B48"/>
  <c r="F48" s="1"/>
  <c r="B47"/>
  <c r="F47" s="1"/>
  <c r="B46"/>
  <c r="F46" s="1"/>
  <c r="B45"/>
  <c r="F45" s="1"/>
  <c r="B44"/>
  <c r="F44" s="1"/>
  <c r="B43"/>
  <c r="F43" s="1"/>
  <c r="B42"/>
  <c r="F42" s="1"/>
  <c r="H41"/>
  <c r="E41"/>
  <c r="F41" s="1"/>
  <c r="B41"/>
  <c r="I41" s="1"/>
  <c r="I40"/>
  <c r="F40"/>
  <c r="C40"/>
  <c r="B40"/>
  <c r="I39"/>
  <c r="B39"/>
  <c r="F39" s="1"/>
  <c r="I38"/>
  <c r="B38"/>
  <c r="F38" s="1"/>
  <c r="I37"/>
  <c r="B37"/>
  <c r="F37" s="1"/>
  <c r="I36"/>
  <c r="B36"/>
  <c r="F36" s="1"/>
  <c r="I35"/>
  <c r="H35"/>
  <c r="F35"/>
  <c r="E35"/>
  <c r="B35"/>
  <c r="H34"/>
  <c r="E34"/>
  <c r="B34" s="1"/>
  <c r="I33"/>
  <c r="F33"/>
  <c r="C33"/>
  <c r="B33"/>
  <c r="I32"/>
  <c r="B32"/>
  <c r="F32" s="1"/>
  <c r="I31"/>
  <c r="B31"/>
  <c r="F31" s="1"/>
  <c r="I30"/>
  <c r="B30"/>
  <c r="F30" s="1"/>
  <c r="I29"/>
  <c r="B29"/>
  <c r="F29" s="1"/>
  <c r="I28"/>
  <c r="B28"/>
  <c r="F28" s="1"/>
  <c r="I27"/>
  <c r="H27"/>
  <c r="F27"/>
  <c r="E27"/>
  <c r="B27"/>
  <c r="H26"/>
  <c r="F26"/>
  <c r="E26"/>
  <c r="B26"/>
  <c r="I26" s="1"/>
  <c r="I25"/>
  <c r="F25"/>
  <c r="C25"/>
  <c r="B25"/>
  <c r="B24"/>
  <c r="C24" s="1"/>
  <c r="B23"/>
  <c r="F23" s="1"/>
  <c r="B22"/>
  <c r="C22" s="1"/>
  <c r="H21"/>
  <c r="I21" s="1"/>
  <c r="E21"/>
  <c r="F21" s="1"/>
  <c r="B21"/>
  <c r="C21" s="1"/>
  <c r="I20"/>
  <c r="F20"/>
  <c r="C20"/>
  <c r="B20"/>
  <c r="B19"/>
  <c r="I19" s="1"/>
  <c r="B18"/>
  <c r="I18" s="1"/>
  <c r="B17"/>
  <c r="I17" s="1"/>
  <c r="H16"/>
  <c r="E16"/>
  <c r="F16" s="1"/>
  <c r="B16"/>
  <c r="I16" s="1"/>
  <c r="H15"/>
  <c r="I15" s="1"/>
  <c r="F15"/>
  <c r="E15"/>
  <c r="B15"/>
  <c r="F14"/>
  <c r="H13"/>
  <c r="E13"/>
  <c r="I12"/>
  <c r="F12"/>
  <c r="C12"/>
  <c r="B12"/>
  <c r="H11"/>
  <c r="I11" s="1"/>
  <c r="E11"/>
  <c r="F11" s="1"/>
  <c r="B11"/>
  <c r="C16" s="1"/>
  <c r="C36" i="101"/>
  <c r="G36" s="1"/>
  <c r="C34"/>
  <c r="G34" s="1"/>
  <c r="L32"/>
  <c r="M32" s="1"/>
  <c r="J32"/>
  <c r="G32"/>
  <c r="D32" s="1"/>
  <c r="C32"/>
  <c r="J30"/>
  <c r="C30"/>
  <c r="G30" s="1"/>
  <c r="M28"/>
  <c r="I28"/>
  <c r="J28" s="1"/>
  <c r="D28" s="1"/>
  <c r="G28"/>
  <c r="C28"/>
  <c r="M27"/>
  <c r="J27"/>
  <c r="G27"/>
  <c r="D27"/>
  <c r="C27"/>
  <c r="L26"/>
  <c r="M26" s="1"/>
  <c r="I26"/>
  <c r="J26" s="1"/>
  <c r="F26"/>
  <c r="G26" s="1"/>
  <c r="C26"/>
  <c r="M25"/>
  <c r="D25"/>
  <c r="C25"/>
  <c r="C24"/>
  <c r="M24" s="1"/>
  <c r="J22"/>
  <c r="C22"/>
  <c r="G22" s="1"/>
  <c r="C20"/>
  <c r="G20" s="1"/>
  <c r="J18"/>
  <c r="C18"/>
  <c r="M18" s="1"/>
  <c r="C16"/>
  <c r="M16" s="1"/>
  <c r="M15"/>
  <c r="J15"/>
  <c r="G15"/>
  <c r="D15"/>
  <c r="C15"/>
  <c r="M14"/>
  <c r="L14"/>
  <c r="J14"/>
  <c r="I14"/>
  <c r="G14"/>
  <c r="F14"/>
  <c r="D14"/>
  <c r="C14"/>
  <c r="M13"/>
  <c r="J13"/>
  <c r="G13"/>
  <c r="D13"/>
  <c r="C13"/>
  <c r="L12"/>
  <c r="M12" s="1"/>
  <c r="I12"/>
  <c r="J12" s="1"/>
  <c r="F12"/>
  <c r="G12" s="1"/>
  <c r="C12"/>
  <c r="E13" i="99"/>
  <c r="F20" s="1"/>
  <c r="B13"/>
  <c r="C20" s="1"/>
  <c r="C35" i="97"/>
  <c r="G35" s="1"/>
  <c r="C34"/>
  <c r="D35" s="1"/>
  <c r="C33"/>
  <c r="D34" s="1"/>
  <c r="C32"/>
  <c r="D33" s="1"/>
  <c r="C31"/>
  <c r="D32" s="1"/>
  <c r="C30"/>
  <c r="D31" s="1"/>
  <c r="C29"/>
  <c r="D30" s="1"/>
  <c r="C28"/>
  <c r="D29" s="1"/>
  <c r="C27"/>
  <c r="D28" s="1"/>
  <c r="C26"/>
  <c r="D27" s="1"/>
  <c r="C25"/>
  <c r="D26" s="1"/>
  <c r="C24"/>
  <c r="D25" s="1"/>
  <c r="G23"/>
  <c r="C23"/>
  <c r="D24" s="1"/>
  <c r="G22"/>
  <c r="C22"/>
  <c r="D23" s="1"/>
  <c r="G21"/>
  <c r="C21"/>
  <c r="D22" s="1"/>
  <c r="G20"/>
  <c r="C20"/>
  <c r="D21" s="1"/>
  <c r="G19"/>
  <c r="C19"/>
  <c r="D20" s="1"/>
  <c r="G18"/>
  <c r="C18"/>
  <c r="D19" s="1"/>
  <c r="G17"/>
  <c r="C17"/>
  <c r="D18" s="1"/>
  <c r="G16"/>
  <c r="C16"/>
  <c r="D17" s="1"/>
  <c r="G15"/>
  <c r="C15"/>
  <c r="D16" s="1"/>
  <c r="G14"/>
  <c r="C14"/>
  <c r="D15" s="1"/>
  <c r="G13"/>
  <c r="C13"/>
  <c r="D14" s="1"/>
  <c r="I12"/>
  <c r="J12" s="1"/>
  <c r="F12"/>
  <c r="G12" s="1"/>
  <c r="C12"/>
  <c r="D13" s="1"/>
  <c r="E13" i="96"/>
  <c r="F20" s="1"/>
  <c r="B13"/>
  <c r="C20" s="1"/>
  <c r="C21" i="93"/>
  <c r="M21" s="1"/>
  <c r="C20"/>
  <c r="M20" s="1"/>
  <c r="C19"/>
  <c r="M19" s="1"/>
  <c r="C18"/>
  <c r="C17"/>
  <c r="C16"/>
  <c r="C15"/>
  <c r="S15" s="1"/>
  <c r="C14"/>
  <c r="S14" s="1"/>
  <c r="V13"/>
  <c r="S13"/>
  <c r="P13"/>
  <c r="U12"/>
  <c r="R12"/>
  <c r="O12"/>
  <c r="L12"/>
  <c r="I12"/>
  <c r="F12"/>
  <c r="D34" i="91"/>
  <c r="D32"/>
  <c r="C29"/>
  <c r="D29" s="1"/>
  <c r="D26"/>
  <c r="D24"/>
  <c r="D18"/>
  <c r="D16"/>
  <c r="D14"/>
  <c r="C13"/>
  <c r="D13" s="1"/>
  <c r="D11" s="1"/>
  <c r="C11"/>
  <c r="D35" s="1"/>
  <c r="C23" i="90"/>
  <c r="M23" s="1"/>
  <c r="C22"/>
  <c r="S22" s="1"/>
  <c r="V21"/>
  <c r="P21"/>
  <c r="J21"/>
  <c r="C21"/>
  <c r="M21" s="1"/>
  <c r="V20"/>
  <c r="P20"/>
  <c r="J20"/>
  <c r="C20"/>
  <c r="M20" s="1"/>
  <c r="V19"/>
  <c r="P19"/>
  <c r="J19"/>
  <c r="C19"/>
  <c r="M19" s="1"/>
  <c r="V18"/>
  <c r="P18"/>
  <c r="J18"/>
  <c r="C18"/>
  <c r="M18" s="1"/>
  <c r="V17"/>
  <c r="P17"/>
  <c r="J17"/>
  <c r="C17"/>
  <c r="M17" s="1"/>
  <c r="V16"/>
  <c r="P16"/>
  <c r="J16"/>
  <c r="C16"/>
  <c r="M16" s="1"/>
  <c r="V15"/>
  <c r="P15"/>
  <c r="J15"/>
  <c r="C15"/>
  <c r="M15" s="1"/>
  <c r="V14"/>
  <c r="P14"/>
  <c r="J14"/>
  <c r="C14"/>
  <c r="M14" s="1"/>
  <c r="V13"/>
  <c r="S13"/>
  <c r="P13"/>
  <c r="U12"/>
  <c r="V12" s="1"/>
  <c r="R12"/>
  <c r="S12" s="1"/>
  <c r="O12"/>
  <c r="P12" s="1"/>
  <c r="L12"/>
  <c r="M12" s="1"/>
  <c r="I12"/>
  <c r="J12" s="1"/>
  <c r="F12"/>
  <c r="G12" s="1"/>
  <c r="C12"/>
  <c r="D22" s="1"/>
  <c r="D34" i="88"/>
  <c r="D32"/>
  <c r="D26"/>
  <c r="D24"/>
  <c r="D18"/>
  <c r="D16"/>
  <c r="D14"/>
  <c r="C13"/>
  <c r="F22" i="87"/>
  <c r="C22" s="1"/>
  <c r="V21"/>
  <c r="P21"/>
  <c r="J21"/>
  <c r="C21"/>
  <c r="S21" s="1"/>
  <c r="V20"/>
  <c r="P20"/>
  <c r="J20"/>
  <c r="C20"/>
  <c r="S20" s="1"/>
  <c r="V19"/>
  <c r="P19"/>
  <c r="J19"/>
  <c r="C19"/>
  <c r="S19" s="1"/>
  <c r="V18"/>
  <c r="P18"/>
  <c r="J18"/>
  <c r="C18"/>
  <c r="S18" s="1"/>
  <c r="V17"/>
  <c r="P17"/>
  <c r="J17"/>
  <c r="C17"/>
  <c r="S17" s="1"/>
  <c r="V16"/>
  <c r="P16"/>
  <c r="J16"/>
  <c r="C16"/>
  <c r="S16" s="1"/>
  <c r="F15"/>
  <c r="C14"/>
  <c r="S14" s="1"/>
  <c r="V13"/>
  <c r="S13"/>
  <c r="P13"/>
  <c r="U12"/>
  <c r="R12"/>
  <c r="O12"/>
  <c r="L12"/>
  <c r="I12"/>
  <c r="I94" i="85"/>
  <c r="J94" s="1"/>
  <c r="J11" s="1"/>
  <c r="P93"/>
  <c r="M93"/>
  <c r="J93"/>
  <c r="G93"/>
  <c r="D93"/>
  <c r="P91"/>
  <c r="M91"/>
  <c r="J91"/>
  <c r="G91"/>
  <c r="D91"/>
  <c r="P89"/>
  <c r="M89"/>
  <c r="J89"/>
  <c r="G89"/>
  <c r="D89"/>
  <c r="P78"/>
  <c r="M78"/>
  <c r="J78"/>
  <c r="G78"/>
  <c r="D78"/>
  <c r="P71"/>
  <c r="M71"/>
  <c r="J71"/>
  <c r="G71"/>
  <c r="D71"/>
  <c r="P69"/>
  <c r="M69"/>
  <c r="J69"/>
  <c r="G69"/>
  <c r="D69"/>
  <c r="P67"/>
  <c r="M67"/>
  <c r="J67"/>
  <c r="G67"/>
  <c r="D67"/>
  <c r="P65"/>
  <c r="M65"/>
  <c r="J65"/>
  <c r="G65"/>
  <c r="D65"/>
  <c r="P60"/>
  <c r="M60"/>
  <c r="J60"/>
  <c r="G60"/>
  <c r="D60"/>
  <c r="P57"/>
  <c r="M57"/>
  <c r="J57"/>
  <c r="G57"/>
  <c r="D57"/>
  <c r="P50"/>
  <c r="M50"/>
  <c r="J50"/>
  <c r="G50"/>
  <c r="D50"/>
  <c r="P48"/>
  <c r="M48"/>
  <c r="J48"/>
  <c r="G48"/>
  <c r="D48"/>
  <c r="P40"/>
  <c r="M40"/>
  <c r="J40"/>
  <c r="G40"/>
  <c r="D40"/>
  <c r="P33"/>
  <c r="M33"/>
  <c r="J33"/>
  <c r="G33"/>
  <c r="D33"/>
  <c r="P32"/>
  <c r="G31"/>
  <c r="P30"/>
  <c r="J30"/>
  <c r="D30"/>
  <c r="M29"/>
  <c r="G29"/>
  <c r="P28"/>
  <c r="J28"/>
  <c r="D28"/>
  <c r="M27"/>
  <c r="G27"/>
  <c r="P26"/>
  <c r="J26"/>
  <c r="D26"/>
  <c r="P25"/>
  <c r="M25"/>
  <c r="J25"/>
  <c r="G25"/>
  <c r="D25"/>
  <c r="P24"/>
  <c r="J24"/>
  <c r="D24"/>
  <c r="M23"/>
  <c r="G23"/>
  <c r="P22"/>
  <c r="J22"/>
  <c r="D22"/>
  <c r="M21"/>
  <c r="G21"/>
  <c r="P20"/>
  <c r="M20"/>
  <c r="J20"/>
  <c r="G20"/>
  <c r="D20"/>
  <c r="M19"/>
  <c r="G19"/>
  <c r="P18"/>
  <c r="J18"/>
  <c r="D18"/>
  <c r="M17"/>
  <c r="G17"/>
  <c r="P16"/>
  <c r="J16"/>
  <c r="D16"/>
  <c r="M15"/>
  <c r="G15"/>
  <c r="M14"/>
  <c r="J14"/>
  <c r="G14"/>
  <c r="D14"/>
  <c r="P13"/>
  <c r="O13"/>
  <c r="M13"/>
  <c r="L13"/>
  <c r="J13"/>
  <c r="I13"/>
  <c r="G13"/>
  <c r="F13"/>
  <c r="D13"/>
  <c r="C13"/>
  <c r="O11"/>
  <c r="P92" s="1"/>
  <c r="L11"/>
  <c r="M85" s="1"/>
  <c r="I11"/>
  <c r="J90" s="1"/>
  <c r="F11"/>
  <c r="G87" s="1"/>
  <c r="C11"/>
  <c r="D92" s="1"/>
  <c r="C38" i="83"/>
  <c r="G38" s="1"/>
  <c r="C37"/>
  <c r="G37" s="1"/>
  <c r="C36"/>
  <c r="J36" s="1"/>
  <c r="C35"/>
  <c r="M35" s="1"/>
  <c r="C34"/>
  <c r="G34" s="1"/>
  <c r="M33"/>
  <c r="J33"/>
  <c r="G33"/>
  <c r="D33"/>
  <c r="C33"/>
  <c r="L32"/>
  <c r="I32"/>
  <c r="J32" s="1"/>
  <c r="F32"/>
  <c r="C32"/>
  <c r="M32" s="1"/>
  <c r="M31"/>
  <c r="J31"/>
  <c r="G31"/>
  <c r="D31"/>
  <c r="C31"/>
  <c r="J30"/>
  <c r="G30"/>
  <c r="D30" s="1"/>
  <c r="C30"/>
  <c r="M30" s="1"/>
  <c r="J29"/>
  <c r="C29"/>
  <c r="G29" s="1"/>
  <c r="C28"/>
  <c r="G28" s="1"/>
  <c r="C27"/>
  <c r="J27" s="1"/>
  <c r="J26"/>
  <c r="G26"/>
  <c r="C26"/>
  <c r="M26" s="1"/>
  <c r="J25"/>
  <c r="C25"/>
  <c r="G25" s="1"/>
  <c r="M24"/>
  <c r="J24"/>
  <c r="G24"/>
  <c r="D24"/>
  <c r="C24"/>
  <c r="L23"/>
  <c r="I23"/>
  <c r="J23" s="1"/>
  <c r="F23"/>
  <c r="C23"/>
  <c r="M23" s="1"/>
  <c r="M22"/>
  <c r="J22"/>
  <c r="G22"/>
  <c r="D22"/>
  <c r="C22"/>
  <c r="J21"/>
  <c r="G21"/>
  <c r="D21" s="1"/>
  <c r="C21"/>
  <c r="M21" s="1"/>
  <c r="J20"/>
  <c r="C20"/>
  <c r="G20" s="1"/>
  <c r="C19"/>
  <c r="G19" s="1"/>
  <c r="C18"/>
  <c r="J18" s="1"/>
  <c r="M17"/>
  <c r="J17"/>
  <c r="G17"/>
  <c r="D17"/>
  <c r="C17"/>
  <c r="L16"/>
  <c r="L14" s="1"/>
  <c r="I16"/>
  <c r="F16"/>
  <c r="C16" s="1"/>
  <c r="J16" s="1"/>
  <c r="M15"/>
  <c r="J15"/>
  <c r="G15"/>
  <c r="D15"/>
  <c r="C15"/>
  <c r="I14"/>
  <c r="M13"/>
  <c r="J13"/>
  <c r="G13"/>
  <c r="D13"/>
  <c r="C13"/>
  <c r="I12"/>
  <c r="E45" i="132" l="1"/>
  <c r="J35" i="83"/>
  <c r="G35"/>
  <c r="J34"/>
  <c r="E27" i="134"/>
  <c r="E19"/>
  <c r="E15"/>
  <c r="E43"/>
  <c r="E39"/>
  <c r="E35"/>
  <c r="E31"/>
  <c r="M18" i="93"/>
  <c r="G18"/>
  <c r="C12"/>
  <c r="P12" s="1"/>
  <c r="I93" i="109"/>
  <c r="F93"/>
  <c r="I12" i="141"/>
  <c r="D51"/>
  <c r="D38"/>
  <c r="C14"/>
  <c r="J14" s="1"/>
  <c r="C12"/>
  <c r="G12" s="1"/>
  <c r="C12" i="138"/>
  <c r="J12" s="1"/>
  <c r="J35"/>
  <c r="D35" s="1"/>
  <c r="M35"/>
  <c r="M12"/>
  <c r="B12" i="119"/>
  <c r="I12" s="1"/>
  <c r="O18"/>
  <c r="I22"/>
  <c r="I24"/>
  <c r="I26"/>
  <c r="I28"/>
  <c r="I30"/>
  <c r="I32"/>
  <c r="I18"/>
  <c r="O14"/>
  <c r="I16"/>
  <c r="C37"/>
  <c r="I48"/>
  <c r="C9" i="114"/>
  <c r="A9"/>
  <c r="B9"/>
  <c r="C10" i="111"/>
  <c r="B8"/>
  <c r="D10" s="1"/>
  <c r="E17" i="135"/>
  <c r="E24"/>
  <c r="E31"/>
  <c r="E35"/>
  <c r="E16"/>
  <c r="E23"/>
  <c r="E30"/>
  <c r="E34"/>
  <c r="E19"/>
  <c r="E22"/>
  <c r="E26"/>
  <c r="E29"/>
  <c r="E33"/>
  <c r="E18"/>
  <c r="E21"/>
  <c r="E13" s="1"/>
  <c r="E25"/>
  <c r="E28"/>
  <c r="E21" i="134"/>
  <c r="E29"/>
  <c r="E37"/>
  <c r="E45"/>
  <c r="E17"/>
  <c r="E25"/>
  <c r="E33"/>
  <c r="E17" i="133"/>
  <c r="E21"/>
  <c r="E28"/>
  <c r="E32"/>
  <c r="E37"/>
  <c r="E41"/>
  <c r="E45"/>
  <c r="E16"/>
  <c r="E20"/>
  <c r="E27"/>
  <c r="E31"/>
  <c r="E35"/>
  <c r="E40"/>
  <c r="E44"/>
  <c r="E19"/>
  <c r="E26"/>
  <c r="E30"/>
  <c r="E34"/>
  <c r="E39"/>
  <c r="E43"/>
  <c r="E18"/>
  <c r="E22"/>
  <c r="E25"/>
  <c r="E29"/>
  <c r="E33"/>
  <c r="E38"/>
  <c r="E49" i="132"/>
  <c r="E53"/>
  <c r="E57"/>
  <c r="E15"/>
  <c r="E13" s="1"/>
  <c r="E19"/>
  <c r="E23"/>
  <c r="E27"/>
  <c r="E31"/>
  <c r="E35"/>
  <c r="E39"/>
  <c r="E43"/>
  <c r="E47"/>
  <c r="E51"/>
  <c r="E55"/>
  <c r="E17"/>
  <c r="E21"/>
  <c r="E25"/>
  <c r="E29"/>
  <c r="E33"/>
  <c r="E37"/>
  <c r="D15" i="131"/>
  <c r="D19"/>
  <c r="U11" i="130"/>
  <c r="B11"/>
  <c r="C13" s="1"/>
  <c r="I13"/>
  <c r="U13"/>
  <c r="F15"/>
  <c r="R15"/>
  <c r="L17"/>
  <c r="X17"/>
  <c r="F19"/>
  <c r="R19"/>
  <c r="L21"/>
  <c r="X21"/>
  <c r="O19"/>
  <c r="O11" s="1"/>
  <c r="I21"/>
  <c r="I11" s="1"/>
  <c r="U21"/>
  <c r="O13"/>
  <c r="L15"/>
  <c r="L11" s="1"/>
  <c r="X15"/>
  <c r="X11" s="1"/>
  <c r="F17"/>
  <c r="R17"/>
  <c r="C17" i="129"/>
  <c r="C13"/>
  <c r="C11" s="1"/>
  <c r="C16" i="128"/>
  <c r="O16"/>
  <c r="C18"/>
  <c r="O18"/>
  <c r="C20"/>
  <c r="O20"/>
  <c r="C22"/>
  <c r="O22"/>
  <c r="C24"/>
  <c r="O24"/>
  <c r="I16"/>
  <c r="I18"/>
  <c r="I20"/>
  <c r="I22"/>
  <c r="I24"/>
  <c r="B11" i="126"/>
  <c r="C26" s="1"/>
  <c r="O13"/>
  <c r="I15"/>
  <c r="U15"/>
  <c r="O17"/>
  <c r="I19"/>
  <c r="U19"/>
  <c r="O21"/>
  <c r="O23"/>
  <c r="L26"/>
  <c r="X26"/>
  <c r="I26"/>
  <c r="U26"/>
  <c r="I13"/>
  <c r="U13"/>
  <c r="O15"/>
  <c r="I17"/>
  <c r="U17"/>
  <c r="O19"/>
  <c r="I21"/>
  <c r="U21"/>
  <c r="F26"/>
  <c r="R26"/>
  <c r="F13" i="125"/>
  <c r="F11" s="1"/>
  <c r="R13"/>
  <c r="R11" s="1"/>
  <c r="L15"/>
  <c r="X15"/>
  <c r="O13"/>
  <c r="O11" s="1"/>
  <c r="I15"/>
  <c r="C15" s="1"/>
  <c r="U15"/>
  <c r="B11" i="123"/>
  <c r="C26" s="1"/>
  <c r="O13"/>
  <c r="I15"/>
  <c r="U15"/>
  <c r="O17"/>
  <c r="I19"/>
  <c r="U19"/>
  <c r="O21"/>
  <c r="O23"/>
  <c r="L26"/>
  <c r="X26"/>
  <c r="L21"/>
  <c r="L11" s="1"/>
  <c r="X21"/>
  <c r="X11" s="1"/>
  <c r="I26"/>
  <c r="U26"/>
  <c r="I13"/>
  <c r="U13"/>
  <c r="O15"/>
  <c r="I17"/>
  <c r="U17"/>
  <c r="O19"/>
  <c r="I21"/>
  <c r="U21"/>
  <c r="F26"/>
  <c r="R26"/>
  <c r="F21"/>
  <c r="F11" s="1"/>
  <c r="R21"/>
  <c r="R11" s="1"/>
  <c r="L13" i="122"/>
  <c r="X13"/>
  <c r="F15"/>
  <c r="R15"/>
  <c r="L17"/>
  <c r="X17"/>
  <c r="F19"/>
  <c r="R19"/>
  <c r="L21"/>
  <c r="X21"/>
  <c r="L23"/>
  <c r="X23"/>
  <c r="I13"/>
  <c r="U13"/>
  <c r="C15"/>
  <c r="O15"/>
  <c r="I17"/>
  <c r="U17"/>
  <c r="C19"/>
  <c r="O19"/>
  <c r="I21"/>
  <c r="U21"/>
  <c r="I23"/>
  <c r="C23" s="1"/>
  <c r="U23"/>
  <c r="F13"/>
  <c r="R13"/>
  <c r="L15"/>
  <c r="X15"/>
  <c r="F17"/>
  <c r="R17"/>
  <c r="F21"/>
  <c r="R21"/>
  <c r="C13"/>
  <c r="O13"/>
  <c r="I15"/>
  <c r="U15"/>
  <c r="C17"/>
  <c r="O17"/>
  <c r="O21"/>
  <c r="I13" i="120"/>
  <c r="U13"/>
  <c r="O15"/>
  <c r="I17"/>
  <c r="U17"/>
  <c r="O19"/>
  <c r="I21"/>
  <c r="U21"/>
  <c r="F13"/>
  <c r="R13"/>
  <c r="L15"/>
  <c r="L11" s="1"/>
  <c r="X15"/>
  <c r="X11" s="1"/>
  <c r="F17"/>
  <c r="R17"/>
  <c r="B11"/>
  <c r="C19" s="1"/>
  <c r="O13"/>
  <c r="I15"/>
  <c r="U15"/>
  <c r="O17"/>
  <c r="L14" i="119"/>
  <c r="C15"/>
  <c r="O15"/>
  <c r="F16"/>
  <c r="R16"/>
  <c r="I17"/>
  <c r="L18"/>
  <c r="C19"/>
  <c r="O19"/>
  <c r="F20"/>
  <c r="R20"/>
  <c r="I21"/>
  <c r="L22"/>
  <c r="C23"/>
  <c r="O23"/>
  <c r="F24"/>
  <c r="R24"/>
  <c r="I25"/>
  <c r="L26"/>
  <c r="C27"/>
  <c r="O27"/>
  <c r="F28"/>
  <c r="R28"/>
  <c r="I29"/>
  <c r="L30"/>
  <c r="C31"/>
  <c r="I33"/>
  <c r="C39"/>
  <c r="I41"/>
  <c r="I45"/>
  <c r="I49"/>
  <c r="C51"/>
  <c r="L15"/>
  <c r="F17"/>
  <c r="R17"/>
  <c r="L19"/>
  <c r="F21"/>
  <c r="R21"/>
  <c r="L23"/>
  <c r="F25"/>
  <c r="R25"/>
  <c r="L27"/>
  <c r="F29"/>
  <c r="R29"/>
  <c r="C32"/>
  <c r="C36"/>
  <c r="I37"/>
  <c r="F14"/>
  <c r="I15"/>
  <c r="O17"/>
  <c r="F18"/>
  <c r="I19"/>
  <c r="O21"/>
  <c r="F22"/>
  <c r="I23"/>
  <c r="O25"/>
  <c r="F26"/>
  <c r="I27"/>
  <c r="O29"/>
  <c r="F30"/>
  <c r="C33"/>
  <c r="I35"/>
  <c r="I39"/>
  <c r="C41"/>
  <c r="I43"/>
  <c r="C45"/>
  <c r="I47"/>
  <c r="C49"/>
  <c r="I51"/>
  <c r="F15"/>
  <c r="F19"/>
  <c r="F23"/>
  <c r="F27"/>
  <c r="C34"/>
  <c r="C38"/>
  <c r="C42"/>
  <c r="C46"/>
  <c r="R14" i="118"/>
  <c r="O14"/>
  <c r="R61"/>
  <c r="O61"/>
  <c r="I14"/>
  <c r="H12"/>
  <c r="N12"/>
  <c r="I18"/>
  <c r="L19"/>
  <c r="O20"/>
  <c r="I23"/>
  <c r="L24"/>
  <c r="O25"/>
  <c r="I29"/>
  <c r="L30"/>
  <c r="O31"/>
  <c r="F32"/>
  <c r="R32"/>
  <c r="I33"/>
  <c r="O37"/>
  <c r="F38"/>
  <c r="R38"/>
  <c r="I39"/>
  <c r="L40"/>
  <c r="F43"/>
  <c r="L44"/>
  <c r="F45"/>
  <c r="L46"/>
  <c r="F47"/>
  <c r="L48"/>
  <c r="F49"/>
  <c r="I55"/>
  <c r="L56"/>
  <c r="O57"/>
  <c r="F58"/>
  <c r="R58"/>
  <c r="I59"/>
  <c r="O62"/>
  <c r="I65"/>
  <c r="L66"/>
  <c r="O67"/>
  <c r="F68"/>
  <c r="R68"/>
  <c r="I69"/>
  <c r="O71"/>
  <c r="I73"/>
  <c r="L77"/>
  <c r="O78"/>
  <c r="F79"/>
  <c r="R79"/>
  <c r="I80"/>
  <c r="O84"/>
  <c r="F85"/>
  <c r="R85"/>
  <c r="I86"/>
  <c r="L87"/>
  <c r="O88"/>
  <c r="F89"/>
  <c r="R89"/>
  <c r="I90"/>
  <c r="L91"/>
  <c r="O92"/>
  <c r="I94"/>
  <c r="L95"/>
  <c r="F98"/>
  <c r="R98"/>
  <c r="I99"/>
  <c r="L100"/>
  <c r="O101"/>
  <c r="F102"/>
  <c r="R102"/>
  <c r="B14"/>
  <c r="F18"/>
  <c r="R18"/>
  <c r="L20"/>
  <c r="F23"/>
  <c r="R23"/>
  <c r="L25"/>
  <c r="F29"/>
  <c r="R29"/>
  <c r="L31"/>
  <c r="F33"/>
  <c r="R33"/>
  <c r="L37"/>
  <c r="F39"/>
  <c r="R39"/>
  <c r="F55"/>
  <c r="R55"/>
  <c r="L57"/>
  <c r="F59"/>
  <c r="R59"/>
  <c r="B61"/>
  <c r="L62"/>
  <c r="F65"/>
  <c r="R65"/>
  <c r="L67"/>
  <c r="F69"/>
  <c r="R69"/>
  <c r="L71"/>
  <c r="F73"/>
  <c r="R73"/>
  <c r="L78"/>
  <c r="F80"/>
  <c r="R80"/>
  <c r="L84"/>
  <c r="F86"/>
  <c r="R86"/>
  <c r="L88"/>
  <c r="F90"/>
  <c r="R90"/>
  <c r="L92"/>
  <c r="F94"/>
  <c r="R94"/>
  <c r="F99"/>
  <c r="R99"/>
  <c r="L101"/>
  <c r="E12"/>
  <c r="K12"/>
  <c r="Q12"/>
  <c r="O18"/>
  <c r="F19"/>
  <c r="I20"/>
  <c r="O23"/>
  <c r="F24"/>
  <c r="I25"/>
  <c r="O29"/>
  <c r="F30"/>
  <c r="I31"/>
  <c r="O33"/>
  <c r="I37"/>
  <c r="O39"/>
  <c r="F40"/>
  <c r="O55"/>
  <c r="F56"/>
  <c r="I57"/>
  <c r="O59"/>
  <c r="I62"/>
  <c r="O65"/>
  <c r="F66"/>
  <c r="I67"/>
  <c r="O69"/>
  <c r="I71"/>
  <c r="O73"/>
  <c r="F77"/>
  <c r="I78"/>
  <c r="O80"/>
  <c r="I84"/>
  <c r="O86"/>
  <c r="F87"/>
  <c r="I88"/>
  <c r="O90"/>
  <c r="F91"/>
  <c r="I92"/>
  <c r="O94"/>
  <c r="F95"/>
  <c r="O99"/>
  <c r="F100"/>
  <c r="I101"/>
  <c r="F20"/>
  <c r="F25"/>
  <c r="F31"/>
  <c r="F37"/>
  <c r="F57"/>
  <c r="F62"/>
  <c r="F67"/>
  <c r="F71"/>
  <c r="F78"/>
  <c r="F84"/>
  <c r="F88"/>
  <c r="F92"/>
  <c r="F101"/>
  <c r="F12" i="116"/>
  <c r="I12"/>
  <c r="C15"/>
  <c r="C19"/>
  <c r="C23"/>
  <c r="C27"/>
  <c r="C31"/>
  <c r="C35"/>
  <c r="C39"/>
  <c r="C43"/>
  <c r="C47"/>
  <c r="C51"/>
  <c r="C17"/>
  <c r="C12" s="1"/>
  <c r="C21"/>
  <c r="C25"/>
  <c r="C29"/>
  <c r="C33"/>
  <c r="C37"/>
  <c r="C41"/>
  <c r="C45"/>
  <c r="C49"/>
  <c r="I14"/>
  <c r="I15"/>
  <c r="I16"/>
  <c r="I17"/>
  <c r="I18"/>
  <c r="I19"/>
  <c r="I20"/>
  <c r="I21"/>
  <c r="I22"/>
  <c r="I23"/>
  <c r="I24"/>
  <c r="I25"/>
  <c r="I26"/>
  <c r="I27"/>
  <c r="I28"/>
  <c r="I29"/>
  <c r="I30"/>
  <c r="I31"/>
  <c r="I32"/>
  <c r="I33"/>
  <c r="I34"/>
  <c r="I35"/>
  <c r="I36"/>
  <c r="I37"/>
  <c r="I38"/>
  <c r="I39"/>
  <c r="I40"/>
  <c r="I41"/>
  <c r="I42"/>
  <c r="I43"/>
  <c r="I44"/>
  <c r="I45"/>
  <c r="I46"/>
  <c r="I47"/>
  <c r="I48"/>
  <c r="I49"/>
  <c r="I50"/>
  <c r="I51"/>
  <c r="F14"/>
  <c r="F15"/>
  <c r="F16"/>
  <c r="F17"/>
  <c r="F18"/>
  <c r="F19"/>
  <c r="F20"/>
  <c r="F21"/>
  <c r="F22"/>
  <c r="F23"/>
  <c r="F24"/>
  <c r="F25"/>
  <c r="F26"/>
  <c r="F27"/>
  <c r="F28"/>
  <c r="F29"/>
  <c r="F30"/>
  <c r="F31"/>
  <c r="F32"/>
  <c r="F33"/>
  <c r="F34"/>
  <c r="F35"/>
  <c r="F36"/>
  <c r="F37"/>
  <c r="F38"/>
  <c r="F39"/>
  <c r="F40"/>
  <c r="F41"/>
  <c r="F42"/>
  <c r="F43"/>
  <c r="F44"/>
  <c r="F45"/>
  <c r="F46"/>
  <c r="F47"/>
  <c r="F48"/>
  <c r="F49"/>
  <c r="F50"/>
  <c r="F51"/>
  <c r="I35" i="115"/>
  <c r="I22"/>
  <c r="I23"/>
  <c r="I24"/>
  <c r="F35"/>
  <c r="I97"/>
  <c r="I98"/>
  <c r="I99"/>
  <c r="I100"/>
  <c r="I101"/>
  <c r="F15"/>
  <c r="I16"/>
  <c r="F22"/>
  <c r="F23"/>
  <c r="F24"/>
  <c r="H60"/>
  <c r="B60" s="1"/>
  <c r="F101"/>
  <c r="F17"/>
  <c r="F18"/>
  <c r="F28"/>
  <c r="F29"/>
  <c r="I36"/>
  <c r="I37"/>
  <c r="I38"/>
  <c r="I39"/>
  <c r="I51"/>
  <c r="I80"/>
  <c r="E34"/>
  <c r="C48" i="113"/>
  <c r="I48"/>
  <c r="B11"/>
  <c r="C22" s="1"/>
  <c r="I15"/>
  <c r="I19"/>
  <c r="I23"/>
  <c r="I27"/>
  <c r="I34"/>
  <c r="I37"/>
  <c r="I41"/>
  <c r="I45"/>
  <c r="H11" i="112"/>
  <c r="E13"/>
  <c r="K13"/>
  <c r="I15"/>
  <c r="L18"/>
  <c r="I19"/>
  <c r="L23"/>
  <c r="I24"/>
  <c r="L29"/>
  <c r="I30"/>
  <c r="F31"/>
  <c r="I36"/>
  <c r="F37"/>
  <c r="L39"/>
  <c r="F42"/>
  <c r="L44"/>
  <c r="I45"/>
  <c r="F46"/>
  <c r="L48"/>
  <c r="I49"/>
  <c r="I54"/>
  <c r="F55"/>
  <c r="I58"/>
  <c r="I64"/>
  <c r="F65"/>
  <c r="L68"/>
  <c r="F70"/>
  <c r="L72"/>
  <c r="F76"/>
  <c r="L78"/>
  <c r="I79"/>
  <c r="L84"/>
  <c r="I85"/>
  <c r="F86"/>
  <c r="L88"/>
  <c r="I89"/>
  <c r="F90"/>
  <c r="I93"/>
  <c r="F94"/>
  <c r="L97"/>
  <c r="I98"/>
  <c r="L101"/>
  <c r="L17"/>
  <c r="F19"/>
  <c r="L22"/>
  <c r="F24"/>
  <c r="L28"/>
  <c r="F30"/>
  <c r="L32"/>
  <c r="F36"/>
  <c r="L38"/>
  <c r="L43"/>
  <c r="L47"/>
  <c r="L51"/>
  <c r="F54"/>
  <c r="L56"/>
  <c r="F58"/>
  <c r="L61"/>
  <c r="F64"/>
  <c r="L66"/>
  <c r="L77"/>
  <c r="F79"/>
  <c r="L83"/>
  <c r="F85"/>
  <c r="L87"/>
  <c r="F89"/>
  <c r="L91"/>
  <c r="L100"/>
  <c r="I17"/>
  <c r="I22"/>
  <c r="I28"/>
  <c r="I32"/>
  <c r="I38"/>
  <c r="I43"/>
  <c r="I47"/>
  <c r="I51"/>
  <c r="I56"/>
  <c r="I61"/>
  <c r="I66"/>
  <c r="I77"/>
  <c r="I83"/>
  <c r="I87"/>
  <c r="I91"/>
  <c r="I100"/>
  <c r="C30" i="110"/>
  <c r="C47"/>
  <c r="C51"/>
  <c r="C44"/>
  <c r="C40"/>
  <c r="C37"/>
  <c r="C31"/>
  <c r="C29"/>
  <c r="C25"/>
  <c r="C21"/>
  <c r="C17"/>
  <c r="C13"/>
  <c r="C42"/>
  <c r="C38"/>
  <c r="C35"/>
  <c r="C33"/>
  <c r="C27"/>
  <c r="C23"/>
  <c r="C19"/>
  <c r="C15"/>
  <c r="C45"/>
  <c r="C49"/>
  <c r="F11"/>
  <c r="L13"/>
  <c r="I14"/>
  <c r="F15"/>
  <c r="C16"/>
  <c r="L17"/>
  <c r="I18"/>
  <c r="F19"/>
  <c r="C20"/>
  <c r="L21"/>
  <c r="I22"/>
  <c r="F23"/>
  <c r="C24"/>
  <c r="I26"/>
  <c r="F27"/>
  <c r="C28"/>
  <c r="L31"/>
  <c r="I32"/>
  <c r="I34"/>
  <c r="F35"/>
  <c r="C36"/>
  <c r="F38"/>
  <c r="C39"/>
  <c r="L40"/>
  <c r="I41"/>
  <c r="C43"/>
  <c r="L44"/>
  <c r="I45"/>
  <c r="I46"/>
  <c r="I47"/>
  <c r="I48"/>
  <c r="I49"/>
  <c r="I50"/>
  <c r="I51"/>
  <c r="F14"/>
  <c r="L16"/>
  <c r="F18"/>
  <c r="L20"/>
  <c r="F22"/>
  <c r="L24"/>
  <c r="F26"/>
  <c r="L28"/>
  <c r="F30"/>
  <c r="F32"/>
  <c r="F34"/>
  <c r="L36"/>
  <c r="L39"/>
  <c r="F41"/>
  <c r="L43"/>
  <c r="F45"/>
  <c r="F46"/>
  <c r="F47"/>
  <c r="F48"/>
  <c r="F49"/>
  <c r="F50"/>
  <c r="F51"/>
  <c r="C14"/>
  <c r="I16"/>
  <c r="C18"/>
  <c r="I20"/>
  <c r="C22"/>
  <c r="I24"/>
  <c r="C26"/>
  <c r="I28"/>
  <c r="C32"/>
  <c r="C34"/>
  <c r="I36"/>
  <c r="I39"/>
  <c r="C41"/>
  <c r="I43"/>
  <c r="H13" i="109"/>
  <c r="I60"/>
  <c r="L60"/>
  <c r="F60"/>
  <c r="L17"/>
  <c r="I18"/>
  <c r="F19"/>
  <c r="L22"/>
  <c r="I23"/>
  <c r="F24"/>
  <c r="L28"/>
  <c r="I29"/>
  <c r="F30"/>
  <c r="L32"/>
  <c r="E34"/>
  <c r="K34"/>
  <c r="F36"/>
  <c r="L38"/>
  <c r="I39"/>
  <c r="I41"/>
  <c r="L43"/>
  <c r="I44"/>
  <c r="F45"/>
  <c r="L47"/>
  <c r="I48"/>
  <c r="F49"/>
  <c r="F54"/>
  <c r="L56"/>
  <c r="I57"/>
  <c r="F58"/>
  <c r="L61"/>
  <c r="L64"/>
  <c r="I65"/>
  <c r="F66"/>
  <c r="L68"/>
  <c r="L70"/>
  <c r="F72"/>
  <c r="L76"/>
  <c r="I77"/>
  <c r="F78"/>
  <c r="F83"/>
  <c r="L85"/>
  <c r="I86"/>
  <c r="F87"/>
  <c r="L89"/>
  <c r="I90"/>
  <c r="F91"/>
  <c r="I94"/>
  <c r="L98"/>
  <c r="I99"/>
  <c r="F18"/>
  <c r="F23"/>
  <c r="F29"/>
  <c r="L31"/>
  <c r="L37"/>
  <c r="F39"/>
  <c r="L42"/>
  <c r="F44"/>
  <c r="L46"/>
  <c r="F48"/>
  <c r="L55"/>
  <c r="L67"/>
  <c r="F77"/>
  <c r="L79"/>
  <c r="L84"/>
  <c r="F86"/>
  <c r="L88"/>
  <c r="F90"/>
  <c r="F94"/>
  <c r="L97"/>
  <c r="L101"/>
  <c r="I31"/>
  <c r="I37"/>
  <c r="I42"/>
  <c r="I46"/>
  <c r="I55"/>
  <c r="I67"/>
  <c r="I79"/>
  <c r="I84"/>
  <c r="I88"/>
  <c r="I97"/>
  <c r="I101"/>
  <c r="I13" i="107"/>
  <c r="C14"/>
  <c r="O14"/>
  <c r="I15"/>
  <c r="C16"/>
  <c r="O16"/>
  <c r="I17"/>
  <c r="C18"/>
  <c r="O18"/>
  <c r="I19"/>
  <c r="C20"/>
  <c r="O20"/>
  <c r="I21"/>
  <c r="C22"/>
  <c r="O22"/>
  <c r="I23"/>
  <c r="C24"/>
  <c r="O24"/>
  <c r="I25"/>
  <c r="C26"/>
  <c r="O26"/>
  <c r="I27"/>
  <c r="C28"/>
  <c r="O28"/>
  <c r="I29"/>
  <c r="C30"/>
  <c r="O30"/>
  <c r="I31"/>
  <c r="C32"/>
  <c r="O32"/>
  <c r="I33"/>
  <c r="C34"/>
  <c r="O34"/>
  <c r="I35"/>
  <c r="C36"/>
  <c r="O36"/>
  <c r="I37"/>
  <c r="C38"/>
  <c r="O38"/>
  <c r="I39"/>
  <c r="C40"/>
  <c r="O40"/>
  <c r="I41"/>
  <c r="C42"/>
  <c r="O42"/>
  <c r="I43"/>
  <c r="C44"/>
  <c r="O44"/>
  <c r="I45"/>
  <c r="C46"/>
  <c r="O46"/>
  <c r="I47"/>
  <c r="C48"/>
  <c r="O48"/>
  <c r="I49"/>
  <c r="C50"/>
  <c r="O50"/>
  <c r="F13"/>
  <c r="L14"/>
  <c r="F15"/>
  <c r="L16"/>
  <c r="F17"/>
  <c r="L18"/>
  <c r="F19"/>
  <c r="L20"/>
  <c r="F21"/>
  <c r="L22"/>
  <c r="F23"/>
  <c r="L24"/>
  <c r="F25"/>
  <c r="L26"/>
  <c r="F27"/>
  <c r="L28"/>
  <c r="L30"/>
  <c r="L32"/>
  <c r="L34"/>
  <c r="L36"/>
  <c r="L38"/>
  <c r="L40"/>
  <c r="L42"/>
  <c r="L44"/>
  <c r="L46"/>
  <c r="L48"/>
  <c r="L50"/>
  <c r="C13"/>
  <c r="O13"/>
  <c r="I14"/>
  <c r="C15"/>
  <c r="O15"/>
  <c r="I16"/>
  <c r="C17"/>
  <c r="O17"/>
  <c r="I18"/>
  <c r="C19"/>
  <c r="O19"/>
  <c r="I20"/>
  <c r="C21"/>
  <c r="O21"/>
  <c r="I22"/>
  <c r="C23"/>
  <c r="O23"/>
  <c r="I24"/>
  <c r="C25"/>
  <c r="O25"/>
  <c r="I26"/>
  <c r="C27"/>
  <c r="O27"/>
  <c r="I28"/>
  <c r="C29"/>
  <c r="O29"/>
  <c r="I30"/>
  <c r="C31"/>
  <c r="O31"/>
  <c r="I32"/>
  <c r="C33"/>
  <c r="O33"/>
  <c r="I34"/>
  <c r="C35"/>
  <c r="O35"/>
  <c r="I36"/>
  <c r="C37"/>
  <c r="O37"/>
  <c r="I38"/>
  <c r="C39"/>
  <c r="O39"/>
  <c r="I40"/>
  <c r="C41"/>
  <c r="O41"/>
  <c r="I42"/>
  <c r="C43"/>
  <c r="O43"/>
  <c r="I44"/>
  <c r="C45"/>
  <c r="O45"/>
  <c r="I46"/>
  <c r="C47"/>
  <c r="O47"/>
  <c r="I48"/>
  <c r="C49"/>
  <c r="O49"/>
  <c r="I50"/>
  <c r="R60" i="106"/>
  <c r="E11"/>
  <c r="Q11"/>
  <c r="L60"/>
  <c r="K11"/>
  <c r="H13"/>
  <c r="B13" s="1"/>
  <c r="N13"/>
  <c r="F15"/>
  <c r="L15"/>
  <c r="R15"/>
  <c r="I17"/>
  <c r="L18"/>
  <c r="O19"/>
  <c r="I22"/>
  <c r="L23"/>
  <c r="O24"/>
  <c r="I28"/>
  <c r="L29"/>
  <c r="O30"/>
  <c r="F31"/>
  <c r="R31"/>
  <c r="I32"/>
  <c r="O36"/>
  <c r="F37"/>
  <c r="R37"/>
  <c r="I38"/>
  <c r="L39"/>
  <c r="F42"/>
  <c r="R42"/>
  <c r="I43"/>
  <c r="L44"/>
  <c r="O45"/>
  <c r="F46"/>
  <c r="R46"/>
  <c r="I47"/>
  <c r="L48"/>
  <c r="O49"/>
  <c r="I51"/>
  <c r="O54"/>
  <c r="F55"/>
  <c r="R55"/>
  <c r="I56"/>
  <c r="L57"/>
  <c r="O58"/>
  <c r="F60"/>
  <c r="I61"/>
  <c r="O64"/>
  <c r="F65"/>
  <c r="R65"/>
  <c r="I66"/>
  <c r="L67"/>
  <c r="O68"/>
  <c r="I70"/>
  <c r="O72"/>
  <c r="L76"/>
  <c r="O77"/>
  <c r="F78"/>
  <c r="R78"/>
  <c r="I79"/>
  <c r="O83"/>
  <c r="F84"/>
  <c r="R84"/>
  <c r="I85"/>
  <c r="L86"/>
  <c r="O87"/>
  <c r="F88"/>
  <c r="R88"/>
  <c r="I89"/>
  <c r="L90"/>
  <c r="O91"/>
  <c r="I93"/>
  <c r="L94"/>
  <c r="F97"/>
  <c r="R97"/>
  <c r="I98"/>
  <c r="L99"/>
  <c r="O100"/>
  <c r="F101"/>
  <c r="R101"/>
  <c r="F17"/>
  <c r="R17"/>
  <c r="L19"/>
  <c r="F22"/>
  <c r="R22"/>
  <c r="L24"/>
  <c r="F28"/>
  <c r="R28"/>
  <c r="L30"/>
  <c r="F32"/>
  <c r="R32"/>
  <c r="L36"/>
  <c r="F38"/>
  <c r="R38"/>
  <c r="F43"/>
  <c r="R43"/>
  <c r="L45"/>
  <c r="F47"/>
  <c r="R47"/>
  <c r="L49"/>
  <c r="F51"/>
  <c r="R51"/>
  <c r="L54"/>
  <c r="R56"/>
  <c r="L58"/>
  <c r="F61"/>
  <c r="R61"/>
  <c r="L64"/>
  <c r="F66"/>
  <c r="R66"/>
  <c r="L68"/>
  <c r="F70"/>
  <c r="R70"/>
  <c r="L72"/>
  <c r="L77"/>
  <c r="F79"/>
  <c r="R79"/>
  <c r="L83"/>
  <c r="F85"/>
  <c r="R85"/>
  <c r="L87"/>
  <c r="F89"/>
  <c r="R89"/>
  <c r="L91"/>
  <c r="F93"/>
  <c r="R93"/>
  <c r="F98"/>
  <c r="R98"/>
  <c r="L100"/>
  <c r="O17"/>
  <c r="F18"/>
  <c r="I19"/>
  <c r="O22"/>
  <c r="F23"/>
  <c r="I24"/>
  <c r="O28"/>
  <c r="F29"/>
  <c r="I30"/>
  <c r="O32"/>
  <c r="I36"/>
  <c r="O38"/>
  <c r="F39"/>
  <c r="O43"/>
  <c r="F44"/>
  <c r="I45"/>
  <c r="O47"/>
  <c r="F48"/>
  <c r="I49"/>
  <c r="O51"/>
  <c r="I54"/>
  <c r="O56"/>
  <c r="F57"/>
  <c r="I58"/>
  <c r="O61"/>
  <c r="I64"/>
  <c r="O66"/>
  <c r="F67"/>
  <c r="I68"/>
  <c r="O70"/>
  <c r="I72"/>
  <c r="F76"/>
  <c r="I77"/>
  <c r="O79"/>
  <c r="I83"/>
  <c r="O85"/>
  <c r="F86"/>
  <c r="I87"/>
  <c r="O89"/>
  <c r="F90"/>
  <c r="I91"/>
  <c r="O93"/>
  <c r="F94"/>
  <c r="O98"/>
  <c r="F99"/>
  <c r="I100"/>
  <c r="F19"/>
  <c r="F24"/>
  <c r="F30"/>
  <c r="F36"/>
  <c r="F45"/>
  <c r="F49"/>
  <c r="F54"/>
  <c r="F58"/>
  <c r="F64"/>
  <c r="F68"/>
  <c r="F72"/>
  <c r="F83"/>
  <c r="F87"/>
  <c r="F91"/>
  <c r="F100"/>
  <c r="F12" i="105"/>
  <c r="I12"/>
  <c r="C26"/>
  <c r="C30"/>
  <c r="C34"/>
  <c r="C38"/>
  <c r="C40"/>
  <c r="C43"/>
  <c r="C47"/>
  <c r="C51"/>
  <c r="C24"/>
  <c r="C12" s="1"/>
  <c r="C28"/>
  <c r="C32"/>
  <c r="C36"/>
  <c r="C39"/>
  <c r="C41"/>
  <c r="C45"/>
  <c r="C49"/>
  <c r="I14"/>
  <c r="I15"/>
  <c r="I16"/>
  <c r="I17"/>
  <c r="I18"/>
  <c r="I19"/>
  <c r="I20"/>
  <c r="I21"/>
  <c r="I22"/>
  <c r="I23"/>
  <c r="I24"/>
  <c r="I25"/>
  <c r="I26"/>
  <c r="I27"/>
  <c r="I28"/>
  <c r="I29"/>
  <c r="I30"/>
  <c r="I31"/>
  <c r="I32"/>
  <c r="I33"/>
  <c r="I34"/>
  <c r="I35"/>
  <c r="I36"/>
  <c r="I37"/>
  <c r="I38"/>
  <c r="I39"/>
  <c r="I40"/>
  <c r="I41"/>
  <c r="I42"/>
  <c r="I43"/>
  <c r="I44"/>
  <c r="I45"/>
  <c r="I46"/>
  <c r="I47"/>
  <c r="I48"/>
  <c r="I49"/>
  <c r="I50"/>
  <c r="I51"/>
  <c r="F23"/>
  <c r="F24"/>
  <c r="F25"/>
  <c r="F26"/>
  <c r="F27"/>
  <c r="F28"/>
  <c r="F29"/>
  <c r="F30"/>
  <c r="F31"/>
  <c r="F32"/>
  <c r="F33"/>
  <c r="F34"/>
  <c r="F35"/>
  <c r="F36"/>
  <c r="F37"/>
  <c r="F41"/>
  <c r="F42"/>
  <c r="F43"/>
  <c r="F44"/>
  <c r="F45"/>
  <c r="F46"/>
  <c r="F47"/>
  <c r="F48"/>
  <c r="F49"/>
  <c r="F50"/>
  <c r="F51"/>
  <c r="I34" i="103"/>
  <c r="C34"/>
  <c r="F34"/>
  <c r="I13"/>
  <c r="F17"/>
  <c r="F18"/>
  <c r="F19"/>
  <c r="C23"/>
  <c r="F24"/>
  <c r="C27"/>
  <c r="C35"/>
  <c r="C42"/>
  <c r="C43"/>
  <c r="C44"/>
  <c r="C45"/>
  <c r="C46"/>
  <c r="C47"/>
  <c r="C48"/>
  <c r="C49"/>
  <c r="C51"/>
  <c r="C53"/>
  <c r="I58"/>
  <c r="C61"/>
  <c r="C63"/>
  <c r="I63"/>
  <c r="I64"/>
  <c r="I65"/>
  <c r="I66"/>
  <c r="I67"/>
  <c r="I68"/>
  <c r="I70"/>
  <c r="I72"/>
  <c r="I76"/>
  <c r="I77"/>
  <c r="I78"/>
  <c r="I79"/>
  <c r="F86"/>
  <c r="F87"/>
  <c r="F88"/>
  <c r="F89"/>
  <c r="F90"/>
  <c r="F91"/>
  <c r="C93"/>
  <c r="C94"/>
  <c r="I99"/>
  <c r="I100"/>
  <c r="I101"/>
  <c r="B13"/>
  <c r="C13" s="1"/>
  <c r="C11" s="1"/>
  <c r="C15"/>
  <c r="C17"/>
  <c r="C18"/>
  <c r="C19"/>
  <c r="F76"/>
  <c r="F77"/>
  <c r="F78"/>
  <c r="F79"/>
  <c r="C81"/>
  <c r="C83"/>
  <c r="C84"/>
  <c r="C85"/>
  <c r="C91"/>
  <c r="F97"/>
  <c r="F98"/>
  <c r="F99"/>
  <c r="F100"/>
  <c r="F101"/>
  <c r="F22"/>
  <c r="C26"/>
  <c r="C28"/>
  <c r="C29"/>
  <c r="C30"/>
  <c r="C31"/>
  <c r="C32"/>
  <c r="C36"/>
  <c r="C37"/>
  <c r="C38"/>
  <c r="C39"/>
  <c r="C41"/>
  <c r="I42"/>
  <c r="I43"/>
  <c r="I44"/>
  <c r="I45"/>
  <c r="I46"/>
  <c r="I47"/>
  <c r="I48"/>
  <c r="I49"/>
  <c r="I51"/>
  <c r="C54"/>
  <c r="C55"/>
  <c r="C56"/>
  <c r="C57"/>
  <c r="C58"/>
  <c r="I61"/>
  <c r="C64"/>
  <c r="C65"/>
  <c r="C66"/>
  <c r="C67"/>
  <c r="C68"/>
  <c r="C70"/>
  <c r="C72"/>
  <c r="I94"/>
  <c r="D12" i="101"/>
  <c r="D20"/>
  <c r="D26"/>
  <c r="J16"/>
  <c r="G18"/>
  <c r="D18" s="1"/>
  <c r="M22"/>
  <c r="D22" s="1"/>
  <c r="J24"/>
  <c r="M30"/>
  <c r="D30" s="1"/>
  <c r="M36"/>
  <c r="D36" s="1"/>
  <c r="G16"/>
  <c r="D16" s="1"/>
  <c r="M20"/>
  <c r="G24"/>
  <c r="D24" s="1"/>
  <c r="M34"/>
  <c r="D34" s="1"/>
  <c r="J36"/>
  <c r="J20"/>
  <c r="J34"/>
  <c r="F15" i="99"/>
  <c r="F17"/>
  <c r="F19"/>
  <c r="F21"/>
  <c r="C15"/>
  <c r="C17"/>
  <c r="C19"/>
  <c r="C21"/>
  <c r="F14"/>
  <c r="F16"/>
  <c r="F18"/>
  <c r="C14"/>
  <c r="C16"/>
  <c r="C18"/>
  <c r="D12" i="97"/>
  <c r="J13"/>
  <c r="J14"/>
  <c r="J15"/>
  <c r="J16"/>
  <c r="J17"/>
  <c r="J18"/>
  <c r="J19"/>
  <c r="J20"/>
  <c r="J21"/>
  <c r="J22"/>
  <c r="J23"/>
  <c r="J24"/>
  <c r="J25"/>
  <c r="J26"/>
  <c r="J27"/>
  <c r="J28"/>
  <c r="J29"/>
  <c r="J30"/>
  <c r="J31"/>
  <c r="J32"/>
  <c r="J33"/>
  <c r="J34"/>
  <c r="J35"/>
  <c r="G24"/>
  <c r="G25"/>
  <c r="G26"/>
  <c r="G27"/>
  <c r="G28"/>
  <c r="G29"/>
  <c r="G30"/>
  <c r="G31"/>
  <c r="G32"/>
  <c r="G33"/>
  <c r="G34"/>
  <c r="F15" i="96"/>
  <c r="F17"/>
  <c r="F19"/>
  <c r="F21"/>
  <c r="C15"/>
  <c r="C17"/>
  <c r="C19"/>
  <c r="C21"/>
  <c r="F14"/>
  <c r="F16"/>
  <c r="F18"/>
  <c r="C14"/>
  <c r="C16"/>
  <c r="C18"/>
  <c r="P14" i="93"/>
  <c r="P15"/>
  <c r="J17"/>
  <c r="J18"/>
  <c r="V18"/>
  <c r="J19"/>
  <c r="V19"/>
  <c r="J20"/>
  <c r="V20"/>
  <c r="J21"/>
  <c r="V21"/>
  <c r="M14"/>
  <c r="M15"/>
  <c r="S17"/>
  <c r="S18"/>
  <c r="G19"/>
  <c r="S19"/>
  <c r="G20"/>
  <c r="S20"/>
  <c r="G21"/>
  <c r="S21"/>
  <c r="J14"/>
  <c r="V14"/>
  <c r="J15"/>
  <c r="V15"/>
  <c r="P18"/>
  <c r="P19"/>
  <c r="P20"/>
  <c r="P21"/>
  <c r="G14"/>
  <c r="G15"/>
  <c r="D15" i="91"/>
  <c r="D19"/>
  <c r="D25"/>
  <c r="D41"/>
  <c r="D33"/>
  <c r="D39"/>
  <c r="D17"/>
  <c r="D23"/>
  <c r="D27"/>
  <c r="D37"/>
  <c r="D21"/>
  <c r="D31"/>
  <c r="G14" i="90"/>
  <c r="S14"/>
  <c r="G15"/>
  <c r="S15"/>
  <c r="G16"/>
  <c r="S16"/>
  <c r="G17"/>
  <c r="S17"/>
  <c r="G18"/>
  <c r="S18"/>
  <c r="G19"/>
  <c r="S19"/>
  <c r="G20"/>
  <c r="S20"/>
  <c r="G21"/>
  <c r="S21"/>
  <c r="J23"/>
  <c r="V23"/>
  <c r="D14"/>
  <c r="D15"/>
  <c r="D16"/>
  <c r="D17"/>
  <c r="D18"/>
  <c r="D19"/>
  <c r="D20"/>
  <c r="D21"/>
  <c r="G23"/>
  <c r="S23"/>
  <c r="D23"/>
  <c r="P23"/>
  <c r="C11" i="88"/>
  <c r="D13" s="1"/>
  <c r="M22" i="87"/>
  <c r="P22"/>
  <c r="S22"/>
  <c r="G22"/>
  <c r="V22"/>
  <c r="J22"/>
  <c r="F12"/>
  <c r="P14"/>
  <c r="M16"/>
  <c r="M17"/>
  <c r="M18"/>
  <c r="M19"/>
  <c r="M20"/>
  <c r="M21"/>
  <c r="M14"/>
  <c r="C15"/>
  <c r="G15" s="1"/>
  <c r="J14"/>
  <c r="V14"/>
  <c r="G16"/>
  <c r="G17"/>
  <c r="G18"/>
  <c r="G19"/>
  <c r="G20"/>
  <c r="G21"/>
  <c r="G14"/>
  <c r="D15" i="85"/>
  <c r="P15"/>
  <c r="M16"/>
  <c r="J17"/>
  <c r="G18"/>
  <c r="D19"/>
  <c r="P19"/>
  <c r="J21"/>
  <c r="G22"/>
  <c r="D23"/>
  <c r="P23"/>
  <c r="M24"/>
  <c r="G26"/>
  <c r="D27"/>
  <c r="P27"/>
  <c r="M28"/>
  <c r="J29"/>
  <c r="G30"/>
  <c r="D31"/>
  <c r="P31"/>
  <c r="M32"/>
  <c r="G34"/>
  <c r="D35"/>
  <c r="P35"/>
  <c r="M36"/>
  <c r="J37"/>
  <c r="G38"/>
  <c r="D39"/>
  <c r="P39"/>
  <c r="J41"/>
  <c r="G42"/>
  <c r="D43"/>
  <c r="P43"/>
  <c r="M44"/>
  <c r="J45"/>
  <c r="G46"/>
  <c r="D47"/>
  <c r="P47"/>
  <c r="J49"/>
  <c r="D51"/>
  <c r="P51"/>
  <c r="M52"/>
  <c r="J53"/>
  <c r="G54"/>
  <c r="D55"/>
  <c r="P55"/>
  <c r="M56"/>
  <c r="G58"/>
  <c r="D59"/>
  <c r="P59"/>
  <c r="J61"/>
  <c r="G62"/>
  <c r="D63"/>
  <c r="P63"/>
  <c r="M64"/>
  <c r="G66"/>
  <c r="M68"/>
  <c r="G70"/>
  <c r="M72"/>
  <c r="J73"/>
  <c r="G74"/>
  <c r="D75"/>
  <c r="P75"/>
  <c r="M76"/>
  <c r="J77"/>
  <c r="D79"/>
  <c r="P79"/>
  <c r="M80"/>
  <c r="J81"/>
  <c r="G82"/>
  <c r="D83"/>
  <c r="P83"/>
  <c r="M84"/>
  <c r="J85"/>
  <c r="G86"/>
  <c r="D87"/>
  <c r="P87"/>
  <c r="M88"/>
  <c r="G90"/>
  <c r="M92"/>
  <c r="G94"/>
  <c r="G11" s="1"/>
  <c r="P94"/>
  <c r="P11" s="1"/>
  <c r="M31"/>
  <c r="J32"/>
  <c r="D34"/>
  <c r="P34"/>
  <c r="M35"/>
  <c r="J36"/>
  <c r="G37"/>
  <c r="D38"/>
  <c r="P38"/>
  <c r="M39"/>
  <c r="G41"/>
  <c r="D42"/>
  <c r="P42"/>
  <c r="M43"/>
  <c r="J44"/>
  <c r="G45"/>
  <c r="D46"/>
  <c r="P46"/>
  <c r="M47"/>
  <c r="G49"/>
  <c r="M51"/>
  <c r="J52"/>
  <c r="G53"/>
  <c r="D54"/>
  <c r="P54"/>
  <c r="M55"/>
  <c r="J56"/>
  <c r="D58"/>
  <c r="P58"/>
  <c r="M59"/>
  <c r="G61"/>
  <c r="D62"/>
  <c r="P62"/>
  <c r="M63"/>
  <c r="J64"/>
  <c r="D66"/>
  <c r="P66"/>
  <c r="J68"/>
  <c r="D70"/>
  <c r="P70"/>
  <c r="J72"/>
  <c r="G73"/>
  <c r="D74"/>
  <c r="P74"/>
  <c r="M75"/>
  <c r="J76"/>
  <c r="G77"/>
  <c r="M79"/>
  <c r="J80"/>
  <c r="G81"/>
  <c r="D82"/>
  <c r="P82"/>
  <c r="M83"/>
  <c r="J84"/>
  <c r="G85"/>
  <c r="D86"/>
  <c r="P86"/>
  <c r="M87"/>
  <c r="J88"/>
  <c r="D90"/>
  <c r="P90"/>
  <c r="J92"/>
  <c r="D94"/>
  <c r="D11" s="1"/>
  <c r="M94"/>
  <c r="M11" s="1"/>
  <c r="J15"/>
  <c r="G16"/>
  <c r="D17"/>
  <c r="P17"/>
  <c r="M18"/>
  <c r="J19"/>
  <c r="D21"/>
  <c r="P21"/>
  <c r="M22"/>
  <c r="J23"/>
  <c r="G24"/>
  <c r="M26"/>
  <c r="J27"/>
  <c r="G28"/>
  <c r="D29"/>
  <c r="P29"/>
  <c r="M30"/>
  <c r="J31"/>
  <c r="G32"/>
  <c r="M34"/>
  <c r="J35"/>
  <c r="G36"/>
  <c r="D37"/>
  <c r="P37"/>
  <c r="M38"/>
  <c r="J39"/>
  <c r="D41"/>
  <c r="P41"/>
  <c r="M42"/>
  <c r="J43"/>
  <c r="G44"/>
  <c r="D45"/>
  <c r="P45"/>
  <c r="M46"/>
  <c r="J47"/>
  <c r="D49"/>
  <c r="P49"/>
  <c r="J51"/>
  <c r="G52"/>
  <c r="D53"/>
  <c r="P53"/>
  <c r="M54"/>
  <c r="J55"/>
  <c r="G56"/>
  <c r="M58"/>
  <c r="J59"/>
  <c r="D61"/>
  <c r="P61"/>
  <c r="M62"/>
  <c r="J63"/>
  <c r="G64"/>
  <c r="M66"/>
  <c r="G68"/>
  <c r="M70"/>
  <c r="G72"/>
  <c r="D73"/>
  <c r="P73"/>
  <c r="M74"/>
  <c r="J75"/>
  <c r="G76"/>
  <c r="D77"/>
  <c r="P77"/>
  <c r="J79"/>
  <c r="G80"/>
  <c r="D81"/>
  <c r="P81"/>
  <c r="M82"/>
  <c r="J83"/>
  <c r="G84"/>
  <c r="D85"/>
  <c r="P85"/>
  <c r="M86"/>
  <c r="J87"/>
  <c r="G88"/>
  <c r="M90"/>
  <c r="G92"/>
  <c r="D32"/>
  <c r="J34"/>
  <c r="G35"/>
  <c r="D36"/>
  <c r="P36"/>
  <c r="M37"/>
  <c r="J38"/>
  <c r="G39"/>
  <c r="M41"/>
  <c r="J42"/>
  <c r="G43"/>
  <c r="D44"/>
  <c r="P44"/>
  <c r="M45"/>
  <c r="J46"/>
  <c r="G47"/>
  <c r="M49"/>
  <c r="G51"/>
  <c r="D52"/>
  <c r="P52"/>
  <c r="M53"/>
  <c r="J54"/>
  <c r="G55"/>
  <c r="D56"/>
  <c r="P56"/>
  <c r="J58"/>
  <c r="G59"/>
  <c r="M61"/>
  <c r="J62"/>
  <c r="G63"/>
  <c r="D64"/>
  <c r="P64"/>
  <c r="J66"/>
  <c r="D68"/>
  <c r="P68"/>
  <c r="J70"/>
  <c r="D72"/>
  <c r="P72"/>
  <c r="M73"/>
  <c r="J74"/>
  <c r="G75"/>
  <c r="D76"/>
  <c r="P76"/>
  <c r="M77"/>
  <c r="G79"/>
  <c r="D80"/>
  <c r="P80"/>
  <c r="M81"/>
  <c r="J82"/>
  <c r="G83"/>
  <c r="D84"/>
  <c r="P84"/>
  <c r="J86"/>
  <c r="D88"/>
  <c r="P88"/>
  <c r="L12" i="83"/>
  <c r="D28"/>
  <c r="D35"/>
  <c r="D26"/>
  <c r="G16"/>
  <c r="D16" s="1"/>
  <c r="M16"/>
  <c r="G18"/>
  <c r="M20"/>
  <c r="D20" s="1"/>
  <c r="M25"/>
  <c r="D25" s="1"/>
  <c r="G27"/>
  <c r="D27" s="1"/>
  <c r="M29"/>
  <c r="D29" s="1"/>
  <c r="M34"/>
  <c r="D34" s="1"/>
  <c r="G36"/>
  <c r="D36" s="1"/>
  <c r="M38"/>
  <c r="M19"/>
  <c r="M28"/>
  <c r="M37"/>
  <c r="D37" s="1"/>
  <c r="J38"/>
  <c r="D38" s="1"/>
  <c r="F14"/>
  <c r="M18"/>
  <c r="J19"/>
  <c r="D19" s="1"/>
  <c r="G23"/>
  <c r="D23" s="1"/>
  <c r="M27"/>
  <c r="J28"/>
  <c r="G32"/>
  <c r="D32" s="1"/>
  <c r="M36"/>
  <c r="J37"/>
  <c r="K13" i="69"/>
  <c r="H13"/>
  <c r="E13"/>
  <c r="K101"/>
  <c r="H101"/>
  <c r="B107"/>
  <c r="I106"/>
  <c r="B106"/>
  <c r="F106" s="1"/>
  <c r="F105"/>
  <c r="B105"/>
  <c r="I105" s="1"/>
  <c r="B104"/>
  <c r="L104" s="1"/>
  <c r="K103"/>
  <c r="H103"/>
  <c r="E103"/>
  <c r="L102"/>
  <c r="I102"/>
  <c r="F102"/>
  <c r="C102"/>
  <c r="B102"/>
  <c r="D18" i="93" l="1"/>
  <c r="D15"/>
  <c r="V12"/>
  <c r="D20"/>
  <c r="D14"/>
  <c r="D17"/>
  <c r="D19"/>
  <c r="D21"/>
  <c r="S12"/>
  <c r="G12"/>
  <c r="D16"/>
  <c r="J12"/>
  <c r="M12"/>
  <c r="M12" i="141"/>
  <c r="M14"/>
  <c r="G14"/>
  <c r="J12"/>
  <c r="D12" s="1"/>
  <c r="G12" i="138"/>
  <c r="D12" s="1"/>
  <c r="C26" i="119"/>
  <c r="C29"/>
  <c r="C25"/>
  <c r="C21"/>
  <c r="C17"/>
  <c r="C28"/>
  <c r="C24"/>
  <c r="C43"/>
  <c r="L12"/>
  <c r="C50"/>
  <c r="C16"/>
  <c r="C20"/>
  <c r="F12"/>
  <c r="C30"/>
  <c r="C22"/>
  <c r="C48"/>
  <c r="C44"/>
  <c r="C40"/>
  <c r="C47"/>
  <c r="C35"/>
  <c r="C18"/>
  <c r="C14"/>
  <c r="R12"/>
  <c r="O12"/>
  <c r="E10" i="111"/>
  <c r="E13" i="134"/>
  <c r="D13" i="131"/>
  <c r="F11" i="130"/>
  <c r="C21"/>
  <c r="C17"/>
  <c r="C19"/>
  <c r="C15"/>
  <c r="C11" s="1"/>
  <c r="R11"/>
  <c r="C14" i="128"/>
  <c r="O14"/>
  <c r="I14"/>
  <c r="I11" i="126"/>
  <c r="O11"/>
  <c r="U23"/>
  <c r="C17"/>
  <c r="L23"/>
  <c r="U11"/>
  <c r="C15"/>
  <c r="C21"/>
  <c r="I23"/>
  <c r="C19"/>
  <c r="X23"/>
  <c r="R23"/>
  <c r="F23"/>
  <c r="C23" s="1"/>
  <c r="C13"/>
  <c r="O11" i="123"/>
  <c r="R23"/>
  <c r="C21"/>
  <c r="L23"/>
  <c r="C15"/>
  <c r="I23"/>
  <c r="X23"/>
  <c r="I11"/>
  <c r="C19"/>
  <c r="U23"/>
  <c r="C13"/>
  <c r="U11"/>
  <c r="F23"/>
  <c r="C17"/>
  <c r="C11" i="122"/>
  <c r="F11"/>
  <c r="I11"/>
  <c r="L11"/>
  <c r="O11"/>
  <c r="R11"/>
  <c r="U11"/>
  <c r="X11"/>
  <c r="O11" i="120"/>
  <c r="C21"/>
  <c r="C13"/>
  <c r="F11"/>
  <c r="I11"/>
  <c r="C15"/>
  <c r="R11"/>
  <c r="U11"/>
  <c r="C17"/>
  <c r="C12" i="119"/>
  <c r="C61" i="118"/>
  <c r="C14"/>
  <c r="L61"/>
  <c r="L14"/>
  <c r="F14"/>
  <c r="F12"/>
  <c r="B12"/>
  <c r="L12"/>
  <c r="O12"/>
  <c r="F61"/>
  <c r="I61"/>
  <c r="R12"/>
  <c r="F60" i="115"/>
  <c r="E13"/>
  <c r="B34"/>
  <c r="H13"/>
  <c r="I60"/>
  <c r="C18" i="113"/>
  <c r="C44"/>
  <c r="C14"/>
  <c r="C23"/>
  <c r="C49"/>
  <c r="C47"/>
  <c r="C19"/>
  <c r="C37"/>
  <c r="C26"/>
  <c r="C33"/>
  <c r="C43"/>
  <c r="C39"/>
  <c r="C36"/>
  <c r="C32"/>
  <c r="C29"/>
  <c r="C25"/>
  <c r="C21"/>
  <c r="C17"/>
  <c r="C13"/>
  <c r="I11"/>
  <c r="C46"/>
  <c r="C42"/>
  <c r="C38"/>
  <c r="C35"/>
  <c r="C31"/>
  <c r="C28"/>
  <c r="C24"/>
  <c r="C20"/>
  <c r="C16"/>
  <c r="F11"/>
  <c r="C50"/>
  <c r="C40"/>
  <c r="C34"/>
  <c r="C15"/>
  <c r="C41"/>
  <c r="C27"/>
  <c r="C45"/>
  <c r="C30"/>
  <c r="B13" i="112"/>
  <c r="F13" s="1"/>
  <c r="E11"/>
  <c r="K11"/>
  <c r="C11" i="110"/>
  <c r="K13" i="109"/>
  <c r="E13"/>
  <c r="B34"/>
  <c r="F34" s="1"/>
  <c r="H11"/>
  <c r="C11" i="107"/>
  <c r="F13" i="106"/>
  <c r="R13"/>
  <c r="L13"/>
  <c r="I13"/>
  <c r="H11"/>
  <c r="B11" s="1"/>
  <c r="O13"/>
  <c r="N11"/>
  <c r="F13" i="103"/>
  <c r="F13" i="99"/>
  <c r="C13"/>
  <c r="C13" i="96"/>
  <c r="F13"/>
  <c r="D12" i="90"/>
  <c r="D35" i="88"/>
  <c r="D31"/>
  <c r="D25"/>
  <c r="D19"/>
  <c r="D15"/>
  <c r="D37"/>
  <c r="D21"/>
  <c r="D39"/>
  <c r="D33"/>
  <c r="D27"/>
  <c r="D23"/>
  <c r="D17"/>
  <c r="D41"/>
  <c r="D29"/>
  <c r="D11" s="1"/>
  <c r="C12" i="87"/>
  <c r="G12"/>
  <c r="P15"/>
  <c r="S15"/>
  <c r="V15"/>
  <c r="J15"/>
  <c r="M15"/>
  <c r="D15"/>
  <c r="F12" i="83"/>
  <c r="G14"/>
  <c r="C14"/>
  <c r="D18"/>
  <c r="B103" i="69"/>
  <c r="I103" s="1"/>
  <c r="L103"/>
  <c r="F103"/>
  <c r="I104"/>
  <c r="F104"/>
  <c r="L107"/>
  <c r="L106"/>
  <c r="I107"/>
  <c r="L105"/>
  <c r="F107"/>
  <c r="I173"/>
  <c r="I175"/>
  <c r="I177"/>
  <c r="I180"/>
  <c r="F173"/>
  <c r="F175"/>
  <c r="F177"/>
  <c r="F180"/>
  <c r="F191"/>
  <c r="I23"/>
  <c r="I27"/>
  <c r="I35"/>
  <c r="I42"/>
  <c r="I53"/>
  <c r="I55"/>
  <c r="I63"/>
  <c r="I72"/>
  <c r="I74"/>
  <c r="I76"/>
  <c r="I89"/>
  <c r="I96"/>
  <c r="F23"/>
  <c r="F27"/>
  <c r="F35"/>
  <c r="F42"/>
  <c r="F53"/>
  <c r="F55"/>
  <c r="F63"/>
  <c r="F72"/>
  <c r="F74"/>
  <c r="F76"/>
  <c r="F89"/>
  <c r="F96"/>
  <c r="T14" i="66"/>
  <c r="Q14"/>
  <c r="N14"/>
  <c r="K14"/>
  <c r="H14"/>
  <c r="E14"/>
  <c r="B14"/>
  <c r="U99"/>
  <c r="R99"/>
  <c r="O99"/>
  <c r="L99"/>
  <c r="I99"/>
  <c r="F99"/>
  <c r="C99"/>
  <c r="Q94"/>
  <c r="Q92" s="1"/>
  <c r="N94"/>
  <c r="K94"/>
  <c r="H94"/>
  <c r="H92" s="1"/>
  <c r="E94"/>
  <c r="E92" s="1"/>
  <c r="B94"/>
  <c r="U93"/>
  <c r="R93"/>
  <c r="O93"/>
  <c r="L93"/>
  <c r="I93"/>
  <c r="F93"/>
  <c r="C93"/>
  <c r="N92"/>
  <c r="B92"/>
  <c r="T80"/>
  <c r="Q80"/>
  <c r="Q78" s="1"/>
  <c r="N80"/>
  <c r="K80"/>
  <c r="K78" s="1"/>
  <c r="H80"/>
  <c r="E80"/>
  <c r="E78" s="1"/>
  <c r="B80"/>
  <c r="U79"/>
  <c r="R79"/>
  <c r="O79"/>
  <c r="L79"/>
  <c r="I79"/>
  <c r="F79"/>
  <c r="C79"/>
  <c r="D12" i="93" l="1"/>
  <c r="D14" i="141"/>
  <c r="C11" i="126"/>
  <c r="C23" i="123"/>
  <c r="C11"/>
  <c r="C11" i="120"/>
  <c r="C12" i="118"/>
  <c r="C100"/>
  <c r="C95"/>
  <c r="C91"/>
  <c r="C87"/>
  <c r="C77"/>
  <c r="C76"/>
  <c r="C75"/>
  <c r="C66"/>
  <c r="C56"/>
  <c r="C52"/>
  <c r="C50"/>
  <c r="C48"/>
  <c r="C46"/>
  <c r="C44"/>
  <c r="C40"/>
  <c r="C30"/>
  <c r="C24"/>
  <c r="C19"/>
  <c r="C102"/>
  <c r="C98"/>
  <c r="C97"/>
  <c r="C89"/>
  <c r="C85"/>
  <c r="C79"/>
  <c r="C68"/>
  <c r="C58"/>
  <c r="C49"/>
  <c r="C47"/>
  <c r="C45"/>
  <c r="C43"/>
  <c r="C42"/>
  <c r="C38"/>
  <c r="C32"/>
  <c r="C64"/>
  <c r="C22"/>
  <c r="C54"/>
  <c r="C71"/>
  <c r="C78"/>
  <c r="C39"/>
  <c r="C86"/>
  <c r="C90"/>
  <c r="C94"/>
  <c r="C16"/>
  <c r="C83"/>
  <c r="C35"/>
  <c r="C37"/>
  <c r="C62"/>
  <c r="C67"/>
  <c r="C88"/>
  <c r="C55"/>
  <c r="C59"/>
  <c r="C99"/>
  <c r="C36"/>
  <c r="C27"/>
  <c r="C20"/>
  <c r="C25"/>
  <c r="C31"/>
  <c r="C57"/>
  <c r="C65"/>
  <c r="C69"/>
  <c r="C82"/>
  <c r="C28"/>
  <c r="C17"/>
  <c r="C84"/>
  <c r="C92"/>
  <c r="C101"/>
  <c r="C18"/>
  <c r="C23"/>
  <c r="C29"/>
  <c r="C33"/>
  <c r="C73"/>
  <c r="C80"/>
  <c r="I12"/>
  <c r="H11" i="115"/>
  <c r="I34"/>
  <c r="F13"/>
  <c r="B13"/>
  <c r="E11"/>
  <c r="F34"/>
  <c r="C11" i="113"/>
  <c r="L13" i="112"/>
  <c r="I13"/>
  <c r="B11"/>
  <c r="F11" s="1"/>
  <c r="L13" i="109"/>
  <c r="K11"/>
  <c r="L34"/>
  <c r="I34"/>
  <c r="B13"/>
  <c r="F13" s="1"/>
  <c r="E11"/>
  <c r="C99" i="106"/>
  <c r="C94"/>
  <c r="C90"/>
  <c r="C86"/>
  <c r="C76"/>
  <c r="C75"/>
  <c r="C74"/>
  <c r="C67"/>
  <c r="C57"/>
  <c r="C48"/>
  <c r="C44"/>
  <c r="C39"/>
  <c r="C29"/>
  <c r="C23"/>
  <c r="C18"/>
  <c r="C101"/>
  <c r="C97"/>
  <c r="C96"/>
  <c r="C88"/>
  <c r="C84"/>
  <c r="C78"/>
  <c r="C65"/>
  <c r="C55"/>
  <c r="C46"/>
  <c r="C42"/>
  <c r="C41"/>
  <c r="C37"/>
  <c r="C31"/>
  <c r="C60"/>
  <c r="C15"/>
  <c r="C53"/>
  <c r="C45"/>
  <c r="C72"/>
  <c r="C83"/>
  <c r="C91"/>
  <c r="C100"/>
  <c r="C98"/>
  <c r="C34"/>
  <c r="C35"/>
  <c r="C58"/>
  <c r="C64"/>
  <c r="C77"/>
  <c r="C43"/>
  <c r="C47"/>
  <c r="C51"/>
  <c r="C26"/>
  <c r="C81"/>
  <c r="C27"/>
  <c r="C36"/>
  <c r="C49"/>
  <c r="C87"/>
  <c r="C56"/>
  <c r="C61"/>
  <c r="C79"/>
  <c r="C16"/>
  <c r="C21"/>
  <c r="C82"/>
  <c r="C63"/>
  <c r="C19"/>
  <c r="C24"/>
  <c r="C30"/>
  <c r="C54"/>
  <c r="C68"/>
  <c r="C17"/>
  <c r="C22"/>
  <c r="C28"/>
  <c r="C32"/>
  <c r="C66"/>
  <c r="C70"/>
  <c r="C85"/>
  <c r="C89"/>
  <c r="C93"/>
  <c r="C38"/>
  <c r="F11"/>
  <c r="C13"/>
  <c r="C11" s="1"/>
  <c r="R11"/>
  <c r="L11"/>
  <c r="I11"/>
  <c r="O11"/>
  <c r="D21" i="87"/>
  <c r="D20"/>
  <c r="D19"/>
  <c r="D18"/>
  <c r="D17"/>
  <c r="D16"/>
  <c r="S12"/>
  <c r="M12"/>
  <c r="V12"/>
  <c r="P12"/>
  <c r="J12"/>
  <c r="D22"/>
  <c r="D14"/>
  <c r="M14" i="83"/>
  <c r="D14" s="1"/>
  <c r="J14"/>
  <c r="C12"/>
  <c r="K92" i="66"/>
  <c r="B78"/>
  <c r="H78"/>
  <c r="N78"/>
  <c r="T78"/>
  <c r="G4" i="76"/>
  <c r="B35" i="81"/>
  <c r="F35" s="1"/>
  <c r="F33"/>
  <c r="B33"/>
  <c r="I33" s="1"/>
  <c r="F31"/>
  <c r="B31"/>
  <c r="I31" s="1"/>
  <c r="B29"/>
  <c r="F29" s="1"/>
  <c r="B27"/>
  <c r="F27" s="1"/>
  <c r="B25"/>
  <c r="F25" s="1"/>
  <c r="B23"/>
  <c r="F23" s="1"/>
  <c r="B21"/>
  <c r="F21" s="1"/>
  <c r="B19"/>
  <c r="F19" s="1"/>
  <c r="B17"/>
  <c r="F17" s="1"/>
  <c r="B15"/>
  <c r="F15" s="1"/>
  <c r="B13"/>
  <c r="F13" s="1"/>
  <c r="O12"/>
  <c r="L12"/>
  <c r="I12"/>
  <c r="F12"/>
  <c r="C12"/>
  <c r="N11"/>
  <c r="K11"/>
  <c r="H11"/>
  <c r="E11"/>
  <c r="B44" i="80"/>
  <c r="B43"/>
  <c r="B42"/>
  <c r="B41"/>
  <c r="B40"/>
  <c r="H39"/>
  <c r="E39"/>
  <c r="B39"/>
  <c r="I38"/>
  <c r="F38"/>
  <c r="C38"/>
  <c r="B38"/>
  <c r="B35"/>
  <c r="B34"/>
  <c r="B33"/>
  <c r="B32"/>
  <c r="B31"/>
  <c r="B29"/>
  <c r="B28"/>
  <c r="H27"/>
  <c r="E27"/>
  <c r="I26"/>
  <c r="F26"/>
  <c r="C26"/>
  <c r="B26"/>
  <c r="B25"/>
  <c r="B24"/>
  <c r="B23"/>
  <c r="B21"/>
  <c r="B20"/>
  <c r="B19"/>
  <c r="B18"/>
  <c r="B17"/>
  <c r="B16"/>
  <c r="B15"/>
  <c r="H14"/>
  <c r="E14"/>
  <c r="B14" s="1"/>
  <c r="B13"/>
  <c r="X23" i="79"/>
  <c r="U23"/>
  <c r="R23"/>
  <c r="O23"/>
  <c r="L23"/>
  <c r="I23"/>
  <c r="F23"/>
  <c r="C23"/>
  <c r="X21"/>
  <c r="U21"/>
  <c r="R21"/>
  <c r="O21"/>
  <c r="L21"/>
  <c r="B20"/>
  <c r="C20" s="1"/>
  <c r="X19"/>
  <c r="R19"/>
  <c r="O19"/>
  <c r="L19"/>
  <c r="I19"/>
  <c r="F19"/>
  <c r="C19"/>
  <c r="X17"/>
  <c r="R17"/>
  <c r="O17"/>
  <c r="L17"/>
  <c r="I17"/>
  <c r="F17"/>
  <c r="C17"/>
  <c r="X15"/>
  <c r="U15"/>
  <c r="R15"/>
  <c r="O15"/>
  <c r="L15"/>
  <c r="I15"/>
  <c r="F15"/>
  <c r="C15"/>
  <c r="H14"/>
  <c r="I14" s="1"/>
  <c r="E14"/>
  <c r="F14" s="1"/>
  <c r="B14"/>
  <c r="C14" s="1"/>
  <c r="W12"/>
  <c r="X18" s="1"/>
  <c r="T12"/>
  <c r="U20" s="1"/>
  <c r="Q12"/>
  <c r="R20" s="1"/>
  <c r="N12"/>
  <c r="O24" s="1"/>
  <c r="K12"/>
  <c r="L20" s="1"/>
  <c r="H12"/>
  <c r="I20" s="1"/>
  <c r="E12"/>
  <c r="F20" s="1"/>
  <c r="B12"/>
  <c r="C24" s="1"/>
  <c r="L22" i="78"/>
  <c r="I22"/>
  <c r="F22"/>
  <c r="C22"/>
  <c r="L18"/>
  <c r="I18"/>
  <c r="F18"/>
  <c r="C18"/>
  <c r="L16"/>
  <c r="I16"/>
  <c r="F16"/>
  <c r="C16"/>
  <c r="L14"/>
  <c r="I14"/>
  <c r="F14"/>
  <c r="C14"/>
  <c r="K11"/>
  <c r="L23" s="1"/>
  <c r="H11"/>
  <c r="I23" s="1"/>
  <c r="E11"/>
  <c r="F23" s="1"/>
  <c r="B11"/>
  <c r="C23" s="1"/>
  <c r="P20" i="77"/>
  <c r="M20"/>
  <c r="J20"/>
  <c r="G20"/>
  <c r="D20"/>
  <c r="P18"/>
  <c r="M18"/>
  <c r="J18"/>
  <c r="G18"/>
  <c r="D18"/>
  <c r="P16"/>
  <c r="M16"/>
  <c r="J16"/>
  <c r="G16"/>
  <c r="D16"/>
  <c r="P14"/>
  <c r="M14"/>
  <c r="J14"/>
  <c r="G14"/>
  <c r="D14"/>
  <c r="O11"/>
  <c r="P19" s="1"/>
  <c r="L11"/>
  <c r="M17" s="1"/>
  <c r="I11"/>
  <c r="J21" s="1"/>
  <c r="F11"/>
  <c r="G15" s="1"/>
  <c r="C11"/>
  <c r="D19" s="1"/>
  <c r="V37" i="75"/>
  <c r="F37"/>
  <c r="B37"/>
  <c r="J37" s="1"/>
  <c r="V36"/>
  <c r="R36"/>
  <c r="N36"/>
  <c r="J36"/>
  <c r="V35"/>
  <c r="F35"/>
  <c r="B35"/>
  <c r="J35" s="1"/>
  <c r="V34"/>
  <c r="R34"/>
  <c r="N34"/>
  <c r="J34"/>
  <c r="F34"/>
  <c r="C34"/>
  <c r="B33"/>
  <c r="R33" s="1"/>
  <c r="V32"/>
  <c r="R32"/>
  <c r="N32"/>
  <c r="J32"/>
  <c r="F32"/>
  <c r="C32"/>
  <c r="V31"/>
  <c r="F31"/>
  <c r="B31"/>
  <c r="J31" s="1"/>
  <c r="V30"/>
  <c r="R30"/>
  <c r="N30"/>
  <c r="J30"/>
  <c r="F30"/>
  <c r="C30"/>
  <c r="B29"/>
  <c r="R29" s="1"/>
  <c r="V28"/>
  <c r="R28"/>
  <c r="N28"/>
  <c r="J28"/>
  <c r="F28"/>
  <c r="C28"/>
  <c r="V27"/>
  <c r="F27"/>
  <c r="B27"/>
  <c r="J27" s="1"/>
  <c r="V26"/>
  <c r="R26"/>
  <c r="N26"/>
  <c r="J26"/>
  <c r="F26"/>
  <c r="C26"/>
  <c r="B25"/>
  <c r="R25" s="1"/>
  <c r="V24"/>
  <c r="R24"/>
  <c r="N24"/>
  <c r="J24"/>
  <c r="F24"/>
  <c r="C24"/>
  <c r="V23"/>
  <c r="F23"/>
  <c r="B23"/>
  <c r="J23" s="1"/>
  <c r="V22"/>
  <c r="R22"/>
  <c r="N22"/>
  <c r="J22"/>
  <c r="F22"/>
  <c r="C22"/>
  <c r="B21"/>
  <c r="R21" s="1"/>
  <c r="V20"/>
  <c r="R20"/>
  <c r="N20"/>
  <c r="J20"/>
  <c r="F20"/>
  <c r="C20"/>
  <c r="V19"/>
  <c r="F19"/>
  <c r="B19"/>
  <c r="J19" s="1"/>
  <c r="V18"/>
  <c r="R18"/>
  <c r="N18"/>
  <c r="J18"/>
  <c r="F18"/>
  <c r="C18"/>
  <c r="B17"/>
  <c r="R17" s="1"/>
  <c r="V16"/>
  <c r="R16"/>
  <c r="N16"/>
  <c r="J16"/>
  <c r="F16"/>
  <c r="C16"/>
  <c r="R15"/>
  <c r="B15"/>
  <c r="V15" s="1"/>
  <c r="V14"/>
  <c r="R14"/>
  <c r="N14"/>
  <c r="J14"/>
  <c r="F14"/>
  <c r="C14"/>
  <c r="V13"/>
  <c r="F13"/>
  <c r="B13"/>
  <c r="J13" s="1"/>
  <c r="V12"/>
  <c r="R12"/>
  <c r="N12"/>
  <c r="J12"/>
  <c r="F12"/>
  <c r="C12"/>
  <c r="T11"/>
  <c r="P11"/>
  <c r="L11"/>
  <c r="H11"/>
  <c r="E11"/>
  <c r="B11"/>
  <c r="C11" s="1"/>
  <c r="C18" i="74"/>
  <c r="B17"/>
  <c r="B16"/>
  <c r="F16" s="1"/>
  <c r="I15"/>
  <c r="B15"/>
  <c r="F15" s="1"/>
  <c r="I14"/>
  <c r="B14"/>
  <c r="F14" s="1"/>
  <c r="H12"/>
  <c r="E12"/>
  <c r="E51" i="73"/>
  <c r="E50"/>
  <c r="E49"/>
  <c r="E48"/>
  <c r="E47"/>
  <c r="E46"/>
  <c r="E45"/>
  <c r="E44"/>
  <c r="E43"/>
  <c r="E41"/>
  <c r="E39"/>
  <c r="E37"/>
  <c r="E35"/>
  <c r="E33"/>
  <c r="E31"/>
  <c r="E29"/>
  <c r="E27"/>
  <c r="E25"/>
  <c r="E23"/>
  <c r="E21"/>
  <c r="E19"/>
  <c r="E17"/>
  <c r="E15"/>
  <c r="C12"/>
  <c r="E40" s="1"/>
  <c r="A1"/>
  <c r="F229" i="71"/>
  <c r="W228"/>
  <c r="M228"/>
  <c r="H228"/>
  <c r="F228"/>
  <c r="B228"/>
  <c r="U228" s="1"/>
  <c r="B227"/>
  <c r="P227" s="1"/>
  <c r="R226"/>
  <c r="H226"/>
  <c r="B226"/>
  <c r="U226" s="1"/>
  <c r="M225"/>
  <c r="B225"/>
  <c r="P225" s="1"/>
  <c r="R224"/>
  <c r="H224"/>
  <c r="B224"/>
  <c r="U224" s="1"/>
  <c r="V223"/>
  <c r="T223"/>
  <c r="Q223"/>
  <c r="O223"/>
  <c r="L223"/>
  <c r="J223"/>
  <c r="G223"/>
  <c r="E223"/>
  <c r="B223"/>
  <c r="U223" s="1"/>
  <c r="R221"/>
  <c r="H221"/>
  <c r="B221"/>
  <c r="U221" s="1"/>
  <c r="B220"/>
  <c r="P220" s="1"/>
  <c r="R219"/>
  <c r="M219"/>
  <c r="H219"/>
  <c r="B219"/>
  <c r="U219" s="1"/>
  <c r="W218"/>
  <c r="M218"/>
  <c r="F218"/>
  <c r="B218"/>
  <c r="P218" s="1"/>
  <c r="B217"/>
  <c r="U217" s="1"/>
  <c r="R216"/>
  <c r="M216"/>
  <c r="H216"/>
  <c r="B216"/>
  <c r="P216" s="1"/>
  <c r="M215"/>
  <c r="B215"/>
  <c r="U215" s="1"/>
  <c r="R214"/>
  <c r="H214"/>
  <c r="B214"/>
  <c r="P214" s="1"/>
  <c r="B213"/>
  <c r="U213" s="1"/>
  <c r="R212"/>
  <c r="H212"/>
  <c r="B212"/>
  <c r="P212" s="1"/>
  <c r="B211"/>
  <c r="U211" s="1"/>
  <c r="R210"/>
  <c r="M210"/>
  <c r="H210"/>
  <c r="B210"/>
  <c r="P210" s="1"/>
  <c r="V209"/>
  <c r="T209"/>
  <c r="S209"/>
  <c r="Q209"/>
  <c r="O209"/>
  <c r="O207" s="1"/>
  <c r="N209"/>
  <c r="L209"/>
  <c r="J209"/>
  <c r="I209"/>
  <c r="G209"/>
  <c r="E209"/>
  <c r="E207" s="1"/>
  <c r="W208"/>
  <c r="U208"/>
  <c r="R208"/>
  <c r="P208"/>
  <c r="M208"/>
  <c r="K208"/>
  <c r="H208"/>
  <c r="F208"/>
  <c r="C208"/>
  <c r="B208"/>
  <c r="V207"/>
  <c r="T207"/>
  <c r="Q207"/>
  <c r="L207"/>
  <c r="J207"/>
  <c r="G207"/>
  <c r="W206"/>
  <c r="U206"/>
  <c r="R206"/>
  <c r="P206"/>
  <c r="M206"/>
  <c r="K206"/>
  <c r="H206"/>
  <c r="F206"/>
  <c r="C206"/>
  <c r="B206"/>
  <c r="B205"/>
  <c r="P205" s="1"/>
  <c r="W204"/>
  <c r="U204"/>
  <c r="R204"/>
  <c r="P204"/>
  <c r="M204"/>
  <c r="K204"/>
  <c r="H204"/>
  <c r="F204"/>
  <c r="C204"/>
  <c r="B204"/>
  <c r="V203"/>
  <c r="T203"/>
  <c r="Q203"/>
  <c r="O203"/>
  <c r="L203"/>
  <c r="J203"/>
  <c r="G203"/>
  <c r="E203"/>
  <c r="B203"/>
  <c r="W202"/>
  <c r="U202"/>
  <c r="R202"/>
  <c r="P202"/>
  <c r="M202"/>
  <c r="K202"/>
  <c r="H202"/>
  <c r="F202"/>
  <c r="C202"/>
  <c r="B202"/>
  <c r="B201"/>
  <c r="P201" s="1"/>
  <c r="B200"/>
  <c r="U200" s="1"/>
  <c r="B199"/>
  <c r="P199" s="1"/>
  <c r="B198"/>
  <c r="U198" s="1"/>
  <c r="B197"/>
  <c r="P197" s="1"/>
  <c r="B196"/>
  <c r="U196" s="1"/>
  <c r="B195"/>
  <c r="P195" s="1"/>
  <c r="F194"/>
  <c r="B194"/>
  <c r="U194" s="1"/>
  <c r="B193"/>
  <c r="P193" s="1"/>
  <c r="B192"/>
  <c r="U192" s="1"/>
  <c r="B191"/>
  <c r="P191" s="1"/>
  <c r="B190"/>
  <c r="U190" s="1"/>
  <c r="B189"/>
  <c r="P189" s="1"/>
  <c r="B188"/>
  <c r="U188" s="1"/>
  <c r="B187"/>
  <c r="P187" s="1"/>
  <c r="H180"/>
  <c r="H179"/>
  <c r="H178"/>
  <c r="H177"/>
  <c r="H176"/>
  <c r="H175"/>
  <c r="H174"/>
  <c r="H173"/>
  <c r="H172"/>
  <c r="H171"/>
  <c r="H170"/>
  <c r="H169"/>
  <c r="H168"/>
  <c r="H167"/>
  <c r="B165"/>
  <c r="P165" s="1"/>
  <c r="B164"/>
  <c r="U164" s="1"/>
  <c r="B163"/>
  <c r="P163" s="1"/>
  <c r="B162"/>
  <c r="U162" s="1"/>
  <c r="B161"/>
  <c r="P161" s="1"/>
  <c r="B160"/>
  <c r="U160" s="1"/>
  <c r="B159"/>
  <c r="P159" s="1"/>
  <c r="B158"/>
  <c r="U158" s="1"/>
  <c r="B157"/>
  <c r="P157" s="1"/>
  <c r="B156"/>
  <c r="U156" s="1"/>
  <c r="B155"/>
  <c r="P155" s="1"/>
  <c r="B154"/>
  <c r="U154" s="1"/>
  <c r="B153"/>
  <c r="P153" s="1"/>
  <c r="B152"/>
  <c r="U152" s="1"/>
  <c r="B151"/>
  <c r="P151" s="1"/>
  <c r="B150"/>
  <c r="U150" s="1"/>
  <c r="B149"/>
  <c r="P149" s="1"/>
  <c r="B148"/>
  <c r="U148" s="1"/>
  <c r="B147"/>
  <c r="P147" s="1"/>
  <c r="B146"/>
  <c r="U146" s="1"/>
  <c r="B145"/>
  <c r="P145" s="1"/>
  <c r="R144"/>
  <c r="H144"/>
  <c r="B144"/>
  <c r="U144" s="1"/>
  <c r="B143"/>
  <c r="P143" s="1"/>
  <c r="R142"/>
  <c r="H142"/>
  <c r="B142"/>
  <c r="U142" s="1"/>
  <c r="B141"/>
  <c r="P141" s="1"/>
  <c r="R140"/>
  <c r="H140"/>
  <c r="B140"/>
  <c r="U140" s="1"/>
  <c r="B139"/>
  <c r="P139" s="1"/>
  <c r="R138"/>
  <c r="H138"/>
  <c r="B138"/>
  <c r="U138" s="1"/>
  <c r="B137"/>
  <c r="P137" s="1"/>
  <c r="R136"/>
  <c r="H136"/>
  <c r="B136"/>
  <c r="U136" s="1"/>
  <c r="W135"/>
  <c r="M135"/>
  <c r="F135"/>
  <c r="B135"/>
  <c r="P135" s="1"/>
  <c r="V134"/>
  <c r="T134"/>
  <c r="Q134"/>
  <c r="Q124" s="1"/>
  <c r="O134"/>
  <c r="L134"/>
  <c r="J134"/>
  <c r="G134"/>
  <c r="E134"/>
  <c r="W133"/>
  <c r="U133"/>
  <c r="R133"/>
  <c r="P133"/>
  <c r="M133"/>
  <c r="K133"/>
  <c r="H133"/>
  <c r="F133"/>
  <c r="C133"/>
  <c r="B133"/>
  <c r="B132"/>
  <c r="U132" s="1"/>
  <c r="R131"/>
  <c r="H131"/>
  <c r="B131"/>
  <c r="P131" s="1"/>
  <c r="B130"/>
  <c r="U130" s="1"/>
  <c r="R129"/>
  <c r="H129"/>
  <c r="B129"/>
  <c r="P129" s="1"/>
  <c r="B128"/>
  <c r="U128" s="1"/>
  <c r="R127"/>
  <c r="H127"/>
  <c r="B127"/>
  <c r="P127" s="1"/>
  <c r="V126"/>
  <c r="T126"/>
  <c r="Q126"/>
  <c r="O126"/>
  <c r="L126"/>
  <c r="J126"/>
  <c r="G126"/>
  <c r="E126"/>
  <c r="B126"/>
  <c r="W126" s="1"/>
  <c r="W125"/>
  <c r="U125"/>
  <c r="R125"/>
  <c r="P125"/>
  <c r="M125"/>
  <c r="K125"/>
  <c r="H125"/>
  <c r="F125"/>
  <c r="C125"/>
  <c r="B125"/>
  <c r="V124"/>
  <c r="T124"/>
  <c r="O124"/>
  <c r="L124"/>
  <c r="J124"/>
  <c r="G124"/>
  <c r="E124"/>
  <c r="W123"/>
  <c r="U123"/>
  <c r="R123"/>
  <c r="P123"/>
  <c r="M123"/>
  <c r="K123"/>
  <c r="H123"/>
  <c r="F123"/>
  <c r="C123"/>
  <c r="B123"/>
  <c r="B122"/>
  <c r="P122" s="1"/>
  <c r="B121"/>
  <c r="U121" s="1"/>
  <c r="W120"/>
  <c r="U120"/>
  <c r="R120"/>
  <c r="P120"/>
  <c r="M120"/>
  <c r="K120"/>
  <c r="H120"/>
  <c r="F120"/>
  <c r="C120"/>
  <c r="B120"/>
  <c r="B119"/>
  <c r="U119" s="1"/>
  <c r="B118"/>
  <c r="P118" s="1"/>
  <c r="B117"/>
  <c r="U117" s="1"/>
  <c r="B116"/>
  <c r="P116" s="1"/>
  <c r="B115"/>
  <c r="U115" s="1"/>
  <c r="V114"/>
  <c r="T114"/>
  <c r="Q114"/>
  <c r="O114"/>
  <c r="L114"/>
  <c r="J114"/>
  <c r="G114"/>
  <c r="E114"/>
  <c r="B114" s="1"/>
  <c r="W113"/>
  <c r="U113"/>
  <c r="R113"/>
  <c r="P113"/>
  <c r="M113"/>
  <c r="K113"/>
  <c r="H113"/>
  <c r="F113"/>
  <c r="B113"/>
  <c r="W111"/>
  <c r="U111"/>
  <c r="R111"/>
  <c r="P111"/>
  <c r="M111"/>
  <c r="K111"/>
  <c r="H111"/>
  <c r="F111"/>
  <c r="C111"/>
  <c r="B111"/>
  <c r="B110"/>
  <c r="U110" s="1"/>
  <c r="B109"/>
  <c r="P109" s="1"/>
  <c r="B108"/>
  <c r="U108" s="1"/>
  <c r="B107"/>
  <c r="P107" s="1"/>
  <c r="B106"/>
  <c r="U106" s="1"/>
  <c r="B105"/>
  <c r="P105" s="1"/>
  <c r="B104"/>
  <c r="U104" s="1"/>
  <c r="B103"/>
  <c r="P103" s="1"/>
  <c r="B102"/>
  <c r="U102" s="1"/>
  <c r="B101"/>
  <c r="P101" s="1"/>
  <c r="V100"/>
  <c r="T100"/>
  <c r="Q100"/>
  <c r="O100"/>
  <c r="L100"/>
  <c r="J100"/>
  <c r="G100"/>
  <c r="E100"/>
  <c r="W99"/>
  <c r="U99"/>
  <c r="R99"/>
  <c r="P99"/>
  <c r="M99"/>
  <c r="K99"/>
  <c r="H99"/>
  <c r="F99"/>
  <c r="B99"/>
  <c r="U87"/>
  <c r="W85"/>
  <c r="R85"/>
  <c r="M85"/>
  <c r="H85"/>
  <c r="C85"/>
  <c r="R84"/>
  <c r="M84"/>
  <c r="H84"/>
  <c r="B84"/>
  <c r="U84" s="1"/>
  <c r="W83"/>
  <c r="U83"/>
  <c r="R83"/>
  <c r="P83"/>
  <c r="M83"/>
  <c r="K83"/>
  <c r="H83"/>
  <c r="F83"/>
  <c r="C83"/>
  <c r="B83"/>
  <c r="B82"/>
  <c r="U82" s="1"/>
  <c r="W81"/>
  <c r="U81"/>
  <c r="R81"/>
  <c r="P81"/>
  <c r="M81"/>
  <c r="K81"/>
  <c r="H81"/>
  <c r="F81"/>
  <c r="C81"/>
  <c r="B81"/>
  <c r="R80"/>
  <c r="H80"/>
  <c r="B80"/>
  <c r="U80" s="1"/>
  <c r="B79"/>
  <c r="U79" s="1"/>
  <c r="F78"/>
  <c r="B78"/>
  <c r="R78" s="1"/>
  <c r="B77"/>
  <c r="U77" s="1"/>
  <c r="B76"/>
  <c r="P76" s="1"/>
  <c r="K75"/>
  <c r="B75"/>
  <c r="F75" s="1"/>
  <c r="V74"/>
  <c r="T74"/>
  <c r="Q74"/>
  <c r="O74"/>
  <c r="L74"/>
  <c r="J74"/>
  <c r="G74"/>
  <c r="E74"/>
  <c r="B74" s="1"/>
  <c r="W73"/>
  <c r="U73"/>
  <c r="R73"/>
  <c r="P73"/>
  <c r="M73"/>
  <c r="K73"/>
  <c r="H73"/>
  <c r="F73"/>
  <c r="C73"/>
  <c r="B73"/>
  <c r="B72"/>
  <c r="P72" s="1"/>
  <c r="W71"/>
  <c r="U71"/>
  <c r="R71"/>
  <c r="P71"/>
  <c r="M71"/>
  <c r="K71"/>
  <c r="H71"/>
  <c r="F71"/>
  <c r="C71"/>
  <c r="B71"/>
  <c r="V70"/>
  <c r="T70"/>
  <c r="Q70"/>
  <c r="O70"/>
  <c r="L70"/>
  <c r="J70"/>
  <c r="G70"/>
  <c r="E70"/>
  <c r="W69"/>
  <c r="U69"/>
  <c r="R69"/>
  <c r="P69"/>
  <c r="M69"/>
  <c r="K69"/>
  <c r="H69"/>
  <c r="F69"/>
  <c r="C69"/>
  <c r="B69"/>
  <c r="B68"/>
  <c r="U68" s="1"/>
  <c r="B67"/>
  <c r="P67" s="1"/>
  <c r="B66"/>
  <c r="U66" s="1"/>
  <c r="B65"/>
  <c r="P65" s="1"/>
  <c r="B64"/>
  <c r="U64" s="1"/>
  <c r="B63"/>
  <c r="P63" s="1"/>
  <c r="V62"/>
  <c r="T62"/>
  <c r="Q62"/>
  <c r="O62"/>
  <c r="L62"/>
  <c r="J62"/>
  <c r="G62"/>
  <c r="E62"/>
  <c r="W61"/>
  <c r="U61"/>
  <c r="R61"/>
  <c r="P61"/>
  <c r="M61"/>
  <c r="K61"/>
  <c r="H61"/>
  <c r="F61"/>
  <c r="C61"/>
  <c r="B61"/>
  <c r="B60"/>
  <c r="U60" s="1"/>
  <c r="B59"/>
  <c r="P59" s="1"/>
  <c r="B58"/>
  <c r="U58" s="1"/>
  <c r="B57"/>
  <c r="P57" s="1"/>
  <c r="B56"/>
  <c r="U56" s="1"/>
  <c r="B55"/>
  <c r="P55" s="1"/>
  <c r="B54"/>
  <c r="U54" s="1"/>
  <c r="B53"/>
  <c r="P53" s="1"/>
  <c r="B52"/>
  <c r="U52" s="1"/>
  <c r="V51"/>
  <c r="T51"/>
  <c r="T41" s="1"/>
  <c r="Q51"/>
  <c r="O51"/>
  <c r="L51"/>
  <c r="J51"/>
  <c r="J41" s="1"/>
  <c r="G51"/>
  <c r="E51"/>
  <c r="W50"/>
  <c r="U50"/>
  <c r="R50"/>
  <c r="P50"/>
  <c r="M50"/>
  <c r="K50"/>
  <c r="H50"/>
  <c r="F50"/>
  <c r="C50"/>
  <c r="B50"/>
  <c r="B49"/>
  <c r="P49" s="1"/>
  <c r="W48"/>
  <c r="U48"/>
  <c r="R48"/>
  <c r="P48"/>
  <c r="M48"/>
  <c r="K48"/>
  <c r="H48"/>
  <c r="F48"/>
  <c r="C48"/>
  <c r="B48"/>
  <c r="B47"/>
  <c r="P47" s="1"/>
  <c r="B46"/>
  <c r="U46" s="1"/>
  <c r="B45"/>
  <c r="P45" s="1"/>
  <c r="B44"/>
  <c r="U44" s="1"/>
  <c r="R43"/>
  <c r="M43"/>
  <c r="B43"/>
  <c r="P43" s="1"/>
  <c r="V42"/>
  <c r="T42"/>
  <c r="S42"/>
  <c r="Q42"/>
  <c r="Q41" s="1"/>
  <c r="O42"/>
  <c r="N42"/>
  <c r="L42"/>
  <c r="J42"/>
  <c r="I42"/>
  <c r="G42"/>
  <c r="E42"/>
  <c r="V41"/>
  <c r="L41"/>
  <c r="E41"/>
  <c r="W40"/>
  <c r="U40"/>
  <c r="R40"/>
  <c r="P40"/>
  <c r="M40"/>
  <c r="K40"/>
  <c r="H40"/>
  <c r="F40"/>
  <c r="C40"/>
  <c r="B40"/>
  <c r="B39"/>
  <c r="U39" s="1"/>
  <c r="B38"/>
  <c r="P38" s="1"/>
  <c r="B37"/>
  <c r="U37" s="1"/>
  <c r="B36"/>
  <c r="P36" s="1"/>
  <c r="F35"/>
  <c r="B35"/>
  <c r="U35" s="1"/>
  <c r="R34"/>
  <c r="M34"/>
  <c r="H34"/>
  <c r="B34"/>
  <c r="P34" s="1"/>
  <c r="V33"/>
  <c r="T33"/>
  <c r="Q33"/>
  <c r="O33"/>
  <c r="L33"/>
  <c r="J33"/>
  <c r="G33"/>
  <c r="E33"/>
  <c r="T32"/>
  <c r="O32"/>
  <c r="J32"/>
  <c r="E32"/>
  <c r="U31"/>
  <c r="R31"/>
  <c r="P31"/>
  <c r="M31"/>
  <c r="K31"/>
  <c r="H31"/>
  <c r="F31"/>
  <c r="B30"/>
  <c r="F30" s="1"/>
  <c r="F29"/>
  <c r="B29"/>
  <c r="K29" s="1"/>
  <c r="B28"/>
  <c r="P28" s="1"/>
  <c r="B27"/>
  <c r="U27" s="1"/>
  <c r="V26"/>
  <c r="T26"/>
  <c r="Q26"/>
  <c r="O26"/>
  <c r="L26"/>
  <c r="J26"/>
  <c r="G26"/>
  <c r="E26"/>
  <c r="W25"/>
  <c r="U25"/>
  <c r="R25"/>
  <c r="P25"/>
  <c r="M25"/>
  <c r="K25"/>
  <c r="H25"/>
  <c r="F25"/>
  <c r="C25"/>
  <c r="B25"/>
  <c r="B24"/>
  <c r="P24" s="1"/>
  <c r="B23"/>
  <c r="U23" s="1"/>
  <c r="H22"/>
  <c r="B22"/>
  <c r="P22" s="1"/>
  <c r="R21"/>
  <c r="M21"/>
  <c r="H21"/>
  <c r="B21"/>
  <c r="U21" s="1"/>
  <c r="V20"/>
  <c r="T20"/>
  <c r="Q20"/>
  <c r="O20"/>
  <c r="L20"/>
  <c r="J20"/>
  <c r="G20"/>
  <c r="E20"/>
  <c r="W18"/>
  <c r="U18"/>
  <c r="R18"/>
  <c r="P18"/>
  <c r="M18"/>
  <c r="K18"/>
  <c r="H18"/>
  <c r="F18"/>
  <c r="C18"/>
  <c r="B18"/>
  <c r="W16"/>
  <c r="U16"/>
  <c r="R16"/>
  <c r="P16"/>
  <c r="M16"/>
  <c r="K16"/>
  <c r="H16"/>
  <c r="F16"/>
  <c r="C16"/>
  <c r="B16"/>
  <c r="W14"/>
  <c r="U14"/>
  <c r="R14"/>
  <c r="P14"/>
  <c r="M14"/>
  <c r="K14"/>
  <c r="H14"/>
  <c r="F14"/>
  <c r="C14"/>
  <c r="B14"/>
  <c r="G17" i="77" l="1"/>
  <c r="M19"/>
  <c r="M13"/>
  <c r="G19"/>
  <c r="M21"/>
  <c r="G13"/>
  <c r="M15"/>
  <c r="G21"/>
  <c r="B207" i="71"/>
  <c r="P207" s="1"/>
  <c r="U75"/>
  <c r="W80"/>
  <c r="H82"/>
  <c r="H100"/>
  <c r="M114"/>
  <c r="W114"/>
  <c r="M127"/>
  <c r="H128"/>
  <c r="W129"/>
  <c r="R130"/>
  <c r="M131"/>
  <c r="H132"/>
  <c r="H135"/>
  <c r="W136"/>
  <c r="R137"/>
  <c r="M138"/>
  <c r="H139"/>
  <c r="W140"/>
  <c r="R141"/>
  <c r="M142"/>
  <c r="H143"/>
  <c r="K203"/>
  <c r="U203"/>
  <c r="H211"/>
  <c r="W212"/>
  <c r="R213"/>
  <c r="M214"/>
  <c r="H215"/>
  <c r="W216"/>
  <c r="R217"/>
  <c r="H218"/>
  <c r="W219"/>
  <c r="R220"/>
  <c r="M221"/>
  <c r="W224"/>
  <c r="R225"/>
  <c r="M226"/>
  <c r="H227"/>
  <c r="R228"/>
  <c r="B26"/>
  <c r="F26" s="1"/>
  <c r="L19"/>
  <c r="V19"/>
  <c r="G32"/>
  <c r="L32"/>
  <c r="Q32"/>
  <c r="V32"/>
  <c r="F70"/>
  <c r="W82"/>
  <c r="P100"/>
  <c r="K114"/>
  <c r="U114"/>
  <c r="F126"/>
  <c r="K126"/>
  <c r="P126"/>
  <c r="U126"/>
  <c r="W128"/>
  <c r="M130"/>
  <c r="W132"/>
  <c r="M137"/>
  <c r="W139"/>
  <c r="M141"/>
  <c r="W143"/>
  <c r="H203"/>
  <c r="R203"/>
  <c r="M207"/>
  <c r="F209"/>
  <c r="W211"/>
  <c r="M213"/>
  <c r="W215"/>
  <c r="M217"/>
  <c r="M220"/>
  <c r="H223"/>
  <c r="M223"/>
  <c r="R223"/>
  <c r="W223"/>
  <c r="W227"/>
  <c r="H70"/>
  <c r="W21"/>
  <c r="R22"/>
  <c r="U26"/>
  <c r="F37"/>
  <c r="G41"/>
  <c r="H43"/>
  <c r="B70"/>
  <c r="R70" s="1"/>
  <c r="M70"/>
  <c r="W70"/>
  <c r="F76"/>
  <c r="P78"/>
  <c r="M80"/>
  <c r="R82"/>
  <c r="W84"/>
  <c r="B100"/>
  <c r="R100" s="1"/>
  <c r="M100"/>
  <c r="W100"/>
  <c r="H114"/>
  <c r="R114"/>
  <c r="W127"/>
  <c r="R128"/>
  <c r="M129"/>
  <c r="H130"/>
  <c r="W131"/>
  <c r="R132"/>
  <c r="B134"/>
  <c r="P134" s="1"/>
  <c r="R135"/>
  <c r="M136"/>
  <c r="H137"/>
  <c r="W138"/>
  <c r="R139"/>
  <c r="M140"/>
  <c r="H141"/>
  <c r="W142"/>
  <c r="R143"/>
  <c r="M144"/>
  <c r="F203"/>
  <c r="P203"/>
  <c r="U207"/>
  <c r="B209"/>
  <c r="U209" s="1"/>
  <c r="R209"/>
  <c r="W210"/>
  <c r="R211"/>
  <c r="M212"/>
  <c r="H213"/>
  <c r="W214"/>
  <c r="R215"/>
  <c r="H217"/>
  <c r="R218"/>
  <c r="H220"/>
  <c r="W221"/>
  <c r="M224"/>
  <c r="H225"/>
  <c r="W226"/>
  <c r="R227"/>
  <c r="B20"/>
  <c r="R20" s="1"/>
  <c r="M22"/>
  <c r="G19"/>
  <c r="G17" s="1"/>
  <c r="Q19"/>
  <c r="B33"/>
  <c r="W33" s="1"/>
  <c r="F39"/>
  <c r="O41"/>
  <c r="B42"/>
  <c r="U42" s="1"/>
  <c r="B62"/>
  <c r="H62" s="1"/>
  <c r="W62"/>
  <c r="K70"/>
  <c r="U70"/>
  <c r="M82"/>
  <c r="K100"/>
  <c r="U100"/>
  <c r="F114"/>
  <c r="P114"/>
  <c r="H126"/>
  <c r="M126"/>
  <c r="R126"/>
  <c r="M128"/>
  <c r="W130"/>
  <c r="M132"/>
  <c r="W137"/>
  <c r="M139"/>
  <c r="W141"/>
  <c r="M143"/>
  <c r="M203"/>
  <c r="W203"/>
  <c r="H207"/>
  <c r="R207"/>
  <c r="P209"/>
  <c r="M211"/>
  <c r="W213"/>
  <c r="W217"/>
  <c r="W220"/>
  <c r="F223"/>
  <c r="K223"/>
  <c r="P223"/>
  <c r="W225"/>
  <c r="M227"/>
  <c r="B124"/>
  <c r="R124" s="1"/>
  <c r="B27" i="80"/>
  <c r="J11" i="75"/>
  <c r="R11"/>
  <c r="N11"/>
  <c r="F11"/>
  <c r="V11"/>
  <c r="W134" i="71"/>
  <c r="U134"/>
  <c r="R134"/>
  <c r="I11" i="115"/>
  <c r="I13"/>
  <c r="B11"/>
  <c r="C13" s="1"/>
  <c r="C101" i="112"/>
  <c r="C97"/>
  <c r="C96"/>
  <c r="C88"/>
  <c r="C84"/>
  <c r="C78"/>
  <c r="C72"/>
  <c r="C68"/>
  <c r="C57"/>
  <c r="C48"/>
  <c r="C44"/>
  <c r="C39"/>
  <c r="C29"/>
  <c r="C23"/>
  <c r="C18"/>
  <c r="C99"/>
  <c r="C94"/>
  <c r="C90"/>
  <c r="C86"/>
  <c r="C76"/>
  <c r="C75"/>
  <c r="C74"/>
  <c r="C70"/>
  <c r="C65"/>
  <c r="C55"/>
  <c r="C46"/>
  <c r="C42"/>
  <c r="C41"/>
  <c r="C37"/>
  <c r="C31"/>
  <c r="C34"/>
  <c r="C53"/>
  <c r="C28"/>
  <c r="C56"/>
  <c r="C54"/>
  <c r="C63"/>
  <c r="C27"/>
  <c r="C21"/>
  <c r="C38"/>
  <c r="C19"/>
  <c r="C30"/>
  <c r="C79"/>
  <c r="C89"/>
  <c r="C49"/>
  <c r="C98"/>
  <c r="C16"/>
  <c r="C26"/>
  <c r="C60"/>
  <c r="C82"/>
  <c r="C17"/>
  <c r="C43"/>
  <c r="C47"/>
  <c r="C61"/>
  <c r="C77"/>
  <c r="C100"/>
  <c r="C58"/>
  <c r="C15"/>
  <c r="C35"/>
  <c r="C81"/>
  <c r="C22"/>
  <c r="C51"/>
  <c r="C66"/>
  <c r="C83"/>
  <c r="C87"/>
  <c r="C91"/>
  <c r="C24"/>
  <c r="C36"/>
  <c r="C85"/>
  <c r="C93"/>
  <c r="C32"/>
  <c r="C45"/>
  <c r="C64"/>
  <c r="I11"/>
  <c r="L11"/>
  <c r="C13"/>
  <c r="C11" s="1"/>
  <c r="B11" i="109"/>
  <c r="F11" s="1"/>
  <c r="L11"/>
  <c r="C13"/>
  <c r="I13"/>
  <c r="D12" i="87"/>
  <c r="J12" i="83"/>
  <c r="M12"/>
  <c r="G12"/>
  <c r="B11" i="81"/>
  <c r="C15" s="1"/>
  <c r="O13"/>
  <c r="O15"/>
  <c r="O17"/>
  <c r="O19"/>
  <c r="O21"/>
  <c r="O23"/>
  <c r="O25"/>
  <c r="O27"/>
  <c r="O29"/>
  <c r="O31"/>
  <c r="O33"/>
  <c r="O35"/>
  <c r="L13"/>
  <c r="L15"/>
  <c r="L17"/>
  <c r="L19"/>
  <c r="L21"/>
  <c r="L23"/>
  <c r="L25"/>
  <c r="L27"/>
  <c r="L29"/>
  <c r="L31"/>
  <c r="L33"/>
  <c r="L35"/>
  <c r="I13"/>
  <c r="I15"/>
  <c r="I17"/>
  <c r="I19"/>
  <c r="I21"/>
  <c r="I23"/>
  <c r="I25"/>
  <c r="I27"/>
  <c r="I29"/>
  <c r="I35"/>
  <c r="H12" i="80"/>
  <c r="E12"/>
  <c r="O14" i="79"/>
  <c r="C16"/>
  <c r="C12" s="1"/>
  <c r="O16"/>
  <c r="C18"/>
  <c r="O18"/>
  <c r="O20"/>
  <c r="L22"/>
  <c r="X22"/>
  <c r="L24"/>
  <c r="X24"/>
  <c r="L14"/>
  <c r="X14"/>
  <c r="L16"/>
  <c r="X16"/>
  <c r="L18"/>
  <c r="X20"/>
  <c r="I22"/>
  <c r="I12" s="1"/>
  <c r="U22"/>
  <c r="I24"/>
  <c r="U24"/>
  <c r="U14"/>
  <c r="I16"/>
  <c r="U16"/>
  <c r="I18"/>
  <c r="F22"/>
  <c r="R22"/>
  <c r="F24"/>
  <c r="R24"/>
  <c r="R14"/>
  <c r="R12" s="1"/>
  <c r="F16"/>
  <c r="F12" s="1"/>
  <c r="R16"/>
  <c r="F18"/>
  <c r="R18"/>
  <c r="C22"/>
  <c r="O22"/>
  <c r="L13" i="78"/>
  <c r="L15"/>
  <c r="L17"/>
  <c r="L19"/>
  <c r="L21"/>
  <c r="I13"/>
  <c r="I15"/>
  <c r="I17"/>
  <c r="I19"/>
  <c r="I21"/>
  <c r="F13"/>
  <c r="F11" s="1"/>
  <c r="F15"/>
  <c r="F17"/>
  <c r="F19"/>
  <c r="F21"/>
  <c r="C13"/>
  <c r="C15"/>
  <c r="C17"/>
  <c r="C19"/>
  <c r="C21"/>
  <c r="D13" i="77"/>
  <c r="P13"/>
  <c r="J15"/>
  <c r="D17"/>
  <c r="P17"/>
  <c r="J19"/>
  <c r="D21"/>
  <c r="P21"/>
  <c r="J13"/>
  <c r="D15"/>
  <c r="P15"/>
  <c r="J17"/>
  <c r="N21" i="75"/>
  <c r="C13"/>
  <c r="R13"/>
  <c r="N15"/>
  <c r="J17"/>
  <c r="C19"/>
  <c r="R19"/>
  <c r="J21"/>
  <c r="C23"/>
  <c r="R23"/>
  <c r="J25"/>
  <c r="C27"/>
  <c r="R27"/>
  <c r="J29"/>
  <c r="C31"/>
  <c r="R31"/>
  <c r="J33"/>
  <c r="C35"/>
  <c r="R35"/>
  <c r="C37"/>
  <c r="R37"/>
  <c r="N25"/>
  <c r="N33"/>
  <c r="N13"/>
  <c r="J15"/>
  <c r="F17"/>
  <c r="V17"/>
  <c r="N19"/>
  <c r="F21"/>
  <c r="V21"/>
  <c r="N23"/>
  <c r="F25"/>
  <c r="V25"/>
  <c r="N27"/>
  <c r="F29"/>
  <c r="V29"/>
  <c r="N31"/>
  <c r="F33"/>
  <c r="V33"/>
  <c r="N35"/>
  <c r="N37"/>
  <c r="C15"/>
  <c r="N17"/>
  <c r="N29"/>
  <c r="F15"/>
  <c r="C17"/>
  <c r="C21"/>
  <c r="C25"/>
  <c r="C29"/>
  <c r="C33"/>
  <c r="I16" i="74"/>
  <c r="I17"/>
  <c r="B12"/>
  <c r="F17"/>
  <c r="E14" i="73"/>
  <c r="E18"/>
  <c r="E22"/>
  <c r="E26"/>
  <c r="E30"/>
  <c r="E34"/>
  <c r="E38"/>
  <c r="E16"/>
  <c r="E20"/>
  <c r="E24"/>
  <c r="E28"/>
  <c r="E32"/>
  <c r="E36"/>
  <c r="W75" i="71"/>
  <c r="M75"/>
  <c r="P75"/>
  <c r="R75"/>
  <c r="H75"/>
  <c r="K23"/>
  <c r="F24"/>
  <c r="K27"/>
  <c r="F28"/>
  <c r="U29"/>
  <c r="P30"/>
  <c r="E19"/>
  <c r="J19"/>
  <c r="O19"/>
  <c r="T19"/>
  <c r="F21"/>
  <c r="P21"/>
  <c r="K22"/>
  <c r="U22"/>
  <c r="H23"/>
  <c r="R23"/>
  <c r="M24"/>
  <c r="W24"/>
  <c r="H26"/>
  <c r="M26"/>
  <c r="R26"/>
  <c r="W26"/>
  <c r="H27"/>
  <c r="R27"/>
  <c r="M28"/>
  <c r="W28"/>
  <c r="H29"/>
  <c r="R29"/>
  <c r="M30"/>
  <c r="W30"/>
  <c r="K34"/>
  <c r="U34"/>
  <c r="H35"/>
  <c r="R35"/>
  <c r="M36"/>
  <c r="W36"/>
  <c r="H37"/>
  <c r="R37"/>
  <c r="M38"/>
  <c r="W38"/>
  <c r="H39"/>
  <c r="R39"/>
  <c r="K43"/>
  <c r="U43"/>
  <c r="H44"/>
  <c r="R44"/>
  <c r="M45"/>
  <c r="W45"/>
  <c r="H46"/>
  <c r="R46"/>
  <c r="M47"/>
  <c r="W47"/>
  <c r="M49"/>
  <c r="W49"/>
  <c r="H52"/>
  <c r="R52"/>
  <c r="M53"/>
  <c r="W53"/>
  <c r="H54"/>
  <c r="R54"/>
  <c r="M55"/>
  <c r="W55"/>
  <c r="H56"/>
  <c r="R56"/>
  <c r="M57"/>
  <c r="W57"/>
  <c r="H58"/>
  <c r="R58"/>
  <c r="M59"/>
  <c r="W59"/>
  <c r="H60"/>
  <c r="R60"/>
  <c r="M63"/>
  <c r="W63"/>
  <c r="H64"/>
  <c r="R64"/>
  <c r="M65"/>
  <c r="W65"/>
  <c r="H66"/>
  <c r="R66"/>
  <c r="M67"/>
  <c r="W67"/>
  <c r="H68"/>
  <c r="R68"/>
  <c r="H72"/>
  <c r="U72"/>
  <c r="F74"/>
  <c r="P74"/>
  <c r="P23"/>
  <c r="K24"/>
  <c r="U24"/>
  <c r="F27"/>
  <c r="U28"/>
  <c r="P29"/>
  <c r="K30"/>
  <c r="P35"/>
  <c r="K36"/>
  <c r="U36"/>
  <c r="P37"/>
  <c r="K38"/>
  <c r="U38"/>
  <c r="P39"/>
  <c r="K42"/>
  <c r="W42"/>
  <c r="F44"/>
  <c r="P44"/>
  <c r="K45"/>
  <c r="U45"/>
  <c r="F46"/>
  <c r="P46"/>
  <c r="K47"/>
  <c r="U47"/>
  <c r="K49"/>
  <c r="U49"/>
  <c r="B51"/>
  <c r="H51" s="1"/>
  <c r="F52"/>
  <c r="P52"/>
  <c r="K53"/>
  <c r="U53"/>
  <c r="F54"/>
  <c r="P54"/>
  <c r="K55"/>
  <c r="U55"/>
  <c r="F56"/>
  <c r="P56"/>
  <c r="K57"/>
  <c r="U57"/>
  <c r="F58"/>
  <c r="P58"/>
  <c r="K59"/>
  <c r="U59"/>
  <c r="F60"/>
  <c r="P60"/>
  <c r="K63"/>
  <c r="U63"/>
  <c r="F64"/>
  <c r="P64"/>
  <c r="K65"/>
  <c r="U65"/>
  <c r="F66"/>
  <c r="P66"/>
  <c r="K67"/>
  <c r="U67"/>
  <c r="F68"/>
  <c r="P68"/>
  <c r="F72"/>
  <c r="R72"/>
  <c r="M74"/>
  <c r="W74"/>
  <c r="F23"/>
  <c r="P27"/>
  <c r="K28"/>
  <c r="U30"/>
  <c r="K21"/>
  <c r="F22"/>
  <c r="M23"/>
  <c r="W23"/>
  <c r="H24"/>
  <c r="R24"/>
  <c r="M27"/>
  <c r="W27"/>
  <c r="H28"/>
  <c r="R28"/>
  <c r="M29"/>
  <c r="W29"/>
  <c r="H30"/>
  <c r="R30"/>
  <c r="F34"/>
  <c r="M35"/>
  <c r="W35"/>
  <c r="H36"/>
  <c r="R36"/>
  <c r="M37"/>
  <c r="W37"/>
  <c r="H38"/>
  <c r="R38"/>
  <c r="M39"/>
  <c r="W39"/>
  <c r="F43"/>
  <c r="M44"/>
  <c r="W44"/>
  <c r="H45"/>
  <c r="R45"/>
  <c r="M46"/>
  <c r="W46"/>
  <c r="H47"/>
  <c r="R47"/>
  <c r="H49"/>
  <c r="R49"/>
  <c r="M52"/>
  <c r="W52"/>
  <c r="H53"/>
  <c r="R53"/>
  <c r="M54"/>
  <c r="W54"/>
  <c r="H55"/>
  <c r="R55"/>
  <c r="M56"/>
  <c r="W56"/>
  <c r="H57"/>
  <c r="R57"/>
  <c r="M58"/>
  <c r="W58"/>
  <c r="H59"/>
  <c r="R59"/>
  <c r="M60"/>
  <c r="W60"/>
  <c r="H63"/>
  <c r="R63"/>
  <c r="M64"/>
  <c r="W64"/>
  <c r="H65"/>
  <c r="R65"/>
  <c r="M66"/>
  <c r="W66"/>
  <c r="H67"/>
  <c r="R67"/>
  <c r="M68"/>
  <c r="W68"/>
  <c r="K74"/>
  <c r="U74"/>
  <c r="W72"/>
  <c r="M72"/>
  <c r="K35"/>
  <c r="F36"/>
  <c r="K37"/>
  <c r="F38"/>
  <c r="K39"/>
  <c r="M42"/>
  <c r="K44"/>
  <c r="F45"/>
  <c r="K46"/>
  <c r="F47"/>
  <c r="F49"/>
  <c r="K52"/>
  <c r="F53"/>
  <c r="K54"/>
  <c r="F55"/>
  <c r="K56"/>
  <c r="F57"/>
  <c r="K58"/>
  <c r="F59"/>
  <c r="K60"/>
  <c r="F63"/>
  <c r="K64"/>
  <c r="F65"/>
  <c r="K66"/>
  <c r="F67"/>
  <c r="K68"/>
  <c r="K72"/>
  <c r="H74"/>
  <c r="R74"/>
  <c r="M76"/>
  <c r="W76"/>
  <c r="H77"/>
  <c r="R77"/>
  <c r="M78"/>
  <c r="W78"/>
  <c r="H79"/>
  <c r="R79"/>
  <c r="F80"/>
  <c r="P80"/>
  <c r="F82"/>
  <c r="P82"/>
  <c r="F84"/>
  <c r="P84"/>
  <c r="E98"/>
  <c r="J98"/>
  <c r="O98"/>
  <c r="T98"/>
  <c r="M101"/>
  <c r="W101"/>
  <c r="H102"/>
  <c r="R102"/>
  <c r="M103"/>
  <c r="W103"/>
  <c r="H104"/>
  <c r="R104"/>
  <c r="M105"/>
  <c r="W105"/>
  <c r="H106"/>
  <c r="R106"/>
  <c r="M107"/>
  <c r="W107"/>
  <c r="H108"/>
  <c r="R108"/>
  <c r="M109"/>
  <c r="W109"/>
  <c r="H110"/>
  <c r="R110"/>
  <c r="G112"/>
  <c r="L112"/>
  <c r="Q112"/>
  <c r="V112"/>
  <c r="H115"/>
  <c r="R115"/>
  <c r="M116"/>
  <c r="W116"/>
  <c r="H117"/>
  <c r="R117"/>
  <c r="M118"/>
  <c r="W118"/>
  <c r="H119"/>
  <c r="R119"/>
  <c r="H121"/>
  <c r="R121"/>
  <c r="M122"/>
  <c r="K127"/>
  <c r="U127"/>
  <c r="F128"/>
  <c r="P128"/>
  <c r="K129"/>
  <c r="U129"/>
  <c r="F130"/>
  <c r="P130"/>
  <c r="K131"/>
  <c r="U131"/>
  <c r="F132"/>
  <c r="P132"/>
  <c r="K135"/>
  <c r="U135"/>
  <c r="F136"/>
  <c r="P136"/>
  <c r="K137"/>
  <c r="U137"/>
  <c r="F138"/>
  <c r="P138"/>
  <c r="K139"/>
  <c r="U139"/>
  <c r="F140"/>
  <c r="P140"/>
  <c r="K141"/>
  <c r="U141"/>
  <c r="F142"/>
  <c r="P142"/>
  <c r="K143"/>
  <c r="U143"/>
  <c r="F144"/>
  <c r="P144"/>
  <c r="M145"/>
  <c r="W145"/>
  <c r="H146"/>
  <c r="R146"/>
  <c r="M147"/>
  <c r="W147"/>
  <c r="H148"/>
  <c r="R148"/>
  <c r="M149"/>
  <c r="W149"/>
  <c r="H150"/>
  <c r="R150"/>
  <c r="M151"/>
  <c r="W151"/>
  <c r="H152"/>
  <c r="R152"/>
  <c r="M153"/>
  <c r="W153"/>
  <c r="H154"/>
  <c r="R154"/>
  <c r="M155"/>
  <c r="W155"/>
  <c r="H156"/>
  <c r="R156"/>
  <c r="M157"/>
  <c r="W157"/>
  <c r="H158"/>
  <c r="R158"/>
  <c r="M159"/>
  <c r="W159"/>
  <c r="H160"/>
  <c r="R160"/>
  <c r="M161"/>
  <c r="W161"/>
  <c r="H162"/>
  <c r="R162"/>
  <c r="M163"/>
  <c r="W163"/>
  <c r="H164"/>
  <c r="R164"/>
  <c r="M165"/>
  <c r="W165"/>
  <c r="M187"/>
  <c r="W187"/>
  <c r="H188"/>
  <c r="R188"/>
  <c r="M189"/>
  <c r="W189"/>
  <c r="H190"/>
  <c r="R190"/>
  <c r="M191"/>
  <c r="W191"/>
  <c r="H192"/>
  <c r="R192"/>
  <c r="M193"/>
  <c r="W193"/>
  <c r="H194"/>
  <c r="R194"/>
  <c r="M195"/>
  <c r="W195"/>
  <c r="H196"/>
  <c r="R196"/>
  <c r="M197"/>
  <c r="W197"/>
  <c r="H198"/>
  <c r="R198"/>
  <c r="M199"/>
  <c r="W199"/>
  <c r="H200"/>
  <c r="R200"/>
  <c r="M201"/>
  <c r="W201"/>
  <c r="M205"/>
  <c r="W205"/>
  <c r="K210"/>
  <c r="U210"/>
  <c r="F211"/>
  <c r="P211"/>
  <c r="K212"/>
  <c r="U212"/>
  <c r="F213"/>
  <c r="P213"/>
  <c r="K214"/>
  <c r="U214"/>
  <c r="F215"/>
  <c r="P215"/>
  <c r="K216"/>
  <c r="U216"/>
  <c r="F217"/>
  <c r="P217"/>
  <c r="K218"/>
  <c r="U218"/>
  <c r="F219"/>
  <c r="P219"/>
  <c r="K220"/>
  <c r="U220"/>
  <c r="F221"/>
  <c r="P221"/>
  <c r="F224"/>
  <c r="P224"/>
  <c r="K225"/>
  <c r="U225"/>
  <c r="F226"/>
  <c r="P226"/>
  <c r="K227"/>
  <c r="U227"/>
  <c r="P228"/>
  <c r="K76"/>
  <c r="U76"/>
  <c r="F77"/>
  <c r="P77"/>
  <c r="K78"/>
  <c r="U78"/>
  <c r="F79"/>
  <c r="P79"/>
  <c r="K101"/>
  <c r="U101"/>
  <c r="F102"/>
  <c r="P102"/>
  <c r="K103"/>
  <c r="U103"/>
  <c r="F104"/>
  <c r="P104"/>
  <c r="K105"/>
  <c r="U105"/>
  <c r="F106"/>
  <c r="P106"/>
  <c r="K107"/>
  <c r="U107"/>
  <c r="F108"/>
  <c r="P108"/>
  <c r="K109"/>
  <c r="U109"/>
  <c r="F110"/>
  <c r="P110"/>
  <c r="F115"/>
  <c r="P115"/>
  <c r="K116"/>
  <c r="U116"/>
  <c r="F117"/>
  <c r="P117"/>
  <c r="K118"/>
  <c r="U118"/>
  <c r="F119"/>
  <c r="P119"/>
  <c r="F121"/>
  <c r="P121"/>
  <c r="K122"/>
  <c r="U122"/>
  <c r="K145"/>
  <c r="U145"/>
  <c r="F146"/>
  <c r="P146"/>
  <c r="K147"/>
  <c r="U147"/>
  <c r="F148"/>
  <c r="P148"/>
  <c r="K149"/>
  <c r="U149"/>
  <c r="F150"/>
  <c r="P150"/>
  <c r="K151"/>
  <c r="U151"/>
  <c r="F152"/>
  <c r="P152"/>
  <c r="K153"/>
  <c r="U153"/>
  <c r="F154"/>
  <c r="P154"/>
  <c r="K155"/>
  <c r="U155"/>
  <c r="F156"/>
  <c r="P156"/>
  <c r="K157"/>
  <c r="U157"/>
  <c r="F158"/>
  <c r="P158"/>
  <c r="K159"/>
  <c r="U159"/>
  <c r="F160"/>
  <c r="P160"/>
  <c r="K161"/>
  <c r="U161"/>
  <c r="F162"/>
  <c r="P162"/>
  <c r="K163"/>
  <c r="U163"/>
  <c r="F164"/>
  <c r="P164"/>
  <c r="K165"/>
  <c r="U165"/>
  <c r="K187"/>
  <c r="U187"/>
  <c r="F188"/>
  <c r="P188"/>
  <c r="K189"/>
  <c r="U189"/>
  <c r="F190"/>
  <c r="P190"/>
  <c r="K191"/>
  <c r="U191"/>
  <c r="F192"/>
  <c r="P192"/>
  <c r="K193"/>
  <c r="U193"/>
  <c r="P194"/>
  <c r="K195"/>
  <c r="U195"/>
  <c r="F196"/>
  <c r="P196"/>
  <c r="K197"/>
  <c r="U197"/>
  <c r="F198"/>
  <c r="P198"/>
  <c r="K199"/>
  <c r="U199"/>
  <c r="F200"/>
  <c r="P200"/>
  <c r="K201"/>
  <c r="U201"/>
  <c r="K205"/>
  <c r="U205"/>
  <c r="K209"/>
  <c r="W209"/>
  <c r="H76"/>
  <c r="R76"/>
  <c r="M77"/>
  <c r="W77"/>
  <c r="H78"/>
  <c r="M79"/>
  <c r="K80"/>
  <c r="K82"/>
  <c r="K84"/>
  <c r="G98"/>
  <c r="L98"/>
  <c r="Q98"/>
  <c r="Q17" s="1"/>
  <c r="V98"/>
  <c r="H101"/>
  <c r="R101"/>
  <c r="M102"/>
  <c r="W102"/>
  <c r="H103"/>
  <c r="R103"/>
  <c r="M104"/>
  <c r="W104"/>
  <c r="H105"/>
  <c r="R105"/>
  <c r="M106"/>
  <c r="W106"/>
  <c r="H107"/>
  <c r="R107"/>
  <c r="M108"/>
  <c r="W108"/>
  <c r="H109"/>
  <c r="R109"/>
  <c r="M110"/>
  <c r="E112"/>
  <c r="J112"/>
  <c r="O112"/>
  <c r="T112"/>
  <c r="M115"/>
  <c r="W115"/>
  <c r="H116"/>
  <c r="R116"/>
  <c r="M117"/>
  <c r="W117"/>
  <c r="H118"/>
  <c r="R118"/>
  <c r="M119"/>
  <c r="W119"/>
  <c r="M121"/>
  <c r="W121"/>
  <c r="H122"/>
  <c r="R122"/>
  <c r="F127"/>
  <c r="K128"/>
  <c r="F129"/>
  <c r="K130"/>
  <c r="F131"/>
  <c r="K132"/>
  <c r="K136"/>
  <c r="F137"/>
  <c r="K138"/>
  <c r="F139"/>
  <c r="K140"/>
  <c r="F141"/>
  <c r="K142"/>
  <c r="F143"/>
  <c r="K144"/>
  <c r="H145"/>
  <c r="R145"/>
  <c r="M146"/>
  <c r="W146"/>
  <c r="H147"/>
  <c r="R147"/>
  <c r="M148"/>
  <c r="W148"/>
  <c r="H149"/>
  <c r="R149"/>
  <c r="M150"/>
  <c r="W150"/>
  <c r="H151"/>
  <c r="R151"/>
  <c r="M152"/>
  <c r="W152"/>
  <c r="H153"/>
  <c r="R153"/>
  <c r="M154"/>
  <c r="W154"/>
  <c r="H155"/>
  <c r="R155"/>
  <c r="M156"/>
  <c r="W156"/>
  <c r="H157"/>
  <c r="R157"/>
  <c r="M158"/>
  <c r="W158"/>
  <c r="H159"/>
  <c r="R159"/>
  <c r="M160"/>
  <c r="W160"/>
  <c r="H161"/>
  <c r="R161"/>
  <c r="M162"/>
  <c r="W162"/>
  <c r="H163"/>
  <c r="R163"/>
  <c r="M164"/>
  <c r="W164"/>
  <c r="H165"/>
  <c r="R165"/>
  <c r="H187"/>
  <c r="R187"/>
  <c r="M188"/>
  <c r="W188"/>
  <c r="H189"/>
  <c r="R189"/>
  <c r="M190"/>
  <c r="W190"/>
  <c r="H191"/>
  <c r="R191"/>
  <c r="M192"/>
  <c r="W192"/>
  <c r="H193"/>
  <c r="R193"/>
  <c r="M194"/>
  <c r="W194"/>
  <c r="H195"/>
  <c r="R195"/>
  <c r="M196"/>
  <c r="W196"/>
  <c r="H197"/>
  <c r="R197"/>
  <c r="M198"/>
  <c r="W198"/>
  <c r="H199"/>
  <c r="R199"/>
  <c r="M200"/>
  <c r="W200"/>
  <c r="H201"/>
  <c r="R201"/>
  <c r="H205"/>
  <c r="R205"/>
  <c r="F210"/>
  <c r="K211"/>
  <c r="F212"/>
  <c r="K213"/>
  <c r="F214"/>
  <c r="K215"/>
  <c r="F216"/>
  <c r="K217"/>
  <c r="K219"/>
  <c r="F220"/>
  <c r="K221"/>
  <c r="K224"/>
  <c r="F225"/>
  <c r="K226"/>
  <c r="F227"/>
  <c r="K228"/>
  <c r="K77"/>
  <c r="K79"/>
  <c r="F101"/>
  <c r="K102"/>
  <c r="F103"/>
  <c r="K104"/>
  <c r="F105"/>
  <c r="K106"/>
  <c r="F107"/>
  <c r="K108"/>
  <c r="F109"/>
  <c r="K110"/>
  <c r="K115"/>
  <c r="F116"/>
  <c r="K117"/>
  <c r="F118"/>
  <c r="K119"/>
  <c r="K121"/>
  <c r="F122"/>
  <c r="F145"/>
  <c r="K146"/>
  <c r="F147"/>
  <c r="K148"/>
  <c r="F149"/>
  <c r="K150"/>
  <c r="F151"/>
  <c r="K152"/>
  <c r="F153"/>
  <c r="K154"/>
  <c r="F155"/>
  <c r="K156"/>
  <c r="F157"/>
  <c r="K158"/>
  <c r="F159"/>
  <c r="K160"/>
  <c r="F161"/>
  <c r="K162"/>
  <c r="F163"/>
  <c r="K164"/>
  <c r="F165"/>
  <c r="F187"/>
  <c r="K188"/>
  <c r="F189"/>
  <c r="K190"/>
  <c r="F191"/>
  <c r="K192"/>
  <c r="F193"/>
  <c r="K194"/>
  <c r="F195"/>
  <c r="K196"/>
  <c r="F197"/>
  <c r="K198"/>
  <c r="F199"/>
  <c r="K200"/>
  <c r="F201"/>
  <c r="F205"/>
  <c r="M209"/>
  <c r="G11" i="77" l="1"/>
  <c r="M11"/>
  <c r="H134" i="71"/>
  <c r="M134"/>
  <c r="R42"/>
  <c r="P26"/>
  <c r="F62"/>
  <c r="F100"/>
  <c r="R62"/>
  <c r="R32"/>
  <c r="P42"/>
  <c r="M33"/>
  <c r="R33"/>
  <c r="M20"/>
  <c r="F207"/>
  <c r="H41"/>
  <c r="B41"/>
  <c r="P62"/>
  <c r="U62"/>
  <c r="H20"/>
  <c r="W20"/>
  <c r="B32"/>
  <c r="H32"/>
  <c r="K134"/>
  <c r="F134"/>
  <c r="M62"/>
  <c r="P41"/>
  <c r="K62"/>
  <c r="K207"/>
  <c r="F42"/>
  <c r="K26"/>
  <c r="W207"/>
  <c r="P70"/>
  <c r="H42"/>
  <c r="H209"/>
  <c r="U33"/>
  <c r="P33"/>
  <c r="K33"/>
  <c r="F33"/>
  <c r="F20"/>
  <c r="U20"/>
  <c r="P20"/>
  <c r="K20"/>
  <c r="M32"/>
  <c r="H33"/>
  <c r="W124"/>
  <c r="M124"/>
  <c r="H124"/>
  <c r="U124"/>
  <c r="P124"/>
  <c r="K124"/>
  <c r="F124"/>
  <c r="C23" i="81"/>
  <c r="C35"/>
  <c r="C31"/>
  <c r="C27"/>
  <c r="C33"/>
  <c r="C25"/>
  <c r="C17"/>
  <c r="C19"/>
  <c r="C29"/>
  <c r="C21"/>
  <c r="C13"/>
  <c r="I39" i="80"/>
  <c r="I37"/>
  <c r="I36"/>
  <c r="F14"/>
  <c r="F37"/>
  <c r="F36"/>
  <c r="I27"/>
  <c r="U12" i="79"/>
  <c r="C11" i="115"/>
  <c r="C94"/>
  <c r="C93"/>
  <c r="C87"/>
  <c r="C86"/>
  <c r="C85"/>
  <c r="C84"/>
  <c r="C83"/>
  <c r="C68"/>
  <c r="C58"/>
  <c r="C57"/>
  <c r="C56"/>
  <c r="C55"/>
  <c r="C54"/>
  <c r="C49"/>
  <c r="C48"/>
  <c r="C47"/>
  <c r="C46"/>
  <c r="C45"/>
  <c r="C44"/>
  <c r="C43"/>
  <c r="C42"/>
  <c r="C32"/>
  <c r="C31"/>
  <c r="C30"/>
  <c r="C19"/>
  <c r="C91"/>
  <c r="C82"/>
  <c r="C77"/>
  <c r="C76"/>
  <c r="C75"/>
  <c r="C74"/>
  <c r="C73"/>
  <c r="C72"/>
  <c r="C71"/>
  <c r="C70"/>
  <c r="C69"/>
  <c r="C67"/>
  <c r="C53"/>
  <c r="C41"/>
  <c r="C27"/>
  <c r="C61"/>
  <c r="C101"/>
  <c r="C35"/>
  <c r="C100"/>
  <c r="C96"/>
  <c r="C39"/>
  <c r="C64"/>
  <c r="C15"/>
  <c r="C99"/>
  <c r="C29"/>
  <c r="C98"/>
  <c r="C28"/>
  <c r="C38"/>
  <c r="C63"/>
  <c r="C89"/>
  <c r="C23"/>
  <c r="C97"/>
  <c r="C22"/>
  <c r="C24"/>
  <c r="C37"/>
  <c r="C62"/>
  <c r="C80"/>
  <c r="C16"/>
  <c r="C21"/>
  <c r="C79"/>
  <c r="C17"/>
  <c r="C18"/>
  <c r="C36"/>
  <c r="C51"/>
  <c r="C65"/>
  <c r="C26"/>
  <c r="C60"/>
  <c r="C34"/>
  <c r="F11"/>
  <c r="C11" i="109"/>
  <c r="C98"/>
  <c r="C93"/>
  <c r="C89"/>
  <c r="C85"/>
  <c r="C76"/>
  <c r="C75"/>
  <c r="C74"/>
  <c r="C70"/>
  <c r="C68"/>
  <c r="C64"/>
  <c r="C63"/>
  <c r="C61"/>
  <c r="C56"/>
  <c r="C51"/>
  <c r="C47"/>
  <c r="C43"/>
  <c r="C38"/>
  <c r="C32"/>
  <c r="C28"/>
  <c r="C27"/>
  <c r="C26"/>
  <c r="C22"/>
  <c r="C21"/>
  <c r="C17"/>
  <c r="C16"/>
  <c r="C15"/>
  <c r="C100"/>
  <c r="C91"/>
  <c r="C87"/>
  <c r="C83"/>
  <c r="C82"/>
  <c r="C81"/>
  <c r="C78"/>
  <c r="C72"/>
  <c r="C66"/>
  <c r="C58"/>
  <c r="C54"/>
  <c r="C53"/>
  <c r="C49"/>
  <c r="C45"/>
  <c r="C36"/>
  <c r="C35"/>
  <c r="C30"/>
  <c r="C24"/>
  <c r="C19"/>
  <c r="C55"/>
  <c r="C67"/>
  <c r="C23"/>
  <c r="C39"/>
  <c r="C48"/>
  <c r="C86"/>
  <c r="C60"/>
  <c r="C97"/>
  <c r="C44"/>
  <c r="C88"/>
  <c r="C101"/>
  <c r="C77"/>
  <c r="C99"/>
  <c r="C37"/>
  <c r="C42"/>
  <c r="C46"/>
  <c r="C79"/>
  <c r="C18"/>
  <c r="C65"/>
  <c r="C94"/>
  <c r="C96"/>
  <c r="C31"/>
  <c r="C57"/>
  <c r="C90"/>
  <c r="C41"/>
  <c r="C84"/>
  <c r="C29"/>
  <c r="I11"/>
  <c r="C34"/>
  <c r="D12" i="83"/>
  <c r="O11" i="81"/>
  <c r="I11"/>
  <c r="C11"/>
  <c r="L11"/>
  <c r="F11"/>
  <c r="I14" i="80"/>
  <c r="I12" s="1"/>
  <c r="I35"/>
  <c r="I34"/>
  <c r="I33"/>
  <c r="I32"/>
  <c r="I31"/>
  <c r="I29"/>
  <c r="I28"/>
  <c r="I44"/>
  <c r="I43"/>
  <c r="I42"/>
  <c r="I41"/>
  <c r="I40"/>
  <c r="I25"/>
  <c r="I24"/>
  <c r="I23"/>
  <c r="I21"/>
  <c r="I20"/>
  <c r="I19"/>
  <c r="I18"/>
  <c r="I17"/>
  <c r="I16"/>
  <c r="I15"/>
  <c r="F39"/>
  <c r="F35"/>
  <c r="F34"/>
  <c r="F33"/>
  <c r="F32"/>
  <c r="F31"/>
  <c r="F29"/>
  <c r="F28"/>
  <c r="F44"/>
  <c r="F43"/>
  <c r="F42"/>
  <c r="F41"/>
  <c r="F40"/>
  <c r="F25"/>
  <c r="F24"/>
  <c r="F23"/>
  <c r="F21"/>
  <c r="F20"/>
  <c r="F19"/>
  <c r="F18"/>
  <c r="F17"/>
  <c r="F16"/>
  <c r="F15"/>
  <c r="B12"/>
  <c r="F27"/>
  <c r="L12" i="79"/>
  <c r="X12"/>
  <c r="O12"/>
  <c r="L11" i="78"/>
  <c r="C11"/>
  <c r="I11"/>
  <c r="J11" i="77"/>
  <c r="D11"/>
  <c r="P11"/>
  <c r="C16" i="74"/>
  <c r="C15"/>
  <c r="C14"/>
  <c r="C12" s="1"/>
  <c r="F12"/>
  <c r="I12"/>
  <c r="C17"/>
  <c r="E12" i="73"/>
  <c r="Q15" i="71"/>
  <c r="B19"/>
  <c r="K19" s="1"/>
  <c r="E17"/>
  <c r="G15"/>
  <c r="O17"/>
  <c r="V17"/>
  <c r="L17"/>
  <c r="B98"/>
  <c r="M98" s="1"/>
  <c r="F112"/>
  <c r="B112"/>
  <c r="M112" s="1"/>
  <c r="J17"/>
  <c r="T17"/>
  <c r="W112"/>
  <c r="U51"/>
  <c r="W51"/>
  <c r="F51"/>
  <c r="H98"/>
  <c r="H112"/>
  <c r="P51"/>
  <c r="P112"/>
  <c r="R112"/>
  <c r="R51"/>
  <c r="K51"/>
  <c r="M51"/>
  <c r="F32" l="1"/>
  <c r="U32"/>
  <c r="P32"/>
  <c r="K32"/>
  <c r="W32"/>
  <c r="R41"/>
  <c r="W41"/>
  <c r="K41"/>
  <c r="M41"/>
  <c r="F41"/>
  <c r="U41"/>
  <c r="U19"/>
  <c r="C37" i="80"/>
  <c r="C36"/>
  <c r="F12"/>
  <c r="C12"/>
  <c r="C17"/>
  <c r="C32"/>
  <c r="C16"/>
  <c r="C35"/>
  <c r="C43"/>
  <c r="C42"/>
  <c r="C29"/>
  <c r="C28"/>
  <c r="C44"/>
  <c r="C31"/>
  <c r="C20"/>
  <c r="C23"/>
  <c r="C27"/>
  <c r="C41"/>
  <c r="C25"/>
  <c r="C40"/>
  <c r="C14"/>
  <c r="C19"/>
  <c r="C34"/>
  <c r="C39"/>
  <c r="C18"/>
  <c r="C21"/>
  <c r="C24"/>
  <c r="C15"/>
  <c r="C33"/>
  <c r="B17" i="71"/>
  <c r="K17" s="1"/>
  <c r="E15"/>
  <c r="F17"/>
  <c r="T15"/>
  <c r="U17"/>
  <c r="L15"/>
  <c r="M17"/>
  <c r="Q13"/>
  <c r="R98"/>
  <c r="K98"/>
  <c r="K112"/>
  <c r="P19"/>
  <c r="F19"/>
  <c r="O15"/>
  <c r="P17"/>
  <c r="G13"/>
  <c r="U98"/>
  <c r="F98"/>
  <c r="U112"/>
  <c r="J15"/>
  <c r="R19"/>
  <c r="M19"/>
  <c r="W19"/>
  <c r="H19"/>
  <c r="W98"/>
  <c r="V15"/>
  <c r="P98"/>
  <c r="W17" l="1"/>
  <c r="O13"/>
  <c r="T13"/>
  <c r="H17"/>
  <c r="R17"/>
  <c r="V13"/>
  <c r="J13"/>
  <c r="L13"/>
  <c r="B15"/>
  <c r="E13"/>
  <c r="R15" l="1"/>
  <c r="H15"/>
  <c r="B13"/>
  <c r="F13" s="1"/>
  <c r="M15"/>
  <c r="W15"/>
  <c r="P15"/>
  <c r="K15"/>
  <c r="U15"/>
  <c r="M13"/>
  <c r="F15"/>
  <c r="P13"/>
  <c r="K13" l="1"/>
  <c r="W13"/>
  <c r="C227"/>
  <c r="C225"/>
  <c r="C223"/>
  <c r="C220"/>
  <c r="C218"/>
  <c r="C216"/>
  <c r="C214"/>
  <c r="C212"/>
  <c r="C210"/>
  <c r="C143"/>
  <c r="C141"/>
  <c r="C139"/>
  <c r="C137"/>
  <c r="C135"/>
  <c r="C131"/>
  <c r="C129"/>
  <c r="C127"/>
  <c r="C228"/>
  <c r="C226"/>
  <c r="C224"/>
  <c r="C221"/>
  <c r="C219"/>
  <c r="C217"/>
  <c r="C215"/>
  <c r="C213"/>
  <c r="C211"/>
  <c r="C144"/>
  <c r="C142"/>
  <c r="C140"/>
  <c r="C138"/>
  <c r="C136"/>
  <c r="C134"/>
  <c r="C132"/>
  <c r="C130"/>
  <c r="C128"/>
  <c r="C126"/>
  <c r="C124"/>
  <c r="C84"/>
  <c r="C82"/>
  <c r="C80"/>
  <c r="C43"/>
  <c r="C34"/>
  <c r="C32"/>
  <c r="C22"/>
  <c r="C33"/>
  <c r="C13"/>
  <c r="C21"/>
  <c r="C20"/>
  <c r="C28"/>
  <c r="C36"/>
  <c r="C47"/>
  <c r="C53"/>
  <c r="C63"/>
  <c r="C46"/>
  <c r="C54"/>
  <c r="C64"/>
  <c r="C207"/>
  <c r="C107"/>
  <c r="C116"/>
  <c r="C122"/>
  <c r="C149"/>
  <c r="C157"/>
  <c r="C165"/>
  <c r="C189"/>
  <c r="C197"/>
  <c r="C209"/>
  <c r="C102"/>
  <c r="C110"/>
  <c r="C119"/>
  <c r="C152"/>
  <c r="C160"/>
  <c r="C194"/>
  <c r="C26"/>
  <c r="C42"/>
  <c r="C67"/>
  <c r="C203"/>
  <c r="C58"/>
  <c r="C78"/>
  <c r="C145"/>
  <c r="C161"/>
  <c r="C201"/>
  <c r="C115"/>
  <c r="C156"/>
  <c r="C190"/>
  <c r="C30"/>
  <c r="C38"/>
  <c r="C65"/>
  <c r="C56"/>
  <c r="C76"/>
  <c r="C109"/>
  <c r="C118"/>
  <c r="C151"/>
  <c r="C191"/>
  <c r="C77"/>
  <c r="C104"/>
  <c r="C146"/>
  <c r="C162"/>
  <c r="C196"/>
  <c r="C70"/>
  <c r="C41"/>
  <c r="C75"/>
  <c r="C24"/>
  <c r="C45"/>
  <c r="C49"/>
  <c r="C59"/>
  <c r="C29"/>
  <c r="C39"/>
  <c r="C44"/>
  <c r="C52"/>
  <c r="C60"/>
  <c r="C100"/>
  <c r="C105"/>
  <c r="C147"/>
  <c r="C155"/>
  <c r="C163"/>
  <c r="C187"/>
  <c r="C195"/>
  <c r="C108"/>
  <c r="C117"/>
  <c r="C121"/>
  <c r="C150"/>
  <c r="C158"/>
  <c r="C192"/>
  <c r="C200"/>
  <c r="C62"/>
  <c r="C57"/>
  <c r="C74"/>
  <c r="C27"/>
  <c r="C37"/>
  <c r="C68"/>
  <c r="C103"/>
  <c r="C153"/>
  <c r="C193"/>
  <c r="C106"/>
  <c r="C148"/>
  <c r="C164"/>
  <c r="C198"/>
  <c r="C55"/>
  <c r="C114"/>
  <c r="C23"/>
  <c r="C35"/>
  <c r="C66"/>
  <c r="C72"/>
  <c r="C101"/>
  <c r="C159"/>
  <c r="C199"/>
  <c r="C205"/>
  <c r="C79"/>
  <c r="C154"/>
  <c r="C188"/>
  <c r="C51"/>
  <c r="C98"/>
  <c r="C19"/>
  <c r="C112"/>
  <c r="H13"/>
  <c r="C17"/>
  <c r="R13"/>
  <c r="C15"/>
  <c r="U13"/>
  <c r="B190" i="69" l="1"/>
  <c r="B189"/>
  <c r="B188"/>
  <c r="L187"/>
  <c r="B187"/>
  <c r="B186"/>
  <c r="K185"/>
  <c r="H185"/>
  <c r="E185"/>
  <c r="B183"/>
  <c r="B182"/>
  <c r="L182" s="1"/>
  <c r="K181"/>
  <c r="K179" s="1"/>
  <c r="H181"/>
  <c r="E181"/>
  <c r="L180"/>
  <c r="C180"/>
  <c r="B180"/>
  <c r="L177"/>
  <c r="C177"/>
  <c r="B177"/>
  <c r="B176"/>
  <c r="L175"/>
  <c r="C175"/>
  <c r="B175"/>
  <c r="K174"/>
  <c r="H174"/>
  <c r="E174"/>
  <c r="E101" s="1"/>
  <c r="L173"/>
  <c r="C173"/>
  <c r="B173"/>
  <c r="B172"/>
  <c r="L172" s="1"/>
  <c r="B171"/>
  <c r="B170"/>
  <c r="B169"/>
  <c r="B168"/>
  <c r="L168" s="1"/>
  <c r="B167"/>
  <c r="B166"/>
  <c r="B165"/>
  <c r="B164"/>
  <c r="L164" s="1"/>
  <c r="B163"/>
  <c r="B162"/>
  <c r="B161"/>
  <c r="B160"/>
  <c r="L160" s="1"/>
  <c r="B159"/>
  <c r="B158"/>
  <c r="B157"/>
  <c r="B156"/>
  <c r="L156" s="1"/>
  <c r="B155"/>
  <c r="B154"/>
  <c r="B153"/>
  <c r="B152"/>
  <c r="L152" s="1"/>
  <c r="B151"/>
  <c r="B150"/>
  <c r="B149"/>
  <c r="B148"/>
  <c r="L148" s="1"/>
  <c r="B147"/>
  <c r="B146"/>
  <c r="B145"/>
  <c r="B144"/>
  <c r="L144" s="1"/>
  <c r="B143"/>
  <c r="L143" s="1"/>
  <c r="B142"/>
  <c r="B141"/>
  <c r="B140"/>
  <c r="L140" s="1"/>
  <c r="B139"/>
  <c r="B138"/>
  <c r="B137"/>
  <c r="B136"/>
  <c r="L136" s="1"/>
  <c r="B135"/>
  <c r="B134"/>
  <c r="L134" s="1"/>
  <c r="B133"/>
  <c r="L133" s="1"/>
  <c r="B132"/>
  <c r="B131"/>
  <c r="B130"/>
  <c r="B129"/>
  <c r="L129" s="1"/>
  <c r="B128"/>
  <c r="B127"/>
  <c r="B126"/>
  <c r="B125"/>
  <c r="B124"/>
  <c r="K123"/>
  <c r="H123"/>
  <c r="E123"/>
  <c r="B101" s="1"/>
  <c r="B122"/>
  <c r="B121"/>
  <c r="L121" s="1"/>
  <c r="L100"/>
  <c r="I100"/>
  <c r="C100"/>
  <c r="B100"/>
  <c r="B99"/>
  <c r="F99" s="1"/>
  <c r="B98"/>
  <c r="B97"/>
  <c r="L97" s="1"/>
  <c r="L96"/>
  <c r="C96"/>
  <c r="B96"/>
  <c r="B95"/>
  <c r="B94"/>
  <c r="B93"/>
  <c r="B92"/>
  <c r="K91"/>
  <c r="H91"/>
  <c r="B91" s="1"/>
  <c r="L91" s="1"/>
  <c r="E91"/>
  <c r="K90"/>
  <c r="L89"/>
  <c r="C89"/>
  <c r="B89"/>
  <c r="B88"/>
  <c r="L88" s="1"/>
  <c r="B87"/>
  <c r="B86"/>
  <c r="B85"/>
  <c r="L85" s="1"/>
  <c r="B84"/>
  <c r="B83"/>
  <c r="B82"/>
  <c r="B81"/>
  <c r="L81" s="1"/>
  <c r="B80"/>
  <c r="B79"/>
  <c r="K78"/>
  <c r="H78"/>
  <c r="H77" s="1"/>
  <c r="E78"/>
  <c r="K77"/>
  <c r="E77"/>
  <c r="L76"/>
  <c r="B76"/>
  <c r="B75"/>
  <c r="L74"/>
  <c r="C74"/>
  <c r="B74"/>
  <c r="B73"/>
  <c r="L72"/>
  <c r="C72"/>
  <c r="B72"/>
  <c r="B71"/>
  <c r="B70"/>
  <c r="B69"/>
  <c r="B68"/>
  <c r="B67"/>
  <c r="B66"/>
  <c r="K65"/>
  <c r="H65"/>
  <c r="H64" s="1"/>
  <c r="E65"/>
  <c r="K64"/>
  <c r="E64"/>
  <c r="L63"/>
  <c r="C63"/>
  <c r="B63"/>
  <c r="B62"/>
  <c r="B61"/>
  <c r="B60"/>
  <c r="B59"/>
  <c r="B58"/>
  <c r="B57"/>
  <c r="K56"/>
  <c r="H56"/>
  <c r="E56"/>
  <c r="B56" s="1"/>
  <c r="L56" s="1"/>
  <c r="L55"/>
  <c r="C55"/>
  <c r="B55"/>
  <c r="B54"/>
  <c r="L53"/>
  <c r="C53"/>
  <c r="B53"/>
  <c r="B52"/>
  <c r="B51"/>
  <c r="B50"/>
  <c r="B49"/>
  <c r="B48"/>
  <c r="B47"/>
  <c r="B46"/>
  <c r="B45"/>
  <c r="B44"/>
  <c r="K43"/>
  <c r="H43"/>
  <c r="E43"/>
  <c r="L42"/>
  <c r="C42"/>
  <c r="B42"/>
  <c r="B41"/>
  <c r="B40"/>
  <c r="B39"/>
  <c r="B38"/>
  <c r="K37"/>
  <c r="H37"/>
  <c r="E37"/>
  <c r="B37" s="1"/>
  <c r="H36"/>
  <c r="L35"/>
  <c r="C35"/>
  <c r="B35"/>
  <c r="B34"/>
  <c r="B33"/>
  <c r="B32"/>
  <c r="B31"/>
  <c r="B30"/>
  <c r="K29"/>
  <c r="H29"/>
  <c r="E29"/>
  <c r="B29"/>
  <c r="K28"/>
  <c r="H28"/>
  <c r="E28"/>
  <c r="B28"/>
  <c r="L27"/>
  <c r="C27"/>
  <c r="B27"/>
  <c r="B26"/>
  <c r="B25"/>
  <c r="K24"/>
  <c r="H24"/>
  <c r="E24"/>
  <c r="L23"/>
  <c r="C23"/>
  <c r="B23"/>
  <c r="B22"/>
  <c r="B21"/>
  <c r="L21" s="1"/>
  <c r="B20"/>
  <c r="B19"/>
  <c r="K18"/>
  <c r="H18"/>
  <c r="E18"/>
  <c r="B18" s="1"/>
  <c r="H17"/>
  <c r="L16"/>
  <c r="I16"/>
  <c r="F16"/>
  <c r="C16"/>
  <c r="B16"/>
  <c r="L14"/>
  <c r="I14"/>
  <c r="F14"/>
  <c r="C14"/>
  <c r="B14"/>
  <c r="L12"/>
  <c r="B12"/>
  <c r="T183" i="66"/>
  <c r="Q183"/>
  <c r="N183"/>
  <c r="K183"/>
  <c r="H183"/>
  <c r="E183"/>
  <c r="B183"/>
  <c r="T180"/>
  <c r="Q180"/>
  <c r="N180"/>
  <c r="K180"/>
  <c r="H180"/>
  <c r="E180"/>
  <c r="B180"/>
  <c r="U179"/>
  <c r="R179"/>
  <c r="O179"/>
  <c r="L179"/>
  <c r="I179"/>
  <c r="F179"/>
  <c r="C179"/>
  <c r="T177"/>
  <c r="T115" s="1"/>
  <c r="Q177"/>
  <c r="Q115" s="1"/>
  <c r="N177"/>
  <c r="K177"/>
  <c r="K115" s="1"/>
  <c r="H177"/>
  <c r="H115" s="1"/>
  <c r="E177"/>
  <c r="E115" s="1"/>
  <c r="U176"/>
  <c r="R176"/>
  <c r="O176"/>
  <c r="L176"/>
  <c r="I176"/>
  <c r="F176"/>
  <c r="C176"/>
  <c r="T124"/>
  <c r="Q124"/>
  <c r="N124"/>
  <c r="K124"/>
  <c r="H124"/>
  <c r="E124"/>
  <c r="B124"/>
  <c r="U123"/>
  <c r="R123"/>
  <c r="O123"/>
  <c r="L123"/>
  <c r="I123"/>
  <c r="F123"/>
  <c r="C123"/>
  <c r="T117"/>
  <c r="Q117"/>
  <c r="N117"/>
  <c r="K117"/>
  <c r="H117"/>
  <c r="E117"/>
  <c r="B117"/>
  <c r="U116"/>
  <c r="R116"/>
  <c r="O116"/>
  <c r="L116"/>
  <c r="I116"/>
  <c r="F116"/>
  <c r="C116"/>
  <c r="N115"/>
  <c r="B115"/>
  <c r="U75"/>
  <c r="R75"/>
  <c r="O75"/>
  <c r="L75"/>
  <c r="I75"/>
  <c r="F75"/>
  <c r="C75"/>
  <c r="U73"/>
  <c r="R73"/>
  <c r="O73"/>
  <c r="L73"/>
  <c r="I73"/>
  <c r="F73"/>
  <c r="C73"/>
  <c r="T66"/>
  <c r="Q66"/>
  <c r="N66"/>
  <c r="K66"/>
  <c r="H66"/>
  <c r="E66"/>
  <c r="B66"/>
  <c r="U65"/>
  <c r="R65"/>
  <c r="O65"/>
  <c r="L65"/>
  <c r="I65"/>
  <c r="F65"/>
  <c r="C65"/>
  <c r="T64"/>
  <c r="Q64"/>
  <c r="N64"/>
  <c r="K64"/>
  <c r="H64"/>
  <c r="E64"/>
  <c r="B64"/>
  <c r="U63"/>
  <c r="R63"/>
  <c r="O63"/>
  <c r="L63"/>
  <c r="I63"/>
  <c r="F63"/>
  <c r="C63"/>
  <c r="T56"/>
  <c r="Q56"/>
  <c r="N56"/>
  <c r="K56"/>
  <c r="H56"/>
  <c r="E56"/>
  <c r="B56"/>
  <c r="U55"/>
  <c r="R55"/>
  <c r="O55"/>
  <c r="L55"/>
  <c r="I55"/>
  <c r="F55"/>
  <c r="C55"/>
  <c r="T45"/>
  <c r="Q45"/>
  <c r="N45"/>
  <c r="K45"/>
  <c r="H45"/>
  <c r="E45"/>
  <c r="B45"/>
  <c r="U44"/>
  <c r="R44"/>
  <c r="O44"/>
  <c r="L44"/>
  <c r="I44"/>
  <c r="F44"/>
  <c r="C44"/>
  <c r="T37"/>
  <c r="T36" s="1"/>
  <c r="Q37"/>
  <c r="Q36" s="1"/>
  <c r="N37"/>
  <c r="N36" s="1"/>
  <c r="K37"/>
  <c r="K36" s="1"/>
  <c r="H37"/>
  <c r="E37"/>
  <c r="E36" s="1"/>
  <c r="B37"/>
  <c r="B36" s="1"/>
  <c r="H36"/>
  <c r="U35"/>
  <c r="R35"/>
  <c r="O35"/>
  <c r="L35"/>
  <c r="I35"/>
  <c r="F35"/>
  <c r="C35"/>
  <c r="T29"/>
  <c r="T28" s="1"/>
  <c r="Q29"/>
  <c r="Q28" s="1"/>
  <c r="N29"/>
  <c r="N28" s="1"/>
  <c r="K29"/>
  <c r="K28" s="1"/>
  <c r="H29"/>
  <c r="H28" s="1"/>
  <c r="E29"/>
  <c r="E28" s="1"/>
  <c r="B29"/>
  <c r="B28" s="1"/>
  <c r="U27"/>
  <c r="R27"/>
  <c r="O27"/>
  <c r="L27"/>
  <c r="I27"/>
  <c r="F27"/>
  <c r="C27"/>
  <c r="T23"/>
  <c r="Q23"/>
  <c r="N23"/>
  <c r="K23"/>
  <c r="H23"/>
  <c r="E23"/>
  <c r="B23"/>
  <c r="U22"/>
  <c r="R22"/>
  <c r="O22"/>
  <c r="L22"/>
  <c r="I22"/>
  <c r="F22"/>
  <c r="C22"/>
  <c r="T17"/>
  <c r="T16" s="1"/>
  <c r="Q17"/>
  <c r="Q16" s="1"/>
  <c r="N17"/>
  <c r="N16" s="1"/>
  <c r="K17"/>
  <c r="K16" s="1"/>
  <c r="H17"/>
  <c r="H16" s="1"/>
  <c r="E17"/>
  <c r="E16" s="1"/>
  <c r="B17"/>
  <c r="B16" s="1"/>
  <c r="U15"/>
  <c r="R15"/>
  <c r="O15"/>
  <c r="L15"/>
  <c r="I15"/>
  <c r="F15"/>
  <c r="C15"/>
  <c r="U12"/>
  <c r="O12"/>
  <c r="F101" i="69" l="1"/>
  <c r="I101"/>
  <c r="L101"/>
  <c r="K17"/>
  <c r="E17"/>
  <c r="E36"/>
  <c r="I91"/>
  <c r="B17"/>
  <c r="F17" s="1"/>
  <c r="L20"/>
  <c r="I20"/>
  <c r="F20"/>
  <c r="B24"/>
  <c r="I24" s="1"/>
  <c r="L31"/>
  <c r="F31"/>
  <c r="I31"/>
  <c r="L39"/>
  <c r="I39"/>
  <c r="F39"/>
  <c r="L45"/>
  <c r="I45"/>
  <c r="F45"/>
  <c r="L49"/>
  <c r="F49"/>
  <c r="I49"/>
  <c r="L57"/>
  <c r="F57"/>
  <c r="I57"/>
  <c r="L61"/>
  <c r="I61"/>
  <c r="F61"/>
  <c r="L69"/>
  <c r="I69"/>
  <c r="F69"/>
  <c r="F85"/>
  <c r="I85"/>
  <c r="I88"/>
  <c r="F88"/>
  <c r="L94"/>
  <c r="I94"/>
  <c r="F94"/>
  <c r="L126"/>
  <c r="F126"/>
  <c r="I126"/>
  <c r="F133"/>
  <c r="I133"/>
  <c r="L135"/>
  <c r="I135"/>
  <c r="F135"/>
  <c r="L138"/>
  <c r="F138"/>
  <c r="I138"/>
  <c r="L141"/>
  <c r="F141"/>
  <c r="I141"/>
  <c r="F144"/>
  <c r="I144"/>
  <c r="L147"/>
  <c r="I147"/>
  <c r="F147"/>
  <c r="L150"/>
  <c r="F150"/>
  <c r="I150"/>
  <c r="L153"/>
  <c r="F153"/>
  <c r="I153"/>
  <c r="F160"/>
  <c r="I160"/>
  <c r="L163"/>
  <c r="I163"/>
  <c r="F163"/>
  <c r="L166"/>
  <c r="F166"/>
  <c r="I166"/>
  <c r="L169"/>
  <c r="F169"/>
  <c r="I169"/>
  <c r="F187"/>
  <c r="I187"/>
  <c r="L190"/>
  <c r="F190"/>
  <c r="I190"/>
  <c r="I18"/>
  <c r="I28"/>
  <c r="F18"/>
  <c r="F28"/>
  <c r="F29"/>
  <c r="F37"/>
  <c r="F56"/>
  <c r="B181"/>
  <c r="L19"/>
  <c r="F19"/>
  <c r="I19"/>
  <c r="L30"/>
  <c r="I30"/>
  <c r="F30"/>
  <c r="L44"/>
  <c r="I44"/>
  <c r="F44"/>
  <c r="L48"/>
  <c r="I48"/>
  <c r="F48"/>
  <c r="L52"/>
  <c r="I52"/>
  <c r="F52"/>
  <c r="I54"/>
  <c r="F54"/>
  <c r="L60"/>
  <c r="I60"/>
  <c r="F60"/>
  <c r="L68"/>
  <c r="I68"/>
  <c r="F68"/>
  <c r="I81"/>
  <c r="F81"/>
  <c r="L84"/>
  <c r="I84"/>
  <c r="F84"/>
  <c r="L87"/>
  <c r="F87"/>
  <c r="I87"/>
  <c r="L93"/>
  <c r="F93"/>
  <c r="I93"/>
  <c r="L98"/>
  <c r="I98"/>
  <c r="F98"/>
  <c r="L122"/>
  <c r="F122"/>
  <c r="I122"/>
  <c r="L125"/>
  <c r="F125"/>
  <c r="I125"/>
  <c r="F129"/>
  <c r="I129"/>
  <c r="L132"/>
  <c r="F132"/>
  <c r="I132"/>
  <c r="L137"/>
  <c r="F137"/>
  <c r="I137"/>
  <c r="L146"/>
  <c r="F146"/>
  <c r="I146"/>
  <c r="L149"/>
  <c r="F149"/>
  <c r="I149"/>
  <c r="F156"/>
  <c r="I156"/>
  <c r="L159"/>
  <c r="I159"/>
  <c r="F159"/>
  <c r="L162"/>
  <c r="F162"/>
  <c r="I162"/>
  <c r="L165"/>
  <c r="F165"/>
  <c r="I165"/>
  <c r="F182"/>
  <c r="I182"/>
  <c r="L186"/>
  <c r="F186"/>
  <c r="I186"/>
  <c r="L189"/>
  <c r="F189"/>
  <c r="I189"/>
  <c r="F24"/>
  <c r="L22"/>
  <c r="I22"/>
  <c r="F22"/>
  <c r="L26"/>
  <c r="I26"/>
  <c r="F26"/>
  <c r="L34"/>
  <c r="I34"/>
  <c r="F34"/>
  <c r="L38"/>
  <c r="I38"/>
  <c r="F38"/>
  <c r="L25"/>
  <c r="I25"/>
  <c r="F25"/>
  <c r="L33"/>
  <c r="I33"/>
  <c r="F33"/>
  <c r="L41"/>
  <c r="I41"/>
  <c r="F41"/>
  <c r="I47"/>
  <c r="F47"/>
  <c r="I51"/>
  <c r="F51"/>
  <c r="L59"/>
  <c r="I59"/>
  <c r="F59"/>
  <c r="L67"/>
  <c r="I67"/>
  <c r="F67"/>
  <c r="L71"/>
  <c r="F71"/>
  <c r="I71"/>
  <c r="L73"/>
  <c r="F73"/>
  <c r="I73"/>
  <c r="L75"/>
  <c r="I75"/>
  <c r="F75"/>
  <c r="L80"/>
  <c r="I80"/>
  <c r="F80"/>
  <c r="L83"/>
  <c r="I83"/>
  <c r="F83"/>
  <c r="L86"/>
  <c r="I86"/>
  <c r="F86"/>
  <c r="I92"/>
  <c r="F92"/>
  <c r="L124"/>
  <c r="F124"/>
  <c r="I124"/>
  <c r="L128"/>
  <c r="F128"/>
  <c r="I128"/>
  <c r="L131"/>
  <c r="I131"/>
  <c r="F131"/>
  <c r="F134"/>
  <c r="I134"/>
  <c r="F140"/>
  <c r="I140"/>
  <c r="I143"/>
  <c r="F143"/>
  <c r="L145"/>
  <c r="F145"/>
  <c r="I145"/>
  <c r="F152"/>
  <c r="I152"/>
  <c r="L155"/>
  <c r="I155"/>
  <c r="F155"/>
  <c r="L158"/>
  <c r="F158"/>
  <c r="I158"/>
  <c r="L161"/>
  <c r="F161"/>
  <c r="I161"/>
  <c r="F168"/>
  <c r="I168"/>
  <c r="L188"/>
  <c r="I188"/>
  <c r="F188"/>
  <c r="L18"/>
  <c r="L28"/>
  <c r="L29"/>
  <c r="K36"/>
  <c r="L37"/>
  <c r="B43"/>
  <c r="L43" s="1"/>
  <c r="H90"/>
  <c r="F91"/>
  <c r="B185"/>
  <c r="L185" s="1"/>
  <c r="I21"/>
  <c r="F21"/>
  <c r="I32"/>
  <c r="F32"/>
  <c r="I40"/>
  <c r="F40"/>
  <c r="L46"/>
  <c r="I46"/>
  <c r="F46"/>
  <c r="L50"/>
  <c r="I50"/>
  <c r="F50"/>
  <c r="I58"/>
  <c r="F58"/>
  <c r="L62"/>
  <c r="I62"/>
  <c r="F62"/>
  <c r="I66"/>
  <c r="F66"/>
  <c r="I70"/>
  <c r="F70"/>
  <c r="L79"/>
  <c r="F79"/>
  <c r="I79"/>
  <c r="L82"/>
  <c r="I82"/>
  <c r="F82"/>
  <c r="I95"/>
  <c r="F95"/>
  <c r="I97"/>
  <c r="F97"/>
  <c r="F121"/>
  <c r="I121"/>
  <c r="I127"/>
  <c r="F127"/>
  <c r="L130"/>
  <c r="F130"/>
  <c r="I130"/>
  <c r="F136"/>
  <c r="I136"/>
  <c r="L139"/>
  <c r="I139"/>
  <c r="F139"/>
  <c r="L142"/>
  <c r="F142"/>
  <c r="I142"/>
  <c r="F148"/>
  <c r="I148"/>
  <c r="L151"/>
  <c r="I151"/>
  <c r="F151"/>
  <c r="L154"/>
  <c r="F154"/>
  <c r="I154"/>
  <c r="L157"/>
  <c r="F157"/>
  <c r="I157"/>
  <c r="F164"/>
  <c r="I164"/>
  <c r="L167"/>
  <c r="I167"/>
  <c r="F167"/>
  <c r="I183"/>
  <c r="F183"/>
  <c r="H15"/>
  <c r="I29"/>
  <c r="I37"/>
  <c r="I56"/>
  <c r="B64"/>
  <c r="L64" s="1"/>
  <c r="B65"/>
  <c r="L65" s="1"/>
  <c r="B77"/>
  <c r="L77" s="1"/>
  <c r="B78"/>
  <c r="F78" s="1"/>
  <c r="L170"/>
  <c r="F170"/>
  <c r="I170"/>
  <c r="I181"/>
  <c r="F181"/>
  <c r="B174"/>
  <c r="F174" s="1"/>
  <c r="B123"/>
  <c r="F123" s="1"/>
  <c r="I172"/>
  <c r="F172"/>
  <c r="L171"/>
  <c r="F171"/>
  <c r="I171"/>
  <c r="L176"/>
  <c r="I176"/>
  <c r="F176"/>
  <c r="K13" i="66"/>
  <c r="K11" s="1"/>
  <c r="E13"/>
  <c r="E11" s="1"/>
  <c r="Q13"/>
  <c r="Q11" s="1"/>
  <c r="L24" i="69"/>
  <c r="L123"/>
  <c r="E15"/>
  <c r="I17"/>
  <c r="L54"/>
  <c r="L92"/>
  <c r="H179"/>
  <c r="L181"/>
  <c r="L183"/>
  <c r="L32"/>
  <c r="L40"/>
  <c r="L47"/>
  <c r="L51"/>
  <c r="L58"/>
  <c r="L66"/>
  <c r="L70"/>
  <c r="L95"/>
  <c r="L99"/>
  <c r="I99"/>
  <c r="E179"/>
  <c r="L17" l="1"/>
  <c r="K15"/>
  <c r="L174"/>
  <c r="F77"/>
  <c r="I77"/>
  <c r="I43"/>
  <c r="I78"/>
  <c r="F43"/>
  <c r="L78"/>
  <c r="I90"/>
  <c r="B90"/>
  <c r="F64"/>
  <c r="F185"/>
  <c r="I64"/>
  <c r="F65"/>
  <c r="I65"/>
  <c r="I185"/>
  <c r="B36"/>
  <c r="I174"/>
  <c r="I123"/>
  <c r="B179"/>
  <c r="I179" s="1"/>
  <c r="B15"/>
  <c r="F15" s="1"/>
  <c r="T13" i="66"/>
  <c r="T11" s="1"/>
  <c r="B13"/>
  <c r="B11" s="1"/>
  <c r="H13"/>
  <c r="H11" s="1"/>
  <c r="N13"/>
  <c r="N11" s="1"/>
  <c r="I36" i="69" l="1"/>
  <c r="F36"/>
  <c r="L15"/>
  <c r="L36"/>
  <c r="F90"/>
  <c r="L90"/>
  <c r="F179"/>
  <c r="L102" i="66"/>
  <c r="L98"/>
  <c r="L95"/>
  <c r="L101"/>
  <c r="L97"/>
  <c r="L100"/>
  <c r="L96"/>
  <c r="L94"/>
  <c r="L92"/>
  <c r="R100"/>
  <c r="R96"/>
  <c r="R95"/>
  <c r="R101"/>
  <c r="R102"/>
  <c r="R98"/>
  <c r="R97"/>
  <c r="R92"/>
  <c r="R94"/>
  <c r="F100"/>
  <c r="F96"/>
  <c r="F101"/>
  <c r="F97"/>
  <c r="F95"/>
  <c r="F102"/>
  <c r="F98"/>
  <c r="F92"/>
  <c r="F94"/>
  <c r="L13"/>
  <c r="L90"/>
  <c r="L86"/>
  <c r="L82"/>
  <c r="L89"/>
  <c r="L85"/>
  <c r="L81"/>
  <c r="L88"/>
  <c r="L84"/>
  <c r="L87"/>
  <c r="L83"/>
  <c r="L78"/>
  <c r="L80"/>
  <c r="F13"/>
  <c r="F88"/>
  <c r="F84"/>
  <c r="F87"/>
  <c r="F83"/>
  <c r="F90"/>
  <c r="F86"/>
  <c r="F82"/>
  <c r="F89"/>
  <c r="F85"/>
  <c r="F81"/>
  <c r="F80"/>
  <c r="F78"/>
  <c r="R88"/>
  <c r="R84"/>
  <c r="R87"/>
  <c r="R83"/>
  <c r="R90"/>
  <c r="R86"/>
  <c r="R82"/>
  <c r="R89"/>
  <c r="R85"/>
  <c r="R81"/>
  <c r="R80"/>
  <c r="R78"/>
  <c r="B13" i="69"/>
  <c r="F13" s="1"/>
  <c r="E11"/>
  <c r="H11"/>
  <c r="L179"/>
  <c r="K11"/>
  <c r="I15"/>
  <c r="R186" i="66"/>
  <c r="R174"/>
  <c r="R170"/>
  <c r="R166"/>
  <c r="R162"/>
  <c r="R158"/>
  <c r="R154"/>
  <c r="R153"/>
  <c r="R149"/>
  <c r="R145"/>
  <c r="R141"/>
  <c r="R137"/>
  <c r="R133"/>
  <c r="R129"/>
  <c r="R125"/>
  <c r="R124"/>
  <c r="R122"/>
  <c r="R118"/>
  <c r="R117"/>
  <c r="R71"/>
  <c r="R67"/>
  <c r="R66"/>
  <c r="R61"/>
  <c r="R57"/>
  <c r="R56"/>
  <c r="R54"/>
  <c r="R50"/>
  <c r="R46"/>
  <c r="R45"/>
  <c r="R43"/>
  <c r="R39"/>
  <c r="R36"/>
  <c r="R34"/>
  <c r="R30"/>
  <c r="R29"/>
  <c r="R24"/>
  <c r="R23"/>
  <c r="R185"/>
  <c r="R182"/>
  <c r="R173"/>
  <c r="R169"/>
  <c r="R165"/>
  <c r="R161"/>
  <c r="R157"/>
  <c r="R152"/>
  <c r="R148"/>
  <c r="R144"/>
  <c r="R140"/>
  <c r="R136"/>
  <c r="R132"/>
  <c r="R128"/>
  <c r="R121"/>
  <c r="R74"/>
  <c r="R70"/>
  <c r="R60"/>
  <c r="R53"/>
  <c r="R49"/>
  <c r="R42"/>
  <c r="R33"/>
  <c r="R188"/>
  <c r="R184"/>
  <c r="R183"/>
  <c r="R181"/>
  <c r="R180"/>
  <c r="R178"/>
  <c r="R177"/>
  <c r="R172"/>
  <c r="R168"/>
  <c r="R164"/>
  <c r="R160"/>
  <c r="R156"/>
  <c r="R151"/>
  <c r="R147"/>
  <c r="R143"/>
  <c r="R139"/>
  <c r="R135"/>
  <c r="R131"/>
  <c r="R127"/>
  <c r="R120"/>
  <c r="R69"/>
  <c r="R59"/>
  <c r="R52"/>
  <c r="R48"/>
  <c r="R41"/>
  <c r="R38"/>
  <c r="R37"/>
  <c r="R32"/>
  <c r="R28"/>
  <c r="R26"/>
  <c r="R187"/>
  <c r="R175"/>
  <c r="R171"/>
  <c r="R167"/>
  <c r="R163"/>
  <c r="R159"/>
  <c r="R155"/>
  <c r="R150"/>
  <c r="R146"/>
  <c r="R142"/>
  <c r="R138"/>
  <c r="R134"/>
  <c r="R130"/>
  <c r="R126"/>
  <c r="R119"/>
  <c r="R76"/>
  <c r="R72"/>
  <c r="R68"/>
  <c r="R62"/>
  <c r="R58"/>
  <c r="R51"/>
  <c r="R47"/>
  <c r="R40"/>
  <c r="R31"/>
  <c r="R25"/>
  <c r="R21"/>
  <c r="R18"/>
  <c r="R20"/>
  <c r="R19"/>
  <c r="R16"/>
  <c r="R64"/>
  <c r="R14"/>
  <c r="R17"/>
  <c r="R115"/>
  <c r="R13"/>
  <c r="F186"/>
  <c r="F174"/>
  <c r="F170"/>
  <c r="F166"/>
  <c r="F162"/>
  <c r="F158"/>
  <c r="F154"/>
  <c r="F153"/>
  <c r="F149"/>
  <c r="F145"/>
  <c r="F141"/>
  <c r="F137"/>
  <c r="F133"/>
  <c r="F129"/>
  <c r="F125"/>
  <c r="F124"/>
  <c r="F122"/>
  <c r="F118"/>
  <c r="F117"/>
  <c r="F71"/>
  <c r="F67"/>
  <c r="F66"/>
  <c r="F61"/>
  <c r="F57"/>
  <c r="F56"/>
  <c r="F54"/>
  <c r="F50"/>
  <c r="F46"/>
  <c r="F45"/>
  <c r="F43"/>
  <c r="F39"/>
  <c r="F36"/>
  <c r="F34"/>
  <c r="F30"/>
  <c r="F29"/>
  <c r="F24"/>
  <c r="F185"/>
  <c r="F182"/>
  <c r="F173"/>
  <c r="F169"/>
  <c r="F165"/>
  <c r="F161"/>
  <c r="F157"/>
  <c r="F152"/>
  <c r="F148"/>
  <c r="F144"/>
  <c r="F140"/>
  <c r="F136"/>
  <c r="F132"/>
  <c r="F128"/>
  <c r="F121"/>
  <c r="F74"/>
  <c r="F70"/>
  <c r="F60"/>
  <c r="F53"/>
  <c r="F49"/>
  <c r="F42"/>
  <c r="F33"/>
  <c r="F188"/>
  <c r="F184"/>
  <c r="F183"/>
  <c r="F11" s="1"/>
  <c r="F181"/>
  <c r="F180"/>
  <c r="F178"/>
  <c r="F177"/>
  <c r="F172"/>
  <c r="F168"/>
  <c r="F164"/>
  <c r="F160"/>
  <c r="F156"/>
  <c r="F151"/>
  <c r="F147"/>
  <c r="F143"/>
  <c r="F139"/>
  <c r="F135"/>
  <c r="F131"/>
  <c r="F127"/>
  <c r="F120"/>
  <c r="F69"/>
  <c r="F59"/>
  <c r="F52"/>
  <c r="F48"/>
  <c r="F41"/>
  <c r="F38"/>
  <c r="F37"/>
  <c r="F32"/>
  <c r="F28"/>
  <c r="F26"/>
  <c r="F187"/>
  <c r="F175"/>
  <c r="F171"/>
  <c r="F167"/>
  <c r="F163"/>
  <c r="F159"/>
  <c r="F155"/>
  <c r="F150"/>
  <c r="F146"/>
  <c r="F142"/>
  <c r="F138"/>
  <c r="F134"/>
  <c r="F130"/>
  <c r="F126"/>
  <c r="F119"/>
  <c r="F76"/>
  <c r="F72"/>
  <c r="F68"/>
  <c r="F62"/>
  <c r="F58"/>
  <c r="F51"/>
  <c r="F47"/>
  <c r="F40"/>
  <c r="F31"/>
  <c r="F25"/>
  <c r="F19"/>
  <c r="F18"/>
  <c r="F21"/>
  <c r="F20"/>
  <c r="F23"/>
  <c r="F115"/>
  <c r="F17"/>
  <c r="F16"/>
  <c r="F14"/>
  <c r="F64"/>
  <c r="L188"/>
  <c r="L184"/>
  <c r="L181"/>
  <c r="L178"/>
  <c r="L172"/>
  <c r="L168"/>
  <c r="L164"/>
  <c r="L160"/>
  <c r="L156"/>
  <c r="L151"/>
  <c r="L147"/>
  <c r="L143"/>
  <c r="L139"/>
  <c r="L135"/>
  <c r="L131"/>
  <c r="L127"/>
  <c r="L124"/>
  <c r="L120"/>
  <c r="L117"/>
  <c r="L69"/>
  <c r="L66"/>
  <c r="L59"/>
  <c r="L56"/>
  <c r="L52"/>
  <c r="L48"/>
  <c r="L45"/>
  <c r="L41"/>
  <c r="L38"/>
  <c r="L36"/>
  <c r="L32"/>
  <c r="L29"/>
  <c r="L26"/>
  <c r="L23"/>
  <c r="L187"/>
  <c r="L175"/>
  <c r="L171"/>
  <c r="L167"/>
  <c r="L163"/>
  <c r="L159"/>
  <c r="L155"/>
  <c r="L150"/>
  <c r="L146"/>
  <c r="L142"/>
  <c r="L138"/>
  <c r="L134"/>
  <c r="L130"/>
  <c r="L126"/>
  <c r="L119"/>
  <c r="L76"/>
  <c r="L72"/>
  <c r="L68"/>
  <c r="L62"/>
  <c r="L58"/>
  <c r="L51"/>
  <c r="L47"/>
  <c r="L40"/>
  <c r="L31"/>
  <c r="L25"/>
  <c r="L186"/>
  <c r="L183"/>
  <c r="L11" s="1"/>
  <c r="L180"/>
  <c r="L177"/>
  <c r="L174"/>
  <c r="L170"/>
  <c r="L166"/>
  <c r="L162"/>
  <c r="L158"/>
  <c r="L154"/>
  <c r="L153"/>
  <c r="L149"/>
  <c r="L145"/>
  <c r="L141"/>
  <c r="L137"/>
  <c r="L133"/>
  <c r="L129"/>
  <c r="L125"/>
  <c r="L122"/>
  <c r="L118"/>
  <c r="L71"/>
  <c r="L67"/>
  <c r="L61"/>
  <c r="L57"/>
  <c r="L54"/>
  <c r="L50"/>
  <c r="L46"/>
  <c r="L43"/>
  <c r="L39"/>
  <c r="L37"/>
  <c r="L34"/>
  <c r="L30"/>
  <c r="L28"/>
  <c r="L24"/>
  <c r="L185"/>
  <c r="L182"/>
  <c r="L173"/>
  <c r="L169"/>
  <c r="L165"/>
  <c r="L161"/>
  <c r="L157"/>
  <c r="L152"/>
  <c r="L148"/>
  <c r="L144"/>
  <c r="L140"/>
  <c r="L136"/>
  <c r="L132"/>
  <c r="L128"/>
  <c r="L121"/>
  <c r="L74"/>
  <c r="L70"/>
  <c r="L60"/>
  <c r="L53"/>
  <c r="L49"/>
  <c r="L42"/>
  <c r="L33"/>
  <c r="L20"/>
  <c r="L19"/>
  <c r="L18"/>
  <c r="L21"/>
  <c r="L64"/>
  <c r="L115"/>
  <c r="L17"/>
  <c r="L16"/>
  <c r="L14"/>
  <c r="L13" i="69" l="1"/>
  <c r="I13"/>
  <c r="O95" i="66"/>
  <c r="O102"/>
  <c r="O98"/>
  <c r="O96"/>
  <c r="O101"/>
  <c r="O97"/>
  <c r="O100"/>
  <c r="O92"/>
  <c r="O94"/>
  <c r="C95"/>
  <c r="C94"/>
  <c r="C102"/>
  <c r="C98"/>
  <c r="C100"/>
  <c r="C101"/>
  <c r="C97"/>
  <c r="C96"/>
  <c r="C92"/>
  <c r="U101"/>
  <c r="U97"/>
  <c r="U100"/>
  <c r="U96"/>
  <c r="U94"/>
  <c r="U95"/>
  <c r="U92"/>
  <c r="U102"/>
  <c r="U98"/>
  <c r="I101"/>
  <c r="I97"/>
  <c r="I102"/>
  <c r="I100"/>
  <c r="I96"/>
  <c r="I92"/>
  <c r="I98"/>
  <c r="I95"/>
  <c r="I94"/>
  <c r="C13"/>
  <c r="C87"/>
  <c r="C83"/>
  <c r="C90"/>
  <c r="C86"/>
  <c r="C82"/>
  <c r="C89"/>
  <c r="C85"/>
  <c r="C81"/>
  <c r="C88"/>
  <c r="C84"/>
  <c r="C80"/>
  <c r="C78"/>
  <c r="I89"/>
  <c r="I85"/>
  <c r="I81"/>
  <c r="I88"/>
  <c r="I84"/>
  <c r="I87"/>
  <c r="I83"/>
  <c r="I90"/>
  <c r="I86"/>
  <c r="I82"/>
  <c r="I80"/>
  <c r="I78"/>
  <c r="U89"/>
  <c r="U85"/>
  <c r="U88"/>
  <c r="U84"/>
  <c r="U87"/>
  <c r="U83"/>
  <c r="U90"/>
  <c r="U86"/>
  <c r="U82"/>
  <c r="U81"/>
  <c r="U80"/>
  <c r="U78"/>
  <c r="O87"/>
  <c r="O83"/>
  <c r="O90"/>
  <c r="O86"/>
  <c r="O82"/>
  <c r="O89"/>
  <c r="O85"/>
  <c r="O81"/>
  <c r="O88"/>
  <c r="O84"/>
  <c r="O80"/>
  <c r="O78"/>
  <c r="B11" i="69"/>
  <c r="I187" i="66"/>
  <c r="I183"/>
  <c r="I180"/>
  <c r="I177"/>
  <c r="I175"/>
  <c r="I171"/>
  <c r="I167"/>
  <c r="I163"/>
  <c r="I159"/>
  <c r="I155"/>
  <c r="I150"/>
  <c r="I146"/>
  <c r="I142"/>
  <c r="I138"/>
  <c r="I134"/>
  <c r="I130"/>
  <c r="I126"/>
  <c r="I119"/>
  <c r="I76"/>
  <c r="I72"/>
  <c r="I68"/>
  <c r="I62"/>
  <c r="I58"/>
  <c r="I51"/>
  <c r="I47"/>
  <c r="I40"/>
  <c r="I37"/>
  <c r="I31"/>
  <c r="I28"/>
  <c r="I25"/>
  <c r="I186"/>
  <c r="I174"/>
  <c r="I170"/>
  <c r="I166"/>
  <c r="I162"/>
  <c r="I158"/>
  <c r="I154"/>
  <c r="I153"/>
  <c r="I149"/>
  <c r="I145"/>
  <c r="I141"/>
  <c r="I137"/>
  <c r="I133"/>
  <c r="I129"/>
  <c r="I125"/>
  <c r="I122"/>
  <c r="I118"/>
  <c r="I71"/>
  <c r="I67"/>
  <c r="I61"/>
  <c r="I57"/>
  <c r="I54"/>
  <c r="I50"/>
  <c r="I46"/>
  <c r="I43"/>
  <c r="I39"/>
  <c r="I34"/>
  <c r="I30"/>
  <c r="I24"/>
  <c r="I185"/>
  <c r="I182"/>
  <c r="I173"/>
  <c r="I169"/>
  <c r="I165"/>
  <c r="I161"/>
  <c r="I157"/>
  <c r="I152"/>
  <c r="I148"/>
  <c r="I144"/>
  <c r="I140"/>
  <c r="I136"/>
  <c r="I132"/>
  <c r="I128"/>
  <c r="I124"/>
  <c r="I121"/>
  <c r="I117"/>
  <c r="I74"/>
  <c r="I70"/>
  <c r="I66"/>
  <c r="I60"/>
  <c r="I56"/>
  <c r="I53"/>
  <c r="I49"/>
  <c r="I45"/>
  <c r="I42"/>
  <c r="I36"/>
  <c r="I33"/>
  <c r="I29"/>
  <c r="I23"/>
  <c r="I188"/>
  <c r="I184"/>
  <c r="I181"/>
  <c r="I178"/>
  <c r="I172"/>
  <c r="I168"/>
  <c r="I164"/>
  <c r="I160"/>
  <c r="I156"/>
  <c r="I151"/>
  <c r="I147"/>
  <c r="I143"/>
  <c r="I139"/>
  <c r="I135"/>
  <c r="I131"/>
  <c r="I127"/>
  <c r="I120"/>
  <c r="I69"/>
  <c r="I59"/>
  <c r="I52"/>
  <c r="I48"/>
  <c r="I41"/>
  <c r="I38"/>
  <c r="I32"/>
  <c r="I26"/>
  <c r="I20"/>
  <c r="I19"/>
  <c r="I18"/>
  <c r="I21"/>
  <c r="I17"/>
  <c r="I115"/>
  <c r="I64"/>
  <c r="I16"/>
  <c r="I14"/>
  <c r="I13"/>
  <c r="C185"/>
  <c r="C183"/>
  <c r="C182"/>
  <c r="C180"/>
  <c r="C177"/>
  <c r="C173"/>
  <c r="C169"/>
  <c r="C165"/>
  <c r="C161"/>
  <c r="C157"/>
  <c r="C152"/>
  <c r="C148"/>
  <c r="C144"/>
  <c r="C140"/>
  <c r="C136"/>
  <c r="C132"/>
  <c r="C128"/>
  <c r="C121"/>
  <c r="C74"/>
  <c r="C70"/>
  <c r="C60"/>
  <c r="C53"/>
  <c r="C49"/>
  <c r="C42"/>
  <c r="C37"/>
  <c r="C33"/>
  <c r="C28"/>
  <c r="C188"/>
  <c r="C184"/>
  <c r="C181"/>
  <c r="C178"/>
  <c r="C172"/>
  <c r="C168"/>
  <c r="C164"/>
  <c r="C160"/>
  <c r="C156"/>
  <c r="C151"/>
  <c r="C147"/>
  <c r="C143"/>
  <c r="C139"/>
  <c r="C135"/>
  <c r="C131"/>
  <c r="C127"/>
  <c r="C120"/>
  <c r="C69"/>
  <c r="C59"/>
  <c r="C52"/>
  <c r="C48"/>
  <c r="C41"/>
  <c r="C38"/>
  <c r="C32"/>
  <c r="C26"/>
  <c r="C187"/>
  <c r="C175"/>
  <c r="C171"/>
  <c r="C167"/>
  <c r="C163"/>
  <c r="C159"/>
  <c r="C155"/>
  <c r="C150"/>
  <c r="C146"/>
  <c r="C142"/>
  <c r="C138"/>
  <c r="C134"/>
  <c r="C130"/>
  <c r="C126"/>
  <c r="C124"/>
  <c r="C119"/>
  <c r="C117"/>
  <c r="C76"/>
  <c r="C72"/>
  <c r="C68"/>
  <c r="C66"/>
  <c r="C62"/>
  <c r="C58"/>
  <c r="C56"/>
  <c r="C51"/>
  <c r="C47"/>
  <c r="C45"/>
  <c r="C40"/>
  <c r="C36"/>
  <c r="C31"/>
  <c r="C29"/>
  <c r="C25"/>
  <c r="C186"/>
  <c r="C174"/>
  <c r="C170"/>
  <c r="C166"/>
  <c r="C162"/>
  <c r="C158"/>
  <c r="C154"/>
  <c r="C153"/>
  <c r="C149"/>
  <c r="C145"/>
  <c r="C141"/>
  <c r="C137"/>
  <c r="C133"/>
  <c r="C129"/>
  <c r="C125"/>
  <c r="C122"/>
  <c r="C118"/>
  <c r="C71"/>
  <c r="C67"/>
  <c r="C61"/>
  <c r="C57"/>
  <c r="C54"/>
  <c r="C50"/>
  <c r="C46"/>
  <c r="C43"/>
  <c r="C39"/>
  <c r="C34"/>
  <c r="C30"/>
  <c r="C24"/>
  <c r="C18"/>
  <c r="C21"/>
  <c r="C23"/>
  <c r="C20"/>
  <c r="C19"/>
  <c r="C16"/>
  <c r="C17"/>
  <c r="C64"/>
  <c r="C115"/>
  <c r="C14"/>
  <c r="U187"/>
  <c r="U183"/>
  <c r="U180"/>
  <c r="U177"/>
  <c r="U175"/>
  <c r="U171"/>
  <c r="U167"/>
  <c r="U163"/>
  <c r="U159"/>
  <c r="U155"/>
  <c r="U150"/>
  <c r="U146"/>
  <c r="U142"/>
  <c r="U138"/>
  <c r="U134"/>
  <c r="U130"/>
  <c r="U126"/>
  <c r="U119"/>
  <c r="U76"/>
  <c r="U72"/>
  <c r="U68"/>
  <c r="U62"/>
  <c r="U58"/>
  <c r="U51"/>
  <c r="U47"/>
  <c r="U40"/>
  <c r="U37"/>
  <c r="U31"/>
  <c r="U28"/>
  <c r="U25"/>
  <c r="U186"/>
  <c r="U174"/>
  <c r="U170"/>
  <c r="U166"/>
  <c r="U162"/>
  <c r="U158"/>
  <c r="U154"/>
  <c r="U153"/>
  <c r="U149"/>
  <c r="U145"/>
  <c r="U141"/>
  <c r="U137"/>
  <c r="U133"/>
  <c r="U129"/>
  <c r="U125"/>
  <c r="U122"/>
  <c r="U118"/>
  <c r="U71"/>
  <c r="U67"/>
  <c r="U61"/>
  <c r="U57"/>
  <c r="U54"/>
  <c r="U50"/>
  <c r="U46"/>
  <c r="U43"/>
  <c r="U39"/>
  <c r="U34"/>
  <c r="U30"/>
  <c r="U24"/>
  <c r="U21"/>
  <c r="U185"/>
  <c r="U182"/>
  <c r="U173"/>
  <c r="U169"/>
  <c r="U165"/>
  <c r="U161"/>
  <c r="U157"/>
  <c r="U152"/>
  <c r="U148"/>
  <c r="U144"/>
  <c r="U140"/>
  <c r="U136"/>
  <c r="U132"/>
  <c r="U128"/>
  <c r="U124"/>
  <c r="U121"/>
  <c r="U117"/>
  <c r="U74"/>
  <c r="U70"/>
  <c r="U66"/>
  <c r="U60"/>
  <c r="U56"/>
  <c r="U53"/>
  <c r="U49"/>
  <c r="U45"/>
  <c r="U42"/>
  <c r="U36"/>
  <c r="U33"/>
  <c r="U29"/>
  <c r="U23"/>
  <c r="U188"/>
  <c r="U184"/>
  <c r="U181"/>
  <c r="U178"/>
  <c r="U172"/>
  <c r="U168"/>
  <c r="U164"/>
  <c r="U160"/>
  <c r="U156"/>
  <c r="U151"/>
  <c r="U147"/>
  <c r="U143"/>
  <c r="U139"/>
  <c r="U135"/>
  <c r="U131"/>
  <c r="U127"/>
  <c r="U120"/>
  <c r="U69"/>
  <c r="U59"/>
  <c r="U52"/>
  <c r="U48"/>
  <c r="U41"/>
  <c r="U32"/>
  <c r="U26"/>
  <c r="U19"/>
  <c r="U18"/>
  <c r="U20"/>
  <c r="U64"/>
  <c r="U16"/>
  <c r="U17"/>
  <c r="U115"/>
  <c r="U14"/>
  <c r="O185"/>
  <c r="O183"/>
  <c r="O182"/>
  <c r="O180"/>
  <c r="O177"/>
  <c r="O173"/>
  <c r="O169"/>
  <c r="O165"/>
  <c r="O161"/>
  <c r="O157"/>
  <c r="O152"/>
  <c r="O148"/>
  <c r="O144"/>
  <c r="O140"/>
  <c r="O136"/>
  <c r="O132"/>
  <c r="O128"/>
  <c r="O121"/>
  <c r="O74"/>
  <c r="O70"/>
  <c r="O60"/>
  <c r="O53"/>
  <c r="O49"/>
  <c r="O42"/>
  <c r="O37"/>
  <c r="O33"/>
  <c r="O28"/>
  <c r="O188"/>
  <c r="O184"/>
  <c r="O181"/>
  <c r="O178"/>
  <c r="O172"/>
  <c r="O168"/>
  <c r="O164"/>
  <c r="O160"/>
  <c r="O156"/>
  <c r="O151"/>
  <c r="O147"/>
  <c r="O143"/>
  <c r="O139"/>
  <c r="O135"/>
  <c r="O131"/>
  <c r="O127"/>
  <c r="O120"/>
  <c r="O69"/>
  <c r="O59"/>
  <c r="O52"/>
  <c r="O48"/>
  <c r="O41"/>
  <c r="O38"/>
  <c r="O32"/>
  <c r="O26"/>
  <c r="O187"/>
  <c r="O175"/>
  <c r="O171"/>
  <c r="O167"/>
  <c r="O163"/>
  <c r="O159"/>
  <c r="O155"/>
  <c r="O150"/>
  <c r="O146"/>
  <c r="O142"/>
  <c r="O138"/>
  <c r="O134"/>
  <c r="O130"/>
  <c r="O126"/>
  <c r="O124"/>
  <c r="O119"/>
  <c r="O117"/>
  <c r="O76"/>
  <c r="O72"/>
  <c r="O68"/>
  <c r="O66"/>
  <c r="O62"/>
  <c r="O58"/>
  <c r="O56"/>
  <c r="O51"/>
  <c r="O47"/>
  <c r="O45"/>
  <c r="O40"/>
  <c r="O36"/>
  <c r="O31"/>
  <c r="O29"/>
  <c r="O25"/>
  <c r="O23"/>
  <c r="O186"/>
  <c r="O174"/>
  <c r="O170"/>
  <c r="O166"/>
  <c r="O162"/>
  <c r="O158"/>
  <c r="O154"/>
  <c r="O153"/>
  <c r="O149"/>
  <c r="O145"/>
  <c r="O141"/>
  <c r="O137"/>
  <c r="O133"/>
  <c r="O129"/>
  <c r="O125"/>
  <c r="O122"/>
  <c r="O118"/>
  <c r="O71"/>
  <c r="O67"/>
  <c r="O61"/>
  <c r="O57"/>
  <c r="O54"/>
  <c r="O50"/>
  <c r="O46"/>
  <c r="O43"/>
  <c r="O39"/>
  <c r="O34"/>
  <c r="O30"/>
  <c r="O24"/>
  <c r="O21"/>
  <c r="O20"/>
  <c r="O19"/>
  <c r="O18"/>
  <c r="O64"/>
  <c r="O115"/>
  <c r="O17"/>
  <c r="O16"/>
  <c r="O14"/>
  <c r="U13"/>
  <c r="O13"/>
  <c r="R11"/>
  <c r="F11" i="69" l="1"/>
  <c r="C106"/>
  <c r="C104"/>
  <c r="C103"/>
  <c r="C129"/>
  <c r="C133"/>
  <c r="C137"/>
  <c r="C141"/>
  <c r="C128"/>
  <c r="C132"/>
  <c r="C136"/>
  <c r="C140"/>
  <c r="C105"/>
  <c r="C130"/>
  <c r="C138"/>
  <c r="C127"/>
  <c r="C131"/>
  <c r="C135"/>
  <c r="C139"/>
  <c r="C107"/>
  <c r="C134"/>
  <c r="C142"/>
  <c r="C101"/>
  <c r="O11" i="66"/>
  <c r="C11"/>
  <c r="U11"/>
  <c r="I11"/>
  <c r="L11" i="69"/>
  <c r="I11"/>
  <c r="C13"/>
  <c r="C188"/>
  <c r="C183"/>
  <c r="C169"/>
  <c r="C165"/>
  <c r="C161"/>
  <c r="C157"/>
  <c r="C153"/>
  <c r="C149"/>
  <c r="C145"/>
  <c r="C124"/>
  <c r="C122"/>
  <c r="C98"/>
  <c r="C92"/>
  <c r="C91"/>
  <c r="C86"/>
  <c r="C82"/>
  <c r="C75"/>
  <c r="C71"/>
  <c r="C67"/>
  <c r="C59"/>
  <c r="C54"/>
  <c r="C52"/>
  <c r="C48"/>
  <c r="C44"/>
  <c r="C43"/>
  <c r="C41"/>
  <c r="C33"/>
  <c r="C25"/>
  <c r="C22"/>
  <c r="C190"/>
  <c r="C186"/>
  <c r="C185"/>
  <c r="C176"/>
  <c r="C171"/>
  <c r="C167"/>
  <c r="C163"/>
  <c r="C159"/>
  <c r="C155"/>
  <c r="C151"/>
  <c r="C147"/>
  <c r="C143"/>
  <c r="C126"/>
  <c r="C94"/>
  <c r="C84"/>
  <c r="C80"/>
  <c r="C73"/>
  <c r="C69"/>
  <c r="C61"/>
  <c r="C57"/>
  <c r="C56"/>
  <c r="C50"/>
  <c r="C46"/>
  <c r="C39"/>
  <c r="C31"/>
  <c r="C20"/>
  <c r="C11"/>
  <c r="C32"/>
  <c r="C65"/>
  <c r="C174"/>
  <c r="C51"/>
  <c r="C77"/>
  <c r="C144"/>
  <c r="C38"/>
  <c r="C18"/>
  <c r="C64"/>
  <c r="C97"/>
  <c r="C168"/>
  <c r="C47"/>
  <c r="C148"/>
  <c r="C40"/>
  <c r="C123"/>
  <c r="C88"/>
  <c r="C156"/>
  <c r="C34"/>
  <c r="C83"/>
  <c r="C95"/>
  <c r="C154"/>
  <c r="C170"/>
  <c r="C70"/>
  <c r="C28"/>
  <c r="C160"/>
  <c r="C26"/>
  <c r="C45"/>
  <c r="C68"/>
  <c r="C125"/>
  <c r="C146"/>
  <c r="C162"/>
  <c r="C93"/>
  <c r="C21"/>
  <c r="C172"/>
  <c r="C158"/>
  <c r="C90"/>
  <c r="C17"/>
  <c r="C37"/>
  <c r="C81"/>
  <c r="C152"/>
  <c r="C187"/>
  <c r="C29"/>
  <c r="C85"/>
  <c r="C30"/>
  <c r="C49"/>
  <c r="C60"/>
  <c r="C79"/>
  <c r="C150"/>
  <c r="C166"/>
  <c r="C189"/>
  <c r="C62"/>
  <c r="C36"/>
  <c r="C181"/>
  <c r="C182"/>
  <c r="C78"/>
  <c r="C24"/>
  <c r="C121"/>
  <c r="C58"/>
  <c r="C164"/>
  <c r="C19"/>
  <c r="C66"/>
  <c r="C99"/>
  <c r="C179"/>
  <c r="C15"/>
  <c r="C89" i="64" l="1"/>
  <c r="G89" s="1"/>
  <c r="C88"/>
  <c r="G88" s="1"/>
  <c r="F87"/>
  <c r="C87" s="1"/>
  <c r="C86"/>
  <c r="G86" s="1"/>
  <c r="C85"/>
  <c r="G85" s="1"/>
  <c r="L84"/>
  <c r="I84"/>
  <c r="M83"/>
  <c r="J83"/>
  <c r="G83"/>
  <c r="D83"/>
  <c r="C83"/>
  <c r="J82"/>
  <c r="G82"/>
  <c r="D82" s="1"/>
  <c r="C82"/>
  <c r="M82" s="1"/>
  <c r="M81"/>
  <c r="J81"/>
  <c r="G81"/>
  <c r="D81"/>
  <c r="C81"/>
  <c r="C80"/>
  <c r="G80" s="1"/>
  <c r="G79"/>
  <c r="C79"/>
  <c r="J79" s="1"/>
  <c r="J78"/>
  <c r="G78"/>
  <c r="C78"/>
  <c r="M78" s="1"/>
  <c r="C77"/>
  <c r="G77" s="1"/>
  <c r="C76"/>
  <c r="G76" s="1"/>
  <c r="G75"/>
  <c r="C75"/>
  <c r="J75" s="1"/>
  <c r="J74"/>
  <c r="G74"/>
  <c r="D74" s="1"/>
  <c r="C74"/>
  <c r="M74" s="1"/>
  <c r="C73"/>
  <c r="G73" s="1"/>
  <c r="C72"/>
  <c r="G72" s="1"/>
  <c r="J71"/>
  <c r="G71"/>
  <c r="C71"/>
  <c r="M71" s="1"/>
  <c r="J70"/>
  <c r="G70"/>
  <c r="D70" s="1"/>
  <c r="C70"/>
  <c r="M70" s="1"/>
  <c r="C69"/>
  <c r="G69" s="1"/>
  <c r="C68"/>
  <c r="G68" s="1"/>
  <c r="J67"/>
  <c r="G67"/>
  <c r="C67"/>
  <c r="M67" s="1"/>
  <c r="J66"/>
  <c r="G66"/>
  <c r="D66" s="1"/>
  <c r="C66"/>
  <c r="M66" s="1"/>
  <c r="C65"/>
  <c r="G65" s="1"/>
  <c r="C64"/>
  <c r="G64" s="1"/>
  <c r="J63"/>
  <c r="G63"/>
  <c r="C63"/>
  <c r="M63" s="1"/>
  <c r="J62"/>
  <c r="G62"/>
  <c r="D62" s="1"/>
  <c r="C62"/>
  <c r="M62" s="1"/>
  <c r="C61"/>
  <c r="G61" s="1"/>
  <c r="C60"/>
  <c r="G60" s="1"/>
  <c r="G59"/>
  <c r="C59"/>
  <c r="J59" s="1"/>
  <c r="J58"/>
  <c r="G58"/>
  <c r="C58"/>
  <c r="M58" s="1"/>
  <c r="C57"/>
  <c r="G57" s="1"/>
  <c r="C56"/>
  <c r="G56" s="1"/>
  <c r="G55"/>
  <c r="C55"/>
  <c r="J55" s="1"/>
  <c r="J54"/>
  <c r="G54"/>
  <c r="D54" s="1"/>
  <c r="C54"/>
  <c r="M54" s="1"/>
  <c r="C53"/>
  <c r="G53" s="1"/>
  <c r="C52"/>
  <c r="G52" s="1"/>
  <c r="G51"/>
  <c r="C51"/>
  <c r="J51" s="1"/>
  <c r="J50"/>
  <c r="G50"/>
  <c r="C50"/>
  <c r="M50" s="1"/>
  <c r="C49"/>
  <c r="G49" s="1"/>
  <c r="C48"/>
  <c r="G48" s="1"/>
  <c r="G47"/>
  <c r="C47"/>
  <c r="J47" s="1"/>
  <c r="J46"/>
  <c r="G46"/>
  <c r="D46" s="1"/>
  <c r="C46"/>
  <c r="M46" s="1"/>
  <c r="J45"/>
  <c r="C45"/>
  <c r="G45" s="1"/>
  <c r="C44"/>
  <c r="G44" s="1"/>
  <c r="J43"/>
  <c r="G43"/>
  <c r="C43"/>
  <c r="M43" s="1"/>
  <c r="D43" s="1"/>
  <c r="J42"/>
  <c r="G42"/>
  <c r="C42"/>
  <c r="M42" s="1"/>
  <c r="J41"/>
  <c r="C41"/>
  <c r="G41" s="1"/>
  <c r="C40"/>
  <c r="G40" s="1"/>
  <c r="J39"/>
  <c r="G39"/>
  <c r="C39"/>
  <c r="M39" s="1"/>
  <c r="D39" s="1"/>
  <c r="J38"/>
  <c r="G38"/>
  <c r="D38" s="1"/>
  <c r="C38"/>
  <c r="M38" s="1"/>
  <c r="J37"/>
  <c r="C37"/>
  <c r="G37" s="1"/>
  <c r="C36"/>
  <c r="G36" s="1"/>
  <c r="G35"/>
  <c r="C35"/>
  <c r="J35" s="1"/>
  <c r="M34"/>
  <c r="J34"/>
  <c r="G34"/>
  <c r="D34"/>
  <c r="L33"/>
  <c r="I33"/>
  <c r="F33"/>
  <c r="M32"/>
  <c r="J32"/>
  <c r="G32"/>
  <c r="D32"/>
  <c r="C32"/>
  <c r="C31"/>
  <c r="G31" s="1"/>
  <c r="C30"/>
  <c r="G30" s="1"/>
  <c r="G29"/>
  <c r="C29"/>
  <c r="J29" s="1"/>
  <c r="J28"/>
  <c r="G28"/>
  <c r="D28" s="1"/>
  <c r="C28"/>
  <c r="M28" s="1"/>
  <c r="C27"/>
  <c r="G27" s="1"/>
  <c r="C26"/>
  <c r="G26" s="1"/>
  <c r="G25"/>
  <c r="C25"/>
  <c r="J25" s="1"/>
  <c r="J24"/>
  <c r="G24"/>
  <c r="C24"/>
  <c r="M24" s="1"/>
  <c r="C23"/>
  <c r="G23" s="1"/>
  <c r="C22"/>
  <c r="G22" s="1"/>
  <c r="G21"/>
  <c r="C21"/>
  <c r="J21" s="1"/>
  <c r="J20"/>
  <c r="G20"/>
  <c r="D20" s="1"/>
  <c r="C20"/>
  <c r="M20" s="1"/>
  <c r="J19"/>
  <c r="C19"/>
  <c r="G19" s="1"/>
  <c r="C18"/>
  <c r="G18" s="1"/>
  <c r="M17"/>
  <c r="J17"/>
  <c r="G17"/>
  <c r="D17"/>
  <c r="C17"/>
  <c r="L16"/>
  <c r="I16"/>
  <c r="F16"/>
  <c r="M15"/>
  <c r="J15"/>
  <c r="G15"/>
  <c r="D15"/>
  <c r="C15"/>
  <c r="L14"/>
  <c r="L12" s="1"/>
  <c r="I14"/>
  <c r="F14"/>
  <c r="C14" s="1"/>
  <c r="M13"/>
  <c r="J13"/>
  <c r="G13"/>
  <c r="D13"/>
  <c r="C13"/>
  <c r="I12"/>
  <c r="M16" i="43"/>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J98"/>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E9" i="57"/>
  <c r="E8"/>
  <c r="E7"/>
  <c r="E6"/>
  <c r="E5"/>
  <c r="E4"/>
  <c r="E3"/>
  <c r="B34" i="61"/>
  <c r="G34" s="1"/>
  <c r="J33"/>
  <c r="G33"/>
  <c r="C33"/>
  <c r="B33"/>
  <c r="B32"/>
  <c r="G32" s="1"/>
  <c r="J31"/>
  <c r="G31"/>
  <c r="C31"/>
  <c r="B31"/>
  <c r="B30"/>
  <c r="G30" s="1"/>
  <c r="J29"/>
  <c r="G29"/>
  <c r="C29"/>
  <c r="B29"/>
  <c r="B28"/>
  <c r="G28" s="1"/>
  <c r="J27"/>
  <c r="G27"/>
  <c r="C27"/>
  <c r="B27"/>
  <c r="B26"/>
  <c r="G26" s="1"/>
  <c r="J25"/>
  <c r="G25"/>
  <c r="C25"/>
  <c r="B25"/>
  <c r="B24"/>
  <c r="G24" s="1"/>
  <c r="J23"/>
  <c r="G23"/>
  <c r="C23"/>
  <c r="B23"/>
  <c r="B22"/>
  <c r="G22" s="1"/>
  <c r="J21"/>
  <c r="G21"/>
  <c r="C21"/>
  <c r="B21"/>
  <c r="B20"/>
  <c r="G20" s="1"/>
  <c r="J19"/>
  <c r="G19"/>
  <c r="C19"/>
  <c r="B19"/>
  <c r="B18"/>
  <c r="G18" s="1"/>
  <c r="J17"/>
  <c r="G17"/>
  <c r="C17"/>
  <c r="B17"/>
  <c r="B16"/>
  <c r="G16" s="1"/>
  <c r="J15"/>
  <c r="G15"/>
  <c r="C15"/>
  <c r="B15"/>
  <c r="I14"/>
  <c r="J14" s="1"/>
  <c r="F14"/>
  <c r="G14" s="1"/>
  <c r="C14" s="1"/>
  <c r="B14"/>
  <c r="C13"/>
  <c r="F80" i="58"/>
  <c r="B80"/>
  <c r="F79"/>
  <c r="B79"/>
  <c r="I79" s="1"/>
  <c r="F78"/>
  <c r="B78"/>
  <c r="I78" s="1"/>
  <c r="B77"/>
  <c r="F77" s="1"/>
  <c r="B76"/>
  <c r="F76" s="1"/>
  <c r="H75"/>
  <c r="I75" s="1"/>
  <c r="F75"/>
  <c r="E75"/>
  <c r="B75"/>
  <c r="F74"/>
  <c r="B73"/>
  <c r="I72"/>
  <c r="B72"/>
  <c r="I71"/>
  <c r="B71"/>
  <c r="F70"/>
  <c r="B70"/>
  <c r="F69"/>
  <c r="B69"/>
  <c r="I69" s="1"/>
  <c r="F68"/>
  <c r="B68"/>
  <c r="I68" s="1"/>
  <c r="F67"/>
  <c r="B67"/>
  <c r="I67" s="1"/>
  <c r="I66"/>
  <c r="F66"/>
  <c r="B66"/>
  <c r="I65"/>
  <c r="F65"/>
  <c r="B65"/>
  <c r="I64"/>
  <c r="F64"/>
  <c r="B64"/>
  <c r="I63"/>
  <c r="F63"/>
  <c r="B63"/>
  <c r="I62"/>
  <c r="F62"/>
  <c r="B62"/>
  <c r="I61"/>
  <c r="F61"/>
  <c r="B61"/>
  <c r="I60"/>
  <c r="F60"/>
  <c r="B60"/>
  <c r="I59"/>
  <c r="F59"/>
  <c r="B59"/>
  <c r="I58"/>
  <c r="F58"/>
  <c r="B58"/>
  <c r="I57"/>
  <c r="F57"/>
  <c r="B57"/>
  <c r="I56"/>
  <c r="F56"/>
  <c r="B56"/>
  <c r="I55"/>
  <c r="F55"/>
  <c r="B55"/>
  <c r="I54"/>
  <c r="F54"/>
  <c r="B54"/>
  <c r="I53"/>
  <c r="F53"/>
  <c r="B53"/>
  <c r="I52"/>
  <c r="F52"/>
  <c r="B52"/>
  <c r="I51"/>
  <c r="F51"/>
  <c r="B51"/>
  <c r="I50"/>
  <c r="F50"/>
  <c r="B50"/>
  <c r="I49"/>
  <c r="F49"/>
  <c r="B49"/>
  <c r="I48"/>
  <c r="F48"/>
  <c r="B48"/>
  <c r="I47"/>
  <c r="F47"/>
  <c r="B47"/>
  <c r="I46"/>
  <c r="F46"/>
  <c r="B46"/>
  <c r="B45"/>
  <c r="F45" s="1"/>
  <c r="B44"/>
  <c r="B43"/>
  <c r="B42"/>
  <c r="B41"/>
  <c r="B40"/>
  <c r="B39"/>
  <c r="B38"/>
  <c r="B37"/>
  <c r="B36"/>
  <c r="B35"/>
  <c r="B34"/>
  <c r="B33"/>
  <c r="B32"/>
  <c r="B31"/>
  <c r="B30"/>
  <c r="B29"/>
  <c r="B28"/>
  <c r="B27"/>
  <c r="B26"/>
  <c r="B25"/>
  <c r="B24"/>
  <c r="B23"/>
  <c r="H22"/>
  <c r="E22"/>
  <c r="I21"/>
  <c r="F21"/>
  <c r="C21"/>
  <c r="B21"/>
  <c r="F20"/>
  <c r="B20"/>
  <c r="I20" s="1"/>
  <c r="F19"/>
  <c r="B19"/>
  <c r="I19" s="1"/>
  <c r="F18"/>
  <c r="B18"/>
  <c r="I18" s="1"/>
  <c r="F17"/>
  <c r="B17"/>
  <c r="I17" s="1"/>
  <c r="F16"/>
  <c r="B16"/>
  <c r="I16" s="1"/>
  <c r="F15"/>
  <c r="B15"/>
  <c r="I15" s="1"/>
  <c r="F14"/>
  <c r="B14"/>
  <c r="I14" s="1"/>
  <c r="H13"/>
  <c r="I13" s="1"/>
  <c r="E13"/>
  <c r="F13" s="1"/>
  <c r="B13"/>
  <c r="I12"/>
  <c r="F12"/>
  <c r="C12"/>
  <c r="B12"/>
  <c r="E11"/>
  <c r="B101" i="55"/>
  <c r="B100"/>
  <c r="B99"/>
  <c r="F98"/>
  <c r="B98"/>
  <c r="F97"/>
  <c r="B97"/>
  <c r="H96"/>
  <c r="I96" s="1"/>
  <c r="E96"/>
  <c r="F96" s="1"/>
  <c r="B96"/>
  <c r="I95"/>
  <c r="F95"/>
  <c r="C95"/>
  <c r="B95"/>
  <c r="B94"/>
  <c r="F94" s="1"/>
  <c r="F93"/>
  <c r="B93"/>
  <c r="I93" s="1"/>
  <c r="I92"/>
  <c r="F92"/>
  <c r="C92"/>
  <c r="B92"/>
  <c r="F91"/>
  <c r="B91"/>
  <c r="I91" s="1"/>
  <c r="B90"/>
  <c r="F90" s="1"/>
  <c r="B89"/>
  <c r="F89" s="1"/>
  <c r="B88"/>
  <c r="F88" s="1"/>
  <c r="B87"/>
  <c r="F87" s="1"/>
  <c r="F86"/>
  <c r="B86"/>
  <c r="I86" s="1"/>
  <c r="F85"/>
  <c r="B85"/>
  <c r="I85" s="1"/>
  <c r="B84"/>
  <c r="F84" s="1"/>
  <c r="F83"/>
  <c r="B83"/>
  <c r="I83" s="1"/>
  <c r="H82"/>
  <c r="I82" s="1"/>
  <c r="E82"/>
  <c r="F82" s="1"/>
  <c r="B82"/>
  <c r="H81"/>
  <c r="I81" s="1"/>
  <c r="E81"/>
  <c r="F81" s="1"/>
  <c r="B81"/>
  <c r="F80"/>
  <c r="I79"/>
  <c r="B79"/>
  <c r="F79" s="1"/>
  <c r="I78"/>
  <c r="B78"/>
  <c r="F78" s="1"/>
  <c r="I77"/>
  <c r="B77"/>
  <c r="F77" s="1"/>
  <c r="I76"/>
  <c r="B76"/>
  <c r="F76" s="1"/>
  <c r="I75"/>
  <c r="H75"/>
  <c r="F75"/>
  <c r="E75"/>
  <c r="B75"/>
  <c r="I74"/>
  <c r="H74"/>
  <c r="F74"/>
  <c r="E74"/>
  <c r="B74"/>
  <c r="F73"/>
  <c r="B72"/>
  <c r="F71"/>
  <c r="I70"/>
  <c r="B70"/>
  <c r="F70" s="1"/>
  <c r="F69"/>
  <c r="B69"/>
  <c r="I68"/>
  <c r="B68"/>
  <c r="F68" s="1"/>
  <c r="I67"/>
  <c r="F67"/>
  <c r="B67"/>
  <c r="I66"/>
  <c r="F66"/>
  <c r="B66"/>
  <c r="I65"/>
  <c r="F65"/>
  <c r="B65"/>
  <c r="I64"/>
  <c r="F64"/>
  <c r="B64"/>
  <c r="I63"/>
  <c r="H63"/>
  <c r="F63"/>
  <c r="E63"/>
  <c r="B63"/>
  <c r="F62"/>
  <c r="B61"/>
  <c r="F61" s="1"/>
  <c r="H60"/>
  <c r="I60" s="1"/>
  <c r="E60"/>
  <c r="B60" s="1"/>
  <c r="F59"/>
  <c r="I58"/>
  <c r="B58"/>
  <c r="F58" s="1"/>
  <c r="I57"/>
  <c r="B57"/>
  <c r="F57" s="1"/>
  <c r="I56"/>
  <c r="B56"/>
  <c r="F56" s="1"/>
  <c r="I55"/>
  <c r="B55"/>
  <c r="F55" s="1"/>
  <c r="I54"/>
  <c r="B54"/>
  <c r="F54" s="1"/>
  <c r="I53"/>
  <c r="H53"/>
  <c r="F53"/>
  <c r="E53"/>
  <c r="B53"/>
  <c r="F52"/>
  <c r="B51"/>
  <c r="F50"/>
  <c r="I49"/>
  <c r="B49"/>
  <c r="F49" s="1"/>
  <c r="I48"/>
  <c r="B48"/>
  <c r="F48" s="1"/>
  <c r="I47"/>
  <c r="B47"/>
  <c r="F47" s="1"/>
  <c r="I46"/>
  <c r="B46"/>
  <c r="F46" s="1"/>
  <c r="I45"/>
  <c r="B45"/>
  <c r="F45" s="1"/>
  <c r="I44"/>
  <c r="B44"/>
  <c r="F44" s="1"/>
  <c r="I43"/>
  <c r="B43"/>
  <c r="F43" s="1"/>
  <c r="I42"/>
  <c r="B42"/>
  <c r="F42" s="1"/>
  <c r="I41"/>
  <c r="H41"/>
  <c r="F41"/>
  <c r="E41"/>
  <c r="B41"/>
  <c r="F40"/>
  <c r="B39"/>
  <c r="B38"/>
  <c r="B37"/>
  <c r="B36"/>
  <c r="H35"/>
  <c r="E35"/>
  <c r="H34"/>
  <c r="I34" s="1"/>
  <c r="E34"/>
  <c r="F34" s="1"/>
  <c r="B34"/>
  <c r="F33"/>
  <c r="I32"/>
  <c r="B32"/>
  <c r="F32" s="1"/>
  <c r="I31"/>
  <c r="B31"/>
  <c r="F31" s="1"/>
  <c r="I30"/>
  <c r="B30"/>
  <c r="F30" s="1"/>
  <c r="I29"/>
  <c r="B29"/>
  <c r="F29" s="1"/>
  <c r="I28"/>
  <c r="B28"/>
  <c r="F28" s="1"/>
  <c r="I27"/>
  <c r="H27"/>
  <c r="F27"/>
  <c r="E27"/>
  <c r="B27"/>
  <c r="I26"/>
  <c r="H26"/>
  <c r="F26"/>
  <c r="E26"/>
  <c r="B26"/>
  <c r="F25"/>
  <c r="B24"/>
  <c r="F24" s="1"/>
  <c r="B23"/>
  <c r="F23" s="1"/>
  <c r="B22"/>
  <c r="F22" s="1"/>
  <c r="H21"/>
  <c r="I21" s="1"/>
  <c r="E21"/>
  <c r="E15" s="1"/>
  <c r="B21"/>
  <c r="F20"/>
  <c r="I19"/>
  <c r="B19"/>
  <c r="F19" s="1"/>
  <c r="I18"/>
  <c r="B18"/>
  <c r="F18" s="1"/>
  <c r="I17"/>
  <c r="B17"/>
  <c r="F17" s="1"/>
  <c r="I16"/>
  <c r="H16"/>
  <c r="F16"/>
  <c r="E16"/>
  <c r="B16"/>
  <c r="B101" i="53"/>
  <c r="B100"/>
  <c r="F100" s="1"/>
  <c r="F99"/>
  <c r="B99"/>
  <c r="I99" s="1"/>
  <c r="I98"/>
  <c r="B98"/>
  <c r="M98" s="1"/>
  <c r="B97"/>
  <c r="K96"/>
  <c r="M96" s="1"/>
  <c r="H96"/>
  <c r="I96" s="1"/>
  <c r="E96"/>
  <c r="F96" s="1"/>
  <c r="B96"/>
  <c r="M95"/>
  <c r="I95"/>
  <c r="F95"/>
  <c r="B95"/>
  <c r="I94"/>
  <c r="B94"/>
  <c r="F94" s="1"/>
  <c r="F93"/>
  <c r="B93"/>
  <c r="I93" s="1"/>
  <c r="I92"/>
  <c r="F92"/>
  <c r="I91"/>
  <c r="B91"/>
  <c r="F91" s="1"/>
  <c r="F90"/>
  <c r="B90"/>
  <c r="I90" s="1"/>
  <c r="I89"/>
  <c r="B89"/>
  <c r="M89" s="1"/>
  <c r="B88"/>
  <c r="I87"/>
  <c r="B87"/>
  <c r="F87" s="1"/>
  <c r="F86"/>
  <c r="B86"/>
  <c r="I86" s="1"/>
  <c r="I85"/>
  <c r="B85"/>
  <c r="M85" s="1"/>
  <c r="B84"/>
  <c r="I83"/>
  <c r="B83"/>
  <c r="F83" s="1"/>
  <c r="K82"/>
  <c r="I82"/>
  <c r="H82"/>
  <c r="F82"/>
  <c r="E82"/>
  <c r="B82"/>
  <c r="M82" s="1"/>
  <c r="K81"/>
  <c r="I81"/>
  <c r="H81"/>
  <c r="F81"/>
  <c r="E81"/>
  <c r="B81"/>
  <c r="M81" s="1"/>
  <c r="M80"/>
  <c r="I80"/>
  <c r="F80"/>
  <c r="I79"/>
  <c r="B79"/>
  <c r="F79" s="1"/>
  <c r="F78"/>
  <c r="B78"/>
  <c r="I78" s="1"/>
  <c r="I77"/>
  <c r="B77"/>
  <c r="M77" s="1"/>
  <c r="B76"/>
  <c r="K75"/>
  <c r="M75" s="1"/>
  <c r="H75"/>
  <c r="I75" s="1"/>
  <c r="E75"/>
  <c r="F75" s="1"/>
  <c r="B75"/>
  <c r="K74"/>
  <c r="M74" s="1"/>
  <c r="H74"/>
  <c r="I74" s="1"/>
  <c r="E74"/>
  <c r="F74" s="1"/>
  <c r="B74"/>
  <c r="M73"/>
  <c r="I73"/>
  <c r="F73"/>
  <c r="B73"/>
  <c r="B72"/>
  <c r="F72" s="1"/>
  <c r="M71"/>
  <c r="I71"/>
  <c r="F71"/>
  <c r="B71"/>
  <c r="F70"/>
  <c r="B70"/>
  <c r="I70" s="1"/>
  <c r="M69"/>
  <c r="I69"/>
  <c r="F69"/>
  <c r="B69"/>
  <c r="I68"/>
  <c r="F68"/>
  <c r="B68"/>
  <c r="M68" s="1"/>
  <c r="B67"/>
  <c r="B66"/>
  <c r="F66" s="1"/>
  <c r="F65"/>
  <c r="B65"/>
  <c r="I65" s="1"/>
  <c r="I64"/>
  <c r="B64"/>
  <c r="M64" s="1"/>
  <c r="M63"/>
  <c r="K63"/>
  <c r="H63"/>
  <c r="F63"/>
  <c r="E63"/>
  <c r="B63"/>
  <c r="I63" s="1"/>
  <c r="I62"/>
  <c r="F62"/>
  <c r="B62"/>
  <c r="I61"/>
  <c r="F61"/>
  <c r="B61"/>
  <c r="M61" s="1"/>
  <c r="K60"/>
  <c r="H60"/>
  <c r="E60"/>
  <c r="B60" s="1"/>
  <c r="M59"/>
  <c r="I59"/>
  <c r="F59"/>
  <c r="B59"/>
  <c r="I58"/>
  <c r="B58"/>
  <c r="B57"/>
  <c r="B56"/>
  <c r="F56" s="1"/>
  <c r="F55"/>
  <c r="B55"/>
  <c r="I55" s="1"/>
  <c r="I54"/>
  <c r="B54"/>
  <c r="M54" s="1"/>
  <c r="M53"/>
  <c r="K53"/>
  <c r="H53"/>
  <c r="I53" s="1"/>
  <c r="F53"/>
  <c r="E53"/>
  <c r="B53"/>
  <c r="M52"/>
  <c r="I52"/>
  <c r="F52"/>
  <c r="B52"/>
  <c r="B51"/>
  <c r="M50"/>
  <c r="I50"/>
  <c r="F50"/>
  <c r="B50"/>
  <c r="B49"/>
  <c r="F49" s="1"/>
  <c r="F48"/>
  <c r="B48"/>
  <c r="I48" s="1"/>
  <c r="I47"/>
  <c r="B47"/>
  <c r="M47" s="1"/>
  <c r="B46"/>
  <c r="B45"/>
  <c r="F45" s="1"/>
  <c r="F44"/>
  <c r="B44"/>
  <c r="I44" s="1"/>
  <c r="I43"/>
  <c r="B43"/>
  <c r="M43" s="1"/>
  <c r="B42"/>
  <c r="K41"/>
  <c r="H41"/>
  <c r="E41"/>
  <c r="M40"/>
  <c r="I40"/>
  <c r="F40"/>
  <c r="B40"/>
  <c r="B39"/>
  <c r="F39" s="1"/>
  <c r="F38"/>
  <c r="B38"/>
  <c r="I38" s="1"/>
  <c r="I37"/>
  <c r="B37"/>
  <c r="M37" s="1"/>
  <c r="B36"/>
  <c r="K35"/>
  <c r="M35" s="1"/>
  <c r="H35"/>
  <c r="I35" s="1"/>
  <c r="E35"/>
  <c r="F35" s="1"/>
  <c r="B35"/>
  <c r="K34"/>
  <c r="H34"/>
  <c r="E34"/>
  <c r="M33"/>
  <c r="I33"/>
  <c r="F33"/>
  <c r="B33"/>
  <c r="I32"/>
  <c r="B32"/>
  <c r="F32" s="1"/>
  <c r="F31"/>
  <c r="B31"/>
  <c r="I31" s="1"/>
  <c r="I30"/>
  <c r="B30"/>
  <c r="M30" s="1"/>
  <c r="B29"/>
  <c r="I28"/>
  <c r="B28"/>
  <c r="F28" s="1"/>
  <c r="K27"/>
  <c r="I27"/>
  <c r="H27"/>
  <c r="F27"/>
  <c r="E27"/>
  <c r="B27"/>
  <c r="M27" s="1"/>
  <c r="K26"/>
  <c r="I26"/>
  <c r="H26"/>
  <c r="F26"/>
  <c r="E26"/>
  <c r="B26"/>
  <c r="M26" s="1"/>
  <c r="M25"/>
  <c r="I25"/>
  <c r="F25"/>
  <c r="B25"/>
  <c r="F24"/>
  <c r="B24"/>
  <c r="I24" s="1"/>
  <c r="I23"/>
  <c r="B23"/>
  <c r="M23" s="1"/>
  <c r="B22"/>
  <c r="K21"/>
  <c r="M21" s="1"/>
  <c r="H21"/>
  <c r="I21" s="1"/>
  <c r="E21"/>
  <c r="F21" s="1"/>
  <c r="B21"/>
  <c r="M20"/>
  <c r="I20"/>
  <c r="F20"/>
  <c r="B20"/>
  <c r="I19"/>
  <c r="B19"/>
  <c r="F19" s="1"/>
  <c r="F18"/>
  <c r="B18"/>
  <c r="I18" s="1"/>
  <c r="I17"/>
  <c r="B17"/>
  <c r="M17" s="1"/>
  <c r="M16"/>
  <c r="K16"/>
  <c r="I16"/>
  <c r="H16"/>
  <c r="F16"/>
  <c r="E16"/>
  <c r="B16"/>
  <c r="K15"/>
  <c r="E15"/>
  <c r="K13"/>
  <c r="E13"/>
  <c r="M12"/>
  <c r="I12"/>
  <c r="F12"/>
  <c r="B12"/>
  <c r="K11"/>
  <c r="E11"/>
  <c r="O35" i="52"/>
  <c r="I35"/>
  <c r="B35"/>
  <c r="L35" s="1"/>
  <c r="R34"/>
  <c r="O34"/>
  <c r="L34"/>
  <c r="I34"/>
  <c r="F34"/>
  <c r="C34"/>
  <c r="B34"/>
  <c r="O33"/>
  <c r="I33"/>
  <c r="B33"/>
  <c r="R33" s="1"/>
  <c r="R32"/>
  <c r="O32"/>
  <c r="L32"/>
  <c r="I32"/>
  <c r="F32"/>
  <c r="C32"/>
  <c r="B31"/>
  <c r="R31" s="1"/>
  <c r="R30"/>
  <c r="O30"/>
  <c r="L30"/>
  <c r="I30"/>
  <c r="F30"/>
  <c r="C30"/>
  <c r="O29"/>
  <c r="I29"/>
  <c r="B29"/>
  <c r="L29" s="1"/>
  <c r="R28"/>
  <c r="O28"/>
  <c r="L28"/>
  <c r="I28"/>
  <c r="F28"/>
  <c r="C28"/>
  <c r="B27"/>
  <c r="L27" s="1"/>
  <c r="R26"/>
  <c r="O26"/>
  <c r="L26"/>
  <c r="I26"/>
  <c r="F26"/>
  <c r="C26"/>
  <c r="Q25"/>
  <c r="R25" s="1"/>
  <c r="N25"/>
  <c r="O25" s="1"/>
  <c r="K25"/>
  <c r="L25" s="1"/>
  <c r="H25"/>
  <c r="I25" s="1"/>
  <c r="E25"/>
  <c r="F25" s="1"/>
  <c r="B25"/>
  <c r="R24"/>
  <c r="O24"/>
  <c r="L24"/>
  <c r="I24"/>
  <c r="F24"/>
  <c r="C24"/>
  <c r="O23"/>
  <c r="I23"/>
  <c r="B23"/>
  <c r="L23" s="1"/>
  <c r="R22"/>
  <c r="O22"/>
  <c r="L22"/>
  <c r="I22"/>
  <c r="F22"/>
  <c r="C22"/>
  <c r="B21"/>
  <c r="L21" s="1"/>
  <c r="R20"/>
  <c r="O20"/>
  <c r="L20"/>
  <c r="I20"/>
  <c r="F20"/>
  <c r="C20"/>
  <c r="O19"/>
  <c r="I19"/>
  <c r="B19"/>
  <c r="R19" s="1"/>
  <c r="R18"/>
  <c r="O18"/>
  <c r="L18"/>
  <c r="I18"/>
  <c r="F18"/>
  <c r="C18"/>
  <c r="B17"/>
  <c r="R17" s="1"/>
  <c r="R16"/>
  <c r="O16"/>
  <c r="L16"/>
  <c r="I16"/>
  <c r="F16"/>
  <c r="C16"/>
  <c r="O15"/>
  <c r="I15"/>
  <c r="B15"/>
  <c r="L15" s="1"/>
  <c r="R14"/>
  <c r="O14"/>
  <c r="L14"/>
  <c r="I14"/>
  <c r="F14"/>
  <c r="C14"/>
  <c r="Q13"/>
  <c r="N13"/>
  <c r="K13"/>
  <c r="H13"/>
  <c r="E13"/>
  <c r="R12"/>
  <c r="O12"/>
  <c r="L12"/>
  <c r="I12"/>
  <c r="F12"/>
  <c r="Q11"/>
  <c r="N11"/>
  <c r="K11"/>
  <c r="H11"/>
  <c r="E11"/>
  <c r="B35" i="51"/>
  <c r="L35" s="1"/>
  <c r="C34"/>
  <c r="B33"/>
  <c r="L33" s="1"/>
  <c r="C32"/>
  <c r="B31"/>
  <c r="L31" s="1"/>
  <c r="C30"/>
  <c r="B29"/>
  <c r="L29" s="1"/>
  <c r="C28"/>
  <c r="B27"/>
  <c r="L27" s="1"/>
  <c r="C26"/>
  <c r="Q25"/>
  <c r="N25"/>
  <c r="K25"/>
  <c r="H25"/>
  <c r="E25"/>
  <c r="C24"/>
  <c r="B23"/>
  <c r="L23" s="1"/>
  <c r="C22"/>
  <c r="B21"/>
  <c r="L21" s="1"/>
  <c r="C20"/>
  <c r="B19"/>
  <c r="L19" s="1"/>
  <c r="C18"/>
  <c r="B17"/>
  <c r="L17" s="1"/>
  <c r="C16"/>
  <c r="B15"/>
  <c r="L15" s="1"/>
  <c r="C14"/>
  <c r="Q13"/>
  <c r="N13"/>
  <c r="K13"/>
  <c r="H13"/>
  <c r="E13"/>
  <c r="B29" i="50"/>
  <c r="L29" s="1"/>
  <c r="B27"/>
  <c r="L27" s="1"/>
  <c r="C26"/>
  <c r="B25"/>
  <c r="L25" s="1"/>
  <c r="C24"/>
  <c r="N23"/>
  <c r="K23"/>
  <c r="H23"/>
  <c r="E23"/>
  <c r="E11" s="1"/>
  <c r="C22"/>
  <c r="B21"/>
  <c r="F21" s="1"/>
  <c r="C20"/>
  <c r="B19"/>
  <c r="L19" s="1"/>
  <c r="C18"/>
  <c r="B17"/>
  <c r="L17" s="1"/>
  <c r="C16"/>
  <c r="B15"/>
  <c r="F15" s="1"/>
  <c r="C14"/>
  <c r="Q13"/>
  <c r="N13"/>
  <c r="K13"/>
  <c r="H13"/>
  <c r="E13"/>
  <c r="Q11"/>
  <c r="N11"/>
  <c r="O35" i="49"/>
  <c r="I35"/>
  <c r="B35"/>
  <c r="L35" s="1"/>
  <c r="C34"/>
  <c r="O33"/>
  <c r="I33"/>
  <c r="B33"/>
  <c r="L33" s="1"/>
  <c r="C32"/>
  <c r="O31"/>
  <c r="I31"/>
  <c r="B31"/>
  <c r="L31" s="1"/>
  <c r="C30"/>
  <c r="O29"/>
  <c r="I29"/>
  <c r="B29"/>
  <c r="L29" s="1"/>
  <c r="C28"/>
  <c r="O27"/>
  <c r="I27"/>
  <c r="B27"/>
  <c r="L27" s="1"/>
  <c r="C26"/>
  <c r="Q25"/>
  <c r="Q11" s="1"/>
  <c r="N25"/>
  <c r="O25" s="1"/>
  <c r="K25"/>
  <c r="K11" s="1"/>
  <c r="H25"/>
  <c r="I25" s="1"/>
  <c r="E25"/>
  <c r="E11" s="1"/>
  <c r="B25"/>
  <c r="C24"/>
  <c r="B23"/>
  <c r="L23" s="1"/>
  <c r="C22"/>
  <c r="B21"/>
  <c r="L21" s="1"/>
  <c r="C20"/>
  <c r="B19"/>
  <c r="L19" s="1"/>
  <c r="C18"/>
  <c r="B17"/>
  <c r="L17" s="1"/>
  <c r="C16"/>
  <c r="B15"/>
  <c r="L15" s="1"/>
  <c r="C14"/>
  <c r="R13"/>
  <c r="Q13"/>
  <c r="O13"/>
  <c r="N13"/>
  <c r="L13"/>
  <c r="K13"/>
  <c r="I13"/>
  <c r="H13"/>
  <c r="F13"/>
  <c r="E13"/>
  <c r="B13"/>
  <c r="B100" i="47"/>
  <c r="G100" s="1"/>
  <c r="B99"/>
  <c r="G99" s="1"/>
  <c r="B98"/>
  <c r="G98" s="1"/>
  <c r="G97"/>
  <c r="B97"/>
  <c r="B96"/>
  <c r="G96" s="1"/>
  <c r="B95"/>
  <c r="G95" s="1"/>
  <c r="B94"/>
  <c r="G94" s="1"/>
  <c r="G93"/>
  <c r="B93"/>
  <c r="B92"/>
  <c r="B91"/>
  <c r="B90"/>
  <c r="B89"/>
  <c r="R88"/>
  <c r="O88"/>
  <c r="L88"/>
  <c r="I88"/>
  <c r="F88"/>
  <c r="B88" s="1"/>
  <c r="G87"/>
  <c r="D87"/>
  <c r="B87"/>
  <c r="G85"/>
  <c r="D85"/>
  <c r="B85"/>
  <c r="B84"/>
  <c r="G84" s="1"/>
  <c r="B83"/>
  <c r="G83" s="1"/>
  <c r="B82"/>
  <c r="G82" s="1"/>
  <c r="O81"/>
  <c r="L81"/>
  <c r="I81"/>
  <c r="F81"/>
  <c r="B81"/>
  <c r="G80"/>
  <c r="D80"/>
  <c r="B80"/>
  <c r="B79"/>
  <c r="M79" s="1"/>
  <c r="P78"/>
  <c r="J78"/>
  <c r="B78"/>
  <c r="M78" s="1"/>
  <c r="B77"/>
  <c r="S77" s="1"/>
  <c r="P76"/>
  <c r="J76"/>
  <c r="B76"/>
  <c r="S76" s="1"/>
  <c r="G75"/>
  <c r="B75"/>
  <c r="M75" s="1"/>
  <c r="P74"/>
  <c r="J74"/>
  <c r="B74"/>
  <c r="M74" s="1"/>
  <c r="B73"/>
  <c r="S73" s="1"/>
  <c r="P72"/>
  <c r="J72"/>
  <c r="B72"/>
  <c r="S72" s="1"/>
  <c r="G71"/>
  <c r="B71"/>
  <c r="M71" s="1"/>
  <c r="P70"/>
  <c r="J70"/>
  <c r="B70"/>
  <c r="M70" s="1"/>
  <c r="B69"/>
  <c r="S69" s="1"/>
  <c r="P68"/>
  <c r="J68"/>
  <c r="B68"/>
  <c r="S68" s="1"/>
  <c r="B67"/>
  <c r="M67" s="1"/>
  <c r="P66"/>
  <c r="J66"/>
  <c r="B66"/>
  <c r="M66" s="1"/>
  <c r="B65"/>
  <c r="S65" s="1"/>
  <c r="P64"/>
  <c r="J64"/>
  <c r="B64"/>
  <c r="S64" s="1"/>
  <c r="B63"/>
  <c r="M63" s="1"/>
  <c r="P62"/>
  <c r="J62"/>
  <c r="B62"/>
  <c r="M62" s="1"/>
  <c r="B61"/>
  <c r="S61" s="1"/>
  <c r="P60"/>
  <c r="J60"/>
  <c r="G60"/>
  <c r="B60"/>
  <c r="S60" s="1"/>
  <c r="B59"/>
  <c r="M59" s="1"/>
  <c r="P58"/>
  <c r="J58"/>
  <c r="B58"/>
  <c r="M58" s="1"/>
  <c r="B57"/>
  <c r="S57" s="1"/>
  <c r="P56"/>
  <c r="J56"/>
  <c r="B56"/>
  <c r="S56" s="1"/>
  <c r="B55"/>
  <c r="M55" s="1"/>
  <c r="P54"/>
  <c r="J54"/>
  <c r="B54"/>
  <c r="M54" s="1"/>
  <c r="B53"/>
  <c r="S53" s="1"/>
  <c r="P52"/>
  <c r="J52"/>
  <c r="B52"/>
  <c r="S52" s="1"/>
  <c r="G51"/>
  <c r="B51"/>
  <c r="M51" s="1"/>
  <c r="P50"/>
  <c r="J50"/>
  <c r="B50"/>
  <c r="M50" s="1"/>
  <c r="B49"/>
  <c r="B48"/>
  <c r="M48" s="1"/>
  <c r="P47"/>
  <c r="J47"/>
  <c r="B47"/>
  <c r="M47" s="1"/>
  <c r="B46"/>
  <c r="S46" s="1"/>
  <c r="P45"/>
  <c r="J45"/>
  <c r="B45"/>
  <c r="S45" s="1"/>
  <c r="G44"/>
  <c r="B44"/>
  <c r="M44" s="1"/>
  <c r="P43"/>
  <c r="J43"/>
  <c r="B43"/>
  <c r="M43" s="1"/>
  <c r="B42"/>
  <c r="S42" s="1"/>
  <c r="P41"/>
  <c r="J41"/>
  <c r="B41"/>
  <c r="S41" s="1"/>
  <c r="B40"/>
  <c r="M40" s="1"/>
  <c r="P39"/>
  <c r="J39"/>
  <c r="B39"/>
  <c r="M39" s="1"/>
  <c r="B38"/>
  <c r="S38" s="1"/>
  <c r="P37"/>
  <c r="J37"/>
  <c r="G37"/>
  <c r="B37"/>
  <c r="S37" s="1"/>
  <c r="B36"/>
  <c r="M36" s="1"/>
  <c r="P35"/>
  <c r="J35"/>
  <c r="B35"/>
  <c r="M35" s="1"/>
  <c r="B34"/>
  <c r="S34" s="1"/>
  <c r="P33"/>
  <c r="J33"/>
  <c r="B33"/>
  <c r="S33" s="1"/>
  <c r="B32"/>
  <c r="M32" s="1"/>
  <c r="P31"/>
  <c r="J31"/>
  <c r="B31"/>
  <c r="M31" s="1"/>
  <c r="B30"/>
  <c r="S30" s="1"/>
  <c r="P29"/>
  <c r="J29"/>
  <c r="B29"/>
  <c r="S29" s="1"/>
  <c r="B28"/>
  <c r="M28" s="1"/>
  <c r="P27"/>
  <c r="J27"/>
  <c r="B27"/>
  <c r="M27" s="1"/>
  <c r="B26"/>
  <c r="S26" s="1"/>
  <c r="P25"/>
  <c r="J25"/>
  <c r="B25"/>
  <c r="S25" s="1"/>
  <c r="B24"/>
  <c r="M24" s="1"/>
  <c r="P23"/>
  <c r="J23"/>
  <c r="B23"/>
  <c r="M23" s="1"/>
  <c r="R22"/>
  <c r="O22"/>
  <c r="L22"/>
  <c r="I22"/>
  <c r="S21"/>
  <c r="P21"/>
  <c r="M21"/>
  <c r="J21"/>
  <c r="G21"/>
  <c r="D21"/>
  <c r="B21"/>
  <c r="P20"/>
  <c r="J20"/>
  <c r="B20"/>
  <c r="S20" s="1"/>
  <c r="S19"/>
  <c r="M19"/>
  <c r="G19"/>
  <c r="B19"/>
  <c r="P19" s="1"/>
  <c r="B18"/>
  <c r="S18" s="1"/>
  <c r="P17"/>
  <c r="J17"/>
  <c r="B17"/>
  <c r="S17" s="1"/>
  <c r="S16"/>
  <c r="R16"/>
  <c r="O16"/>
  <c r="L16"/>
  <c r="F16"/>
  <c r="B16"/>
  <c r="P16" s="1"/>
  <c r="S15"/>
  <c r="P15"/>
  <c r="J15"/>
  <c r="G15"/>
  <c r="D15"/>
  <c r="B15"/>
  <c r="R14"/>
  <c r="O14"/>
  <c r="L14"/>
  <c r="I14"/>
  <c r="F14"/>
  <c r="B14"/>
  <c r="S14" s="1"/>
  <c r="S13"/>
  <c r="P13"/>
  <c r="M13"/>
  <c r="J13"/>
  <c r="G13"/>
  <c r="D13"/>
  <c r="B13"/>
  <c r="O106" i="46"/>
  <c r="I106"/>
  <c r="B106"/>
  <c r="L106" s="1"/>
  <c r="R105"/>
  <c r="O105"/>
  <c r="L105"/>
  <c r="I105"/>
  <c r="F105"/>
  <c r="C105"/>
  <c r="B104"/>
  <c r="L104" s="1"/>
  <c r="O103"/>
  <c r="I103"/>
  <c r="B103"/>
  <c r="L103" s="1"/>
  <c r="R102"/>
  <c r="F102"/>
  <c r="B102"/>
  <c r="I102" s="1"/>
  <c r="O101"/>
  <c r="I101"/>
  <c r="B101"/>
  <c r="R101" s="1"/>
  <c r="B100"/>
  <c r="L100" s="1"/>
  <c r="Q99"/>
  <c r="R99" s="1"/>
  <c r="N99"/>
  <c r="O99" s="1"/>
  <c r="K99"/>
  <c r="L99" s="1"/>
  <c r="H99"/>
  <c r="I99" s="1"/>
  <c r="E99"/>
  <c r="F99" s="1"/>
  <c r="B99"/>
  <c r="R98"/>
  <c r="O98"/>
  <c r="L98"/>
  <c r="I98"/>
  <c r="F98"/>
  <c r="C98"/>
  <c r="R97"/>
  <c r="F97"/>
  <c r="B97"/>
  <c r="I97" s="1"/>
  <c r="O96"/>
  <c r="I96"/>
  <c r="F96"/>
  <c r="B96"/>
  <c r="R96" s="1"/>
  <c r="R95"/>
  <c r="O95"/>
  <c r="L95"/>
  <c r="I95"/>
  <c r="F95"/>
  <c r="C95"/>
  <c r="O94"/>
  <c r="I94"/>
  <c r="B94"/>
  <c r="L94" s="1"/>
  <c r="R93"/>
  <c r="O93"/>
  <c r="L93"/>
  <c r="I93"/>
  <c r="F93"/>
  <c r="C93"/>
  <c r="B92"/>
  <c r="L92" s="1"/>
  <c r="O91"/>
  <c r="I91"/>
  <c r="B91"/>
  <c r="L91" s="1"/>
  <c r="R90"/>
  <c r="F90"/>
  <c r="B90"/>
  <c r="I90" s="1"/>
  <c r="O89"/>
  <c r="I89"/>
  <c r="B89"/>
  <c r="R89" s="1"/>
  <c r="B88"/>
  <c r="L88" s="1"/>
  <c r="O87"/>
  <c r="I87"/>
  <c r="B87"/>
  <c r="L87" s="1"/>
  <c r="R86"/>
  <c r="F86"/>
  <c r="B86"/>
  <c r="I86" s="1"/>
  <c r="O85"/>
  <c r="I85"/>
  <c r="B85"/>
  <c r="R85" s="1"/>
  <c r="B84"/>
  <c r="L84" s="1"/>
  <c r="Q83"/>
  <c r="R83" s="1"/>
  <c r="N83"/>
  <c r="O83" s="1"/>
  <c r="K83"/>
  <c r="L83" s="1"/>
  <c r="H83"/>
  <c r="I83" s="1"/>
  <c r="E83"/>
  <c r="F83" s="1"/>
  <c r="B83"/>
  <c r="Q82"/>
  <c r="R82" s="1"/>
  <c r="N82"/>
  <c r="O82" s="1"/>
  <c r="K82"/>
  <c r="L82" s="1"/>
  <c r="H82"/>
  <c r="I82" s="1"/>
  <c r="E82"/>
  <c r="F82" s="1"/>
  <c r="B82"/>
  <c r="R81"/>
  <c r="O81"/>
  <c r="L81"/>
  <c r="I81"/>
  <c r="F81"/>
  <c r="C81"/>
  <c r="O80"/>
  <c r="I80"/>
  <c r="B80"/>
  <c r="R80" s="1"/>
  <c r="B79"/>
  <c r="L79" s="1"/>
  <c r="O78"/>
  <c r="I78"/>
  <c r="B78"/>
  <c r="L78" s="1"/>
  <c r="R77"/>
  <c r="F77"/>
  <c r="B77"/>
  <c r="I77" s="1"/>
  <c r="Q76"/>
  <c r="N76"/>
  <c r="K76"/>
  <c r="H76"/>
  <c r="E76"/>
  <c r="Q75"/>
  <c r="N75"/>
  <c r="K75"/>
  <c r="H75"/>
  <c r="E75"/>
  <c r="R74"/>
  <c r="O74"/>
  <c r="L74"/>
  <c r="I74"/>
  <c r="F74"/>
  <c r="C74"/>
  <c r="O73"/>
  <c r="I73"/>
  <c r="B73"/>
  <c r="L73" s="1"/>
  <c r="R72"/>
  <c r="O72"/>
  <c r="L72"/>
  <c r="I72"/>
  <c r="F72"/>
  <c r="C72"/>
  <c r="B71"/>
  <c r="L71" s="1"/>
  <c r="R70"/>
  <c r="O70"/>
  <c r="L70"/>
  <c r="I70"/>
  <c r="F70"/>
  <c r="C70"/>
  <c r="O69"/>
  <c r="I69"/>
  <c r="B69"/>
  <c r="R69" s="1"/>
  <c r="B68"/>
  <c r="L68" s="1"/>
  <c r="O67"/>
  <c r="I67"/>
  <c r="B67"/>
  <c r="L67" s="1"/>
  <c r="R66"/>
  <c r="F66"/>
  <c r="B66"/>
  <c r="I66" s="1"/>
  <c r="O65"/>
  <c r="I65"/>
  <c r="B65"/>
  <c r="R65" s="1"/>
  <c r="Q64"/>
  <c r="N64"/>
  <c r="K64"/>
  <c r="H64"/>
  <c r="E64"/>
  <c r="B64" s="1"/>
  <c r="R63"/>
  <c r="O63"/>
  <c r="L63"/>
  <c r="I63"/>
  <c r="F63"/>
  <c r="C63"/>
  <c r="R62"/>
  <c r="F62"/>
  <c r="B62"/>
  <c r="I62" s="1"/>
  <c r="Q61"/>
  <c r="N61"/>
  <c r="K61"/>
  <c r="H61"/>
  <c r="E61"/>
  <c r="R60"/>
  <c r="O60"/>
  <c r="L60"/>
  <c r="I60"/>
  <c r="F60"/>
  <c r="C60"/>
  <c r="O59"/>
  <c r="I59"/>
  <c r="B59"/>
  <c r="L59" s="1"/>
  <c r="R58"/>
  <c r="F58"/>
  <c r="B58"/>
  <c r="I58" s="1"/>
  <c r="O57"/>
  <c r="I57"/>
  <c r="B57"/>
  <c r="R57" s="1"/>
  <c r="B56"/>
  <c r="L56" s="1"/>
  <c r="O55"/>
  <c r="I55"/>
  <c r="B55"/>
  <c r="L55" s="1"/>
  <c r="R54"/>
  <c r="Q54"/>
  <c r="O54"/>
  <c r="N54"/>
  <c r="L54"/>
  <c r="K54"/>
  <c r="I54"/>
  <c r="H54"/>
  <c r="F54"/>
  <c r="E54"/>
  <c r="B54"/>
  <c r="R53"/>
  <c r="O53"/>
  <c r="L53"/>
  <c r="I53"/>
  <c r="F53"/>
  <c r="C53"/>
  <c r="B52"/>
  <c r="L52" s="1"/>
  <c r="R51"/>
  <c r="O51"/>
  <c r="L51"/>
  <c r="I51"/>
  <c r="F51"/>
  <c r="C51"/>
  <c r="O50"/>
  <c r="I50"/>
  <c r="B50"/>
  <c r="R50" s="1"/>
  <c r="B49"/>
  <c r="L49" s="1"/>
  <c r="O48"/>
  <c r="I48"/>
  <c r="B48"/>
  <c r="L48" s="1"/>
  <c r="R47"/>
  <c r="F47"/>
  <c r="B47"/>
  <c r="I47" s="1"/>
  <c r="O46"/>
  <c r="I46"/>
  <c r="B46"/>
  <c r="R46" s="1"/>
  <c r="B45"/>
  <c r="L45" s="1"/>
  <c r="O44"/>
  <c r="I44"/>
  <c r="B44"/>
  <c r="L44" s="1"/>
  <c r="R43"/>
  <c r="F43"/>
  <c r="B43"/>
  <c r="I43" s="1"/>
  <c r="Q42"/>
  <c r="N42"/>
  <c r="K42"/>
  <c r="H42"/>
  <c r="E42"/>
  <c r="R41"/>
  <c r="O41"/>
  <c r="L41"/>
  <c r="I41"/>
  <c r="F41"/>
  <c r="C41"/>
  <c r="O40"/>
  <c r="I40"/>
  <c r="B40"/>
  <c r="L40" s="1"/>
  <c r="R39"/>
  <c r="F39"/>
  <c r="B39"/>
  <c r="I39" s="1"/>
  <c r="O38"/>
  <c r="I38"/>
  <c r="B38"/>
  <c r="R38" s="1"/>
  <c r="B37"/>
  <c r="L37" s="1"/>
  <c r="Q36"/>
  <c r="R36" s="1"/>
  <c r="N36"/>
  <c r="O36" s="1"/>
  <c r="K36"/>
  <c r="L36" s="1"/>
  <c r="H36"/>
  <c r="I36" s="1"/>
  <c r="E36"/>
  <c r="F36" s="1"/>
  <c r="B36"/>
  <c r="N35"/>
  <c r="H35"/>
  <c r="R34"/>
  <c r="O34"/>
  <c r="L34"/>
  <c r="I34"/>
  <c r="F34"/>
  <c r="C34"/>
  <c r="O33"/>
  <c r="I33"/>
  <c r="B33"/>
  <c r="R33" s="1"/>
  <c r="B32"/>
  <c r="L32" s="1"/>
  <c r="O31"/>
  <c r="I31"/>
  <c r="F31"/>
  <c r="B31"/>
  <c r="L31" s="1"/>
  <c r="R30"/>
  <c r="F30"/>
  <c r="B30"/>
  <c r="I30" s="1"/>
  <c r="O29"/>
  <c r="I29"/>
  <c r="B29"/>
  <c r="R29" s="1"/>
  <c r="R28"/>
  <c r="Q28"/>
  <c r="O28"/>
  <c r="N28"/>
  <c r="L28"/>
  <c r="K28"/>
  <c r="I28"/>
  <c r="H28"/>
  <c r="F28"/>
  <c r="E28"/>
  <c r="B28"/>
  <c r="R27"/>
  <c r="Q27"/>
  <c r="O27"/>
  <c r="N27"/>
  <c r="L27"/>
  <c r="K27"/>
  <c r="I27"/>
  <c r="H27"/>
  <c r="F27"/>
  <c r="E27"/>
  <c r="B27"/>
  <c r="R26"/>
  <c r="O26"/>
  <c r="L26"/>
  <c r="I26"/>
  <c r="F26"/>
  <c r="C26"/>
  <c r="R25"/>
  <c r="F25"/>
  <c r="B25"/>
  <c r="I25" s="1"/>
  <c r="O24"/>
  <c r="I24"/>
  <c r="B24"/>
  <c r="R24" s="1"/>
  <c r="B23"/>
  <c r="L23" s="1"/>
  <c r="Q22"/>
  <c r="R22" s="1"/>
  <c r="N22"/>
  <c r="O22" s="1"/>
  <c r="K22"/>
  <c r="L22" s="1"/>
  <c r="H22"/>
  <c r="I22" s="1"/>
  <c r="E22"/>
  <c r="F22" s="1"/>
  <c r="B22"/>
  <c r="R21"/>
  <c r="O21"/>
  <c r="L21"/>
  <c r="I21"/>
  <c r="F21"/>
  <c r="C21"/>
  <c r="O20"/>
  <c r="I20"/>
  <c r="B20"/>
  <c r="R20" s="1"/>
  <c r="B19"/>
  <c r="L19" s="1"/>
  <c r="O18"/>
  <c r="I18"/>
  <c r="B18"/>
  <c r="L18" s="1"/>
  <c r="Q17"/>
  <c r="N17"/>
  <c r="K17"/>
  <c r="H17"/>
  <c r="E17"/>
  <c r="B17" s="1"/>
  <c r="R15"/>
  <c r="O15"/>
  <c r="L15"/>
  <c r="I15"/>
  <c r="F15"/>
  <c r="C15"/>
  <c r="R13"/>
  <c r="O13"/>
  <c r="L13"/>
  <c r="I13"/>
  <c r="F13"/>
  <c r="P100" i="45"/>
  <c r="B100"/>
  <c r="G100" s="1"/>
  <c r="J99"/>
  <c r="G99"/>
  <c r="B99"/>
  <c r="M99" s="1"/>
  <c r="P98"/>
  <c r="B98"/>
  <c r="G98" s="1"/>
  <c r="J97"/>
  <c r="B97"/>
  <c r="M97" s="1"/>
  <c r="P96"/>
  <c r="B96"/>
  <c r="G96" s="1"/>
  <c r="J95"/>
  <c r="B95"/>
  <c r="M95" s="1"/>
  <c r="P94"/>
  <c r="B94"/>
  <c r="G94" s="1"/>
  <c r="B93"/>
  <c r="P93" s="1"/>
  <c r="J92"/>
  <c r="B92"/>
  <c r="M92" s="1"/>
  <c r="S91"/>
  <c r="G91"/>
  <c r="B91"/>
  <c r="J91" s="1"/>
  <c r="P90"/>
  <c r="B90"/>
  <c r="S90" s="1"/>
  <c r="B89"/>
  <c r="P89" s="1"/>
  <c r="R88"/>
  <c r="O88"/>
  <c r="L88"/>
  <c r="I88"/>
  <c r="F88"/>
  <c r="S87"/>
  <c r="P87"/>
  <c r="M87"/>
  <c r="J87"/>
  <c r="G87"/>
  <c r="D87"/>
  <c r="B87"/>
  <c r="R86"/>
  <c r="O86"/>
  <c r="L86"/>
  <c r="I86"/>
  <c r="F86"/>
  <c r="S85"/>
  <c r="P85"/>
  <c r="M85"/>
  <c r="J85"/>
  <c r="G85"/>
  <c r="D85"/>
  <c r="B85"/>
  <c r="B84"/>
  <c r="P84" s="1"/>
  <c r="J83"/>
  <c r="B83"/>
  <c r="M83" s="1"/>
  <c r="S82"/>
  <c r="G82"/>
  <c r="B82"/>
  <c r="J82" s="1"/>
  <c r="R81"/>
  <c r="O81"/>
  <c r="L81"/>
  <c r="I81"/>
  <c r="F81"/>
  <c r="S80"/>
  <c r="P80"/>
  <c r="M80"/>
  <c r="J80"/>
  <c r="G80"/>
  <c r="D80"/>
  <c r="B80"/>
  <c r="B79"/>
  <c r="P79" s="1"/>
  <c r="J78"/>
  <c r="B78"/>
  <c r="M78" s="1"/>
  <c r="S77"/>
  <c r="G77"/>
  <c r="B77"/>
  <c r="J77" s="1"/>
  <c r="P76"/>
  <c r="B76"/>
  <c r="S76" s="1"/>
  <c r="B75"/>
  <c r="P75" s="1"/>
  <c r="J74"/>
  <c r="B74"/>
  <c r="M74" s="1"/>
  <c r="S73"/>
  <c r="G73"/>
  <c r="B73"/>
  <c r="J73" s="1"/>
  <c r="P72"/>
  <c r="B72"/>
  <c r="S72" s="1"/>
  <c r="B71"/>
  <c r="P71" s="1"/>
  <c r="J70"/>
  <c r="B70"/>
  <c r="M70" s="1"/>
  <c r="S69"/>
  <c r="G69"/>
  <c r="B69"/>
  <c r="J69" s="1"/>
  <c r="P68"/>
  <c r="B68"/>
  <c r="S68" s="1"/>
  <c r="B67"/>
  <c r="P67" s="1"/>
  <c r="J66"/>
  <c r="B66"/>
  <c r="M66" s="1"/>
  <c r="S65"/>
  <c r="G65"/>
  <c r="B65"/>
  <c r="J65" s="1"/>
  <c r="P64"/>
  <c r="B64"/>
  <c r="S64" s="1"/>
  <c r="B63"/>
  <c r="P63" s="1"/>
  <c r="J62"/>
  <c r="B62"/>
  <c r="M62" s="1"/>
  <c r="S61"/>
  <c r="G61"/>
  <c r="B61"/>
  <c r="J61" s="1"/>
  <c r="P60"/>
  <c r="B60"/>
  <c r="S60" s="1"/>
  <c r="B59"/>
  <c r="P59" s="1"/>
  <c r="J58"/>
  <c r="G58"/>
  <c r="B58"/>
  <c r="M58" s="1"/>
  <c r="S57"/>
  <c r="P57"/>
  <c r="J57"/>
  <c r="G57"/>
  <c r="B57"/>
  <c r="M57" s="1"/>
  <c r="P56"/>
  <c r="B56"/>
  <c r="S56" s="1"/>
  <c r="B55"/>
  <c r="P55" s="1"/>
  <c r="J54"/>
  <c r="G54"/>
  <c r="B54"/>
  <c r="M54" s="1"/>
  <c r="S53"/>
  <c r="P53"/>
  <c r="J53"/>
  <c r="G53"/>
  <c r="B53"/>
  <c r="M53" s="1"/>
  <c r="P52"/>
  <c r="B52"/>
  <c r="S52" s="1"/>
  <c r="B51"/>
  <c r="P51" s="1"/>
  <c r="J50"/>
  <c r="G50"/>
  <c r="B50"/>
  <c r="M50" s="1"/>
  <c r="P49"/>
  <c r="B49"/>
  <c r="G49" s="1"/>
  <c r="B48"/>
  <c r="P48" s="1"/>
  <c r="J47"/>
  <c r="B47"/>
  <c r="M47" s="1"/>
  <c r="S46"/>
  <c r="P46"/>
  <c r="J46"/>
  <c r="G46"/>
  <c r="B46"/>
  <c r="M46" s="1"/>
  <c r="P45"/>
  <c r="B45"/>
  <c r="S45" s="1"/>
  <c r="B44"/>
  <c r="P44" s="1"/>
  <c r="J43"/>
  <c r="B43"/>
  <c r="M43" s="1"/>
  <c r="S42"/>
  <c r="P42"/>
  <c r="J42"/>
  <c r="G42"/>
  <c r="B42"/>
  <c r="M42" s="1"/>
  <c r="P41"/>
  <c r="B41"/>
  <c r="S41" s="1"/>
  <c r="B40"/>
  <c r="P40" s="1"/>
  <c r="J39"/>
  <c r="B39"/>
  <c r="M39" s="1"/>
  <c r="S38"/>
  <c r="P38"/>
  <c r="J38"/>
  <c r="G38"/>
  <c r="B38"/>
  <c r="M38" s="1"/>
  <c r="P37"/>
  <c r="B37"/>
  <c r="S37" s="1"/>
  <c r="B36"/>
  <c r="P36" s="1"/>
  <c r="J35"/>
  <c r="B35"/>
  <c r="M35" s="1"/>
  <c r="S34"/>
  <c r="P34"/>
  <c r="J34"/>
  <c r="G34"/>
  <c r="B34"/>
  <c r="M34" s="1"/>
  <c r="P33"/>
  <c r="B33"/>
  <c r="S33" s="1"/>
  <c r="B32"/>
  <c r="P32" s="1"/>
  <c r="J31"/>
  <c r="B31"/>
  <c r="M31" s="1"/>
  <c r="S30"/>
  <c r="G30"/>
  <c r="B30"/>
  <c r="J30" s="1"/>
  <c r="P29"/>
  <c r="B29"/>
  <c r="S29" s="1"/>
  <c r="B28"/>
  <c r="P28" s="1"/>
  <c r="J27"/>
  <c r="B27"/>
  <c r="M27" s="1"/>
  <c r="S26"/>
  <c r="G26"/>
  <c r="B26"/>
  <c r="J26" s="1"/>
  <c r="P25"/>
  <c r="B25"/>
  <c r="S25" s="1"/>
  <c r="B24"/>
  <c r="P24" s="1"/>
  <c r="J23"/>
  <c r="B23"/>
  <c r="M23" s="1"/>
  <c r="R22"/>
  <c r="O22"/>
  <c r="L22"/>
  <c r="I22"/>
  <c r="F22"/>
  <c r="B22" s="1"/>
  <c r="S21"/>
  <c r="P21"/>
  <c r="M21"/>
  <c r="J21"/>
  <c r="G21"/>
  <c r="D21"/>
  <c r="B20"/>
  <c r="P20" s="1"/>
  <c r="G19"/>
  <c r="B19"/>
  <c r="J19" s="1"/>
  <c r="B18"/>
  <c r="P18" s="1"/>
  <c r="J17"/>
  <c r="B17"/>
  <c r="M17" s="1"/>
  <c r="S16"/>
  <c r="R16"/>
  <c r="O16"/>
  <c r="P16" s="1"/>
  <c r="M16"/>
  <c r="L16"/>
  <c r="I16"/>
  <c r="J16" s="1"/>
  <c r="G16"/>
  <c r="F16"/>
  <c r="B16"/>
  <c r="S15"/>
  <c r="P15"/>
  <c r="M15"/>
  <c r="J15"/>
  <c r="G15"/>
  <c r="D15"/>
  <c r="B15"/>
  <c r="R14"/>
  <c r="L14"/>
  <c r="I14"/>
  <c r="F14"/>
  <c r="S13"/>
  <c r="P13"/>
  <c r="M13"/>
  <c r="J13"/>
  <c r="G13"/>
  <c r="D13"/>
  <c r="B13"/>
  <c r="I12"/>
  <c r="B106" i="44"/>
  <c r="I106" s="1"/>
  <c r="R105"/>
  <c r="O105"/>
  <c r="L105"/>
  <c r="I105"/>
  <c r="F105"/>
  <c r="C105"/>
  <c r="B105"/>
  <c r="R104"/>
  <c r="O104"/>
  <c r="F104"/>
  <c r="B104"/>
  <c r="I104" s="1"/>
  <c r="B103"/>
  <c r="L103" s="1"/>
  <c r="I102"/>
  <c r="B102"/>
  <c r="L102" s="1"/>
  <c r="R101"/>
  <c r="I101"/>
  <c r="F101"/>
  <c r="B101"/>
  <c r="L101" s="1"/>
  <c r="R100"/>
  <c r="O100"/>
  <c r="F100"/>
  <c r="B100"/>
  <c r="I100" s="1"/>
  <c r="Q99"/>
  <c r="N99"/>
  <c r="K99"/>
  <c r="H99"/>
  <c r="E99"/>
  <c r="R98"/>
  <c r="O98"/>
  <c r="L98"/>
  <c r="I98"/>
  <c r="F98"/>
  <c r="C98"/>
  <c r="B98"/>
  <c r="B97"/>
  <c r="I97" s="1"/>
  <c r="R96"/>
  <c r="I96"/>
  <c r="F96"/>
  <c r="B96"/>
  <c r="L96" s="1"/>
  <c r="R95"/>
  <c r="O95"/>
  <c r="L95"/>
  <c r="I95"/>
  <c r="F95"/>
  <c r="C95"/>
  <c r="B95"/>
  <c r="B94"/>
  <c r="L94" s="1"/>
  <c r="R93"/>
  <c r="O93"/>
  <c r="L93"/>
  <c r="I93"/>
  <c r="F93"/>
  <c r="C93"/>
  <c r="R92"/>
  <c r="O92"/>
  <c r="F92"/>
  <c r="B92"/>
  <c r="I92" s="1"/>
  <c r="B91"/>
  <c r="L91" s="1"/>
  <c r="B90"/>
  <c r="I90" s="1"/>
  <c r="R89"/>
  <c r="I89"/>
  <c r="F89"/>
  <c r="B89"/>
  <c r="L89" s="1"/>
  <c r="R88"/>
  <c r="O88"/>
  <c r="F88"/>
  <c r="B88"/>
  <c r="I88" s="1"/>
  <c r="B87"/>
  <c r="L87" s="1"/>
  <c r="B86"/>
  <c r="I86" s="1"/>
  <c r="R85"/>
  <c r="I85"/>
  <c r="F85"/>
  <c r="B85"/>
  <c r="L85" s="1"/>
  <c r="R84"/>
  <c r="O84"/>
  <c r="F84"/>
  <c r="B84"/>
  <c r="I84" s="1"/>
  <c r="Q83"/>
  <c r="N83"/>
  <c r="K83"/>
  <c r="H83"/>
  <c r="E83"/>
  <c r="Q82"/>
  <c r="N82"/>
  <c r="K82"/>
  <c r="H82"/>
  <c r="E82"/>
  <c r="R81"/>
  <c r="O81"/>
  <c r="L81"/>
  <c r="I81"/>
  <c r="F81"/>
  <c r="C81"/>
  <c r="R80"/>
  <c r="I80"/>
  <c r="F80"/>
  <c r="B80"/>
  <c r="L80" s="1"/>
  <c r="R79"/>
  <c r="O79"/>
  <c r="F79"/>
  <c r="B79"/>
  <c r="I79" s="1"/>
  <c r="B78"/>
  <c r="L78" s="1"/>
  <c r="B77"/>
  <c r="I77" s="1"/>
  <c r="Q76"/>
  <c r="N76"/>
  <c r="O76" s="1"/>
  <c r="K76"/>
  <c r="H76"/>
  <c r="I76" s="1"/>
  <c r="E76"/>
  <c r="B76"/>
  <c r="R76" s="1"/>
  <c r="Q75"/>
  <c r="N75"/>
  <c r="O75" s="1"/>
  <c r="K75"/>
  <c r="H75"/>
  <c r="I75" s="1"/>
  <c r="F75"/>
  <c r="E75"/>
  <c r="B75"/>
  <c r="R75" s="1"/>
  <c r="R74"/>
  <c r="O74"/>
  <c r="L74"/>
  <c r="I74"/>
  <c r="F74"/>
  <c r="C74"/>
  <c r="B73"/>
  <c r="L73" s="1"/>
  <c r="R72"/>
  <c r="O72"/>
  <c r="L72"/>
  <c r="I72"/>
  <c r="F72"/>
  <c r="C72"/>
  <c r="R71"/>
  <c r="O71"/>
  <c r="F71"/>
  <c r="B71"/>
  <c r="I71" s="1"/>
  <c r="R70"/>
  <c r="O70"/>
  <c r="L70"/>
  <c r="I70"/>
  <c r="F70"/>
  <c r="C70"/>
  <c r="R69"/>
  <c r="I69"/>
  <c r="F69"/>
  <c r="B69"/>
  <c r="L69" s="1"/>
  <c r="R68"/>
  <c r="O68"/>
  <c r="F68"/>
  <c r="B68"/>
  <c r="I68" s="1"/>
  <c r="B67"/>
  <c r="L67" s="1"/>
  <c r="I66"/>
  <c r="B66"/>
  <c r="L66" s="1"/>
  <c r="R65"/>
  <c r="I65"/>
  <c r="F65"/>
  <c r="B65"/>
  <c r="L65" s="1"/>
  <c r="Q64"/>
  <c r="N64"/>
  <c r="K64"/>
  <c r="H64"/>
  <c r="E64"/>
  <c r="R63"/>
  <c r="O63"/>
  <c r="L63"/>
  <c r="I63"/>
  <c r="F63"/>
  <c r="C63"/>
  <c r="B62"/>
  <c r="I62" s="1"/>
  <c r="N61"/>
  <c r="H61"/>
  <c r="R60"/>
  <c r="O60"/>
  <c r="L60"/>
  <c r="I60"/>
  <c r="F60"/>
  <c r="C60"/>
  <c r="B59"/>
  <c r="L59" s="1"/>
  <c r="B58"/>
  <c r="I58" s="1"/>
  <c r="R57"/>
  <c r="I57"/>
  <c r="F57"/>
  <c r="B57"/>
  <c r="L57" s="1"/>
  <c r="R56"/>
  <c r="O56"/>
  <c r="F56"/>
  <c r="B56"/>
  <c r="I56" s="1"/>
  <c r="B55"/>
  <c r="L55" s="1"/>
  <c r="Q54"/>
  <c r="N54"/>
  <c r="O54" s="1"/>
  <c r="K54"/>
  <c r="H54"/>
  <c r="E54"/>
  <c r="B54"/>
  <c r="I54" s="1"/>
  <c r="R53"/>
  <c r="O53"/>
  <c r="L53"/>
  <c r="I53"/>
  <c r="F53"/>
  <c r="C53"/>
  <c r="R52"/>
  <c r="O52"/>
  <c r="F52"/>
  <c r="B52"/>
  <c r="I52" s="1"/>
  <c r="R51"/>
  <c r="O51"/>
  <c r="L51"/>
  <c r="I51"/>
  <c r="F51"/>
  <c r="C51"/>
  <c r="R50"/>
  <c r="I50"/>
  <c r="F50"/>
  <c r="B50"/>
  <c r="L50" s="1"/>
  <c r="R49"/>
  <c r="O49"/>
  <c r="F49"/>
  <c r="B49"/>
  <c r="I49" s="1"/>
  <c r="B48"/>
  <c r="L48" s="1"/>
  <c r="B47"/>
  <c r="I47" s="1"/>
  <c r="R46"/>
  <c r="I46"/>
  <c r="F46"/>
  <c r="B46"/>
  <c r="L46" s="1"/>
  <c r="R45"/>
  <c r="O45"/>
  <c r="F45"/>
  <c r="B45"/>
  <c r="I45" s="1"/>
  <c r="B44"/>
  <c r="L44" s="1"/>
  <c r="B43"/>
  <c r="I43" s="1"/>
  <c r="Q42"/>
  <c r="N42"/>
  <c r="O42" s="1"/>
  <c r="K42"/>
  <c r="H42"/>
  <c r="I42" s="1"/>
  <c r="E42"/>
  <c r="B42"/>
  <c r="R42" s="1"/>
  <c r="R41"/>
  <c r="O41"/>
  <c r="L41"/>
  <c r="I41"/>
  <c r="F41"/>
  <c r="C41"/>
  <c r="B40"/>
  <c r="L40" s="1"/>
  <c r="B39"/>
  <c r="I39" s="1"/>
  <c r="R38"/>
  <c r="I38"/>
  <c r="F38"/>
  <c r="B38"/>
  <c r="L38" s="1"/>
  <c r="R37"/>
  <c r="O37"/>
  <c r="F37"/>
  <c r="B37"/>
  <c r="I37" s="1"/>
  <c r="Q36"/>
  <c r="N36"/>
  <c r="K36"/>
  <c r="H36"/>
  <c r="E36"/>
  <c r="Q35"/>
  <c r="K35"/>
  <c r="E35"/>
  <c r="R34"/>
  <c r="O34"/>
  <c r="L34"/>
  <c r="I34"/>
  <c r="F34"/>
  <c r="C34"/>
  <c r="R33"/>
  <c r="I33"/>
  <c r="F33"/>
  <c r="B33"/>
  <c r="L33" s="1"/>
  <c r="R32"/>
  <c r="O32"/>
  <c r="F32"/>
  <c r="B32"/>
  <c r="I32" s="1"/>
  <c r="B31"/>
  <c r="L31" s="1"/>
  <c r="B30"/>
  <c r="I30" s="1"/>
  <c r="R29"/>
  <c r="I29"/>
  <c r="F29"/>
  <c r="B29"/>
  <c r="L29" s="1"/>
  <c r="Q28"/>
  <c r="N28"/>
  <c r="O28" s="1"/>
  <c r="K28"/>
  <c r="H28"/>
  <c r="E28"/>
  <c r="B28" s="1"/>
  <c r="Q27"/>
  <c r="N27"/>
  <c r="K27"/>
  <c r="H27"/>
  <c r="E27"/>
  <c r="R26"/>
  <c r="O26"/>
  <c r="L26"/>
  <c r="I26"/>
  <c r="F26"/>
  <c r="C26"/>
  <c r="B25"/>
  <c r="I25" s="1"/>
  <c r="R24"/>
  <c r="I24"/>
  <c r="F24"/>
  <c r="B24"/>
  <c r="L24" s="1"/>
  <c r="R23"/>
  <c r="O23"/>
  <c r="F23"/>
  <c r="B23"/>
  <c r="I23" s="1"/>
  <c r="Q22"/>
  <c r="N22"/>
  <c r="K22"/>
  <c r="H22"/>
  <c r="E22"/>
  <c r="R21"/>
  <c r="O21"/>
  <c r="L21"/>
  <c r="I21"/>
  <c r="F21"/>
  <c r="C21"/>
  <c r="R20"/>
  <c r="I20"/>
  <c r="F20"/>
  <c r="B20"/>
  <c r="L20" s="1"/>
  <c r="R19"/>
  <c r="O19"/>
  <c r="F19"/>
  <c r="B19"/>
  <c r="I19" s="1"/>
  <c r="B18"/>
  <c r="L18" s="1"/>
  <c r="Q17"/>
  <c r="N17"/>
  <c r="K17"/>
  <c r="H17"/>
  <c r="E17"/>
  <c r="B17"/>
  <c r="O17" s="1"/>
  <c r="N16"/>
  <c r="H16"/>
  <c r="R15"/>
  <c r="O15"/>
  <c r="L15"/>
  <c r="I15"/>
  <c r="F15"/>
  <c r="C15"/>
  <c r="R13"/>
  <c r="O13"/>
  <c r="L13"/>
  <c r="I13"/>
  <c r="F13"/>
  <c r="B98" i="43"/>
  <c r="P98" s="1"/>
  <c r="B97"/>
  <c r="P97" s="1"/>
  <c r="B96"/>
  <c r="P96" s="1"/>
  <c r="B95"/>
  <c r="B94"/>
  <c r="P94" s="1"/>
  <c r="B93"/>
  <c r="P93" s="1"/>
  <c r="B92"/>
  <c r="B91"/>
  <c r="P91" s="1"/>
  <c r="B90"/>
  <c r="P90" s="1"/>
  <c r="P89"/>
  <c r="B89"/>
  <c r="B88"/>
  <c r="P88" s="1"/>
  <c r="B87"/>
  <c r="P87" s="1"/>
  <c r="O86"/>
  <c r="P86" s="1"/>
  <c r="L86"/>
  <c r="I86"/>
  <c r="F86"/>
  <c r="B86"/>
  <c r="O85"/>
  <c r="P85" s="1"/>
  <c r="L85"/>
  <c r="I85"/>
  <c r="F85"/>
  <c r="B85"/>
  <c r="P84"/>
  <c r="D84"/>
  <c r="B84"/>
  <c r="B83"/>
  <c r="P83" s="1"/>
  <c r="B82"/>
  <c r="P82" s="1"/>
  <c r="B81"/>
  <c r="P81" s="1"/>
  <c r="P80"/>
  <c r="O80"/>
  <c r="L80"/>
  <c r="I80"/>
  <c r="F80"/>
  <c r="B80"/>
  <c r="P79"/>
  <c r="D79"/>
  <c r="B79"/>
  <c r="B78"/>
  <c r="B77"/>
  <c r="P77" s="1"/>
  <c r="B76"/>
  <c r="P76" s="1"/>
  <c r="B75"/>
  <c r="P75" s="1"/>
  <c r="B74"/>
  <c r="B73"/>
  <c r="P73" s="1"/>
  <c r="B72"/>
  <c r="P72" s="1"/>
  <c r="B71"/>
  <c r="P71" s="1"/>
  <c r="B70"/>
  <c r="B69"/>
  <c r="P69" s="1"/>
  <c r="B68"/>
  <c r="P68" s="1"/>
  <c r="B67"/>
  <c r="P67" s="1"/>
  <c r="B66"/>
  <c r="B65"/>
  <c r="P65" s="1"/>
  <c r="B64"/>
  <c r="P64" s="1"/>
  <c r="B63"/>
  <c r="P63" s="1"/>
  <c r="B62"/>
  <c r="B61"/>
  <c r="P61" s="1"/>
  <c r="B60"/>
  <c r="P60" s="1"/>
  <c r="B59"/>
  <c r="P59" s="1"/>
  <c r="B58"/>
  <c r="B57"/>
  <c r="P57" s="1"/>
  <c r="B56"/>
  <c r="P56" s="1"/>
  <c r="B55"/>
  <c r="P55" s="1"/>
  <c r="B54"/>
  <c r="B53"/>
  <c r="P53" s="1"/>
  <c r="B52"/>
  <c r="P52" s="1"/>
  <c r="B51"/>
  <c r="P51" s="1"/>
  <c r="B50"/>
  <c r="B49"/>
  <c r="P49" s="1"/>
  <c r="B48"/>
  <c r="P48" s="1"/>
  <c r="B47"/>
  <c r="B46"/>
  <c r="P46" s="1"/>
  <c r="B45"/>
  <c r="P45" s="1"/>
  <c r="B44"/>
  <c r="P44" s="1"/>
  <c r="B43"/>
  <c r="B42"/>
  <c r="P42" s="1"/>
  <c r="B41"/>
  <c r="P41" s="1"/>
  <c r="B40"/>
  <c r="P40" s="1"/>
  <c r="B39"/>
  <c r="B38"/>
  <c r="P38" s="1"/>
  <c r="B37"/>
  <c r="P37" s="1"/>
  <c r="B36"/>
  <c r="P36" s="1"/>
  <c r="B35"/>
  <c r="B34"/>
  <c r="P34" s="1"/>
  <c r="B33"/>
  <c r="P33" s="1"/>
  <c r="B32"/>
  <c r="B31"/>
  <c r="P31" s="1"/>
  <c r="B30"/>
  <c r="P30" s="1"/>
  <c r="P29"/>
  <c r="B29"/>
  <c r="B28"/>
  <c r="B27"/>
  <c r="P27" s="1"/>
  <c r="B26"/>
  <c r="P26" s="1"/>
  <c r="P25"/>
  <c r="B25"/>
  <c r="B24"/>
  <c r="B23"/>
  <c r="P23" s="1"/>
  <c r="B22"/>
  <c r="P22" s="1"/>
  <c r="O21"/>
  <c r="L21"/>
  <c r="I21"/>
  <c r="F21"/>
  <c r="P20"/>
  <c r="B20"/>
  <c r="B19"/>
  <c r="B18"/>
  <c r="B17"/>
  <c r="P17" s="1"/>
  <c r="P16"/>
  <c r="B16"/>
  <c r="O15"/>
  <c r="P15" s="1"/>
  <c r="L15"/>
  <c r="M15" s="1"/>
  <c r="I15"/>
  <c r="J15" s="1"/>
  <c r="F15"/>
  <c r="G15" s="1"/>
  <c r="B15"/>
  <c r="P14"/>
  <c r="M14"/>
  <c r="J14"/>
  <c r="G14"/>
  <c r="D14"/>
  <c r="B14"/>
  <c r="O13"/>
  <c r="P13" s="1"/>
  <c r="L13"/>
  <c r="M13" s="1"/>
  <c r="I13"/>
  <c r="J13" s="1"/>
  <c r="F13"/>
  <c r="G13" s="1"/>
  <c r="B13"/>
  <c r="P12"/>
  <c r="M12"/>
  <c r="J12"/>
  <c r="G12"/>
  <c r="B12"/>
  <c r="R105" i="42"/>
  <c r="F105"/>
  <c r="B105"/>
  <c r="I105" s="1"/>
  <c r="R104"/>
  <c r="O104"/>
  <c r="L104"/>
  <c r="I104"/>
  <c r="F104"/>
  <c r="C104"/>
  <c r="O103"/>
  <c r="I103"/>
  <c r="B103"/>
  <c r="L103" s="1"/>
  <c r="R102"/>
  <c r="F102"/>
  <c r="B102"/>
  <c r="I102" s="1"/>
  <c r="O101"/>
  <c r="I101"/>
  <c r="B101"/>
  <c r="R101" s="1"/>
  <c r="B100"/>
  <c r="O100" s="1"/>
  <c r="O99"/>
  <c r="I99"/>
  <c r="B99"/>
  <c r="L99" s="1"/>
  <c r="R98"/>
  <c r="Q98"/>
  <c r="N98"/>
  <c r="L98"/>
  <c r="K98"/>
  <c r="H98"/>
  <c r="F98"/>
  <c r="E98"/>
  <c r="B98"/>
  <c r="O98" s="1"/>
  <c r="R97"/>
  <c r="O97"/>
  <c r="L97"/>
  <c r="I97"/>
  <c r="F97"/>
  <c r="C97"/>
  <c r="B97"/>
  <c r="O96"/>
  <c r="I96"/>
  <c r="B96"/>
  <c r="R96" s="1"/>
  <c r="B95"/>
  <c r="O95" s="1"/>
  <c r="R94"/>
  <c r="O94"/>
  <c r="L94"/>
  <c r="I94"/>
  <c r="F94"/>
  <c r="C94"/>
  <c r="B94"/>
  <c r="R93"/>
  <c r="F93"/>
  <c r="B93"/>
  <c r="I93" s="1"/>
  <c r="R92"/>
  <c r="O92"/>
  <c r="L92"/>
  <c r="I92"/>
  <c r="F92"/>
  <c r="C92"/>
  <c r="B92"/>
  <c r="B91"/>
  <c r="O91" s="1"/>
  <c r="O90"/>
  <c r="I90"/>
  <c r="B90"/>
  <c r="L90" s="1"/>
  <c r="R89"/>
  <c r="F89"/>
  <c r="B89"/>
  <c r="I89" s="1"/>
  <c r="O88"/>
  <c r="I88"/>
  <c r="B88"/>
  <c r="R88" s="1"/>
  <c r="B87"/>
  <c r="O87" s="1"/>
  <c r="I86"/>
  <c r="B86"/>
  <c r="L86" s="1"/>
  <c r="R85"/>
  <c r="F85"/>
  <c r="B85"/>
  <c r="I85" s="1"/>
  <c r="O84"/>
  <c r="I84"/>
  <c r="B84"/>
  <c r="R84" s="1"/>
  <c r="B83"/>
  <c r="O83" s="1"/>
  <c r="Q82"/>
  <c r="N82"/>
  <c r="K82"/>
  <c r="H82"/>
  <c r="E82"/>
  <c r="Q81"/>
  <c r="N81"/>
  <c r="K81"/>
  <c r="H81"/>
  <c r="E81"/>
  <c r="R80"/>
  <c r="O80"/>
  <c r="L80"/>
  <c r="I80"/>
  <c r="F80"/>
  <c r="B79"/>
  <c r="O79" s="1"/>
  <c r="I78"/>
  <c r="B78"/>
  <c r="L78" s="1"/>
  <c r="R77"/>
  <c r="F77"/>
  <c r="B77"/>
  <c r="I77" s="1"/>
  <c r="O76"/>
  <c r="B76"/>
  <c r="R76" s="1"/>
  <c r="Q75"/>
  <c r="O75"/>
  <c r="N75"/>
  <c r="K75"/>
  <c r="I75"/>
  <c r="H75"/>
  <c r="E75"/>
  <c r="B75"/>
  <c r="R75" s="1"/>
  <c r="Q74"/>
  <c r="O74"/>
  <c r="N74"/>
  <c r="L74"/>
  <c r="K74"/>
  <c r="I74"/>
  <c r="H74"/>
  <c r="F74"/>
  <c r="E74"/>
  <c r="B74"/>
  <c r="R74" s="1"/>
  <c r="R73"/>
  <c r="O73"/>
  <c r="L73"/>
  <c r="I73"/>
  <c r="F73"/>
  <c r="C73"/>
  <c r="R72"/>
  <c r="F72"/>
  <c r="B72"/>
  <c r="I72" s="1"/>
  <c r="R71"/>
  <c r="O71"/>
  <c r="L71"/>
  <c r="I71"/>
  <c r="F71"/>
  <c r="C71"/>
  <c r="O70"/>
  <c r="I70"/>
  <c r="B70"/>
  <c r="L70" s="1"/>
  <c r="R69"/>
  <c r="O69"/>
  <c r="L69"/>
  <c r="I69"/>
  <c r="F69"/>
  <c r="C69"/>
  <c r="B68"/>
  <c r="O68" s="1"/>
  <c r="I67"/>
  <c r="B67"/>
  <c r="L67" s="1"/>
  <c r="R66"/>
  <c r="F66"/>
  <c r="B66"/>
  <c r="I66" s="1"/>
  <c r="O65"/>
  <c r="I65"/>
  <c r="B65"/>
  <c r="R65" s="1"/>
  <c r="B64"/>
  <c r="O64" s="1"/>
  <c r="Q63"/>
  <c r="N63"/>
  <c r="K63"/>
  <c r="H63"/>
  <c r="E63"/>
  <c r="R62"/>
  <c r="O62"/>
  <c r="L62"/>
  <c r="I62"/>
  <c r="F62"/>
  <c r="C62"/>
  <c r="O61"/>
  <c r="B61"/>
  <c r="R61" s="1"/>
  <c r="Q60"/>
  <c r="K60"/>
  <c r="E60"/>
  <c r="R59"/>
  <c r="O59"/>
  <c r="L59"/>
  <c r="I59"/>
  <c r="F59"/>
  <c r="C59"/>
  <c r="R58"/>
  <c r="F58"/>
  <c r="B58"/>
  <c r="I58" s="1"/>
  <c r="O57"/>
  <c r="B57"/>
  <c r="R57" s="1"/>
  <c r="B56"/>
  <c r="O56" s="1"/>
  <c r="I55"/>
  <c r="B55"/>
  <c r="L55" s="1"/>
  <c r="R54"/>
  <c r="F54"/>
  <c r="B54"/>
  <c r="I54" s="1"/>
  <c r="Q53"/>
  <c r="N53"/>
  <c r="K53"/>
  <c r="H53"/>
  <c r="E53"/>
  <c r="R52"/>
  <c r="O52"/>
  <c r="L52"/>
  <c r="I52"/>
  <c r="F52"/>
  <c r="C52"/>
  <c r="I51"/>
  <c r="B51"/>
  <c r="L51" s="1"/>
  <c r="R50"/>
  <c r="O50"/>
  <c r="L50"/>
  <c r="I50"/>
  <c r="F50"/>
  <c r="C50"/>
  <c r="B49"/>
  <c r="O49" s="1"/>
  <c r="I48"/>
  <c r="B48"/>
  <c r="L48" s="1"/>
  <c r="R47"/>
  <c r="F47"/>
  <c r="B47"/>
  <c r="I47" s="1"/>
  <c r="O46"/>
  <c r="B46"/>
  <c r="R46" s="1"/>
  <c r="B45"/>
  <c r="O45" s="1"/>
  <c r="I44"/>
  <c r="B44"/>
  <c r="L44" s="1"/>
  <c r="R43"/>
  <c r="F43"/>
  <c r="B43"/>
  <c r="I43" s="1"/>
  <c r="O42"/>
  <c r="I42"/>
  <c r="F42"/>
  <c r="B42"/>
  <c r="R42" s="1"/>
  <c r="Q41"/>
  <c r="N41"/>
  <c r="K41"/>
  <c r="H41"/>
  <c r="E41"/>
  <c r="R40"/>
  <c r="O40"/>
  <c r="L40"/>
  <c r="I40"/>
  <c r="F40"/>
  <c r="C40"/>
  <c r="R39"/>
  <c r="F39"/>
  <c r="B39"/>
  <c r="I39" s="1"/>
  <c r="R38"/>
  <c r="O38"/>
  <c r="I38"/>
  <c r="F38"/>
  <c r="B38"/>
  <c r="L38" s="1"/>
  <c r="B37"/>
  <c r="O37" s="1"/>
  <c r="I36"/>
  <c r="B36"/>
  <c r="L36" s="1"/>
  <c r="R35"/>
  <c r="Q35"/>
  <c r="N35"/>
  <c r="O35" s="1"/>
  <c r="L35"/>
  <c r="K35"/>
  <c r="H35"/>
  <c r="I35" s="1"/>
  <c r="F35"/>
  <c r="E35"/>
  <c r="B35"/>
  <c r="N34"/>
  <c r="H34"/>
  <c r="R33"/>
  <c r="O33"/>
  <c r="L33"/>
  <c r="I33"/>
  <c r="F33"/>
  <c r="C33"/>
  <c r="B32"/>
  <c r="O32" s="1"/>
  <c r="I31"/>
  <c r="B31"/>
  <c r="L31" s="1"/>
  <c r="R30"/>
  <c r="F30"/>
  <c r="B30"/>
  <c r="I30" s="1"/>
  <c r="O29"/>
  <c r="F29"/>
  <c r="B29"/>
  <c r="R29" s="1"/>
  <c r="B28"/>
  <c r="O28" s="1"/>
  <c r="Q27"/>
  <c r="R27" s="1"/>
  <c r="N27"/>
  <c r="O27" s="1"/>
  <c r="K27"/>
  <c r="H27"/>
  <c r="I27" s="1"/>
  <c r="E27"/>
  <c r="B27"/>
  <c r="Q26"/>
  <c r="R26" s="1"/>
  <c r="N26"/>
  <c r="O26" s="1"/>
  <c r="K26"/>
  <c r="H26"/>
  <c r="I26" s="1"/>
  <c r="E26"/>
  <c r="B26"/>
  <c r="R25"/>
  <c r="O25"/>
  <c r="L25"/>
  <c r="I25"/>
  <c r="F25"/>
  <c r="C25"/>
  <c r="O24"/>
  <c r="B24"/>
  <c r="R24" s="1"/>
  <c r="B23"/>
  <c r="O23" s="1"/>
  <c r="I22"/>
  <c r="B22"/>
  <c r="L22" s="1"/>
  <c r="R21"/>
  <c r="Q21"/>
  <c r="N21"/>
  <c r="O21" s="1"/>
  <c r="L21"/>
  <c r="K21"/>
  <c r="H21"/>
  <c r="I21" s="1"/>
  <c r="F21"/>
  <c r="E21"/>
  <c r="B21"/>
  <c r="R20"/>
  <c r="O20"/>
  <c r="L20"/>
  <c r="I20"/>
  <c r="F20"/>
  <c r="C20"/>
  <c r="B19"/>
  <c r="O19" s="1"/>
  <c r="I18"/>
  <c r="B18"/>
  <c r="L18" s="1"/>
  <c r="R17"/>
  <c r="I17"/>
  <c r="F17"/>
  <c r="B17"/>
  <c r="L17" s="1"/>
  <c r="Q16"/>
  <c r="N16"/>
  <c r="K16"/>
  <c r="H16"/>
  <c r="E16"/>
  <c r="Q15"/>
  <c r="N15"/>
  <c r="K15"/>
  <c r="H15"/>
  <c r="E15"/>
  <c r="R14"/>
  <c r="O14"/>
  <c r="L14"/>
  <c r="I14"/>
  <c r="F14"/>
  <c r="C14"/>
  <c r="R12"/>
  <c r="O12"/>
  <c r="L12"/>
  <c r="I12"/>
  <c r="F12"/>
  <c r="B99" i="41"/>
  <c r="F99" s="1"/>
  <c r="F98"/>
  <c r="B98"/>
  <c r="L98" s="1"/>
  <c r="B97"/>
  <c r="F97" s="1"/>
  <c r="O96"/>
  <c r="I96"/>
  <c r="B96"/>
  <c r="R96" s="1"/>
  <c r="B95"/>
  <c r="L95" s="1"/>
  <c r="B94"/>
  <c r="F94" s="1"/>
  <c r="B93"/>
  <c r="L93" s="1"/>
  <c r="O92"/>
  <c r="I92"/>
  <c r="B92"/>
  <c r="L92" s="1"/>
  <c r="B91"/>
  <c r="R91" s="1"/>
  <c r="O90"/>
  <c r="I90"/>
  <c r="B90"/>
  <c r="R90" s="1"/>
  <c r="O89"/>
  <c r="I89"/>
  <c r="B89"/>
  <c r="L89" s="1"/>
  <c r="O88"/>
  <c r="I88"/>
  <c r="B88"/>
  <c r="F88" s="1"/>
  <c r="R87"/>
  <c r="L87"/>
  <c r="K87"/>
  <c r="I87"/>
  <c r="H87"/>
  <c r="F87"/>
  <c r="E87"/>
  <c r="B87"/>
  <c r="O87" s="1"/>
  <c r="R86"/>
  <c r="O86"/>
  <c r="L86"/>
  <c r="I86"/>
  <c r="F86"/>
  <c r="C86"/>
  <c r="B86"/>
  <c r="K85"/>
  <c r="L85" s="1"/>
  <c r="H85"/>
  <c r="I85" s="1"/>
  <c r="E85"/>
  <c r="F85" s="1"/>
  <c r="B85"/>
  <c r="O85" s="1"/>
  <c r="R84"/>
  <c r="O84"/>
  <c r="L84"/>
  <c r="I84"/>
  <c r="F84"/>
  <c r="C84"/>
  <c r="B84"/>
  <c r="B83"/>
  <c r="R83" s="1"/>
  <c r="O82"/>
  <c r="I82"/>
  <c r="B82"/>
  <c r="R82" s="1"/>
  <c r="B81"/>
  <c r="L81" s="1"/>
  <c r="O80"/>
  <c r="N80"/>
  <c r="L80"/>
  <c r="K80"/>
  <c r="I80"/>
  <c r="H80"/>
  <c r="F80"/>
  <c r="E80"/>
  <c r="B80"/>
  <c r="R80" s="1"/>
  <c r="R79"/>
  <c r="O79"/>
  <c r="L79"/>
  <c r="I79"/>
  <c r="F79"/>
  <c r="C79"/>
  <c r="B79"/>
  <c r="O78"/>
  <c r="I78"/>
  <c r="F78"/>
  <c r="B78"/>
  <c r="R78" s="1"/>
  <c r="B77"/>
  <c r="L77" s="1"/>
  <c r="O76"/>
  <c r="I76"/>
  <c r="B76"/>
  <c r="L76" s="1"/>
  <c r="B75"/>
  <c r="R75" s="1"/>
  <c r="O74"/>
  <c r="I74"/>
  <c r="B74"/>
  <c r="R74" s="1"/>
  <c r="B73"/>
  <c r="L73" s="1"/>
  <c r="O72"/>
  <c r="I72"/>
  <c r="B72"/>
  <c r="L72" s="1"/>
  <c r="B71"/>
  <c r="R71" s="1"/>
  <c r="O70"/>
  <c r="I70"/>
  <c r="B70"/>
  <c r="R70" s="1"/>
  <c r="B69"/>
  <c r="L69" s="1"/>
  <c r="O68"/>
  <c r="I68"/>
  <c r="B68"/>
  <c r="L68" s="1"/>
  <c r="B67"/>
  <c r="R67" s="1"/>
  <c r="O66"/>
  <c r="I66"/>
  <c r="B66"/>
  <c r="R66" s="1"/>
  <c r="O65"/>
  <c r="I65"/>
  <c r="B65"/>
  <c r="L65" s="1"/>
  <c r="B64"/>
  <c r="R64" s="1"/>
  <c r="O63"/>
  <c r="I63"/>
  <c r="B63"/>
  <c r="R63" s="1"/>
  <c r="B62"/>
  <c r="L62" s="1"/>
  <c r="O61"/>
  <c r="I61"/>
  <c r="B61"/>
  <c r="L61" s="1"/>
  <c r="B60"/>
  <c r="R60" s="1"/>
  <c r="O59"/>
  <c r="I59"/>
  <c r="B59"/>
  <c r="R59" s="1"/>
  <c r="B58"/>
  <c r="L58" s="1"/>
  <c r="O57"/>
  <c r="I57"/>
  <c r="B57"/>
  <c r="L57" s="1"/>
  <c r="B56"/>
  <c r="R56" s="1"/>
  <c r="O55"/>
  <c r="I55"/>
  <c r="B55"/>
  <c r="R55" s="1"/>
  <c r="B54"/>
  <c r="L54" s="1"/>
  <c r="O53"/>
  <c r="I53"/>
  <c r="B53"/>
  <c r="L53" s="1"/>
  <c r="B52"/>
  <c r="R52" s="1"/>
  <c r="O51"/>
  <c r="I51"/>
  <c r="B51"/>
  <c r="R51" s="1"/>
  <c r="B50"/>
  <c r="L50" s="1"/>
  <c r="O49"/>
  <c r="I49"/>
  <c r="B49"/>
  <c r="L49" s="1"/>
  <c r="B48"/>
  <c r="R48" s="1"/>
  <c r="O47"/>
  <c r="I47"/>
  <c r="B47"/>
  <c r="R47" s="1"/>
  <c r="B46"/>
  <c r="L46" s="1"/>
  <c r="O45"/>
  <c r="I45"/>
  <c r="B45"/>
  <c r="L45" s="1"/>
  <c r="B44"/>
  <c r="R44" s="1"/>
  <c r="O43"/>
  <c r="I43"/>
  <c r="B43"/>
  <c r="R43" s="1"/>
  <c r="B42"/>
  <c r="L42" s="1"/>
  <c r="O41"/>
  <c r="I41"/>
  <c r="B41"/>
  <c r="L41" s="1"/>
  <c r="B40"/>
  <c r="R40" s="1"/>
  <c r="O39"/>
  <c r="I39"/>
  <c r="B39"/>
  <c r="R39" s="1"/>
  <c r="B38"/>
  <c r="L38" s="1"/>
  <c r="O37"/>
  <c r="I37"/>
  <c r="B37"/>
  <c r="L37" s="1"/>
  <c r="B36"/>
  <c r="R36" s="1"/>
  <c r="O35"/>
  <c r="I35"/>
  <c r="B35"/>
  <c r="R35" s="1"/>
  <c r="B34"/>
  <c r="L34" s="1"/>
  <c r="O33"/>
  <c r="I33"/>
  <c r="B33"/>
  <c r="L33" s="1"/>
  <c r="B32"/>
  <c r="R32" s="1"/>
  <c r="O31"/>
  <c r="I31"/>
  <c r="B31"/>
  <c r="R31" s="1"/>
  <c r="B30"/>
  <c r="L30" s="1"/>
  <c r="O29"/>
  <c r="I29"/>
  <c r="B29"/>
  <c r="L29" s="1"/>
  <c r="B28"/>
  <c r="R28" s="1"/>
  <c r="O27"/>
  <c r="I27"/>
  <c r="B27"/>
  <c r="R27" s="1"/>
  <c r="B26"/>
  <c r="L26" s="1"/>
  <c r="O25"/>
  <c r="I25"/>
  <c r="B25"/>
  <c r="L25" s="1"/>
  <c r="B24"/>
  <c r="R24" s="1"/>
  <c r="O23"/>
  <c r="I23"/>
  <c r="B23"/>
  <c r="R23" s="1"/>
  <c r="B22"/>
  <c r="L22" s="1"/>
  <c r="Q21"/>
  <c r="N21"/>
  <c r="O21" s="1"/>
  <c r="K21"/>
  <c r="L21" s="1"/>
  <c r="H21"/>
  <c r="I21" s="1"/>
  <c r="E21"/>
  <c r="B21" s="1"/>
  <c r="R20"/>
  <c r="O20"/>
  <c r="L20"/>
  <c r="I20"/>
  <c r="F20"/>
  <c r="C20"/>
  <c r="B20"/>
  <c r="O19"/>
  <c r="I19"/>
  <c r="B19"/>
  <c r="F19" s="1"/>
  <c r="F18"/>
  <c r="B18"/>
  <c r="L18" s="1"/>
  <c r="O17"/>
  <c r="I17"/>
  <c r="B17"/>
  <c r="L17" s="1"/>
  <c r="B16"/>
  <c r="R16" s="1"/>
  <c r="Q15"/>
  <c r="R15" s="1"/>
  <c r="N15"/>
  <c r="O15" s="1"/>
  <c r="K15"/>
  <c r="L15" s="1"/>
  <c r="H15"/>
  <c r="I15" s="1"/>
  <c r="E15"/>
  <c r="F15" s="1"/>
  <c r="B15"/>
  <c r="R14"/>
  <c r="O14"/>
  <c r="L14"/>
  <c r="I14"/>
  <c r="F14"/>
  <c r="C14"/>
  <c r="B14"/>
  <c r="R12"/>
  <c r="C12"/>
  <c r="B12"/>
  <c r="Q11"/>
  <c r="O105" i="39"/>
  <c r="I105"/>
  <c r="B105"/>
  <c r="L105" s="1"/>
  <c r="R104"/>
  <c r="O104"/>
  <c r="L104"/>
  <c r="I104"/>
  <c r="F104"/>
  <c r="C104"/>
  <c r="B103"/>
  <c r="L103" s="1"/>
  <c r="O102"/>
  <c r="I102"/>
  <c r="B102"/>
  <c r="L102" s="1"/>
  <c r="B101"/>
  <c r="R101" s="1"/>
  <c r="O100"/>
  <c r="I100"/>
  <c r="B100"/>
  <c r="R100" s="1"/>
  <c r="B99"/>
  <c r="L99" s="1"/>
  <c r="Q98"/>
  <c r="N98"/>
  <c r="O98" s="1"/>
  <c r="K98"/>
  <c r="H98"/>
  <c r="I98" s="1"/>
  <c r="E98"/>
  <c r="B98" s="1"/>
  <c r="R97"/>
  <c r="O97"/>
  <c r="L97"/>
  <c r="I97"/>
  <c r="F97"/>
  <c r="C97"/>
  <c r="F96"/>
  <c r="B96"/>
  <c r="L96" s="1"/>
  <c r="O95"/>
  <c r="I95"/>
  <c r="B95"/>
  <c r="L95" s="1"/>
  <c r="R94"/>
  <c r="O94"/>
  <c r="L94"/>
  <c r="I94"/>
  <c r="F94"/>
  <c r="C94"/>
  <c r="B93"/>
  <c r="L93" s="1"/>
  <c r="R92"/>
  <c r="O92"/>
  <c r="L92"/>
  <c r="I92"/>
  <c r="F92"/>
  <c r="C92"/>
  <c r="O91"/>
  <c r="I91"/>
  <c r="B91"/>
  <c r="R91" s="1"/>
  <c r="B90"/>
  <c r="L90" s="1"/>
  <c r="O89"/>
  <c r="I89"/>
  <c r="B89"/>
  <c r="L89" s="1"/>
  <c r="B88"/>
  <c r="R88" s="1"/>
  <c r="O87"/>
  <c r="I87"/>
  <c r="B87"/>
  <c r="R87" s="1"/>
  <c r="B86"/>
  <c r="L86" s="1"/>
  <c r="O85"/>
  <c r="I85"/>
  <c r="B85"/>
  <c r="L85" s="1"/>
  <c r="B84"/>
  <c r="R84" s="1"/>
  <c r="O83"/>
  <c r="I83"/>
  <c r="B83"/>
  <c r="R83" s="1"/>
  <c r="R82"/>
  <c r="Q82"/>
  <c r="O82"/>
  <c r="N82"/>
  <c r="L82"/>
  <c r="K82"/>
  <c r="I82"/>
  <c r="H82"/>
  <c r="F82"/>
  <c r="E82"/>
  <c r="B82"/>
  <c r="R81"/>
  <c r="Q81"/>
  <c r="O81"/>
  <c r="N81"/>
  <c r="L81"/>
  <c r="K81"/>
  <c r="I81"/>
  <c r="H81"/>
  <c r="F81"/>
  <c r="E81"/>
  <c r="B81"/>
  <c r="R80"/>
  <c r="O80"/>
  <c r="L80"/>
  <c r="I80"/>
  <c r="F80"/>
  <c r="C80"/>
  <c r="B79"/>
  <c r="R79" s="1"/>
  <c r="O78"/>
  <c r="I78"/>
  <c r="B78"/>
  <c r="R78" s="1"/>
  <c r="B77"/>
  <c r="L77" s="1"/>
  <c r="O76"/>
  <c r="I76"/>
  <c r="F76"/>
  <c r="B76"/>
  <c r="L76" s="1"/>
  <c r="Q75"/>
  <c r="N75"/>
  <c r="K75"/>
  <c r="H75"/>
  <c r="E75"/>
  <c r="B75" s="1"/>
  <c r="Q74"/>
  <c r="N74"/>
  <c r="K74"/>
  <c r="H74"/>
  <c r="E74"/>
  <c r="B74" s="1"/>
  <c r="R73"/>
  <c r="O73"/>
  <c r="L73"/>
  <c r="I73"/>
  <c r="F73"/>
  <c r="C73"/>
  <c r="B72"/>
  <c r="L72" s="1"/>
  <c r="R71"/>
  <c r="O71"/>
  <c r="L71"/>
  <c r="I71"/>
  <c r="F71"/>
  <c r="C71"/>
  <c r="O70"/>
  <c r="I70"/>
  <c r="B70"/>
  <c r="R70" s="1"/>
  <c r="R69"/>
  <c r="O69"/>
  <c r="L69"/>
  <c r="I69"/>
  <c r="F69"/>
  <c r="C69"/>
  <c r="B68"/>
  <c r="R68" s="1"/>
  <c r="O67"/>
  <c r="I67"/>
  <c r="B67"/>
  <c r="R67" s="1"/>
  <c r="B66"/>
  <c r="L66" s="1"/>
  <c r="O65"/>
  <c r="I65"/>
  <c r="B65"/>
  <c r="L65" s="1"/>
  <c r="B64"/>
  <c r="R64" s="1"/>
  <c r="Q63"/>
  <c r="N63"/>
  <c r="N60" s="1"/>
  <c r="K63"/>
  <c r="H63"/>
  <c r="H60" s="1"/>
  <c r="E63"/>
  <c r="R62"/>
  <c r="O62"/>
  <c r="L62"/>
  <c r="I62"/>
  <c r="F62"/>
  <c r="C62"/>
  <c r="O61"/>
  <c r="I61"/>
  <c r="B61"/>
  <c r="L61" s="1"/>
  <c r="R59"/>
  <c r="O59"/>
  <c r="L59"/>
  <c r="I59"/>
  <c r="F59"/>
  <c r="C59"/>
  <c r="B58"/>
  <c r="L58" s="1"/>
  <c r="O57"/>
  <c r="I57"/>
  <c r="B57"/>
  <c r="L57" s="1"/>
  <c r="B56"/>
  <c r="R56" s="1"/>
  <c r="O55"/>
  <c r="I55"/>
  <c r="B55"/>
  <c r="R55" s="1"/>
  <c r="B54"/>
  <c r="L54" s="1"/>
  <c r="Q53"/>
  <c r="R53" s="1"/>
  <c r="N53"/>
  <c r="O53" s="1"/>
  <c r="K53"/>
  <c r="L53" s="1"/>
  <c r="H53"/>
  <c r="I53" s="1"/>
  <c r="E53"/>
  <c r="F53" s="1"/>
  <c r="B53"/>
  <c r="R52"/>
  <c r="O52"/>
  <c r="L52"/>
  <c r="I52"/>
  <c r="F52"/>
  <c r="C52"/>
  <c r="O51"/>
  <c r="I51"/>
  <c r="B51"/>
  <c r="R51" s="1"/>
  <c r="R50"/>
  <c r="O50"/>
  <c r="L50"/>
  <c r="I50"/>
  <c r="F50"/>
  <c r="C50"/>
  <c r="B49"/>
  <c r="R49" s="1"/>
  <c r="O48"/>
  <c r="I48"/>
  <c r="B48"/>
  <c r="R48" s="1"/>
  <c r="B47"/>
  <c r="L47" s="1"/>
  <c r="O46"/>
  <c r="I46"/>
  <c r="B46"/>
  <c r="L46" s="1"/>
  <c r="B45"/>
  <c r="R45" s="1"/>
  <c r="O44"/>
  <c r="I44"/>
  <c r="B44"/>
  <c r="R44" s="1"/>
  <c r="O43"/>
  <c r="I43"/>
  <c r="B43"/>
  <c r="L43" s="1"/>
  <c r="B42"/>
  <c r="R42" s="1"/>
  <c r="Q41"/>
  <c r="R41" s="1"/>
  <c r="N41"/>
  <c r="O41" s="1"/>
  <c r="K41"/>
  <c r="L41" s="1"/>
  <c r="H41"/>
  <c r="I41" s="1"/>
  <c r="E41"/>
  <c r="F41" s="1"/>
  <c r="B41"/>
  <c r="R40"/>
  <c r="O40"/>
  <c r="L40"/>
  <c r="I40"/>
  <c r="F40"/>
  <c r="C40"/>
  <c r="O39"/>
  <c r="I39"/>
  <c r="B39"/>
  <c r="L39" s="1"/>
  <c r="B38"/>
  <c r="R38" s="1"/>
  <c r="O37"/>
  <c r="I37"/>
  <c r="B37"/>
  <c r="R37" s="1"/>
  <c r="B36"/>
  <c r="L36" s="1"/>
  <c r="Q35"/>
  <c r="N35"/>
  <c r="O35" s="1"/>
  <c r="K35"/>
  <c r="H35"/>
  <c r="I35" s="1"/>
  <c r="E35"/>
  <c r="B35" s="1"/>
  <c r="Q34"/>
  <c r="N34"/>
  <c r="K34"/>
  <c r="H34"/>
  <c r="E34"/>
  <c r="R33"/>
  <c r="O33"/>
  <c r="L33"/>
  <c r="I33"/>
  <c r="F33"/>
  <c r="C33"/>
  <c r="O32"/>
  <c r="I32"/>
  <c r="B32"/>
  <c r="R32" s="1"/>
  <c r="B31"/>
  <c r="L31" s="1"/>
  <c r="O30"/>
  <c r="I30"/>
  <c r="B30"/>
  <c r="L30" s="1"/>
  <c r="B29"/>
  <c r="R29" s="1"/>
  <c r="O28"/>
  <c r="I28"/>
  <c r="B28"/>
  <c r="R28" s="1"/>
  <c r="R27"/>
  <c r="Q27"/>
  <c r="O27"/>
  <c r="N27"/>
  <c r="L27"/>
  <c r="K27"/>
  <c r="I27"/>
  <c r="H27"/>
  <c r="F27"/>
  <c r="E27"/>
  <c r="B27"/>
  <c r="R26"/>
  <c r="Q26"/>
  <c r="O26"/>
  <c r="N26"/>
  <c r="L26"/>
  <c r="K26"/>
  <c r="I26"/>
  <c r="H26"/>
  <c r="F26"/>
  <c r="E26"/>
  <c r="B26"/>
  <c r="R25"/>
  <c r="O25"/>
  <c r="L25"/>
  <c r="I25"/>
  <c r="F25"/>
  <c r="C25"/>
  <c r="B24"/>
  <c r="R24" s="1"/>
  <c r="O23"/>
  <c r="I23"/>
  <c r="B23"/>
  <c r="R23" s="1"/>
  <c r="B22"/>
  <c r="L22" s="1"/>
  <c r="Q21"/>
  <c r="N21"/>
  <c r="O21" s="1"/>
  <c r="K21"/>
  <c r="H21"/>
  <c r="I21" s="1"/>
  <c r="E21"/>
  <c r="B21" s="1"/>
  <c r="R20"/>
  <c r="O20"/>
  <c r="L20"/>
  <c r="I20"/>
  <c r="F20"/>
  <c r="C20"/>
  <c r="O19"/>
  <c r="I19"/>
  <c r="B19"/>
  <c r="R19" s="1"/>
  <c r="B18"/>
  <c r="L18" s="1"/>
  <c r="O17"/>
  <c r="I17"/>
  <c r="B17"/>
  <c r="L17" s="1"/>
  <c r="R16"/>
  <c r="Q16"/>
  <c r="O16"/>
  <c r="N16"/>
  <c r="L16"/>
  <c r="K16"/>
  <c r="I16"/>
  <c r="H16"/>
  <c r="F16"/>
  <c r="E16"/>
  <c r="B16"/>
  <c r="Q15"/>
  <c r="N15"/>
  <c r="K15"/>
  <c r="H15"/>
  <c r="E15"/>
  <c r="R14"/>
  <c r="O14"/>
  <c r="L14"/>
  <c r="I14"/>
  <c r="F14"/>
  <c r="C14"/>
  <c r="R12"/>
  <c r="O12"/>
  <c r="L12"/>
  <c r="I12"/>
  <c r="F12"/>
  <c r="C12"/>
  <c r="L26" i="37"/>
  <c r="O25"/>
  <c r="I25"/>
  <c r="B25"/>
  <c r="L25" s="1"/>
  <c r="O24"/>
  <c r="L24"/>
  <c r="I24"/>
  <c r="F24"/>
  <c r="C24"/>
  <c r="B24"/>
  <c r="O23"/>
  <c r="I23"/>
  <c r="B23"/>
  <c r="L23" s="1"/>
  <c r="O22"/>
  <c r="L22"/>
  <c r="I22"/>
  <c r="F22"/>
  <c r="C22"/>
  <c r="B22"/>
  <c r="O21"/>
  <c r="I21"/>
  <c r="B21"/>
  <c r="L21" s="1"/>
  <c r="O20"/>
  <c r="L20"/>
  <c r="I20"/>
  <c r="F20"/>
  <c r="C20"/>
  <c r="B20"/>
  <c r="O19"/>
  <c r="I19"/>
  <c r="B19"/>
  <c r="L19" s="1"/>
  <c r="O18"/>
  <c r="L18"/>
  <c r="I18"/>
  <c r="F18"/>
  <c r="C18"/>
  <c r="B18"/>
  <c r="O17"/>
  <c r="I17"/>
  <c r="C17"/>
  <c r="B17"/>
  <c r="L17" s="1"/>
  <c r="O16"/>
  <c r="L16"/>
  <c r="I16"/>
  <c r="F16"/>
  <c r="C16"/>
  <c r="B16"/>
  <c r="O15"/>
  <c r="I15"/>
  <c r="C15"/>
  <c r="B15"/>
  <c r="L15" s="1"/>
  <c r="O14"/>
  <c r="L14"/>
  <c r="I14"/>
  <c r="F14"/>
  <c r="C14"/>
  <c r="B14"/>
  <c r="O13"/>
  <c r="I13"/>
  <c r="C13"/>
  <c r="B13"/>
  <c r="L13" s="1"/>
  <c r="O12"/>
  <c r="L12"/>
  <c r="I12"/>
  <c r="F12"/>
  <c r="C12"/>
  <c r="B12"/>
  <c r="O11"/>
  <c r="N11"/>
  <c r="L11"/>
  <c r="K11"/>
  <c r="I11"/>
  <c r="H11"/>
  <c r="F11"/>
  <c r="E11"/>
  <c r="B11"/>
  <c r="C25" s="1"/>
  <c r="L101" i="35"/>
  <c r="B101"/>
  <c r="B100"/>
  <c r="F100" s="1"/>
  <c r="F99"/>
  <c r="B99"/>
  <c r="I99" s="1"/>
  <c r="I98"/>
  <c r="F98"/>
  <c r="B98"/>
  <c r="L98" s="1"/>
  <c r="B97"/>
  <c r="K96"/>
  <c r="H96"/>
  <c r="I96" s="1"/>
  <c r="E96"/>
  <c r="B96"/>
  <c r="L95"/>
  <c r="I95"/>
  <c r="F95"/>
  <c r="C95"/>
  <c r="B95"/>
  <c r="F94"/>
  <c r="B94"/>
  <c r="I94" s="1"/>
  <c r="I93"/>
  <c r="B93"/>
  <c r="L93" s="1"/>
  <c r="L92"/>
  <c r="I92"/>
  <c r="F92"/>
  <c r="C92"/>
  <c r="B92"/>
  <c r="B91"/>
  <c r="F91" s="1"/>
  <c r="L90"/>
  <c r="I90"/>
  <c r="F90"/>
  <c r="C90"/>
  <c r="B90"/>
  <c r="I89"/>
  <c r="B89"/>
  <c r="L89" s="1"/>
  <c r="L88"/>
  <c r="I88"/>
  <c r="F88"/>
  <c r="C88"/>
  <c r="B88"/>
  <c r="B87"/>
  <c r="F87" s="1"/>
  <c r="L86"/>
  <c r="I86"/>
  <c r="F86"/>
  <c r="C86"/>
  <c r="B86"/>
  <c r="I85"/>
  <c r="F85"/>
  <c r="B85"/>
  <c r="L85" s="1"/>
  <c r="B84"/>
  <c r="B83"/>
  <c r="F83" s="1"/>
  <c r="F82"/>
  <c r="B82"/>
  <c r="I82" s="1"/>
  <c r="I81"/>
  <c r="F81"/>
  <c r="B81"/>
  <c r="L81" s="1"/>
  <c r="K80"/>
  <c r="H80"/>
  <c r="I80" s="1"/>
  <c r="E80"/>
  <c r="B80" s="1"/>
  <c r="K79"/>
  <c r="H79"/>
  <c r="E79"/>
  <c r="B79" s="1"/>
  <c r="L78"/>
  <c r="I78"/>
  <c r="F78"/>
  <c r="C78"/>
  <c r="B78"/>
  <c r="B77"/>
  <c r="F77" s="1"/>
  <c r="F76"/>
  <c r="B76"/>
  <c r="I76" s="1"/>
  <c r="I75"/>
  <c r="F75"/>
  <c r="B75"/>
  <c r="L75" s="1"/>
  <c r="B74"/>
  <c r="K73"/>
  <c r="H73"/>
  <c r="I73" s="1"/>
  <c r="E73"/>
  <c r="B73"/>
  <c r="K72"/>
  <c r="H72"/>
  <c r="I72" s="1"/>
  <c r="E72"/>
  <c r="B72"/>
  <c r="L71"/>
  <c r="I71"/>
  <c r="F71"/>
  <c r="C71"/>
  <c r="B71"/>
  <c r="F70"/>
  <c r="B70"/>
  <c r="I70" s="1"/>
  <c r="I69"/>
  <c r="F69"/>
  <c r="B69"/>
  <c r="L69" s="1"/>
  <c r="B68"/>
  <c r="B67"/>
  <c r="F67" s="1"/>
  <c r="F66"/>
  <c r="B66"/>
  <c r="I66" s="1"/>
  <c r="I65"/>
  <c r="F65"/>
  <c r="B65"/>
  <c r="L65" s="1"/>
  <c r="B64"/>
  <c r="B63"/>
  <c r="F63" s="1"/>
  <c r="F62"/>
  <c r="B62"/>
  <c r="I62" s="1"/>
  <c r="K61"/>
  <c r="H61"/>
  <c r="E61"/>
  <c r="K60"/>
  <c r="H60"/>
  <c r="E60"/>
  <c r="L59"/>
  <c r="I59"/>
  <c r="F59"/>
  <c r="C59"/>
  <c r="B59"/>
  <c r="L58"/>
  <c r="B58"/>
  <c r="B57"/>
  <c r="F57" s="1"/>
  <c r="F56"/>
  <c r="B56"/>
  <c r="I56" s="1"/>
  <c r="I55"/>
  <c r="F55"/>
  <c r="B55"/>
  <c r="L55" s="1"/>
  <c r="B54"/>
  <c r="B53"/>
  <c r="F53" s="1"/>
  <c r="F52"/>
  <c r="B52"/>
  <c r="I52" s="1"/>
  <c r="I51"/>
  <c r="F51"/>
  <c r="B51"/>
  <c r="L51" s="1"/>
  <c r="K50"/>
  <c r="H50"/>
  <c r="E50"/>
  <c r="B50" s="1"/>
  <c r="L49"/>
  <c r="I49"/>
  <c r="F49"/>
  <c r="C49"/>
  <c r="B49"/>
  <c r="B48"/>
  <c r="F48" s="1"/>
  <c r="F47"/>
  <c r="B47"/>
  <c r="I47" s="1"/>
  <c r="I46"/>
  <c r="B46"/>
  <c r="L46" s="1"/>
  <c r="B45"/>
  <c r="K44"/>
  <c r="H44"/>
  <c r="E44"/>
  <c r="L43"/>
  <c r="I43"/>
  <c r="F43"/>
  <c r="C43"/>
  <c r="B43"/>
  <c r="F42"/>
  <c r="B42"/>
  <c r="I42" s="1"/>
  <c r="I41"/>
  <c r="B41"/>
  <c r="L41" s="1"/>
  <c r="B40"/>
  <c r="B39"/>
  <c r="F39" s="1"/>
  <c r="F38"/>
  <c r="B38"/>
  <c r="I38" s="1"/>
  <c r="K37"/>
  <c r="H37"/>
  <c r="E37"/>
  <c r="L36"/>
  <c r="I36"/>
  <c r="F36"/>
  <c r="C36"/>
  <c r="B36"/>
  <c r="B35"/>
  <c r="H34"/>
  <c r="L33"/>
  <c r="I33"/>
  <c r="F33"/>
  <c r="C33"/>
  <c r="B33"/>
  <c r="F32"/>
  <c r="B32"/>
  <c r="I32" s="1"/>
  <c r="I31"/>
  <c r="B31"/>
  <c r="L31" s="1"/>
  <c r="B30"/>
  <c r="B29"/>
  <c r="F29" s="1"/>
  <c r="F28"/>
  <c r="B28"/>
  <c r="I28" s="1"/>
  <c r="K27"/>
  <c r="H27"/>
  <c r="E27"/>
  <c r="K26"/>
  <c r="H26"/>
  <c r="E26"/>
  <c r="L25"/>
  <c r="I25"/>
  <c r="F25"/>
  <c r="C25"/>
  <c r="B25"/>
  <c r="B24"/>
  <c r="B23"/>
  <c r="F23" s="1"/>
  <c r="F22"/>
  <c r="B22"/>
  <c r="I22" s="1"/>
  <c r="K21"/>
  <c r="H21"/>
  <c r="E21"/>
  <c r="L20"/>
  <c r="I20"/>
  <c r="F20"/>
  <c r="C20"/>
  <c r="B20"/>
  <c r="B19"/>
  <c r="B18"/>
  <c r="F18" s="1"/>
  <c r="F17"/>
  <c r="B17"/>
  <c r="I17" s="1"/>
  <c r="K16"/>
  <c r="H16"/>
  <c r="E16"/>
  <c r="K15"/>
  <c r="H15"/>
  <c r="E15"/>
  <c r="L14"/>
  <c r="I14"/>
  <c r="F14"/>
  <c r="C14"/>
  <c r="B14"/>
  <c r="L12"/>
  <c r="I12"/>
  <c r="F12"/>
  <c r="C12"/>
  <c r="B12"/>
  <c r="C113" i="33"/>
  <c r="G113" s="1"/>
  <c r="J112"/>
  <c r="G112"/>
  <c r="C112"/>
  <c r="M112" s="1"/>
  <c r="M111"/>
  <c r="G111"/>
  <c r="F111"/>
  <c r="C111"/>
  <c r="J111" s="1"/>
  <c r="D111" s="1"/>
  <c r="F110"/>
  <c r="C110" s="1"/>
  <c r="M109"/>
  <c r="G109"/>
  <c r="F109"/>
  <c r="C109"/>
  <c r="J109" s="1"/>
  <c r="D109" s="1"/>
  <c r="M108"/>
  <c r="J108"/>
  <c r="G108"/>
  <c r="D108"/>
  <c r="C108"/>
  <c r="L107"/>
  <c r="I107"/>
  <c r="F107"/>
  <c r="M106"/>
  <c r="J106"/>
  <c r="G106"/>
  <c r="D106"/>
  <c r="C106"/>
  <c r="M105"/>
  <c r="G105"/>
  <c r="F105"/>
  <c r="C105"/>
  <c r="J105" s="1"/>
  <c r="D105" s="1"/>
  <c r="M104"/>
  <c r="D104"/>
  <c r="C104"/>
  <c r="F103"/>
  <c r="F102"/>
  <c r="G102" s="1"/>
  <c r="C102"/>
  <c r="J102" s="1"/>
  <c r="J101"/>
  <c r="C101"/>
  <c r="M101" s="1"/>
  <c r="F100"/>
  <c r="C100" s="1"/>
  <c r="M99"/>
  <c r="G99"/>
  <c r="F99"/>
  <c r="C99"/>
  <c r="J99" s="1"/>
  <c r="D99" s="1"/>
  <c r="G98"/>
  <c r="C98"/>
  <c r="J98" s="1"/>
  <c r="F97"/>
  <c r="G97" s="1"/>
  <c r="C97"/>
  <c r="J97" s="1"/>
  <c r="J96"/>
  <c r="C96"/>
  <c r="M96" s="1"/>
  <c r="G95"/>
  <c r="C95"/>
  <c r="J95" s="1"/>
  <c r="L94"/>
  <c r="I94"/>
  <c r="F94"/>
  <c r="L93"/>
  <c r="I93"/>
  <c r="F93"/>
  <c r="M92"/>
  <c r="D92"/>
  <c r="C92"/>
  <c r="G91"/>
  <c r="C91"/>
  <c r="J91" s="1"/>
  <c r="F90"/>
  <c r="G90" s="1"/>
  <c r="C90"/>
  <c r="J90" s="1"/>
  <c r="F89"/>
  <c r="F88"/>
  <c r="G88" s="1"/>
  <c r="C88"/>
  <c r="J88" s="1"/>
  <c r="L87"/>
  <c r="I87"/>
  <c r="L86"/>
  <c r="I86"/>
  <c r="M85"/>
  <c r="J85"/>
  <c r="G85"/>
  <c r="D85"/>
  <c r="C85"/>
  <c r="F84"/>
  <c r="C84" s="1"/>
  <c r="M83"/>
  <c r="J83"/>
  <c r="G83"/>
  <c r="D83"/>
  <c r="C83"/>
  <c r="F82"/>
  <c r="M81"/>
  <c r="J81"/>
  <c r="G81"/>
  <c r="D81"/>
  <c r="C81"/>
  <c r="C80"/>
  <c r="J80" s="1"/>
  <c r="J79"/>
  <c r="C79"/>
  <c r="M79" s="1"/>
  <c r="G78"/>
  <c r="C78"/>
  <c r="J78" s="1"/>
  <c r="J77"/>
  <c r="G77"/>
  <c r="C77"/>
  <c r="M77" s="1"/>
  <c r="C76"/>
  <c r="J76" s="1"/>
  <c r="L75"/>
  <c r="M75" s="1"/>
  <c r="I75"/>
  <c r="J75" s="1"/>
  <c r="F75"/>
  <c r="G75" s="1"/>
  <c r="C75"/>
  <c r="M74"/>
  <c r="J74"/>
  <c r="G74"/>
  <c r="D74"/>
  <c r="C74"/>
  <c r="F73"/>
  <c r="C73" s="1"/>
  <c r="L72"/>
  <c r="I72"/>
  <c r="F72"/>
  <c r="C72" s="1"/>
  <c r="M71"/>
  <c r="J71"/>
  <c r="G71"/>
  <c r="D71"/>
  <c r="C71"/>
  <c r="L70"/>
  <c r="I70"/>
  <c r="M69"/>
  <c r="J69"/>
  <c r="G69"/>
  <c r="D69"/>
  <c r="C69"/>
  <c r="F68"/>
  <c r="C68" s="1"/>
  <c r="M67"/>
  <c r="G67"/>
  <c r="F67"/>
  <c r="C67"/>
  <c r="J67" s="1"/>
  <c r="D67" s="1"/>
  <c r="F66"/>
  <c r="C66" s="1"/>
  <c r="M65"/>
  <c r="G65"/>
  <c r="F65"/>
  <c r="C65"/>
  <c r="J65" s="1"/>
  <c r="D65" s="1"/>
  <c r="F64"/>
  <c r="C64" s="1"/>
  <c r="L63"/>
  <c r="I63"/>
  <c r="F63"/>
  <c r="C63" s="1"/>
  <c r="M62"/>
  <c r="J62"/>
  <c r="G62"/>
  <c r="D62"/>
  <c r="C62"/>
  <c r="F61"/>
  <c r="F59"/>
  <c r="G59" s="1"/>
  <c r="C59"/>
  <c r="J59" s="1"/>
  <c r="F58"/>
  <c r="F57"/>
  <c r="G57" s="1"/>
  <c r="C57"/>
  <c r="J57" s="1"/>
  <c r="F56"/>
  <c r="F55"/>
  <c r="G55" s="1"/>
  <c r="C55"/>
  <c r="J55" s="1"/>
  <c r="J54"/>
  <c r="C54"/>
  <c r="M54" s="1"/>
  <c r="F53"/>
  <c r="C53" s="1"/>
  <c r="M52"/>
  <c r="G52"/>
  <c r="F52"/>
  <c r="C52"/>
  <c r="J52" s="1"/>
  <c r="D52" s="1"/>
  <c r="L51"/>
  <c r="I51"/>
  <c r="M50"/>
  <c r="J50"/>
  <c r="G50"/>
  <c r="D50"/>
  <c r="C50"/>
  <c r="F49"/>
  <c r="G49" s="1"/>
  <c r="C49"/>
  <c r="J49" s="1"/>
  <c r="F48"/>
  <c r="F47"/>
  <c r="G47" s="1"/>
  <c r="C47"/>
  <c r="J47" s="1"/>
  <c r="F46"/>
  <c r="L45"/>
  <c r="I45"/>
  <c r="F45"/>
  <c r="L44"/>
  <c r="I44"/>
  <c r="M43"/>
  <c r="J43"/>
  <c r="G43"/>
  <c r="D43"/>
  <c r="C43"/>
  <c r="M42"/>
  <c r="G42"/>
  <c r="F42"/>
  <c r="C42"/>
  <c r="J42" s="1"/>
  <c r="D42" s="1"/>
  <c r="G41"/>
  <c r="C41"/>
  <c r="J41" s="1"/>
  <c r="F40"/>
  <c r="G40" s="1"/>
  <c r="C40"/>
  <c r="J40" s="1"/>
  <c r="F39"/>
  <c r="F38"/>
  <c r="G38" s="1"/>
  <c r="C38"/>
  <c r="J38" s="1"/>
  <c r="L37"/>
  <c r="I37"/>
  <c r="L36"/>
  <c r="I36"/>
  <c r="M35"/>
  <c r="J35"/>
  <c r="G35"/>
  <c r="D35"/>
  <c r="C35"/>
  <c r="F34"/>
  <c r="C34" s="1"/>
  <c r="C33"/>
  <c r="J33" s="1"/>
  <c r="J32"/>
  <c r="C32"/>
  <c r="M32" s="1"/>
  <c r="L31"/>
  <c r="I31"/>
  <c r="M30"/>
  <c r="J30"/>
  <c r="G30"/>
  <c r="D30"/>
  <c r="C30"/>
  <c r="J29"/>
  <c r="D29" s="1"/>
  <c r="G29"/>
  <c r="C29"/>
  <c r="M29" s="1"/>
  <c r="M28"/>
  <c r="G28"/>
  <c r="F28"/>
  <c r="C28"/>
  <c r="J28" s="1"/>
  <c r="D28" s="1"/>
  <c r="F27"/>
  <c r="C27" s="1"/>
  <c r="L26"/>
  <c r="I26"/>
  <c r="F26"/>
  <c r="C26" s="1"/>
  <c r="M25"/>
  <c r="J25"/>
  <c r="G25"/>
  <c r="D25"/>
  <c r="C25"/>
  <c r="L24"/>
  <c r="I24"/>
  <c r="M23"/>
  <c r="J23"/>
  <c r="G23"/>
  <c r="D23"/>
  <c r="C23"/>
  <c r="G22"/>
  <c r="C22"/>
  <c r="J22" s="1"/>
  <c r="F21"/>
  <c r="G21" s="1"/>
  <c r="C21"/>
  <c r="J21" s="1"/>
  <c r="F20"/>
  <c r="J19"/>
  <c r="G19"/>
  <c r="C19"/>
  <c r="M19" s="1"/>
  <c r="C18"/>
  <c r="J18" s="1"/>
  <c r="M17"/>
  <c r="J17"/>
  <c r="G17"/>
  <c r="D17"/>
  <c r="C17"/>
  <c r="L16"/>
  <c r="I16"/>
  <c r="M15"/>
  <c r="J15"/>
  <c r="G15"/>
  <c r="D15"/>
  <c r="C15"/>
  <c r="L14"/>
  <c r="L12" s="1"/>
  <c r="M13"/>
  <c r="J13"/>
  <c r="G13"/>
  <c r="D13"/>
  <c r="C13"/>
  <c r="B13" i="50" l="1"/>
  <c r="K11"/>
  <c r="F25"/>
  <c r="O29"/>
  <c r="O13"/>
  <c r="M16" i="47"/>
  <c r="J16"/>
  <c r="G16"/>
  <c r="J14"/>
  <c r="P14"/>
  <c r="G14"/>
  <c r="M14"/>
  <c r="G81"/>
  <c r="D24" i="64"/>
  <c r="D31"/>
  <c r="D42"/>
  <c r="D50"/>
  <c r="D63"/>
  <c r="D67"/>
  <c r="D71"/>
  <c r="D78"/>
  <c r="D89"/>
  <c r="D21"/>
  <c r="D56"/>
  <c r="D79"/>
  <c r="J87"/>
  <c r="M87"/>
  <c r="G87"/>
  <c r="D87" s="1"/>
  <c r="J14"/>
  <c r="D49"/>
  <c r="D58"/>
  <c r="D29"/>
  <c r="D48"/>
  <c r="G14"/>
  <c r="D14" s="1"/>
  <c r="M14"/>
  <c r="M19"/>
  <c r="D19" s="1"/>
  <c r="M23"/>
  <c r="D23" s="1"/>
  <c r="M27"/>
  <c r="M31"/>
  <c r="M37"/>
  <c r="D37" s="1"/>
  <c r="M41"/>
  <c r="D41" s="1"/>
  <c r="M45"/>
  <c r="D45" s="1"/>
  <c r="M49"/>
  <c r="M53"/>
  <c r="M57"/>
  <c r="D57" s="1"/>
  <c r="M61"/>
  <c r="M65"/>
  <c r="M69"/>
  <c r="M73"/>
  <c r="D73" s="1"/>
  <c r="M77"/>
  <c r="M86"/>
  <c r="M89"/>
  <c r="M18"/>
  <c r="M22"/>
  <c r="J23"/>
  <c r="M26"/>
  <c r="J27"/>
  <c r="D27" s="1"/>
  <c r="M30"/>
  <c r="D30" s="1"/>
  <c r="J31"/>
  <c r="M36"/>
  <c r="M40"/>
  <c r="M44"/>
  <c r="M48"/>
  <c r="J49"/>
  <c r="M52"/>
  <c r="J53"/>
  <c r="D53" s="1"/>
  <c r="M56"/>
  <c r="J57"/>
  <c r="M60"/>
  <c r="J61"/>
  <c r="D61" s="1"/>
  <c r="M64"/>
  <c r="J65"/>
  <c r="D65" s="1"/>
  <c r="M68"/>
  <c r="D68" s="1"/>
  <c r="J69"/>
  <c r="D69" s="1"/>
  <c r="M72"/>
  <c r="J73"/>
  <c r="M76"/>
  <c r="J77"/>
  <c r="D77" s="1"/>
  <c r="M80"/>
  <c r="M85"/>
  <c r="J86"/>
  <c r="D86" s="1"/>
  <c r="M88"/>
  <c r="J89"/>
  <c r="C16"/>
  <c r="J16" s="1"/>
  <c r="J18"/>
  <c r="D18" s="1"/>
  <c r="M21"/>
  <c r="J22"/>
  <c r="D22" s="1"/>
  <c r="M25"/>
  <c r="D25" s="1"/>
  <c r="J26"/>
  <c r="D26" s="1"/>
  <c r="M29"/>
  <c r="J30"/>
  <c r="C33"/>
  <c r="J33" s="1"/>
  <c r="M35"/>
  <c r="D35" s="1"/>
  <c r="J36"/>
  <c r="D36" s="1"/>
  <c r="J40"/>
  <c r="D40" s="1"/>
  <c r="J44"/>
  <c r="D44" s="1"/>
  <c r="M47"/>
  <c r="D47" s="1"/>
  <c r="J48"/>
  <c r="M51"/>
  <c r="D51" s="1"/>
  <c r="J52"/>
  <c r="D52" s="1"/>
  <c r="M55"/>
  <c r="D55" s="1"/>
  <c r="J56"/>
  <c r="M59"/>
  <c r="D59" s="1"/>
  <c r="J60"/>
  <c r="D60" s="1"/>
  <c r="J64"/>
  <c r="D64" s="1"/>
  <c r="J68"/>
  <c r="J72"/>
  <c r="D72" s="1"/>
  <c r="M75"/>
  <c r="D75" s="1"/>
  <c r="J76"/>
  <c r="D76" s="1"/>
  <c r="M79"/>
  <c r="J80"/>
  <c r="D80" s="1"/>
  <c r="J85"/>
  <c r="D85" s="1"/>
  <c r="J88"/>
  <c r="D88" s="1"/>
  <c r="F84"/>
  <c r="E11" i="51"/>
  <c r="Q11"/>
  <c r="O27"/>
  <c r="O29"/>
  <c r="O31"/>
  <c r="O33"/>
  <c r="O35"/>
  <c r="B25"/>
  <c r="I25" s="1"/>
  <c r="O25"/>
  <c r="I27"/>
  <c r="I29"/>
  <c r="I31"/>
  <c r="I33"/>
  <c r="I35"/>
  <c r="K11"/>
  <c r="I13" i="50"/>
  <c r="L13"/>
  <c r="F13"/>
  <c r="H11"/>
  <c r="I15"/>
  <c r="F17"/>
  <c r="O19"/>
  <c r="I29"/>
  <c r="I19"/>
  <c r="O27"/>
  <c r="O15"/>
  <c r="I27"/>
  <c r="C26" i="61"/>
  <c r="C30"/>
  <c r="I12"/>
  <c r="J16"/>
  <c r="C16" s="1"/>
  <c r="J18"/>
  <c r="C18" s="1"/>
  <c r="J20"/>
  <c r="C20" s="1"/>
  <c r="J22"/>
  <c r="C22" s="1"/>
  <c r="J24"/>
  <c r="C24" s="1"/>
  <c r="J26"/>
  <c r="J28"/>
  <c r="C28" s="1"/>
  <c r="J30"/>
  <c r="J32"/>
  <c r="C32" s="1"/>
  <c r="J34"/>
  <c r="C34" s="1"/>
  <c r="F12"/>
  <c r="I23" i="58"/>
  <c r="I24"/>
  <c r="I25"/>
  <c r="I26"/>
  <c r="I27"/>
  <c r="I28"/>
  <c r="I29"/>
  <c r="I30"/>
  <c r="I31"/>
  <c r="I32"/>
  <c r="I33"/>
  <c r="I34"/>
  <c r="I35"/>
  <c r="I36"/>
  <c r="I37"/>
  <c r="I38"/>
  <c r="I39"/>
  <c r="I40"/>
  <c r="I41"/>
  <c r="I42"/>
  <c r="I43"/>
  <c r="F71"/>
  <c r="F72"/>
  <c r="F73"/>
  <c r="H11"/>
  <c r="B11" s="1"/>
  <c r="B22"/>
  <c r="F22" s="1"/>
  <c r="F23"/>
  <c r="F24"/>
  <c r="F25"/>
  <c r="F26"/>
  <c r="F27"/>
  <c r="F28"/>
  <c r="F29"/>
  <c r="F30"/>
  <c r="F31"/>
  <c r="F32"/>
  <c r="F33"/>
  <c r="F34"/>
  <c r="F35"/>
  <c r="F36"/>
  <c r="F37"/>
  <c r="F38"/>
  <c r="F39"/>
  <c r="F40"/>
  <c r="F41"/>
  <c r="F42"/>
  <c r="F43"/>
  <c r="F44"/>
  <c r="I76"/>
  <c r="B15" i="55"/>
  <c r="F15" s="1"/>
  <c r="E13"/>
  <c r="H15"/>
  <c r="F21"/>
  <c r="I36"/>
  <c r="I37"/>
  <c r="I38"/>
  <c r="I39"/>
  <c r="I51"/>
  <c r="F60"/>
  <c r="I72"/>
  <c r="I97"/>
  <c r="I98"/>
  <c r="I99"/>
  <c r="I100"/>
  <c r="I101"/>
  <c r="B35"/>
  <c r="I35" s="1"/>
  <c r="F36"/>
  <c r="F37"/>
  <c r="F38"/>
  <c r="F39"/>
  <c r="F51"/>
  <c r="F72"/>
  <c r="F99"/>
  <c r="F100"/>
  <c r="F101"/>
  <c r="I22"/>
  <c r="I23"/>
  <c r="I24"/>
  <c r="I61"/>
  <c r="I84"/>
  <c r="I87"/>
  <c r="I88"/>
  <c r="I89"/>
  <c r="I90"/>
  <c r="I94"/>
  <c r="I60" i="53"/>
  <c r="F60"/>
  <c r="M60"/>
  <c r="M22"/>
  <c r="M36"/>
  <c r="M51"/>
  <c r="M97"/>
  <c r="M101"/>
  <c r="F17"/>
  <c r="M19"/>
  <c r="I22"/>
  <c r="F23"/>
  <c r="M28"/>
  <c r="I29"/>
  <c r="F30"/>
  <c r="M32"/>
  <c r="I36"/>
  <c r="F37"/>
  <c r="M39"/>
  <c r="I42"/>
  <c r="F43"/>
  <c r="M45"/>
  <c r="I46"/>
  <c r="F47"/>
  <c r="M49"/>
  <c r="I51"/>
  <c r="F54"/>
  <c r="M56"/>
  <c r="I57"/>
  <c r="F58"/>
  <c r="F64"/>
  <c r="M66"/>
  <c r="I67"/>
  <c r="M72"/>
  <c r="I76"/>
  <c r="F77"/>
  <c r="M79"/>
  <c r="M83"/>
  <c r="I84"/>
  <c r="F85"/>
  <c r="M87"/>
  <c r="I88"/>
  <c r="F89"/>
  <c r="M91"/>
  <c r="M94"/>
  <c r="I97"/>
  <c r="F98"/>
  <c r="M100"/>
  <c r="I101"/>
  <c r="B34"/>
  <c r="F34" s="1"/>
  <c r="M46"/>
  <c r="M57"/>
  <c r="M88"/>
  <c r="M18"/>
  <c r="F22"/>
  <c r="M24"/>
  <c r="F29"/>
  <c r="M31"/>
  <c r="F36"/>
  <c r="M38"/>
  <c r="I39"/>
  <c r="F42"/>
  <c r="M44"/>
  <c r="I45"/>
  <c r="F46"/>
  <c r="M48"/>
  <c r="I49"/>
  <c r="F51"/>
  <c r="M55"/>
  <c r="I56"/>
  <c r="F57"/>
  <c r="M65"/>
  <c r="I66"/>
  <c r="F67"/>
  <c r="M70"/>
  <c r="I72"/>
  <c r="F76"/>
  <c r="M78"/>
  <c r="F84"/>
  <c r="M86"/>
  <c r="F88"/>
  <c r="M90"/>
  <c r="M93"/>
  <c r="F97"/>
  <c r="M99"/>
  <c r="I100"/>
  <c r="F101"/>
  <c r="M29"/>
  <c r="B41"/>
  <c r="I41" s="1"/>
  <c r="M42"/>
  <c r="M67"/>
  <c r="M76"/>
  <c r="M84"/>
  <c r="H15"/>
  <c r="B13" i="52"/>
  <c r="F15"/>
  <c r="R15"/>
  <c r="O17"/>
  <c r="L19"/>
  <c r="I21"/>
  <c r="F23"/>
  <c r="R23"/>
  <c r="I27"/>
  <c r="F29"/>
  <c r="R29"/>
  <c r="O31"/>
  <c r="L33"/>
  <c r="F35"/>
  <c r="R35"/>
  <c r="B11"/>
  <c r="R11" s="1"/>
  <c r="L17"/>
  <c r="F21"/>
  <c r="R21"/>
  <c r="F27"/>
  <c r="R27"/>
  <c r="L31"/>
  <c r="I17"/>
  <c r="F19"/>
  <c r="O21"/>
  <c r="C27"/>
  <c r="O27"/>
  <c r="I31"/>
  <c r="F33"/>
  <c r="F17"/>
  <c r="F31"/>
  <c r="H11" i="51"/>
  <c r="N11"/>
  <c r="B13"/>
  <c r="I15"/>
  <c r="I17"/>
  <c r="I19"/>
  <c r="I21"/>
  <c r="I23"/>
  <c r="F25"/>
  <c r="L25"/>
  <c r="R25"/>
  <c r="F27"/>
  <c r="R27"/>
  <c r="F29"/>
  <c r="R29"/>
  <c r="F31"/>
  <c r="R31"/>
  <c r="F33"/>
  <c r="R33"/>
  <c r="F35"/>
  <c r="R35"/>
  <c r="F15"/>
  <c r="R15"/>
  <c r="F17"/>
  <c r="R17"/>
  <c r="F19"/>
  <c r="R19"/>
  <c r="F21"/>
  <c r="R21"/>
  <c r="F23"/>
  <c r="R23"/>
  <c r="O15"/>
  <c r="O17"/>
  <c r="O19"/>
  <c r="O21"/>
  <c r="O23"/>
  <c r="L15" i="50"/>
  <c r="I17"/>
  <c r="F19"/>
  <c r="O21"/>
  <c r="B23"/>
  <c r="I25"/>
  <c r="F27"/>
  <c r="F29"/>
  <c r="L21"/>
  <c r="O17"/>
  <c r="I21"/>
  <c r="O25"/>
  <c r="R11" i="49"/>
  <c r="C25"/>
  <c r="L11"/>
  <c r="B11"/>
  <c r="H11"/>
  <c r="I11" s="1"/>
  <c r="N11"/>
  <c r="O11" s="1"/>
  <c r="I15"/>
  <c r="I17"/>
  <c r="I19"/>
  <c r="I21"/>
  <c r="I23"/>
  <c r="F25"/>
  <c r="L25"/>
  <c r="R25"/>
  <c r="F27"/>
  <c r="R27"/>
  <c r="F29"/>
  <c r="R29"/>
  <c r="F31"/>
  <c r="R31"/>
  <c r="F33"/>
  <c r="R33"/>
  <c r="F35"/>
  <c r="R35"/>
  <c r="F15"/>
  <c r="R15"/>
  <c r="F17"/>
  <c r="R17"/>
  <c r="F19"/>
  <c r="R19"/>
  <c r="F21"/>
  <c r="R21"/>
  <c r="F23"/>
  <c r="R23"/>
  <c r="C15"/>
  <c r="O15"/>
  <c r="C17"/>
  <c r="O17"/>
  <c r="C19"/>
  <c r="O19"/>
  <c r="C21"/>
  <c r="O21"/>
  <c r="C23"/>
  <c r="O23"/>
  <c r="S22" i="47"/>
  <c r="M22"/>
  <c r="G22"/>
  <c r="P22"/>
  <c r="J22"/>
  <c r="M17"/>
  <c r="P18"/>
  <c r="J19"/>
  <c r="M20"/>
  <c r="G23"/>
  <c r="S23"/>
  <c r="J24"/>
  <c r="M25"/>
  <c r="P26"/>
  <c r="G27"/>
  <c r="S27"/>
  <c r="J28"/>
  <c r="M29"/>
  <c r="P30"/>
  <c r="G31"/>
  <c r="S31"/>
  <c r="J32"/>
  <c r="M33"/>
  <c r="P34"/>
  <c r="G35"/>
  <c r="S35"/>
  <c r="J36"/>
  <c r="M37"/>
  <c r="P38"/>
  <c r="G39"/>
  <c r="S39"/>
  <c r="J40"/>
  <c r="M41"/>
  <c r="P42"/>
  <c r="G43"/>
  <c r="S43"/>
  <c r="J44"/>
  <c r="M45"/>
  <c r="P46"/>
  <c r="G47"/>
  <c r="S47"/>
  <c r="J48"/>
  <c r="P49"/>
  <c r="G50"/>
  <c r="J51"/>
  <c r="M52"/>
  <c r="P53"/>
  <c r="G54"/>
  <c r="S54"/>
  <c r="J55"/>
  <c r="M56"/>
  <c r="P57"/>
  <c r="G58"/>
  <c r="S58"/>
  <c r="J59"/>
  <c r="M60"/>
  <c r="P61"/>
  <c r="G62"/>
  <c r="S62"/>
  <c r="J63"/>
  <c r="M64"/>
  <c r="P65"/>
  <c r="G66"/>
  <c r="S66"/>
  <c r="J67"/>
  <c r="M68"/>
  <c r="P69"/>
  <c r="G70"/>
  <c r="S70"/>
  <c r="J71"/>
  <c r="M72"/>
  <c r="P73"/>
  <c r="G74"/>
  <c r="S74"/>
  <c r="J75"/>
  <c r="M76"/>
  <c r="P77"/>
  <c r="G78"/>
  <c r="S78"/>
  <c r="J79"/>
  <c r="F86"/>
  <c r="L86"/>
  <c r="R86"/>
  <c r="G88"/>
  <c r="M18"/>
  <c r="G24"/>
  <c r="S24"/>
  <c r="M26"/>
  <c r="G28"/>
  <c r="S28"/>
  <c r="M30"/>
  <c r="G32"/>
  <c r="S32"/>
  <c r="M34"/>
  <c r="G36"/>
  <c r="S36"/>
  <c r="M38"/>
  <c r="G40"/>
  <c r="S40"/>
  <c r="M42"/>
  <c r="S44"/>
  <c r="M46"/>
  <c r="G48"/>
  <c r="M49"/>
  <c r="S51"/>
  <c r="M53"/>
  <c r="G55"/>
  <c r="S55"/>
  <c r="M57"/>
  <c r="G59"/>
  <c r="S59"/>
  <c r="M61"/>
  <c r="G63"/>
  <c r="S63"/>
  <c r="M65"/>
  <c r="G67"/>
  <c r="S67"/>
  <c r="M69"/>
  <c r="S71"/>
  <c r="M73"/>
  <c r="S75"/>
  <c r="M77"/>
  <c r="G79"/>
  <c r="S79"/>
  <c r="G89"/>
  <c r="G90"/>
  <c r="G91"/>
  <c r="G92"/>
  <c r="G17"/>
  <c r="J18"/>
  <c r="G20"/>
  <c r="P24"/>
  <c r="G25"/>
  <c r="J26"/>
  <c r="P28"/>
  <c r="G29"/>
  <c r="J30"/>
  <c r="P32"/>
  <c r="G33"/>
  <c r="J34"/>
  <c r="P36"/>
  <c r="J38"/>
  <c r="P40"/>
  <c r="G41"/>
  <c r="J42"/>
  <c r="P44"/>
  <c r="G45"/>
  <c r="J46"/>
  <c r="P48"/>
  <c r="J49"/>
  <c r="P51"/>
  <c r="G52"/>
  <c r="J53"/>
  <c r="P55"/>
  <c r="G56"/>
  <c r="J57"/>
  <c r="P59"/>
  <c r="J61"/>
  <c r="P63"/>
  <c r="G64"/>
  <c r="J65"/>
  <c r="P67"/>
  <c r="G68"/>
  <c r="J69"/>
  <c r="P71"/>
  <c r="G72"/>
  <c r="J73"/>
  <c r="P75"/>
  <c r="G76"/>
  <c r="J77"/>
  <c r="P79"/>
  <c r="I86"/>
  <c r="O86"/>
  <c r="G18"/>
  <c r="G26"/>
  <c r="G30"/>
  <c r="G34"/>
  <c r="G38"/>
  <c r="G42"/>
  <c r="G46"/>
  <c r="G49"/>
  <c r="G53"/>
  <c r="G57"/>
  <c r="G61"/>
  <c r="G65"/>
  <c r="G69"/>
  <c r="G73"/>
  <c r="G77"/>
  <c r="R61" i="46"/>
  <c r="F76"/>
  <c r="R76"/>
  <c r="O64"/>
  <c r="I64"/>
  <c r="R64"/>
  <c r="L64"/>
  <c r="F64"/>
  <c r="B61"/>
  <c r="O61" s="1"/>
  <c r="L61"/>
  <c r="R17"/>
  <c r="L17"/>
  <c r="F17"/>
  <c r="B16"/>
  <c r="O17"/>
  <c r="I17"/>
  <c r="L76"/>
  <c r="E16"/>
  <c r="K16"/>
  <c r="Q16"/>
  <c r="F18"/>
  <c r="R18"/>
  <c r="I19"/>
  <c r="L20"/>
  <c r="I23"/>
  <c r="L24"/>
  <c r="O25"/>
  <c r="L29"/>
  <c r="O30"/>
  <c r="R31"/>
  <c r="I32"/>
  <c r="L33"/>
  <c r="I37"/>
  <c r="L38"/>
  <c r="O39"/>
  <c r="F40"/>
  <c r="R40"/>
  <c r="O43"/>
  <c r="F44"/>
  <c r="R44"/>
  <c r="I45"/>
  <c r="L46"/>
  <c r="O47"/>
  <c r="F48"/>
  <c r="R48"/>
  <c r="I49"/>
  <c r="L50"/>
  <c r="I52"/>
  <c r="F55"/>
  <c r="R55"/>
  <c r="I56"/>
  <c r="L57"/>
  <c r="O58"/>
  <c r="F59"/>
  <c r="R59"/>
  <c r="O62"/>
  <c r="L65"/>
  <c r="O66"/>
  <c r="F67"/>
  <c r="R67"/>
  <c r="I68"/>
  <c r="L69"/>
  <c r="I71"/>
  <c r="F73"/>
  <c r="R73"/>
  <c r="O77"/>
  <c r="F78"/>
  <c r="R78"/>
  <c r="I79"/>
  <c r="L80"/>
  <c r="I84"/>
  <c r="L85"/>
  <c r="O86"/>
  <c r="F87"/>
  <c r="R87"/>
  <c r="I88"/>
  <c r="L89"/>
  <c r="O90"/>
  <c r="F91"/>
  <c r="R91"/>
  <c r="I92"/>
  <c r="F94"/>
  <c r="R94"/>
  <c r="L96"/>
  <c r="O97"/>
  <c r="I100"/>
  <c r="L101"/>
  <c r="O102"/>
  <c r="F103"/>
  <c r="R103"/>
  <c r="I104"/>
  <c r="F106"/>
  <c r="R106"/>
  <c r="F19"/>
  <c r="R19"/>
  <c r="F23"/>
  <c r="R23"/>
  <c r="L25"/>
  <c r="L30"/>
  <c r="F32"/>
  <c r="R32"/>
  <c r="E35"/>
  <c r="K35"/>
  <c r="Q35"/>
  <c r="F37"/>
  <c r="R37"/>
  <c r="L39"/>
  <c r="B42"/>
  <c r="L43"/>
  <c r="F45"/>
  <c r="R45"/>
  <c r="L47"/>
  <c r="F49"/>
  <c r="R49"/>
  <c r="F52"/>
  <c r="R52"/>
  <c r="F56"/>
  <c r="R56"/>
  <c r="L58"/>
  <c r="L62"/>
  <c r="L66"/>
  <c r="F68"/>
  <c r="R68"/>
  <c r="F71"/>
  <c r="R71"/>
  <c r="B76"/>
  <c r="L77"/>
  <c r="F79"/>
  <c r="R79"/>
  <c r="F84"/>
  <c r="R84"/>
  <c r="L86"/>
  <c r="F88"/>
  <c r="R88"/>
  <c r="L90"/>
  <c r="F92"/>
  <c r="R92"/>
  <c r="L97"/>
  <c r="F100"/>
  <c r="R100"/>
  <c r="L102"/>
  <c r="F104"/>
  <c r="R104"/>
  <c r="H16"/>
  <c r="N16"/>
  <c r="O19"/>
  <c r="F20"/>
  <c r="O23"/>
  <c r="F24"/>
  <c r="F29"/>
  <c r="O32"/>
  <c r="F33"/>
  <c r="O37"/>
  <c r="F38"/>
  <c r="O45"/>
  <c r="F46"/>
  <c r="O49"/>
  <c r="F50"/>
  <c r="O52"/>
  <c r="O56"/>
  <c r="F57"/>
  <c r="F65"/>
  <c r="O68"/>
  <c r="F69"/>
  <c r="O71"/>
  <c r="O79"/>
  <c r="F80"/>
  <c r="O84"/>
  <c r="F85"/>
  <c r="O88"/>
  <c r="F89"/>
  <c r="O92"/>
  <c r="O100"/>
  <c r="F101"/>
  <c r="O104"/>
  <c r="S22" i="45"/>
  <c r="G22"/>
  <c r="M22"/>
  <c r="J22"/>
  <c r="P22"/>
  <c r="M24"/>
  <c r="M36"/>
  <c r="M67"/>
  <c r="M93"/>
  <c r="G17"/>
  <c r="S17"/>
  <c r="J18"/>
  <c r="P19"/>
  <c r="J20"/>
  <c r="G23"/>
  <c r="S23"/>
  <c r="J24"/>
  <c r="M25"/>
  <c r="P26"/>
  <c r="G27"/>
  <c r="S27"/>
  <c r="J28"/>
  <c r="M29"/>
  <c r="P30"/>
  <c r="G31"/>
  <c r="S31"/>
  <c r="J32"/>
  <c r="M33"/>
  <c r="G35"/>
  <c r="S35"/>
  <c r="J36"/>
  <c r="M37"/>
  <c r="G39"/>
  <c r="S39"/>
  <c r="J40"/>
  <c r="M41"/>
  <c r="G43"/>
  <c r="S43"/>
  <c r="J44"/>
  <c r="M45"/>
  <c r="G47"/>
  <c r="S47"/>
  <c r="J48"/>
  <c r="M49"/>
  <c r="S50"/>
  <c r="J51"/>
  <c r="M52"/>
  <c r="S54"/>
  <c r="J55"/>
  <c r="M56"/>
  <c r="S58"/>
  <c r="J59"/>
  <c r="M60"/>
  <c r="P61"/>
  <c r="G62"/>
  <c r="S62"/>
  <c r="J63"/>
  <c r="M64"/>
  <c r="P65"/>
  <c r="G66"/>
  <c r="S66"/>
  <c r="J67"/>
  <c r="M68"/>
  <c r="P69"/>
  <c r="G70"/>
  <c r="S70"/>
  <c r="J71"/>
  <c r="M72"/>
  <c r="P73"/>
  <c r="G74"/>
  <c r="S74"/>
  <c r="J75"/>
  <c r="M76"/>
  <c r="P77"/>
  <c r="G78"/>
  <c r="S78"/>
  <c r="J79"/>
  <c r="P82"/>
  <c r="G83"/>
  <c r="S83"/>
  <c r="J84"/>
  <c r="J89"/>
  <c r="M90"/>
  <c r="P91"/>
  <c r="G92"/>
  <c r="S92"/>
  <c r="J93"/>
  <c r="M94"/>
  <c r="G95"/>
  <c r="M96"/>
  <c r="G97"/>
  <c r="M98"/>
  <c r="M100"/>
  <c r="M18"/>
  <c r="M32"/>
  <c r="M40"/>
  <c r="M44"/>
  <c r="M51"/>
  <c r="M59"/>
  <c r="M75"/>
  <c r="M84"/>
  <c r="B14"/>
  <c r="S14" s="1"/>
  <c r="O14"/>
  <c r="P17"/>
  <c r="G18"/>
  <c r="S18"/>
  <c r="M19"/>
  <c r="G20"/>
  <c r="S20"/>
  <c r="P23"/>
  <c r="G24"/>
  <c r="S24"/>
  <c r="J25"/>
  <c r="M26"/>
  <c r="P27"/>
  <c r="G28"/>
  <c r="S28"/>
  <c r="J29"/>
  <c r="M30"/>
  <c r="P31"/>
  <c r="G32"/>
  <c r="S32"/>
  <c r="J33"/>
  <c r="P35"/>
  <c r="G36"/>
  <c r="S36"/>
  <c r="J37"/>
  <c r="P39"/>
  <c r="G40"/>
  <c r="S40"/>
  <c r="J41"/>
  <c r="P43"/>
  <c r="G44"/>
  <c r="S44"/>
  <c r="J45"/>
  <c r="P47"/>
  <c r="G48"/>
  <c r="S48"/>
  <c r="J49"/>
  <c r="P50"/>
  <c r="G51"/>
  <c r="S51"/>
  <c r="J52"/>
  <c r="P54"/>
  <c r="G55"/>
  <c r="S55"/>
  <c r="J56"/>
  <c r="P58"/>
  <c r="G59"/>
  <c r="S59"/>
  <c r="J60"/>
  <c r="M61"/>
  <c r="P62"/>
  <c r="G63"/>
  <c r="S63"/>
  <c r="J64"/>
  <c r="M65"/>
  <c r="P66"/>
  <c r="G67"/>
  <c r="S67"/>
  <c r="J68"/>
  <c r="M69"/>
  <c r="P70"/>
  <c r="G71"/>
  <c r="S71"/>
  <c r="J72"/>
  <c r="M73"/>
  <c r="P74"/>
  <c r="G75"/>
  <c r="S75"/>
  <c r="J76"/>
  <c r="M77"/>
  <c r="P78"/>
  <c r="G79"/>
  <c r="S79"/>
  <c r="B81"/>
  <c r="G81" s="1"/>
  <c r="M82"/>
  <c r="P83"/>
  <c r="G84"/>
  <c r="S84"/>
  <c r="B86"/>
  <c r="G86" s="1"/>
  <c r="G89"/>
  <c r="S89"/>
  <c r="J90"/>
  <c r="M91"/>
  <c r="P92"/>
  <c r="G93"/>
  <c r="S93"/>
  <c r="J94"/>
  <c r="P95"/>
  <c r="J96"/>
  <c r="P97"/>
  <c r="J98"/>
  <c r="P99"/>
  <c r="J100"/>
  <c r="M20"/>
  <c r="M28"/>
  <c r="M48"/>
  <c r="M55"/>
  <c r="M63"/>
  <c r="M71"/>
  <c r="M79"/>
  <c r="M89"/>
  <c r="F12"/>
  <c r="L12"/>
  <c r="R12"/>
  <c r="G25"/>
  <c r="G29"/>
  <c r="G33"/>
  <c r="G37"/>
  <c r="G41"/>
  <c r="G45"/>
  <c r="G52"/>
  <c r="G56"/>
  <c r="G60"/>
  <c r="G64"/>
  <c r="G68"/>
  <c r="G72"/>
  <c r="G76"/>
  <c r="B88"/>
  <c r="G90"/>
  <c r="L22" i="44"/>
  <c r="R28"/>
  <c r="L28"/>
  <c r="F28"/>
  <c r="B27"/>
  <c r="I28"/>
  <c r="F36"/>
  <c r="R36"/>
  <c r="F22"/>
  <c r="F17"/>
  <c r="L17"/>
  <c r="R17"/>
  <c r="I18"/>
  <c r="L19"/>
  <c r="O20"/>
  <c r="B22"/>
  <c r="L23"/>
  <c r="O24"/>
  <c r="F25"/>
  <c r="R25"/>
  <c r="O29"/>
  <c r="F30"/>
  <c r="R30"/>
  <c r="I31"/>
  <c r="L32"/>
  <c r="O33"/>
  <c r="H35"/>
  <c r="H14" s="1"/>
  <c r="N35"/>
  <c r="N14" s="1"/>
  <c r="B36"/>
  <c r="L37"/>
  <c r="O38"/>
  <c r="F39"/>
  <c r="R39"/>
  <c r="I40"/>
  <c r="F43"/>
  <c r="R43"/>
  <c r="I44"/>
  <c r="L45"/>
  <c r="O46"/>
  <c r="F47"/>
  <c r="R47"/>
  <c r="I48"/>
  <c r="L49"/>
  <c r="O50"/>
  <c r="L52"/>
  <c r="F54"/>
  <c r="L54"/>
  <c r="R54"/>
  <c r="I55"/>
  <c r="L56"/>
  <c r="O57"/>
  <c r="F58"/>
  <c r="R58"/>
  <c r="I59"/>
  <c r="E61"/>
  <c r="K61"/>
  <c r="Q61"/>
  <c r="F62"/>
  <c r="R62"/>
  <c r="O65"/>
  <c r="F66"/>
  <c r="R66"/>
  <c r="I67"/>
  <c r="L68"/>
  <c r="O69"/>
  <c r="L71"/>
  <c r="I73"/>
  <c r="F77"/>
  <c r="R77"/>
  <c r="I78"/>
  <c r="L79"/>
  <c r="O80"/>
  <c r="B83"/>
  <c r="R83" s="1"/>
  <c r="L84"/>
  <c r="O85"/>
  <c r="F86"/>
  <c r="R86"/>
  <c r="I87"/>
  <c r="L88"/>
  <c r="O89"/>
  <c r="F90"/>
  <c r="R90"/>
  <c r="I91"/>
  <c r="L92"/>
  <c r="I94"/>
  <c r="O96"/>
  <c r="F97"/>
  <c r="R97"/>
  <c r="B99"/>
  <c r="R99" s="1"/>
  <c r="L100"/>
  <c r="O101"/>
  <c r="F102"/>
  <c r="R102"/>
  <c r="I103"/>
  <c r="L104"/>
  <c r="F106"/>
  <c r="R106"/>
  <c r="E16"/>
  <c r="K16"/>
  <c r="Q16"/>
  <c r="F18"/>
  <c r="R18"/>
  <c r="O25"/>
  <c r="O30"/>
  <c r="F31"/>
  <c r="R31"/>
  <c r="O39"/>
  <c r="F40"/>
  <c r="R40"/>
  <c r="O43"/>
  <c r="F44"/>
  <c r="R44"/>
  <c r="O47"/>
  <c r="F48"/>
  <c r="R48"/>
  <c r="F55"/>
  <c r="R55"/>
  <c r="O58"/>
  <c r="F59"/>
  <c r="R59"/>
  <c r="O62"/>
  <c r="B64"/>
  <c r="O66"/>
  <c r="F67"/>
  <c r="R67"/>
  <c r="F73"/>
  <c r="R73"/>
  <c r="O77"/>
  <c r="F78"/>
  <c r="R78"/>
  <c r="O86"/>
  <c r="F87"/>
  <c r="R87"/>
  <c r="O90"/>
  <c r="F91"/>
  <c r="R91"/>
  <c r="F94"/>
  <c r="R94"/>
  <c r="O97"/>
  <c r="O102"/>
  <c r="F103"/>
  <c r="R103"/>
  <c r="O106"/>
  <c r="I17"/>
  <c r="O18"/>
  <c r="L25"/>
  <c r="L30"/>
  <c r="O31"/>
  <c r="L39"/>
  <c r="O40"/>
  <c r="L43"/>
  <c r="O44"/>
  <c r="L47"/>
  <c r="O48"/>
  <c r="O55"/>
  <c r="L58"/>
  <c r="O59"/>
  <c r="L62"/>
  <c r="O67"/>
  <c r="O73"/>
  <c r="L77"/>
  <c r="O78"/>
  <c r="L86"/>
  <c r="O87"/>
  <c r="L90"/>
  <c r="O91"/>
  <c r="O94"/>
  <c r="L97"/>
  <c r="O103"/>
  <c r="L106"/>
  <c r="F42"/>
  <c r="L42"/>
  <c r="L75"/>
  <c r="F76"/>
  <c r="L76"/>
  <c r="F11" i="43"/>
  <c r="L11"/>
  <c r="P18"/>
  <c r="B21"/>
  <c r="P24"/>
  <c r="P28"/>
  <c r="P32"/>
  <c r="P39"/>
  <c r="P43"/>
  <c r="P50"/>
  <c r="P54"/>
  <c r="P58"/>
  <c r="P62"/>
  <c r="P66"/>
  <c r="P70"/>
  <c r="P74"/>
  <c r="P78"/>
  <c r="I11"/>
  <c r="O11"/>
  <c r="I63" i="42"/>
  <c r="F63"/>
  <c r="L23"/>
  <c r="L49"/>
  <c r="L56"/>
  <c r="B63"/>
  <c r="L64"/>
  <c r="B82"/>
  <c r="L82" s="1"/>
  <c r="L95"/>
  <c r="O17"/>
  <c r="F18"/>
  <c r="R18"/>
  <c r="I19"/>
  <c r="F22"/>
  <c r="R22"/>
  <c r="I23"/>
  <c r="L24"/>
  <c r="F26"/>
  <c r="L26"/>
  <c r="F27"/>
  <c r="L27"/>
  <c r="I28"/>
  <c r="L29"/>
  <c r="O30"/>
  <c r="F31"/>
  <c r="R31"/>
  <c r="I32"/>
  <c r="E34"/>
  <c r="K34"/>
  <c r="Q34"/>
  <c r="F36"/>
  <c r="R36"/>
  <c r="I37"/>
  <c r="O39"/>
  <c r="B41"/>
  <c r="L41" s="1"/>
  <c r="L42"/>
  <c r="O43"/>
  <c r="F44"/>
  <c r="R44"/>
  <c r="I45"/>
  <c r="L46"/>
  <c r="O47"/>
  <c r="F48"/>
  <c r="R48"/>
  <c r="I49"/>
  <c r="F51"/>
  <c r="R51"/>
  <c r="O54"/>
  <c r="F55"/>
  <c r="R55"/>
  <c r="I56"/>
  <c r="L57"/>
  <c r="O58"/>
  <c r="H60"/>
  <c r="N60"/>
  <c r="L61"/>
  <c r="I64"/>
  <c r="L65"/>
  <c r="O66"/>
  <c r="F67"/>
  <c r="R67"/>
  <c r="I68"/>
  <c r="F70"/>
  <c r="R70"/>
  <c r="O72"/>
  <c r="L76"/>
  <c r="O77"/>
  <c r="F78"/>
  <c r="R78"/>
  <c r="I79"/>
  <c r="I83"/>
  <c r="L84"/>
  <c r="O85"/>
  <c r="F86"/>
  <c r="R86"/>
  <c r="I87"/>
  <c r="L88"/>
  <c r="O89"/>
  <c r="F90"/>
  <c r="R90"/>
  <c r="I91"/>
  <c r="O93"/>
  <c r="I95"/>
  <c r="L96"/>
  <c r="F99"/>
  <c r="R99"/>
  <c r="I100"/>
  <c r="L101"/>
  <c r="O102"/>
  <c r="F103"/>
  <c r="R103"/>
  <c r="O105"/>
  <c r="L19"/>
  <c r="L28"/>
  <c r="L32"/>
  <c r="L37"/>
  <c r="L45"/>
  <c r="L83"/>
  <c r="L100"/>
  <c r="E13"/>
  <c r="K13"/>
  <c r="Q13"/>
  <c r="B16"/>
  <c r="F16" s="1"/>
  <c r="O18"/>
  <c r="F19"/>
  <c r="R19"/>
  <c r="O22"/>
  <c r="F23"/>
  <c r="R23"/>
  <c r="I24"/>
  <c r="F28"/>
  <c r="R28"/>
  <c r="I29"/>
  <c r="L30"/>
  <c r="O31"/>
  <c r="F32"/>
  <c r="R32"/>
  <c r="O36"/>
  <c r="F37"/>
  <c r="R37"/>
  <c r="L39"/>
  <c r="L43"/>
  <c r="O44"/>
  <c r="F45"/>
  <c r="R45"/>
  <c r="I46"/>
  <c r="L47"/>
  <c r="O48"/>
  <c r="F49"/>
  <c r="R49"/>
  <c r="O51"/>
  <c r="B53"/>
  <c r="O53" s="1"/>
  <c r="L54"/>
  <c r="O55"/>
  <c r="F56"/>
  <c r="R56"/>
  <c r="I57"/>
  <c r="L58"/>
  <c r="I61"/>
  <c r="F64"/>
  <c r="R64"/>
  <c r="L66"/>
  <c r="O67"/>
  <c r="F68"/>
  <c r="R68"/>
  <c r="L72"/>
  <c r="F75"/>
  <c r="L75"/>
  <c r="I76"/>
  <c r="L77"/>
  <c r="O78"/>
  <c r="F79"/>
  <c r="R79"/>
  <c r="F83"/>
  <c r="R83"/>
  <c r="L85"/>
  <c r="O86"/>
  <c r="F87"/>
  <c r="R87"/>
  <c r="L89"/>
  <c r="F91"/>
  <c r="R91"/>
  <c r="L93"/>
  <c r="F95"/>
  <c r="R95"/>
  <c r="I98"/>
  <c r="F100"/>
  <c r="R100"/>
  <c r="L102"/>
  <c r="L105"/>
  <c r="L68"/>
  <c r="L79"/>
  <c r="L87"/>
  <c r="L91"/>
  <c r="F24"/>
  <c r="F46"/>
  <c r="F57"/>
  <c r="F61"/>
  <c r="F65"/>
  <c r="F76"/>
  <c r="F84"/>
  <c r="F88"/>
  <c r="F96"/>
  <c r="F101"/>
  <c r="R21" i="41"/>
  <c r="H13"/>
  <c r="N13"/>
  <c r="O16"/>
  <c r="F17"/>
  <c r="R17"/>
  <c r="I18"/>
  <c r="L19"/>
  <c r="F21"/>
  <c r="I22"/>
  <c r="L23"/>
  <c r="O24"/>
  <c r="F25"/>
  <c r="R25"/>
  <c r="I26"/>
  <c r="L27"/>
  <c r="O28"/>
  <c r="F29"/>
  <c r="R29"/>
  <c r="I30"/>
  <c r="L31"/>
  <c r="O32"/>
  <c r="F33"/>
  <c r="R33"/>
  <c r="I34"/>
  <c r="L35"/>
  <c r="O36"/>
  <c r="F37"/>
  <c r="R37"/>
  <c r="I38"/>
  <c r="L39"/>
  <c r="O40"/>
  <c r="F41"/>
  <c r="R41"/>
  <c r="I42"/>
  <c r="L43"/>
  <c r="O44"/>
  <c r="F45"/>
  <c r="R45"/>
  <c r="I46"/>
  <c r="L47"/>
  <c r="O48"/>
  <c r="F49"/>
  <c r="R49"/>
  <c r="I50"/>
  <c r="L51"/>
  <c r="O52"/>
  <c r="F53"/>
  <c r="R53"/>
  <c r="I54"/>
  <c r="L55"/>
  <c r="O56"/>
  <c r="F57"/>
  <c r="R57"/>
  <c r="I58"/>
  <c r="L59"/>
  <c r="O60"/>
  <c r="F61"/>
  <c r="R61"/>
  <c r="I62"/>
  <c r="L63"/>
  <c r="O64"/>
  <c r="F65"/>
  <c r="L66"/>
  <c r="O67"/>
  <c r="F68"/>
  <c r="R68"/>
  <c r="I69"/>
  <c r="L70"/>
  <c r="O71"/>
  <c r="F72"/>
  <c r="R72"/>
  <c r="I73"/>
  <c r="L74"/>
  <c r="O75"/>
  <c r="F76"/>
  <c r="R76"/>
  <c r="I77"/>
  <c r="L78"/>
  <c r="I81"/>
  <c r="L82"/>
  <c r="O83"/>
  <c r="L88"/>
  <c r="F89"/>
  <c r="L90"/>
  <c r="O91"/>
  <c r="F92"/>
  <c r="R92"/>
  <c r="I93"/>
  <c r="O94"/>
  <c r="I95"/>
  <c r="L96"/>
  <c r="O97"/>
  <c r="I98"/>
  <c r="O99"/>
  <c r="L16"/>
  <c r="R18"/>
  <c r="F22"/>
  <c r="R22"/>
  <c r="L24"/>
  <c r="F26"/>
  <c r="R26"/>
  <c r="L28"/>
  <c r="F30"/>
  <c r="R30"/>
  <c r="L32"/>
  <c r="F34"/>
  <c r="R34"/>
  <c r="L36"/>
  <c r="F38"/>
  <c r="R38"/>
  <c r="L40"/>
  <c r="F42"/>
  <c r="R42"/>
  <c r="L44"/>
  <c r="F46"/>
  <c r="R46"/>
  <c r="L48"/>
  <c r="F50"/>
  <c r="R50"/>
  <c r="L52"/>
  <c r="F54"/>
  <c r="R54"/>
  <c r="L56"/>
  <c r="F58"/>
  <c r="R58"/>
  <c r="L60"/>
  <c r="F62"/>
  <c r="R62"/>
  <c r="L64"/>
  <c r="L67"/>
  <c r="F69"/>
  <c r="R69"/>
  <c r="L71"/>
  <c r="F73"/>
  <c r="R73"/>
  <c r="L75"/>
  <c r="F77"/>
  <c r="R77"/>
  <c r="F81"/>
  <c r="R81"/>
  <c r="L83"/>
  <c r="L91"/>
  <c r="F93"/>
  <c r="L94"/>
  <c r="F95"/>
  <c r="R95"/>
  <c r="L97"/>
  <c r="L99"/>
  <c r="E13"/>
  <c r="K13"/>
  <c r="Q13"/>
  <c r="I16"/>
  <c r="O18"/>
  <c r="O22"/>
  <c r="F23"/>
  <c r="I24"/>
  <c r="O26"/>
  <c r="F27"/>
  <c r="I28"/>
  <c r="O30"/>
  <c r="F31"/>
  <c r="I32"/>
  <c r="O34"/>
  <c r="F35"/>
  <c r="I36"/>
  <c r="O38"/>
  <c r="F39"/>
  <c r="I40"/>
  <c r="O42"/>
  <c r="F43"/>
  <c r="I44"/>
  <c r="O46"/>
  <c r="F47"/>
  <c r="I48"/>
  <c r="O50"/>
  <c r="F51"/>
  <c r="I52"/>
  <c r="O54"/>
  <c r="F55"/>
  <c r="I56"/>
  <c r="O58"/>
  <c r="F59"/>
  <c r="I60"/>
  <c r="O62"/>
  <c r="F63"/>
  <c r="I64"/>
  <c r="F66"/>
  <c r="I67"/>
  <c r="O69"/>
  <c r="F70"/>
  <c r="I71"/>
  <c r="O73"/>
  <c r="F74"/>
  <c r="I75"/>
  <c r="O77"/>
  <c r="O81"/>
  <c r="F82"/>
  <c r="I83"/>
  <c r="R85"/>
  <c r="F90"/>
  <c r="I91"/>
  <c r="O93"/>
  <c r="I94"/>
  <c r="O95"/>
  <c r="F96"/>
  <c r="I97"/>
  <c r="O98"/>
  <c r="I99"/>
  <c r="F16"/>
  <c r="F24"/>
  <c r="F28"/>
  <c r="F32"/>
  <c r="F36"/>
  <c r="F40"/>
  <c r="F44"/>
  <c r="F48"/>
  <c r="F52"/>
  <c r="F56"/>
  <c r="F60"/>
  <c r="F64"/>
  <c r="F67"/>
  <c r="F71"/>
  <c r="F75"/>
  <c r="F83"/>
  <c r="F91"/>
  <c r="R74" i="39"/>
  <c r="L74"/>
  <c r="F74"/>
  <c r="O74"/>
  <c r="I74"/>
  <c r="L21"/>
  <c r="O34"/>
  <c r="L35"/>
  <c r="L98"/>
  <c r="N13"/>
  <c r="L34"/>
  <c r="B15"/>
  <c r="B34"/>
  <c r="I34" s="1"/>
  <c r="R21"/>
  <c r="R35"/>
  <c r="R98"/>
  <c r="H13"/>
  <c r="R75"/>
  <c r="L75"/>
  <c r="F75"/>
  <c r="O75"/>
  <c r="I75"/>
  <c r="F34"/>
  <c r="R34"/>
  <c r="F17"/>
  <c r="R17"/>
  <c r="I18"/>
  <c r="L19"/>
  <c r="F21"/>
  <c r="I22"/>
  <c r="L23"/>
  <c r="O24"/>
  <c r="L28"/>
  <c r="O29"/>
  <c r="F30"/>
  <c r="R30"/>
  <c r="I31"/>
  <c r="L32"/>
  <c r="F35"/>
  <c r="I36"/>
  <c r="L37"/>
  <c r="O38"/>
  <c r="F39"/>
  <c r="R39"/>
  <c r="O42"/>
  <c r="F43"/>
  <c r="L44"/>
  <c r="O45"/>
  <c r="F46"/>
  <c r="R46"/>
  <c r="I47"/>
  <c r="L48"/>
  <c r="O49"/>
  <c r="L51"/>
  <c r="I54"/>
  <c r="L55"/>
  <c r="O56"/>
  <c r="F57"/>
  <c r="R57"/>
  <c r="I58"/>
  <c r="E60"/>
  <c r="K60"/>
  <c r="Q60"/>
  <c r="F61"/>
  <c r="R61"/>
  <c r="O64"/>
  <c r="F65"/>
  <c r="R65"/>
  <c r="I66"/>
  <c r="L67"/>
  <c r="O68"/>
  <c r="L70"/>
  <c r="I72"/>
  <c r="R76"/>
  <c r="I77"/>
  <c r="L78"/>
  <c r="O79"/>
  <c r="L83"/>
  <c r="O84"/>
  <c r="F85"/>
  <c r="R85"/>
  <c r="I86"/>
  <c r="L87"/>
  <c r="O88"/>
  <c r="F89"/>
  <c r="R89"/>
  <c r="I90"/>
  <c r="L91"/>
  <c r="I93"/>
  <c r="F95"/>
  <c r="R95"/>
  <c r="I96"/>
  <c r="F98"/>
  <c r="I99"/>
  <c r="L100"/>
  <c r="O101"/>
  <c r="F102"/>
  <c r="R102"/>
  <c r="I103"/>
  <c r="F105"/>
  <c r="R105"/>
  <c r="F18"/>
  <c r="R18"/>
  <c r="F22"/>
  <c r="R22"/>
  <c r="L24"/>
  <c r="L29"/>
  <c r="F31"/>
  <c r="R31"/>
  <c r="F36"/>
  <c r="R36"/>
  <c r="L38"/>
  <c r="L42"/>
  <c r="L45"/>
  <c r="F47"/>
  <c r="R47"/>
  <c r="L49"/>
  <c r="F54"/>
  <c r="R54"/>
  <c r="L56"/>
  <c r="F58"/>
  <c r="R58"/>
  <c r="B63"/>
  <c r="F63" s="1"/>
  <c r="L64"/>
  <c r="F66"/>
  <c r="R66"/>
  <c r="L68"/>
  <c r="F72"/>
  <c r="R72"/>
  <c r="F77"/>
  <c r="R77"/>
  <c r="L79"/>
  <c r="L84"/>
  <c r="F86"/>
  <c r="R86"/>
  <c r="L88"/>
  <c r="F90"/>
  <c r="R90"/>
  <c r="F93"/>
  <c r="R93"/>
  <c r="F99"/>
  <c r="R99"/>
  <c r="L101"/>
  <c r="F103"/>
  <c r="R103"/>
  <c r="O18"/>
  <c r="F19"/>
  <c r="O22"/>
  <c r="F23"/>
  <c r="I24"/>
  <c r="F28"/>
  <c r="I29"/>
  <c r="O31"/>
  <c r="F32"/>
  <c r="O36"/>
  <c r="F37"/>
  <c r="I38"/>
  <c r="I42"/>
  <c r="F44"/>
  <c r="I45"/>
  <c r="O47"/>
  <c r="F48"/>
  <c r="I49"/>
  <c r="F51"/>
  <c r="O54"/>
  <c r="F55"/>
  <c r="I56"/>
  <c r="O58"/>
  <c r="I64"/>
  <c r="O66"/>
  <c r="F67"/>
  <c r="I68"/>
  <c r="F70"/>
  <c r="O72"/>
  <c r="O77"/>
  <c r="F78"/>
  <c r="I79"/>
  <c r="F83"/>
  <c r="I84"/>
  <c r="O86"/>
  <c r="F87"/>
  <c r="I88"/>
  <c r="O90"/>
  <c r="F91"/>
  <c r="O93"/>
  <c r="O96"/>
  <c r="O99"/>
  <c r="F100"/>
  <c r="I101"/>
  <c r="O103"/>
  <c r="F24"/>
  <c r="F29"/>
  <c r="F38"/>
  <c r="F42"/>
  <c r="F45"/>
  <c r="F49"/>
  <c r="F56"/>
  <c r="F64"/>
  <c r="F68"/>
  <c r="F79"/>
  <c r="F84"/>
  <c r="F88"/>
  <c r="F101"/>
  <c r="F13" i="37"/>
  <c r="F15"/>
  <c r="F17"/>
  <c r="F19"/>
  <c r="F21"/>
  <c r="F23"/>
  <c r="F25"/>
  <c r="C19"/>
  <c r="C11" s="1"/>
  <c r="C21"/>
  <c r="C23"/>
  <c r="I79" i="35"/>
  <c r="L79"/>
  <c r="F79"/>
  <c r="F37"/>
  <c r="F80"/>
  <c r="L80"/>
  <c r="L27"/>
  <c r="I50"/>
  <c r="L50"/>
  <c r="F50"/>
  <c r="I27"/>
  <c r="L44"/>
  <c r="L19"/>
  <c r="L40"/>
  <c r="B44"/>
  <c r="L45"/>
  <c r="L68"/>
  <c r="L74"/>
  <c r="L97"/>
  <c r="L18"/>
  <c r="I19"/>
  <c r="L23"/>
  <c r="I24"/>
  <c r="L29"/>
  <c r="I30"/>
  <c r="F31"/>
  <c r="I35"/>
  <c r="L39"/>
  <c r="I40"/>
  <c r="F41"/>
  <c r="I45"/>
  <c r="F46"/>
  <c r="L48"/>
  <c r="L53"/>
  <c r="I54"/>
  <c r="L57"/>
  <c r="I58"/>
  <c r="L63"/>
  <c r="I64"/>
  <c r="L67"/>
  <c r="I68"/>
  <c r="F72"/>
  <c r="L72"/>
  <c r="F73"/>
  <c r="L73"/>
  <c r="I74"/>
  <c r="L77"/>
  <c r="L83"/>
  <c r="I84"/>
  <c r="L87"/>
  <c r="F89"/>
  <c r="L91"/>
  <c r="F93"/>
  <c r="F96"/>
  <c r="L96"/>
  <c r="I97"/>
  <c r="L100"/>
  <c r="I101"/>
  <c r="L24"/>
  <c r="L30"/>
  <c r="L64"/>
  <c r="L84"/>
  <c r="B15"/>
  <c r="I15" s="1"/>
  <c r="B16"/>
  <c r="L17"/>
  <c r="I18"/>
  <c r="F19"/>
  <c r="B21"/>
  <c r="L22"/>
  <c r="I23"/>
  <c r="F24"/>
  <c r="B26"/>
  <c r="L26" s="1"/>
  <c r="B27"/>
  <c r="L28"/>
  <c r="I29"/>
  <c r="F30"/>
  <c r="L32"/>
  <c r="E34"/>
  <c r="E13" s="1"/>
  <c r="K34"/>
  <c r="F35"/>
  <c r="B37"/>
  <c r="L37" s="1"/>
  <c r="L38"/>
  <c r="I39"/>
  <c r="F40"/>
  <c r="L42"/>
  <c r="F45"/>
  <c r="L47"/>
  <c r="I48"/>
  <c r="L52"/>
  <c r="I53"/>
  <c r="F54"/>
  <c r="L56"/>
  <c r="I57"/>
  <c r="F58"/>
  <c r="B60"/>
  <c r="B61"/>
  <c r="L62"/>
  <c r="I63"/>
  <c r="F64"/>
  <c r="L66"/>
  <c r="I67"/>
  <c r="F68"/>
  <c r="L70"/>
  <c r="F74"/>
  <c r="L76"/>
  <c r="I77"/>
  <c r="L82"/>
  <c r="I83"/>
  <c r="F84"/>
  <c r="I87"/>
  <c r="I91"/>
  <c r="L94"/>
  <c r="F97"/>
  <c r="L99"/>
  <c r="I100"/>
  <c r="F101"/>
  <c r="L35"/>
  <c r="L54"/>
  <c r="H13"/>
  <c r="M63" i="33"/>
  <c r="G63"/>
  <c r="D63" s="1"/>
  <c r="J63"/>
  <c r="G66"/>
  <c r="J66"/>
  <c r="M66"/>
  <c r="G34"/>
  <c r="J34"/>
  <c r="M34"/>
  <c r="G53"/>
  <c r="D53" s="1"/>
  <c r="J53"/>
  <c r="M53"/>
  <c r="G64"/>
  <c r="J64"/>
  <c r="M64"/>
  <c r="G84"/>
  <c r="J84"/>
  <c r="M84"/>
  <c r="G110"/>
  <c r="J110"/>
  <c r="M110"/>
  <c r="D75"/>
  <c r="D112"/>
  <c r="G26"/>
  <c r="D26" s="1"/>
  <c r="M26"/>
  <c r="J26"/>
  <c r="G72"/>
  <c r="M72"/>
  <c r="J72"/>
  <c r="G27"/>
  <c r="J27"/>
  <c r="M27"/>
  <c r="G68"/>
  <c r="J68"/>
  <c r="M68"/>
  <c r="G73"/>
  <c r="D73" s="1"/>
  <c r="J73"/>
  <c r="M73"/>
  <c r="G100"/>
  <c r="J100"/>
  <c r="M100"/>
  <c r="D77"/>
  <c r="D19"/>
  <c r="M22"/>
  <c r="D22" s="1"/>
  <c r="G33"/>
  <c r="C45"/>
  <c r="J45" s="1"/>
  <c r="C48"/>
  <c r="C56"/>
  <c r="G56" s="1"/>
  <c r="C58"/>
  <c r="M78"/>
  <c r="D78" s="1"/>
  <c r="F87"/>
  <c r="C89"/>
  <c r="G89" s="1"/>
  <c r="M91"/>
  <c r="D91" s="1"/>
  <c r="C93"/>
  <c r="M93" s="1"/>
  <c r="C94"/>
  <c r="G94" s="1"/>
  <c r="M95"/>
  <c r="D95" s="1"/>
  <c r="M98"/>
  <c r="D98" s="1"/>
  <c r="C103"/>
  <c r="C107"/>
  <c r="G107" s="1"/>
  <c r="M113"/>
  <c r="I14"/>
  <c r="G18"/>
  <c r="C20"/>
  <c r="G20" s="1"/>
  <c r="F37"/>
  <c r="C39"/>
  <c r="M41"/>
  <c r="D41" s="1"/>
  <c r="C46"/>
  <c r="C61"/>
  <c r="F70"/>
  <c r="G76"/>
  <c r="G80"/>
  <c r="C82"/>
  <c r="G82" s="1"/>
  <c r="F16"/>
  <c r="M21"/>
  <c r="D21" s="1"/>
  <c r="F31"/>
  <c r="G32"/>
  <c r="D32" s="1"/>
  <c r="M38"/>
  <c r="D38" s="1"/>
  <c r="M40"/>
  <c r="D40" s="1"/>
  <c r="M47"/>
  <c r="D47" s="1"/>
  <c r="M49"/>
  <c r="D49" s="1"/>
  <c r="F51"/>
  <c r="G54"/>
  <c r="D54" s="1"/>
  <c r="M55"/>
  <c r="D55" s="1"/>
  <c r="M57"/>
  <c r="D57" s="1"/>
  <c r="M59"/>
  <c r="D59" s="1"/>
  <c r="G79"/>
  <c r="D79" s="1"/>
  <c r="M88"/>
  <c r="D88" s="1"/>
  <c r="M90"/>
  <c r="D90" s="1"/>
  <c r="G96"/>
  <c r="D96" s="1"/>
  <c r="M97"/>
  <c r="D97" s="1"/>
  <c r="G101"/>
  <c r="D101" s="1"/>
  <c r="M102"/>
  <c r="D102" s="1"/>
  <c r="J113"/>
  <c r="D113" s="1"/>
  <c r="M76"/>
  <c r="M80"/>
  <c r="M18"/>
  <c r="M33"/>
  <c r="G84" i="64" l="1"/>
  <c r="C84"/>
  <c r="G33"/>
  <c r="F12"/>
  <c r="M16"/>
  <c r="G16"/>
  <c r="M33"/>
  <c r="B12" i="61"/>
  <c r="G12" s="1"/>
  <c r="C12" s="1"/>
  <c r="J12"/>
  <c r="C76" i="58"/>
  <c r="C79"/>
  <c r="C78"/>
  <c r="C69"/>
  <c r="C66"/>
  <c r="C65"/>
  <c r="C64"/>
  <c r="C63"/>
  <c r="C62"/>
  <c r="C61"/>
  <c r="C60"/>
  <c r="C59"/>
  <c r="C58"/>
  <c r="C57"/>
  <c r="C56"/>
  <c r="C55"/>
  <c r="C54"/>
  <c r="C53"/>
  <c r="C52"/>
  <c r="C51"/>
  <c r="C50"/>
  <c r="C49"/>
  <c r="C48"/>
  <c r="C47"/>
  <c r="C46"/>
  <c r="C77"/>
  <c r="C45"/>
  <c r="C34"/>
  <c r="C25"/>
  <c r="C41"/>
  <c r="C13"/>
  <c r="C36"/>
  <c r="C23"/>
  <c r="C39"/>
  <c r="C75"/>
  <c r="C17"/>
  <c r="C30"/>
  <c r="C37"/>
  <c r="C80"/>
  <c r="C32"/>
  <c r="F11"/>
  <c r="C35"/>
  <c r="C72"/>
  <c r="C16"/>
  <c r="C20"/>
  <c r="C26"/>
  <c r="C42"/>
  <c r="C33"/>
  <c r="C73"/>
  <c r="C28"/>
  <c r="C44"/>
  <c r="C31"/>
  <c r="C70"/>
  <c r="C15"/>
  <c r="C19"/>
  <c r="C68"/>
  <c r="C38"/>
  <c r="C29"/>
  <c r="C71"/>
  <c r="C24"/>
  <c r="C40"/>
  <c r="C27"/>
  <c r="C43"/>
  <c r="C14"/>
  <c r="C18"/>
  <c r="C67"/>
  <c r="I22"/>
  <c r="I11"/>
  <c r="C22"/>
  <c r="B13" i="55"/>
  <c r="F13" s="1"/>
  <c r="E11"/>
  <c r="I15"/>
  <c r="H13"/>
  <c r="F35"/>
  <c r="B15" i="53"/>
  <c r="I15" s="1"/>
  <c r="H13"/>
  <c r="I34"/>
  <c r="F41"/>
  <c r="M34"/>
  <c r="M41"/>
  <c r="C21" i="52"/>
  <c r="L11"/>
  <c r="I11"/>
  <c r="C17"/>
  <c r="C25"/>
  <c r="F11"/>
  <c r="O13"/>
  <c r="I13"/>
  <c r="C13"/>
  <c r="C11" s="1"/>
  <c r="R13"/>
  <c r="L13"/>
  <c r="F13"/>
  <c r="C31"/>
  <c r="C33"/>
  <c r="C19"/>
  <c r="C35"/>
  <c r="C29"/>
  <c r="C23"/>
  <c r="C15"/>
  <c r="O11"/>
  <c r="O13" i="51"/>
  <c r="I13"/>
  <c r="C13"/>
  <c r="R13"/>
  <c r="L13"/>
  <c r="F13"/>
  <c r="I11"/>
  <c r="B11"/>
  <c r="O11"/>
  <c r="O23" i="50"/>
  <c r="I23"/>
  <c r="C23"/>
  <c r="B11"/>
  <c r="L23"/>
  <c r="F23"/>
  <c r="C13" i="49"/>
  <c r="C11" s="1"/>
  <c r="C35"/>
  <c r="C33"/>
  <c r="C31"/>
  <c r="C29"/>
  <c r="C27"/>
  <c r="F11"/>
  <c r="R12" i="47"/>
  <c r="I12"/>
  <c r="F12"/>
  <c r="B86"/>
  <c r="O12"/>
  <c r="L12"/>
  <c r="B35" i="46"/>
  <c r="F16"/>
  <c r="E14"/>
  <c r="B75"/>
  <c r="L16"/>
  <c r="K14"/>
  <c r="O42"/>
  <c r="F35"/>
  <c r="I61"/>
  <c r="I76"/>
  <c r="R42"/>
  <c r="I16"/>
  <c r="H14"/>
  <c r="B14"/>
  <c r="O16"/>
  <c r="N14"/>
  <c r="R16"/>
  <c r="Q14"/>
  <c r="R35"/>
  <c r="I42"/>
  <c r="F42"/>
  <c r="L35"/>
  <c r="O76"/>
  <c r="L42"/>
  <c r="F61"/>
  <c r="S81" i="45"/>
  <c r="S86"/>
  <c r="J86"/>
  <c r="M86"/>
  <c r="P86"/>
  <c r="J88"/>
  <c r="P88"/>
  <c r="G88"/>
  <c r="P14"/>
  <c r="O12"/>
  <c r="J14"/>
  <c r="M14"/>
  <c r="M88"/>
  <c r="J81"/>
  <c r="P81"/>
  <c r="M81"/>
  <c r="S88"/>
  <c r="G14"/>
  <c r="H12" i="44"/>
  <c r="N12"/>
  <c r="B61"/>
  <c r="E14"/>
  <c r="O36"/>
  <c r="I36"/>
  <c r="B35"/>
  <c r="O35" s="1"/>
  <c r="O22"/>
  <c r="I22"/>
  <c r="B16"/>
  <c r="R61"/>
  <c r="R64"/>
  <c r="R22"/>
  <c r="I64"/>
  <c r="L64"/>
  <c r="L83"/>
  <c r="K14"/>
  <c r="L16"/>
  <c r="F83"/>
  <c r="L36"/>
  <c r="Q14"/>
  <c r="R16"/>
  <c r="O99"/>
  <c r="I99"/>
  <c r="R27"/>
  <c r="L27"/>
  <c r="F27"/>
  <c r="O27"/>
  <c r="I27"/>
  <c r="F61"/>
  <c r="I35"/>
  <c r="L99"/>
  <c r="O83"/>
  <c r="I83"/>
  <c r="B82"/>
  <c r="L61"/>
  <c r="F99"/>
  <c r="F64"/>
  <c r="O64"/>
  <c r="B11" i="43"/>
  <c r="G11" s="1"/>
  <c r="D21"/>
  <c r="P21"/>
  <c r="E11" i="42"/>
  <c r="B60"/>
  <c r="R82"/>
  <c r="R63"/>
  <c r="L63"/>
  <c r="F41"/>
  <c r="L16"/>
  <c r="K11"/>
  <c r="O63"/>
  <c r="L53"/>
  <c r="R41"/>
  <c r="Q11"/>
  <c r="I60"/>
  <c r="H13"/>
  <c r="B81"/>
  <c r="F53"/>
  <c r="I82"/>
  <c r="I53"/>
  <c r="B15"/>
  <c r="O16"/>
  <c r="I16"/>
  <c r="N13"/>
  <c r="O60"/>
  <c r="B34"/>
  <c r="I41"/>
  <c r="O41"/>
  <c r="F34"/>
  <c r="F82"/>
  <c r="R53"/>
  <c r="R16"/>
  <c r="O82"/>
  <c r="E11" i="41"/>
  <c r="B13"/>
  <c r="H11"/>
  <c r="K11"/>
  <c r="N11"/>
  <c r="F60" i="39"/>
  <c r="E13"/>
  <c r="R15"/>
  <c r="L15"/>
  <c r="F15"/>
  <c r="O15"/>
  <c r="I15"/>
  <c r="B13"/>
  <c r="I13" s="1"/>
  <c r="L60"/>
  <c r="K13"/>
  <c r="N11"/>
  <c r="I63"/>
  <c r="B60"/>
  <c r="R60"/>
  <c r="Q13"/>
  <c r="O63"/>
  <c r="R63"/>
  <c r="H11"/>
  <c r="L63"/>
  <c r="E11" i="35"/>
  <c r="I61"/>
  <c r="L61"/>
  <c r="F21"/>
  <c r="I21"/>
  <c r="F44"/>
  <c r="L21"/>
  <c r="I44"/>
  <c r="L15"/>
  <c r="I60"/>
  <c r="H11"/>
  <c r="F26"/>
  <c r="I26"/>
  <c r="F61"/>
  <c r="F60"/>
  <c r="F27"/>
  <c r="B34"/>
  <c r="K13"/>
  <c r="F15"/>
  <c r="L16"/>
  <c r="F16"/>
  <c r="L60"/>
  <c r="I16"/>
  <c r="I37"/>
  <c r="C70" i="33"/>
  <c r="G70" s="1"/>
  <c r="M39"/>
  <c r="J39"/>
  <c r="I12"/>
  <c r="M58"/>
  <c r="J58"/>
  <c r="D33"/>
  <c r="D68"/>
  <c r="G93"/>
  <c r="G45"/>
  <c r="D64"/>
  <c r="C51"/>
  <c r="G51" s="1"/>
  <c r="F44"/>
  <c r="C16"/>
  <c r="G16" s="1"/>
  <c r="M103"/>
  <c r="J103"/>
  <c r="D76"/>
  <c r="D18"/>
  <c r="J93"/>
  <c r="M107"/>
  <c r="M45"/>
  <c r="D27"/>
  <c r="G103"/>
  <c r="J94"/>
  <c r="D94" s="1"/>
  <c r="M94"/>
  <c r="M46"/>
  <c r="J46"/>
  <c r="M20"/>
  <c r="J20"/>
  <c r="D20" s="1"/>
  <c r="C87"/>
  <c r="G87" s="1"/>
  <c r="F86"/>
  <c r="M48"/>
  <c r="J48"/>
  <c r="D80"/>
  <c r="J107"/>
  <c r="D107" s="1"/>
  <c r="G48"/>
  <c r="D48" s="1"/>
  <c r="G46"/>
  <c r="D46" s="1"/>
  <c r="D100"/>
  <c r="D72"/>
  <c r="G39"/>
  <c r="D39" s="1"/>
  <c r="D110"/>
  <c r="D34"/>
  <c r="C31"/>
  <c r="F24"/>
  <c r="M82"/>
  <c r="J82"/>
  <c r="D82" s="1"/>
  <c r="M61"/>
  <c r="J61"/>
  <c r="C37"/>
  <c r="G37" s="1"/>
  <c r="F36"/>
  <c r="M89"/>
  <c r="J89"/>
  <c r="D89" s="1"/>
  <c r="M56"/>
  <c r="J56"/>
  <c r="D56" s="1"/>
  <c r="G61"/>
  <c r="G58"/>
  <c r="D58" s="1"/>
  <c r="D84"/>
  <c r="D66"/>
  <c r="M84" i="64" l="1"/>
  <c r="D84" s="1"/>
  <c r="J84"/>
  <c r="D33"/>
  <c r="C12"/>
  <c r="D16"/>
  <c r="C11" i="58"/>
  <c r="I13" i="55"/>
  <c r="H11"/>
  <c r="F11"/>
  <c r="B11"/>
  <c r="M15" i="53"/>
  <c r="F15"/>
  <c r="H11"/>
  <c r="B13"/>
  <c r="I13" s="1"/>
  <c r="C35" i="51"/>
  <c r="C33"/>
  <c r="C31"/>
  <c r="C29"/>
  <c r="C27"/>
  <c r="C25"/>
  <c r="C11" s="1"/>
  <c r="R11"/>
  <c r="C17"/>
  <c r="C21"/>
  <c r="F11"/>
  <c r="L11"/>
  <c r="C15"/>
  <c r="C19"/>
  <c r="C23"/>
  <c r="R28" i="50"/>
  <c r="R26"/>
  <c r="R21"/>
  <c r="R18"/>
  <c r="C15"/>
  <c r="R13"/>
  <c r="R12"/>
  <c r="R23"/>
  <c r="R20"/>
  <c r="R15"/>
  <c r="C29"/>
  <c r="C27"/>
  <c r="R25"/>
  <c r="R22"/>
  <c r="C19"/>
  <c r="R17"/>
  <c r="R14"/>
  <c r="C13"/>
  <c r="C11" s="1"/>
  <c r="R29"/>
  <c r="R27"/>
  <c r="R24"/>
  <c r="R19"/>
  <c r="R16"/>
  <c r="R11"/>
  <c r="C17"/>
  <c r="F11"/>
  <c r="C25"/>
  <c r="I11"/>
  <c r="L11"/>
  <c r="O11"/>
  <c r="C21"/>
  <c r="G86" i="47"/>
  <c r="B12"/>
  <c r="M12" s="1"/>
  <c r="O14" i="46"/>
  <c r="N12"/>
  <c r="K12"/>
  <c r="L12" s="1"/>
  <c r="L14"/>
  <c r="Q12"/>
  <c r="R14"/>
  <c r="C14"/>
  <c r="B12"/>
  <c r="C75" s="1"/>
  <c r="I75"/>
  <c r="O75"/>
  <c r="R75"/>
  <c r="L75"/>
  <c r="F75"/>
  <c r="C35"/>
  <c r="I35"/>
  <c r="O35"/>
  <c r="I14"/>
  <c r="H12"/>
  <c r="I12" s="1"/>
  <c r="E12"/>
  <c r="F12" s="1"/>
  <c r="F14"/>
  <c r="B12" i="45"/>
  <c r="P12" s="1"/>
  <c r="I61" i="44"/>
  <c r="O61"/>
  <c r="Q12"/>
  <c r="O82"/>
  <c r="I82"/>
  <c r="R82"/>
  <c r="L82"/>
  <c r="F82"/>
  <c r="O16"/>
  <c r="I16"/>
  <c r="B14"/>
  <c r="F16"/>
  <c r="K12"/>
  <c r="E12"/>
  <c r="F35"/>
  <c r="R35"/>
  <c r="L35"/>
  <c r="M11" i="43"/>
  <c r="P11"/>
  <c r="D96"/>
  <c r="D93"/>
  <c r="D90"/>
  <c r="D81"/>
  <c r="D75"/>
  <c r="D71"/>
  <c r="D67"/>
  <c r="D63"/>
  <c r="D59"/>
  <c r="D55"/>
  <c r="D51"/>
  <c r="D44"/>
  <c r="D40"/>
  <c r="D36"/>
  <c r="D33"/>
  <c r="D29"/>
  <c r="D25"/>
  <c r="D19"/>
  <c r="D98"/>
  <c r="D95"/>
  <c r="D92"/>
  <c r="D88"/>
  <c r="D83"/>
  <c r="D80"/>
  <c r="D77"/>
  <c r="D73"/>
  <c r="D69"/>
  <c r="D65"/>
  <c r="D61"/>
  <c r="D57"/>
  <c r="D53"/>
  <c r="D49"/>
  <c r="D46"/>
  <c r="D42"/>
  <c r="D38"/>
  <c r="D35"/>
  <c r="D31"/>
  <c r="D27"/>
  <c r="D23"/>
  <c r="D17"/>
  <c r="D86"/>
  <c r="D47"/>
  <c r="D24"/>
  <c r="D62"/>
  <c r="D78"/>
  <c r="D26"/>
  <c r="D41"/>
  <c r="D72"/>
  <c r="D91"/>
  <c r="D32"/>
  <c r="D43"/>
  <c r="D58"/>
  <c r="D74"/>
  <c r="D22"/>
  <c r="D37"/>
  <c r="D52"/>
  <c r="D68"/>
  <c r="D87"/>
  <c r="D34"/>
  <c r="D16"/>
  <c r="D18"/>
  <c r="D39"/>
  <c r="D89"/>
  <c r="D54"/>
  <c r="D70"/>
  <c r="D48"/>
  <c r="D64"/>
  <c r="D82"/>
  <c r="D97"/>
  <c r="D13"/>
  <c r="D11" s="1"/>
  <c r="D15"/>
  <c r="D28"/>
  <c r="D85"/>
  <c r="D50"/>
  <c r="D66"/>
  <c r="D30"/>
  <c r="D45"/>
  <c r="D60"/>
  <c r="D76"/>
  <c r="D94"/>
  <c r="D56"/>
  <c r="J11"/>
  <c r="B13" i="42"/>
  <c r="O15"/>
  <c r="I15"/>
  <c r="F15"/>
  <c r="L15"/>
  <c r="R15"/>
  <c r="L60"/>
  <c r="F60"/>
  <c r="R60"/>
  <c r="I34"/>
  <c r="O34"/>
  <c r="R34"/>
  <c r="L34"/>
  <c r="O13"/>
  <c r="N11"/>
  <c r="I13"/>
  <c r="H11"/>
  <c r="R81"/>
  <c r="I81"/>
  <c r="F81"/>
  <c r="L81"/>
  <c r="O81"/>
  <c r="I13" i="41"/>
  <c r="O11"/>
  <c r="I11"/>
  <c r="F13"/>
  <c r="B11"/>
  <c r="C13" s="1"/>
  <c r="F11"/>
  <c r="L11"/>
  <c r="O13"/>
  <c r="R13"/>
  <c r="L13"/>
  <c r="F13" i="39"/>
  <c r="E11"/>
  <c r="R13"/>
  <c r="Q11"/>
  <c r="R11" s="1"/>
  <c r="L13"/>
  <c r="K11"/>
  <c r="C13"/>
  <c r="B11"/>
  <c r="I60"/>
  <c r="O60"/>
  <c r="O13"/>
  <c r="K11" i="35"/>
  <c r="I34"/>
  <c r="F34"/>
  <c r="B13"/>
  <c r="L34"/>
  <c r="D37" i="33"/>
  <c r="C36"/>
  <c r="G36" s="1"/>
  <c r="C24"/>
  <c r="G24" s="1"/>
  <c r="C44"/>
  <c r="G44" s="1"/>
  <c r="D61"/>
  <c r="D93"/>
  <c r="C86"/>
  <c r="J16"/>
  <c r="D16" s="1"/>
  <c r="M16"/>
  <c r="M70"/>
  <c r="J70"/>
  <c r="J87"/>
  <c r="D87" s="1"/>
  <c r="M87"/>
  <c r="F14"/>
  <c r="D103"/>
  <c r="D45"/>
  <c r="J31"/>
  <c r="M31"/>
  <c r="D70"/>
  <c r="M37"/>
  <c r="J37"/>
  <c r="J51"/>
  <c r="D51" s="1"/>
  <c r="M51"/>
  <c r="G31"/>
  <c r="D31" s="1"/>
  <c r="J12" i="64" l="1"/>
  <c r="M12"/>
  <c r="G12"/>
  <c r="C75" i="55"/>
  <c r="C70"/>
  <c r="C63"/>
  <c r="C58"/>
  <c r="C57"/>
  <c r="C56"/>
  <c r="C55"/>
  <c r="C54"/>
  <c r="C49"/>
  <c r="C48"/>
  <c r="C47"/>
  <c r="C46"/>
  <c r="C45"/>
  <c r="C44"/>
  <c r="C43"/>
  <c r="C42"/>
  <c r="C32"/>
  <c r="C31"/>
  <c r="C30"/>
  <c r="C29"/>
  <c r="C28"/>
  <c r="C26"/>
  <c r="C19"/>
  <c r="C18"/>
  <c r="C17"/>
  <c r="C79"/>
  <c r="C78"/>
  <c r="C77"/>
  <c r="C76"/>
  <c r="C74"/>
  <c r="C68"/>
  <c r="C67"/>
  <c r="C66"/>
  <c r="C65"/>
  <c r="C64"/>
  <c r="C53"/>
  <c r="C41"/>
  <c r="C27"/>
  <c r="C16"/>
  <c r="C82"/>
  <c r="C100"/>
  <c r="C39"/>
  <c r="C83"/>
  <c r="C87"/>
  <c r="C91"/>
  <c r="C72"/>
  <c r="C96"/>
  <c r="C99"/>
  <c r="C24"/>
  <c r="C86"/>
  <c r="C90"/>
  <c r="C60"/>
  <c r="C101"/>
  <c r="C36"/>
  <c r="C34"/>
  <c r="C97"/>
  <c r="C81"/>
  <c r="C23"/>
  <c r="C61"/>
  <c r="C85"/>
  <c r="C89"/>
  <c r="C94"/>
  <c r="C37"/>
  <c r="C98"/>
  <c r="C21"/>
  <c r="C51"/>
  <c r="C38"/>
  <c r="C22"/>
  <c r="C84"/>
  <c r="C88"/>
  <c r="C93"/>
  <c r="C35"/>
  <c r="C15"/>
  <c r="C13"/>
  <c r="I11"/>
  <c r="I11" i="53"/>
  <c r="B11"/>
  <c r="M13"/>
  <c r="C13"/>
  <c r="F13"/>
  <c r="S12" i="47"/>
  <c r="J12"/>
  <c r="P12"/>
  <c r="D98"/>
  <c r="D94"/>
  <c r="D76"/>
  <c r="D72"/>
  <c r="D68"/>
  <c r="D64"/>
  <c r="D60"/>
  <c r="D56"/>
  <c r="D52"/>
  <c r="D45"/>
  <c r="D41"/>
  <c r="D37"/>
  <c r="D33"/>
  <c r="D29"/>
  <c r="D25"/>
  <c r="D20"/>
  <c r="D17"/>
  <c r="D16"/>
  <c r="D100"/>
  <c r="D96"/>
  <c r="D78"/>
  <c r="D74"/>
  <c r="D70"/>
  <c r="D66"/>
  <c r="D62"/>
  <c r="D58"/>
  <c r="D54"/>
  <c r="D50"/>
  <c r="D47"/>
  <c r="D43"/>
  <c r="D39"/>
  <c r="D35"/>
  <c r="D31"/>
  <c r="D27"/>
  <c r="D23"/>
  <c r="D14"/>
  <c r="D90"/>
  <c r="D88"/>
  <c r="D49"/>
  <c r="D57"/>
  <c r="D65"/>
  <c r="D73"/>
  <c r="D82"/>
  <c r="D99"/>
  <c r="D40"/>
  <c r="D44"/>
  <c r="D48"/>
  <c r="D93"/>
  <c r="D91"/>
  <c r="D30"/>
  <c r="D38"/>
  <c r="D46"/>
  <c r="D81"/>
  <c r="D95"/>
  <c r="D51"/>
  <c r="D55"/>
  <c r="D59"/>
  <c r="D22"/>
  <c r="D89"/>
  <c r="D92"/>
  <c r="D53"/>
  <c r="D61"/>
  <c r="D69"/>
  <c r="D77"/>
  <c r="D84"/>
  <c r="D63"/>
  <c r="D67"/>
  <c r="D71"/>
  <c r="D75"/>
  <c r="D79"/>
  <c r="D97"/>
  <c r="D18"/>
  <c r="D26"/>
  <c r="D34"/>
  <c r="D42"/>
  <c r="D83"/>
  <c r="D24"/>
  <c r="D28"/>
  <c r="D32"/>
  <c r="D36"/>
  <c r="D86"/>
  <c r="G12"/>
  <c r="R12" i="46"/>
  <c r="C101"/>
  <c r="C96"/>
  <c r="C89"/>
  <c r="C85"/>
  <c r="C80"/>
  <c r="C69"/>
  <c r="C65"/>
  <c r="C57"/>
  <c r="C50"/>
  <c r="C46"/>
  <c r="C38"/>
  <c r="C33"/>
  <c r="C29"/>
  <c r="C28"/>
  <c r="C27"/>
  <c r="C24"/>
  <c r="C20"/>
  <c r="C106"/>
  <c r="C103"/>
  <c r="C94"/>
  <c r="C91"/>
  <c r="C87"/>
  <c r="C78"/>
  <c r="C73"/>
  <c r="C67"/>
  <c r="C59"/>
  <c r="C55"/>
  <c r="C54"/>
  <c r="C48"/>
  <c r="C44"/>
  <c r="C40"/>
  <c r="C31"/>
  <c r="C18"/>
  <c r="C82"/>
  <c r="C17"/>
  <c r="C90"/>
  <c r="C97"/>
  <c r="C102"/>
  <c r="C45"/>
  <c r="C56"/>
  <c r="C68"/>
  <c r="C84"/>
  <c r="C100"/>
  <c r="C58"/>
  <c r="C77"/>
  <c r="C86"/>
  <c r="C32"/>
  <c r="C52"/>
  <c r="C22"/>
  <c r="C43"/>
  <c r="C66"/>
  <c r="C79"/>
  <c r="C99"/>
  <c r="C12" s="1"/>
  <c r="C36"/>
  <c r="C25"/>
  <c r="C47"/>
  <c r="C19"/>
  <c r="C49"/>
  <c r="C71"/>
  <c r="C88"/>
  <c r="C104"/>
  <c r="C64"/>
  <c r="C30"/>
  <c r="C62"/>
  <c r="C23"/>
  <c r="C92"/>
  <c r="C83"/>
  <c r="C39"/>
  <c r="C37"/>
  <c r="C42"/>
  <c r="C76"/>
  <c r="C61"/>
  <c r="C16"/>
  <c r="O12"/>
  <c r="D100" i="45"/>
  <c r="D98"/>
  <c r="D94"/>
  <c r="D76"/>
  <c r="D68"/>
  <c r="D60"/>
  <c r="D52"/>
  <c r="D45"/>
  <c r="D41"/>
  <c r="D25"/>
  <c r="J12"/>
  <c r="D72"/>
  <c r="D56"/>
  <c r="D37"/>
  <c r="D29"/>
  <c r="D61"/>
  <c r="D57"/>
  <c r="D53"/>
  <c r="D46"/>
  <c r="D42"/>
  <c r="D38"/>
  <c r="D34"/>
  <c r="D26"/>
  <c r="D96"/>
  <c r="D90"/>
  <c r="D64"/>
  <c r="D49"/>
  <c r="D33"/>
  <c r="D82"/>
  <c r="D17"/>
  <c r="D35"/>
  <c r="D50"/>
  <c r="D62"/>
  <c r="D70"/>
  <c r="D78"/>
  <c r="D95"/>
  <c r="D18"/>
  <c r="D28"/>
  <c r="D36"/>
  <c r="D44"/>
  <c r="D89"/>
  <c r="D69"/>
  <c r="D77"/>
  <c r="D91"/>
  <c r="D23"/>
  <c r="D31"/>
  <c r="D47"/>
  <c r="D92"/>
  <c r="D97"/>
  <c r="D51"/>
  <c r="D59"/>
  <c r="D67"/>
  <c r="D75"/>
  <c r="D16"/>
  <c r="D43"/>
  <c r="D58"/>
  <c r="D66"/>
  <c r="D74"/>
  <c r="D83"/>
  <c r="D99"/>
  <c r="D24"/>
  <c r="D32"/>
  <c r="D40"/>
  <c r="D48"/>
  <c r="D84"/>
  <c r="D93"/>
  <c r="D22"/>
  <c r="D30"/>
  <c r="D65"/>
  <c r="D73"/>
  <c r="D27"/>
  <c r="D39"/>
  <c r="D54"/>
  <c r="D20"/>
  <c r="D55"/>
  <c r="D63"/>
  <c r="D71"/>
  <c r="D79"/>
  <c r="D14"/>
  <c r="D81"/>
  <c r="G12"/>
  <c r="D86"/>
  <c r="S12"/>
  <c r="M12"/>
  <c r="D88"/>
  <c r="B12" i="44"/>
  <c r="C14"/>
  <c r="I14"/>
  <c r="O14"/>
  <c r="L12"/>
  <c r="F12"/>
  <c r="R14"/>
  <c r="F14"/>
  <c r="L14"/>
  <c r="R12"/>
  <c r="C13" i="42"/>
  <c r="B11"/>
  <c r="F13"/>
  <c r="R13"/>
  <c r="L13"/>
  <c r="I11"/>
  <c r="O11"/>
  <c r="C96" i="41"/>
  <c r="C90"/>
  <c r="C88"/>
  <c r="C82"/>
  <c r="C78"/>
  <c r="C74"/>
  <c r="C70"/>
  <c r="C66"/>
  <c r="C63"/>
  <c r="C59"/>
  <c r="C55"/>
  <c r="C51"/>
  <c r="C47"/>
  <c r="C43"/>
  <c r="C39"/>
  <c r="C35"/>
  <c r="C31"/>
  <c r="C27"/>
  <c r="C23"/>
  <c r="C19"/>
  <c r="C92"/>
  <c r="C89"/>
  <c r="C87"/>
  <c r="C80"/>
  <c r="C76"/>
  <c r="C72"/>
  <c r="C68"/>
  <c r="C65"/>
  <c r="C61"/>
  <c r="C57"/>
  <c r="C53"/>
  <c r="C49"/>
  <c r="C45"/>
  <c r="C41"/>
  <c r="C37"/>
  <c r="C33"/>
  <c r="C29"/>
  <c r="C25"/>
  <c r="C17"/>
  <c r="R11"/>
  <c r="C24"/>
  <c r="C32"/>
  <c r="C40"/>
  <c r="C48"/>
  <c r="C56"/>
  <c r="C64"/>
  <c r="C67"/>
  <c r="C75"/>
  <c r="C62"/>
  <c r="C16"/>
  <c r="C22"/>
  <c r="C26"/>
  <c r="C38"/>
  <c r="C42"/>
  <c r="C46"/>
  <c r="C50"/>
  <c r="C54"/>
  <c r="C58"/>
  <c r="C93"/>
  <c r="C21"/>
  <c r="C28"/>
  <c r="C36"/>
  <c r="C44"/>
  <c r="C52"/>
  <c r="C60"/>
  <c r="C71"/>
  <c r="C94"/>
  <c r="C97"/>
  <c r="C95"/>
  <c r="C98"/>
  <c r="C83"/>
  <c r="C34"/>
  <c r="C81"/>
  <c r="C15"/>
  <c r="C91"/>
  <c r="C99"/>
  <c r="C18"/>
  <c r="C69"/>
  <c r="C73"/>
  <c r="C77"/>
  <c r="C30"/>
  <c r="C85"/>
  <c r="C100" i="39"/>
  <c r="C91"/>
  <c r="C87"/>
  <c r="C83"/>
  <c r="C82"/>
  <c r="C81"/>
  <c r="C78"/>
  <c r="C70"/>
  <c r="C67"/>
  <c r="C55"/>
  <c r="C51"/>
  <c r="C48"/>
  <c r="C44"/>
  <c r="C37"/>
  <c r="C32"/>
  <c r="C28"/>
  <c r="C27"/>
  <c r="C26"/>
  <c r="C23"/>
  <c r="C19"/>
  <c r="C105"/>
  <c r="C102"/>
  <c r="C95"/>
  <c r="C89"/>
  <c r="C85"/>
  <c r="C76"/>
  <c r="C65"/>
  <c r="C61"/>
  <c r="C57"/>
  <c r="C46"/>
  <c r="C43"/>
  <c r="C39"/>
  <c r="C30"/>
  <c r="C17"/>
  <c r="C16"/>
  <c r="C21"/>
  <c r="C29"/>
  <c r="C56"/>
  <c r="C64"/>
  <c r="C84"/>
  <c r="C35"/>
  <c r="C53"/>
  <c r="C49"/>
  <c r="C101"/>
  <c r="C31"/>
  <c r="C96"/>
  <c r="C74"/>
  <c r="C75"/>
  <c r="C68"/>
  <c r="C88"/>
  <c r="C18"/>
  <c r="C36"/>
  <c r="C54"/>
  <c r="C58"/>
  <c r="C72"/>
  <c r="C86"/>
  <c r="C90"/>
  <c r="C98"/>
  <c r="C41"/>
  <c r="C24"/>
  <c r="C38"/>
  <c r="C42"/>
  <c r="C45"/>
  <c r="C79"/>
  <c r="C22"/>
  <c r="C47"/>
  <c r="C66"/>
  <c r="C93"/>
  <c r="C99"/>
  <c r="C103"/>
  <c r="C77"/>
  <c r="C15"/>
  <c r="C34"/>
  <c r="C63"/>
  <c r="C11"/>
  <c r="C60"/>
  <c r="L11"/>
  <c r="O11"/>
  <c r="F11"/>
  <c r="I11"/>
  <c r="C13" i="35"/>
  <c r="B11"/>
  <c r="F13"/>
  <c r="I13"/>
  <c r="L11"/>
  <c r="L13"/>
  <c r="M86" i="33"/>
  <c r="J86"/>
  <c r="M24"/>
  <c r="J24"/>
  <c r="F12"/>
  <c r="G14"/>
  <c r="C14"/>
  <c r="M44"/>
  <c r="J44"/>
  <c r="D44" s="1"/>
  <c r="J36"/>
  <c r="D36" s="1"/>
  <c r="M36"/>
  <c r="D24"/>
  <c r="G86"/>
  <c r="D86" l="1"/>
  <c r="D12" i="64"/>
  <c r="C11" i="55"/>
  <c r="C91" i="53"/>
  <c r="C87"/>
  <c r="C81"/>
  <c r="C72"/>
  <c r="C66"/>
  <c r="C49"/>
  <c r="C45"/>
  <c r="C32"/>
  <c r="C19"/>
  <c r="F11"/>
  <c r="C98"/>
  <c r="C89"/>
  <c r="C85"/>
  <c r="C77"/>
  <c r="C68"/>
  <c r="C64"/>
  <c r="C61"/>
  <c r="C37"/>
  <c r="C30"/>
  <c r="C23"/>
  <c r="C17"/>
  <c r="C16"/>
  <c r="C100"/>
  <c r="C82"/>
  <c r="C28"/>
  <c r="C26"/>
  <c r="M11"/>
  <c r="C55"/>
  <c r="C94"/>
  <c r="C83"/>
  <c r="C79"/>
  <c r="C56"/>
  <c r="C39"/>
  <c r="C27"/>
  <c r="C57"/>
  <c r="C75"/>
  <c r="C97"/>
  <c r="C93"/>
  <c r="C99"/>
  <c r="C43"/>
  <c r="C47"/>
  <c r="C54"/>
  <c r="C63"/>
  <c r="C51"/>
  <c r="C60"/>
  <c r="C36"/>
  <c r="C22"/>
  <c r="C74"/>
  <c r="C96"/>
  <c r="C11" s="1"/>
  <c r="C88"/>
  <c r="C42"/>
  <c r="C101"/>
  <c r="C35"/>
  <c r="C21"/>
  <c r="C46"/>
  <c r="C84"/>
  <c r="C29"/>
  <c r="C58"/>
  <c r="C18"/>
  <c r="C24"/>
  <c r="C31"/>
  <c r="C38"/>
  <c r="C44"/>
  <c r="C48"/>
  <c r="C65"/>
  <c r="C86"/>
  <c r="C90"/>
  <c r="C67"/>
  <c r="C76"/>
  <c r="C53"/>
  <c r="C70"/>
  <c r="C78"/>
  <c r="C41"/>
  <c r="C34"/>
  <c r="C15"/>
  <c r="D12" i="47"/>
  <c r="D12" i="45"/>
  <c r="C104" i="44"/>
  <c r="C100"/>
  <c r="C92"/>
  <c r="C88"/>
  <c r="C84"/>
  <c r="C79"/>
  <c r="C71"/>
  <c r="C68"/>
  <c r="C56"/>
  <c r="C52"/>
  <c r="C49"/>
  <c r="C45"/>
  <c r="C37"/>
  <c r="C32"/>
  <c r="C23"/>
  <c r="C19"/>
  <c r="C48"/>
  <c r="C44"/>
  <c r="C17"/>
  <c r="C46"/>
  <c r="C65"/>
  <c r="C89"/>
  <c r="C30"/>
  <c r="C39"/>
  <c r="C42"/>
  <c r="C75"/>
  <c r="C97"/>
  <c r="C40"/>
  <c r="C91"/>
  <c r="C20"/>
  <c r="C24"/>
  <c r="C29"/>
  <c r="C38"/>
  <c r="C96"/>
  <c r="C58"/>
  <c r="C62"/>
  <c r="C55"/>
  <c r="C73"/>
  <c r="C50"/>
  <c r="C57"/>
  <c r="C69"/>
  <c r="C80"/>
  <c r="C85"/>
  <c r="C25"/>
  <c r="C66"/>
  <c r="C77"/>
  <c r="C86"/>
  <c r="C90"/>
  <c r="C102"/>
  <c r="C106"/>
  <c r="C54"/>
  <c r="C59"/>
  <c r="C78"/>
  <c r="C94"/>
  <c r="C28"/>
  <c r="C33"/>
  <c r="C101"/>
  <c r="C43"/>
  <c r="C47"/>
  <c r="C76"/>
  <c r="C18"/>
  <c r="C31"/>
  <c r="C67"/>
  <c r="C87"/>
  <c r="C103"/>
  <c r="C36"/>
  <c r="C64"/>
  <c r="C22"/>
  <c r="C83"/>
  <c r="C27"/>
  <c r="C99"/>
  <c r="O12"/>
  <c r="C16"/>
  <c r="C35"/>
  <c r="C61"/>
  <c r="C82"/>
  <c r="I12"/>
  <c r="C12"/>
  <c r="C84" i="42"/>
  <c r="C76"/>
  <c r="C61"/>
  <c r="C57"/>
  <c r="C46"/>
  <c r="C24"/>
  <c r="C103"/>
  <c r="C99"/>
  <c r="C98"/>
  <c r="C11" s="1"/>
  <c r="C90"/>
  <c r="C86"/>
  <c r="C70"/>
  <c r="C67"/>
  <c r="C96"/>
  <c r="C88"/>
  <c r="C65"/>
  <c r="C42"/>
  <c r="C17"/>
  <c r="C101"/>
  <c r="C75"/>
  <c r="C74"/>
  <c r="C38"/>
  <c r="C29"/>
  <c r="C47"/>
  <c r="C66"/>
  <c r="C93"/>
  <c r="C102"/>
  <c r="C105"/>
  <c r="C44"/>
  <c r="C78"/>
  <c r="C28"/>
  <c r="C87"/>
  <c r="C26"/>
  <c r="C30"/>
  <c r="C54"/>
  <c r="C72"/>
  <c r="C89"/>
  <c r="C45"/>
  <c r="C68"/>
  <c r="C95"/>
  <c r="C21"/>
  <c r="C35"/>
  <c r="C39"/>
  <c r="C43"/>
  <c r="C77"/>
  <c r="C31"/>
  <c r="C36"/>
  <c r="C48"/>
  <c r="C51"/>
  <c r="C55"/>
  <c r="C23"/>
  <c r="C37"/>
  <c r="C56"/>
  <c r="C83"/>
  <c r="C91"/>
  <c r="C27"/>
  <c r="C58"/>
  <c r="C85"/>
  <c r="C18"/>
  <c r="C22"/>
  <c r="C19"/>
  <c r="C32"/>
  <c r="C49"/>
  <c r="C64"/>
  <c r="C79"/>
  <c r="C100"/>
  <c r="C63"/>
  <c r="C53"/>
  <c r="C16"/>
  <c r="C82"/>
  <c r="C41"/>
  <c r="C15"/>
  <c r="C60"/>
  <c r="C34"/>
  <c r="R11"/>
  <c r="C81"/>
  <c r="F11"/>
  <c r="L11"/>
  <c r="C11" i="41"/>
  <c r="C100" i="35"/>
  <c r="C91"/>
  <c r="C63"/>
  <c r="C57"/>
  <c r="C39"/>
  <c r="C98"/>
  <c r="C75"/>
  <c r="C87"/>
  <c r="C67"/>
  <c r="C53"/>
  <c r="C23"/>
  <c r="C99"/>
  <c r="C82"/>
  <c r="C76"/>
  <c r="C70"/>
  <c r="C66"/>
  <c r="C62"/>
  <c r="C56"/>
  <c r="C52"/>
  <c r="C83"/>
  <c r="C77"/>
  <c r="C48"/>
  <c r="C29"/>
  <c r="C18"/>
  <c r="C79"/>
  <c r="C19"/>
  <c r="C73"/>
  <c r="C80"/>
  <c r="C30"/>
  <c r="C35"/>
  <c r="C58"/>
  <c r="C17"/>
  <c r="C38"/>
  <c r="C68"/>
  <c r="C72"/>
  <c r="C101"/>
  <c r="C54"/>
  <c r="C22"/>
  <c r="C47"/>
  <c r="C97"/>
  <c r="C24"/>
  <c r="C84"/>
  <c r="C40"/>
  <c r="C64"/>
  <c r="C28"/>
  <c r="C32"/>
  <c r="C41"/>
  <c r="C81"/>
  <c r="C85"/>
  <c r="C93"/>
  <c r="C51"/>
  <c r="C89"/>
  <c r="C96"/>
  <c r="C11" s="1"/>
  <c r="C74"/>
  <c r="C45"/>
  <c r="C50"/>
  <c r="C94"/>
  <c r="C31"/>
  <c r="C46"/>
  <c r="C65"/>
  <c r="C69"/>
  <c r="C42"/>
  <c r="C55"/>
  <c r="C60"/>
  <c r="C37"/>
  <c r="C15"/>
  <c r="C26"/>
  <c r="C27"/>
  <c r="C21"/>
  <c r="C61"/>
  <c r="C44"/>
  <c r="C16"/>
  <c r="C34"/>
  <c r="I11"/>
  <c r="F11"/>
  <c r="M14" i="33"/>
  <c r="J14"/>
  <c r="C12"/>
  <c r="G12" s="1"/>
  <c r="D14"/>
  <c r="M12" l="1"/>
  <c r="J12"/>
  <c r="D12" s="1"/>
  <c r="F14" i="30"/>
  <c r="O12"/>
  <c r="P25" s="1"/>
  <c r="L12"/>
  <c r="I12"/>
  <c r="F12"/>
  <c r="G31" s="1"/>
  <c r="C12"/>
  <c r="D25" s="1"/>
  <c r="C28" i="29"/>
  <c r="AA27"/>
  <c r="X27"/>
  <c r="U27"/>
  <c r="R27"/>
  <c r="L27"/>
  <c r="I27"/>
  <c r="F27"/>
  <c r="C27"/>
  <c r="C26"/>
  <c r="AA25"/>
  <c r="X25"/>
  <c r="U25"/>
  <c r="R25"/>
  <c r="O25"/>
  <c r="N25"/>
  <c r="L25"/>
  <c r="I25"/>
  <c r="F25"/>
  <c r="C25"/>
  <c r="E24"/>
  <c r="F24" s="1"/>
  <c r="AA23"/>
  <c r="X23"/>
  <c r="U23"/>
  <c r="R23"/>
  <c r="O23"/>
  <c r="N23"/>
  <c r="L23"/>
  <c r="I23"/>
  <c r="F23"/>
  <c r="C23"/>
  <c r="C22"/>
  <c r="AA21"/>
  <c r="X21"/>
  <c r="U21"/>
  <c r="R21"/>
  <c r="O21"/>
  <c r="N21"/>
  <c r="L21"/>
  <c r="I21"/>
  <c r="F21"/>
  <c r="C21"/>
  <c r="E20"/>
  <c r="C20"/>
  <c r="AA19"/>
  <c r="X19"/>
  <c r="U19"/>
  <c r="R19"/>
  <c r="O19"/>
  <c r="L19"/>
  <c r="I19"/>
  <c r="F19"/>
  <c r="C19"/>
  <c r="C18"/>
  <c r="AA17"/>
  <c r="X17"/>
  <c r="U17"/>
  <c r="R17"/>
  <c r="O17"/>
  <c r="L17"/>
  <c r="I17"/>
  <c r="F17"/>
  <c r="C17"/>
  <c r="C16"/>
  <c r="AA15"/>
  <c r="X15"/>
  <c r="U15"/>
  <c r="R15"/>
  <c r="O15"/>
  <c r="L15"/>
  <c r="I15"/>
  <c r="F15"/>
  <c r="C15"/>
  <c r="AA14"/>
  <c r="U14"/>
  <c r="O14"/>
  <c r="I14"/>
  <c r="C14"/>
  <c r="C13"/>
  <c r="Z12"/>
  <c r="AA24" s="1"/>
  <c r="W12"/>
  <c r="X20" s="1"/>
  <c r="T12"/>
  <c r="U18" s="1"/>
  <c r="Q12"/>
  <c r="R28" s="1"/>
  <c r="N12"/>
  <c r="O24" s="1"/>
  <c r="K12"/>
  <c r="L20" s="1"/>
  <c r="H12"/>
  <c r="I18" s="1"/>
  <c r="E12"/>
  <c r="F26" s="1"/>
  <c r="C12"/>
  <c r="P22" i="28"/>
  <c r="Q22" s="1"/>
  <c r="M22"/>
  <c r="J22"/>
  <c r="K22" s="1"/>
  <c r="G22"/>
  <c r="D22"/>
  <c r="E22" s="1"/>
  <c r="P20"/>
  <c r="M20"/>
  <c r="N20" s="1"/>
  <c r="J20"/>
  <c r="G20"/>
  <c r="H20" s="1"/>
  <c r="D20"/>
  <c r="P13"/>
  <c r="P16" s="1"/>
  <c r="Q16" s="1"/>
  <c r="M13"/>
  <c r="M16" s="1"/>
  <c r="N16" s="1"/>
  <c r="J13"/>
  <c r="J16" s="1"/>
  <c r="K16" s="1"/>
  <c r="G13"/>
  <c r="G16" s="1"/>
  <c r="H16" s="1"/>
  <c r="D13"/>
  <c r="D16" s="1"/>
  <c r="E16" s="1"/>
  <c r="P11"/>
  <c r="Q15" s="1"/>
  <c r="M11"/>
  <c r="N22" s="1"/>
  <c r="J11"/>
  <c r="K20" s="1"/>
  <c r="G11"/>
  <c r="H18" s="1"/>
  <c r="D11"/>
  <c r="E15" s="1"/>
  <c r="J14" i="30" l="1"/>
  <c r="D16"/>
  <c r="P16"/>
  <c r="J18"/>
  <c r="D20"/>
  <c r="P20"/>
  <c r="G23"/>
  <c r="M25"/>
  <c r="D28"/>
  <c r="P28"/>
  <c r="P31"/>
  <c r="G14"/>
  <c r="M16"/>
  <c r="G18"/>
  <c r="M20"/>
  <c r="D23"/>
  <c r="P23"/>
  <c r="J25"/>
  <c r="M28"/>
  <c r="M31"/>
  <c r="P14"/>
  <c r="J16"/>
  <c r="D18"/>
  <c r="P18"/>
  <c r="J20"/>
  <c r="M23"/>
  <c r="G25"/>
  <c r="J28"/>
  <c r="J31"/>
  <c r="D14"/>
  <c r="M14"/>
  <c r="G16"/>
  <c r="M18"/>
  <c r="G20"/>
  <c r="J23"/>
  <c r="G28"/>
  <c r="F14" i="29"/>
  <c r="R14"/>
  <c r="L16"/>
  <c r="X16"/>
  <c r="F18"/>
  <c r="R18"/>
  <c r="I20"/>
  <c r="U20"/>
  <c r="L22"/>
  <c r="X22"/>
  <c r="C24"/>
  <c r="L24"/>
  <c r="X24"/>
  <c r="O26"/>
  <c r="AA26"/>
  <c r="L28"/>
  <c r="AA28"/>
  <c r="I16"/>
  <c r="U16"/>
  <c r="O18"/>
  <c r="AA18"/>
  <c r="F20"/>
  <c r="R20"/>
  <c r="I22"/>
  <c r="U22"/>
  <c r="I24"/>
  <c r="U24"/>
  <c r="L26"/>
  <c r="X26"/>
  <c r="I28"/>
  <c r="X28"/>
  <c r="L14"/>
  <c r="X14"/>
  <c r="F16"/>
  <c r="R16"/>
  <c r="L18"/>
  <c r="X18"/>
  <c r="O20"/>
  <c r="AA20"/>
  <c r="F22"/>
  <c r="R22"/>
  <c r="R24"/>
  <c r="I26"/>
  <c r="U26"/>
  <c r="F28"/>
  <c r="U28"/>
  <c r="O16"/>
  <c r="AA16"/>
  <c r="O22"/>
  <c r="AA22"/>
  <c r="R26"/>
  <c r="E13" i="28"/>
  <c r="K13"/>
  <c r="Q13"/>
  <c r="Q11" s="1"/>
  <c r="N15"/>
  <c r="E18"/>
  <c r="Q18"/>
  <c r="K15"/>
  <c r="N18"/>
  <c r="H13"/>
  <c r="N13"/>
  <c r="H15"/>
  <c r="K18"/>
  <c r="E20"/>
  <c r="Q20"/>
  <c r="H22"/>
  <c r="AA12" i="29" l="1"/>
  <c r="L12"/>
  <c r="X12"/>
  <c r="F12"/>
  <c r="I12"/>
  <c r="R12"/>
  <c r="O12"/>
  <c r="U12"/>
  <c r="H11" i="28"/>
  <c r="E11"/>
  <c r="N11"/>
  <c r="K11"/>
  <c r="AD249" i="31" l="1"/>
  <c r="AB249"/>
  <c r="Z249"/>
  <c r="D249"/>
  <c r="C249"/>
  <c r="AB248"/>
  <c r="D248"/>
  <c r="C248"/>
  <c r="AD248" s="1"/>
  <c r="AB247"/>
  <c r="AD247" s="1"/>
  <c r="Z247"/>
  <c r="AD246"/>
  <c r="AB246"/>
  <c r="Z246"/>
  <c r="AD245"/>
  <c r="AB245"/>
  <c r="Z245"/>
  <c r="AB244"/>
  <c r="D244"/>
  <c r="C244"/>
  <c r="C241" s="1"/>
  <c r="AD243"/>
  <c r="AB243"/>
  <c r="Z243"/>
  <c r="AD242"/>
  <c r="Z242"/>
  <c r="X241"/>
  <c r="D241"/>
  <c r="D235" s="1"/>
  <c r="D233" s="1"/>
  <c r="AD240"/>
  <c r="Z240"/>
  <c r="AB239"/>
  <c r="D239"/>
  <c r="C239"/>
  <c r="AD239" s="1"/>
  <c r="AD238"/>
  <c r="Z238"/>
  <c r="X237"/>
  <c r="D237"/>
  <c r="AD236"/>
  <c r="Z236"/>
  <c r="AD234"/>
  <c r="Z234"/>
  <c r="AD232"/>
  <c r="Z232"/>
  <c r="AD231"/>
  <c r="AB231"/>
  <c r="Z231"/>
  <c r="AB230"/>
  <c r="Z230"/>
  <c r="AB229"/>
  <c r="AD229" s="1"/>
  <c r="Z229"/>
  <c r="AD228"/>
  <c r="AB228"/>
  <c r="Z228"/>
  <c r="AD227"/>
  <c r="AB227"/>
  <c r="Z227"/>
  <c r="AD226"/>
  <c r="Z226"/>
  <c r="X225"/>
  <c r="D225"/>
  <c r="C225"/>
  <c r="Z225" s="1"/>
  <c r="AD224"/>
  <c r="Z224"/>
  <c r="X223"/>
  <c r="D223"/>
  <c r="D221" s="1"/>
  <c r="C223"/>
  <c r="Z223" s="1"/>
  <c r="AD222"/>
  <c r="Z222"/>
  <c r="X221"/>
  <c r="C221"/>
  <c r="Z221" s="1"/>
  <c r="AD220"/>
  <c r="Z220"/>
  <c r="AD219"/>
  <c r="Z219"/>
  <c r="AD218"/>
  <c r="AB218"/>
  <c r="Z218"/>
  <c r="AD217"/>
  <c r="Z217"/>
  <c r="X216"/>
  <c r="D216"/>
  <c r="C216"/>
  <c r="AD215"/>
  <c r="Z215"/>
  <c r="AB214"/>
  <c r="Z214"/>
  <c r="D214"/>
  <c r="C214"/>
  <c r="AD214" s="1"/>
  <c r="AD213"/>
  <c r="Z213"/>
  <c r="AB212"/>
  <c r="X212"/>
  <c r="D212"/>
  <c r="C212"/>
  <c r="Z212" s="1"/>
  <c r="AD211"/>
  <c r="Z211"/>
  <c r="AD210"/>
  <c r="AB210"/>
  <c r="Z210"/>
  <c r="AD209"/>
  <c r="Z209"/>
  <c r="AD208"/>
  <c r="Z208"/>
  <c r="AD207"/>
  <c r="Z207"/>
  <c r="AB206"/>
  <c r="Z206"/>
  <c r="C206"/>
  <c r="AD206" s="1"/>
  <c r="AB205"/>
  <c r="AD205" s="1"/>
  <c r="Z205"/>
  <c r="AD204"/>
  <c r="Z204"/>
  <c r="AB203"/>
  <c r="X203"/>
  <c r="D203"/>
  <c r="AD202"/>
  <c r="Z202"/>
  <c r="AD201"/>
  <c r="AB201"/>
  <c r="Z201"/>
  <c r="AD200"/>
  <c r="AB200"/>
  <c r="Z200"/>
  <c r="AD199"/>
  <c r="Z199"/>
  <c r="AD198"/>
  <c r="AB198"/>
  <c r="X198"/>
  <c r="D198"/>
  <c r="C198"/>
  <c r="Z198" s="1"/>
  <c r="AD197"/>
  <c r="Z197"/>
  <c r="AD196"/>
  <c r="Z196"/>
  <c r="AD195"/>
  <c r="Z195"/>
  <c r="AD194"/>
  <c r="AB194"/>
  <c r="X194"/>
  <c r="D194"/>
  <c r="D181" s="1"/>
  <c r="D179" s="1"/>
  <c r="C194"/>
  <c r="Z194" s="1"/>
  <c r="AD193"/>
  <c r="Z193"/>
  <c r="AD192"/>
  <c r="Z192"/>
  <c r="AB191"/>
  <c r="Z191"/>
  <c r="AB190"/>
  <c r="AD190" s="1"/>
  <c r="Z190"/>
  <c r="AD189"/>
  <c r="AB189"/>
  <c r="Z189"/>
  <c r="AB188"/>
  <c r="AD188" s="1"/>
  <c r="Z188"/>
  <c r="AB187"/>
  <c r="D187"/>
  <c r="C187"/>
  <c r="AD187" s="1"/>
  <c r="AD186"/>
  <c r="AB186"/>
  <c r="Z186"/>
  <c r="AB185"/>
  <c r="Z185"/>
  <c r="AD184"/>
  <c r="Z184"/>
  <c r="X183"/>
  <c r="D183"/>
  <c r="C183"/>
  <c r="Z183" s="1"/>
  <c r="AD182"/>
  <c r="Z182"/>
  <c r="X181"/>
  <c r="AD180"/>
  <c r="Z180"/>
  <c r="AD164"/>
  <c r="AB164"/>
  <c r="Z164"/>
  <c r="AD163"/>
  <c r="Z163"/>
  <c r="AD162"/>
  <c r="AB162"/>
  <c r="X162"/>
  <c r="D162"/>
  <c r="C162"/>
  <c r="Z162" s="1"/>
  <c r="AD161"/>
  <c r="Z161"/>
  <c r="AD160"/>
  <c r="AB160"/>
  <c r="Z160"/>
  <c r="AD159"/>
  <c r="AB159"/>
  <c r="Z159"/>
  <c r="AD158"/>
  <c r="AB158"/>
  <c r="AD157"/>
  <c r="AB157"/>
  <c r="Z157"/>
  <c r="AD156"/>
  <c r="AB156"/>
  <c r="Z156"/>
  <c r="AD155"/>
  <c r="AD154"/>
  <c r="AB154"/>
  <c r="Z154"/>
  <c r="AD153"/>
  <c r="AD152"/>
  <c r="AB152"/>
  <c r="Z152"/>
  <c r="AB151"/>
  <c r="AD151" s="1"/>
  <c r="Z151"/>
  <c r="AD150"/>
  <c r="Z150"/>
  <c r="X149"/>
  <c r="D149"/>
  <c r="C149"/>
  <c r="Z149" s="1"/>
  <c r="AD148"/>
  <c r="Z148"/>
  <c r="X147"/>
  <c r="D147"/>
  <c r="C147"/>
  <c r="Z147" s="1"/>
  <c r="AD146"/>
  <c r="Z146"/>
  <c r="AD145"/>
  <c r="Z145"/>
  <c r="AD144"/>
  <c r="AB144"/>
  <c r="Z144"/>
  <c r="AB143"/>
  <c r="AD143" s="1"/>
  <c r="Z143"/>
  <c r="AD142"/>
  <c r="Z142"/>
  <c r="AD141"/>
  <c r="AB141"/>
  <c r="X141"/>
  <c r="D141"/>
  <c r="C141"/>
  <c r="Z141" s="1"/>
  <c r="AD140"/>
  <c r="Z140"/>
  <c r="AB139"/>
  <c r="X139"/>
  <c r="D139"/>
  <c r="D137" s="1"/>
  <c r="C139"/>
  <c r="Z139" s="1"/>
  <c r="AD138"/>
  <c r="Z138"/>
  <c r="X137"/>
  <c r="C137"/>
  <c r="Z137" s="1"/>
  <c r="AD136"/>
  <c r="Z136"/>
  <c r="AB135"/>
  <c r="Z135"/>
  <c r="AB134"/>
  <c r="AD134" s="1"/>
  <c r="Z134"/>
  <c r="AD133"/>
  <c r="AB133"/>
  <c r="AB132" s="1"/>
  <c r="Z133"/>
  <c r="X132"/>
  <c r="D132"/>
  <c r="C132"/>
  <c r="Z132" s="1"/>
  <c r="X131"/>
  <c r="D131"/>
  <c r="C131"/>
  <c r="Z131" s="1"/>
  <c r="AD130"/>
  <c r="Z130"/>
  <c r="X129"/>
  <c r="D129"/>
  <c r="AD128"/>
  <c r="Z128"/>
  <c r="D127"/>
  <c r="AD126"/>
  <c r="Z126"/>
  <c r="D125"/>
  <c r="AD124"/>
  <c r="Z124"/>
  <c r="AB123"/>
  <c r="AD123" s="1"/>
  <c r="Z123"/>
  <c r="AB122"/>
  <c r="Z122"/>
  <c r="AB121"/>
  <c r="AD121" s="1"/>
  <c r="Z121"/>
  <c r="AD120"/>
  <c r="AB120"/>
  <c r="AB118" s="1"/>
  <c r="Z120"/>
  <c r="AD119"/>
  <c r="Z119"/>
  <c r="X118"/>
  <c r="D118"/>
  <c r="C118"/>
  <c r="Z118" s="1"/>
  <c r="AD117"/>
  <c r="Z117"/>
  <c r="AD116"/>
  <c r="Z116"/>
  <c r="AD115"/>
  <c r="AB115"/>
  <c r="Z115"/>
  <c r="AD114"/>
  <c r="AB114"/>
  <c r="Z114"/>
  <c r="AD113"/>
  <c r="AD112"/>
  <c r="AD111"/>
  <c r="AB111"/>
  <c r="Z111"/>
  <c r="AB110"/>
  <c r="Z110"/>
  <c r="AB109"/>
  <c r="AD109" s="1"/>
  <c r="Z109"/>
  <c r="AD108"/>
  <c r="AB108"/>
  <c r="Z108"/>
  <c r="AB107"/>
  <c r="AD107" s="1"/>
  <c r="Z107"/>
  <c r="AB106"/>
  <c r="D106"/>
  <c r="C106"/>
  <c r="C98" s="1"/>
  <c r="AD105"/>
  <c r="Z105"/>
  <c r="D105"/>
  <c r="AB104"/>
  <c r="Z104"/>
  <c r="AB103"/>
  <c r="AD103" s="1"/>
  <c r="Z103"/>
  <c r="AD102"/>
  <c r="AB102"/>
  <c r="Z102"/>
  <c r="AB101"/>
  <c r="AD101" s="1"/>
  <c r="Z101"/>
  <c r="AD100"/>
  <c r="Z100"/>
  <c r="AD99"/>
  <c r="Z99"/>
  <c r="D98"/>
  <c r="AD97"/>
  <c r="Z97"/>
  <c r="D96"/>
  <c r="AD95"/>
  <c r="Z95"/>
  <c r="D94"/>
  <c r="AB84"/>
  <c r="AD83"/>
  <c r="AB83"/>
  <c r="AD82"/>
  <c r="AB82"/>
  <c r="AD81"/>
  <c r="AB81"/>
  <c r="AD80"/>
  <c r="AB80"/>
  <c r="AD79"/>
  <c r="Z79"/>
  <c r="AD78"/>
  <c r="Z78"/>
  <c r="AD77"/>
  <c r="AB77"/>
  <c r="Z77"/>
  <c r="D76"/>
  <c r="C76"/>
  <c r="AD76" s="1"/>
  <c r="AD75"/>
  <c r="AB75"/>
  <c r="Z75"/>
  <c r="AD74"/>
  <c r="AB74"/>
  <c r="Z74"/>
  <c r="AB73"/>
  <c r="AD73" s="1"/>
  <c r="Z73"/>
  <c r="AD72"/>
  <c r="Z72"/>
  <c r="AB71"/>
  <c r="X71"/>
  <c r="D71"/>
  <c r="AD70"/>
  <c r="Z70"/>
  <c r="AD69"/>
  <c r="AD68"/>
  <c r="Z68"/>
  <c r="AB67"/>
  <c r="X67"/>
  <c r="D67"/>
  <c r="D61" s="1"/>
  <c r="D53" s="1"/>
  <c r="D40" s="1"/>
  <c r="D38" s="1"/>
  <c r="C67"/>
  <c r="AD67" s="1"/>
  <c r="AD66"/>
  <c r="Z66"/>
  <c r="AB65"/>
  <c r="Z65"/>
  <c r="AD64"/>
  <c r="Z64"/>
  <c r="X63"/>
  <c r="D63"/>
  <c r="C63"/>
  <c r="Z63" s="1"/>
  <c r="AD62"/>
  <c r="Z62"/>
  <c r="X61"/>
  <c r="AD60"/>
  <c r="Z60"/>
  <c r="AB59"/>
  <c r="Z59"/>
  <c r="D59"/>
  <c r="C59"/>
  <c r="AD59" s="1"/>
  <c r="AD58"/>
  <c r="Z58"/>
  <c r="AB57"/>
  <c r="X57"/>
  <c r="D57"/>
  <c r="C57"/>
  <c r="Z57" s="1"/>
  <c r="AD56"/>
  <c r="Z56"/>
  <c r="X55"/>
  <c r="D55"/>
  <c r="C55"/>
  <c r="Z55" s="1"/>
  <c r="AD54"/>
  <c r="Z54"/>
  <c r="AD52"/>
  <c r="Z52"/>
  <c r="AD51"/>
  <c r="AB51"/>
  <c r="Z51"/>
  <c r="AD50"/>
  <c r="Z50"/>
  <c r="X49"/>
  <c r="D49"/>
  <c r="C49"/>
  <c r="AD48"/>
  <c r="Z48"/>
  <c r="AB47"/>
  <c r="AD47" s="1"/>
  <c r="Z47"/>
  <c r="AB46"/>
  <c r="Z46"/>
  <c r="AD45"/>
  <c r="Z45"/>
  <c r="X44"/>
  <c r="D44"/>
  <c r="C44"/>
  <c r="Z44" s="1"/>
  <c r="AD43"/>
  <c r="Z43"/>
  <c r="X42"/>
  <c r="D42"/>
  <c r="AD41"/>
  <c r="Z41"/>
  <c r="AD39"/>
  <c r="Z39"/>
  <c r="AD37"/>
  <c r="Z37"/>
  <c r="AD36"/>
  <c r="AB36"/>
  <c r="Z36"/>
  <c r="AB35"/>
  <c r="Z35"/>
  <c r="AD34"/>
  <c r="Z34"/>
  <c r="X33"/>
  <c r="D33"/>
  <c r="C33"/>
  <c r="Z33" s="1"/>
  <c r="AD32"/>
  <c r="Z32"/>
  <c r="X31"/>
  <c r="D31"/>
  <c r="C31"/>
  <c r="AD30"/>
  <c r="Z30"/>
  <c r="AB29"/>
  <c r="AD29" s="1"/>
  <c r="Z29"/>
  <c r="AD28"/>
  <c r="Z28"/>
  <c r="AD27"/>
  <c r="AB27"/>
  <c r="X27"/>
  <c r="D27"/>
  <c r="D21" s="1"/>
  <c r="D19" s="1"/>
  <c r="D17" s="1"/>
  <c r="D15" s="1"/>
  <c r="D13" s="1"/>
  <c r="D11" s="1"/>
  <c r="C27"/>
  <c r="Z27" s="1"/>
  <c r="AD26"/>
  <c r="Z26"/>
  <c r="AB25"/>
  <c r="Z25"/>
  <c r="AD24"/>
  <c r="Z24"/>
  <c r="X23"/>
  <c r="D23"/>
  <c r="C23"/>
  <c r="Z23" s="1"/>
  <c r="AD22"/>
  <c r="Z22"/>
  <c r="X21"/>
  <c r="AD20"/>
  <c r="Z20"/>
  <c r="AD18"/>
  <c r="Z18"/>
  <c r="AD16"/>
  <c r="Z16"/>
  <c r="AD14"/>
  <c r="Z14"/>
  <c r="AD12"/>
  <c r="Z12"/>
  <c r="B114" i="20"/>
  <c r="I114" s="1"/>
  <c r="O113"/>
  <c r="I113"/>
  <c r="B113"/>
  <c r="R113" s="1"/>
  <c r="B112"/>
  <c r="O112" s="1"/>
  <c r="R111"/>
  <c r="O111"/>
  <c r="I111"/>
  <c r="F111"/>
  <c r="B111"/>
  <c r="L111" s="1"/>
  <c r="B110"/>
  <c r="I110" s="1"/>
  <c r="Q109"/>
  <c r="R109" s="1"/>
  <c r="N109"/>
  <c r="O109" s="1"/>
  <c r="K109"/>
  <c r="L109" s="1"/>
  <c r="H109"/>
  <c r="I109" s="1"/>
  <c r="E109"/>
  <c r="F109" s="1"/>
  <c r="B109"/>
  <c r="R108"/>
  <c r="O108"/>
  <c r="L108"/>
  <c r="I108"/>
  <c r="F108"/>
  <c r="B108"/>
  <c r="O107"/>
  <c r="I107"/>
  <c r="B107"/>
  <c r="L107" s="1"/>
  <c r="R106"/>
  <c r="O106"/>
  <c r="L106"/>
  <c r="I106"/>
  <c r="F106"/>
  <c r="C106"/>
  <c r="B106"/>
  <c r="O105"/>
  <c r="I105"/>
  <c r="F105"/>
  <c r="B105"/>
  <c r="R105" s="1"/>
  <c r="B104"/>
  <c r="O104" s="1"/>
  <c r="O103"/>
  <c r="I103"/>
  <c r="B103"/>
  <c r="L103" s="1"/>
  <c r="R102"/>
  <c r="Q102"/>
  <c r="O102"/>
  <c r="N102"/>
  <c r="L102"/>
  <c r="K102"/>
  <c r="I102"/>
  <c r="H102"/>
  <c r="F102"/>
  <c r="E102"/>
  <c r="B102"/>
  <c r="R101"/>
  <c r="O101"/>
  <c r="L101"/>
  <c r="I101"/>
  <c r="F101"/>
  <c r="C101"/>
  <c r="B101"/>
  <c r="O100"/>
  <c r="I100"/>
  <c r="B100"/>
  <c r="R100" s="1"/>
  <c r="R99"/>
  <c r="O99"/>
  <c r="L99"/>
  <c r="I99"/>
  <c r="F99"/>
  <c r="B99"/>
  <c r="R98"/>
  <c r="L98"/>
  <c r="F98"/>
  <c r="B98"/>
  <c r="I98" s="1"/>
  <c r="B97"/>
  <c r="O97" s="1"/>
  <c r="O96"/>
  <c r="I96"/>
  <c r="B96"/>
  <c r="L96" s="1"/>
  <c r="B95"/>
  <c r="I95" s="1"/>
  <c r="R94"/>
  <c r="O94"/>
  <c r="L94"/>
  <c r="I94"/>
  <c r="F94"/>
  <c r="C94"/>
  <c r="B94"/>
  <c r="B93"/>
  <c r="O93" s="1"/>
  <c r="O92"/>
  <c r="I92"/>
  <c r="B92"/>
  <c r="L92" s="1"/>
  <c r="B91"/>
  <c r="I91" s="1"/>
  <c r="O90"/>
  <c r="I90"/>
  <c r="B90"/>
  <c r="R90" s="1"/>
  <c r="B89"/>
  <c r="O89" s="1"/>
  <c r="O88"/>
  <c r="I88"/>
  <c r="B88"/>
  <c r="L88" s="1"/>
  <c r="B87"/>
  <c r="I87" s="1"/>
  <c r="O86"/>
  <c r="I86"/>
  <c r="B86"/>
  <c r="R86" s="1"/>
  <c r="B85"/>
  <c r="O85" s="1"/>
  <c r="Q84"/>
  <c r="R84" s="1"/>
  <c r="N84"/>
  <c r="O84" s="1"/>
  <c r="K84"/>
  <c r="L84" s="1"/>
  <c r="H84"/>
  <c r="I84" s="1"/>
  <c r="E84"/>
  <c r="F84" s="1"/>
  <c r="B84"/>
  <c r="Q83"/>
  <c r="R83" s="1"/>
  <c r="N83"/>
  <c r="O83" s="1"/>
  <c r="K83"/>
  <c r="L83" s="1"/>
  <c r="H83"/>
  <c r="I83" s="1"/>
  <c r="E83"/>
  <c r="F83" s="1"/>
  <c r="B83"/>
  <c r="R82"/>
  <c r="O82"/>
  <c r="L82"/>
  <c r="I82"/>
  <c r="F82"/>
  <c r="C82"/>
  <c r="B82"/>
  <c r="B81"/>
  <c r="I81" s="1"/>
  <c r="O80"/>
  <c r="I80"/>
  <c r="B80"/>
  <c r="R80" s="1"/>
  <c r="B79"/>
  <c r="O79" s="1"/>
  <c r="O78"/>
  <c r="I78"/>
  <c r="B78"/>
  <c r="L78" s="1"/>
  <c r="R77"/>
  <c r="Q77"/>
  <c r="O77"/>
  <c r="N77"/>
  <c r="L77"/>
  <c r="K77"/>
  <c r="I77"/>
  <c r="H77"/>
  <c r="F77"/>
  <c r="E77"/>
  <c r="B77"/>
  <c r="R76"/>
  <c r="Q76"/>
  <c r="O76"/>
  <c r="N76"/>
  <c r="L76"/>
  <c r="K76"/>
  <c r="I76"/>
  <c r="H76"/>
  <c r="F76"/>
  <c r="E76"/>
  <c r="B76"/>
  <c r="R75"/>
  <c r="O75"/>
  <c r="L75"/>
  <c r="I75"/>
  <c r="F75"/>
  <c r="C75"/>
  <c r="B75"/>
  <c r="O74"/>
  <c r="I74"/>
  <c r="B74"/>
  <c r="R74" s="1"/>
  <c r="R73"/>
  <c r="O73"/>
  <c r="L73"/>
  <c r="I73"/>
  <c r="F73"/>
  <c r="C73"/>
  <c r="B73"/>
  <c r="O72"/>
  <c r="I72"/>
  <c r="B72"/>
  <c r="L72" s="1"/>
  <c r="R71"/>
  <c r="O71"/>
  <c r="L71"/>
  <c r="I71"/>
  <c r="F71"/>
  <c r="C71"/>
  <c r="B71"/>
  <c r="O70"/>
  <c r="I70"/>
  <c r="B70"/>
  <c r="R70" s="1"/>
  <c r="B69"/>
  <c r="O69" s="1"/>
  <c r="O68"/>
  <c r="I68"/>
  <c r="B68"/>
  <c r="L68" s="1"/>
  <c r="B67"/>
  <c r="I67" s="1"/>
  <c r="O66"/>
  <c r="I66"/>
  <c r="B66"/>
  <c r="R66" s="1"/>
  <c r="R65"/>
  <c r="Q65"/>
  <c r="O65"/>
  <c r="N65"/>
  <c r="L65"/>
  <c r="K65"/>
  <c r="I65"/>
  <c r="H65"/>
  <c r="F65"/>
  <c r="E65"/>
  <c r="B65"/>
  <c r="R64"/>
  <c r="O64"/>
  <c r="L64"/>
  <c r="I64"/>
  <c r="F64"/>
  <c r="C64"/>
  <c r="B64"/>
  <c r="O63"/>
  <c r="I63"/>
  <c r="B63"/>
  <c r="L63" s="1"/>
  <c r="R62"/>
  <c r="Q62"/>
  <c r="O62"/>
  <c r="N62"/>
  <c r="L62"/>
  <c r="K62"/>
  <c r="I62"/>
  <c r="H62"/>
  <c r="F62"/>
  <c r="E62"/>
  <c r="B62"/>
  <c r="R61"/>
  <c r="O61"/>
  <c r="L61"/>
  <c r="I61"/>
  <c r="F61"/>
  <c r="C61"/>
  <c r="B61"/>
  <c r="O60"/>
  <c r="I60"/>
  <c r="B60"/>
  <c r="R60" s="1"/>
  <c r="F59"/>
  <c r="B59"/>
  <c r="O59" s="1"/>
  <c r="O58"/>
  <c r="I58"/>
  <c r="B58"/>
  <c r="L58" s="1"/>
  <c r="B57"/>
  <c r="I57" s="1"/>
  <c r="O56"/>
  <c r="I56"/>
  <c r="B56"/>
  <c r="R56" s="1"/>
  <c r="R55"/>
  <c r="Q55"/>
  <c r="O55"/>
  <c r="N55"/>
  <c r="L55"/>
  <c r="K55"/>
  <c r="I55"/>
  <c r="H55"/>
  <c r="F55"/>
  <c r="E55"/>
  <c r="B55"/>
  <c r="R54"/>
  <c r="O54"/>
  <c r="L54"/>
  <c r="I54"/>
  <c r="F54"/>
  <c r="C54"/>
  <c r="B54"/>
  <c r="O53"/>
  <c r="I53"/>
  <c r="B53"/>
  <c r="L53" s="1"/>
  <c r="R52"/>
  <c r="O52"/>
  <c r="L52"/>
  <c r="I52"/>
  <c r="F52"/>
  <c r="C52"/>
  <c r="B52"/>
  <c r="O51"/>
  <c r="I51"/>
  <c r="B51"/>
  <c r="R51" s="1"/>
  <c r="B50"/>
  <c r="O50" s="1"/>
  <c r="O49"/>
  <c r="I49"/>
  <c r="B49"/>
  <c r="L49" s="1"/>
  <c r="B48"/>
  <c r="I48" s="1"/>
  <c r="O47"/>
  <c r="I47"/>
  <c r="B47"/>
  <c r="R47" s="1"/>
  <c r="O46"/>
  <c r="I46"/>
  <c r="F46"/>
  <c r="B46"/>
  <c r="L46" s="1"/>
  <c r="B45"/>
  <c r="I45" s="1"/>
  <c r="O44"/>
  <c r="I44"/>
  <c r="B44"/>
  <c r="R44" s="1"/>
  <c r="R43"/>
  <c r="Q43"/>
  <c r="O43"/>
  <c r="N43"/>
  <c r="L43"/>
  <c r="K43"/>
  <c r="I43"/>
  <c r="H43"/>
  <c r="F43"/>
  <c r="E43"/>
  <c r="B43"/>
  <c r="R42"/>
  <c r="O42"/>
  <c r="L42"/>
  <c r="I42"/>
  <c r="F42"/>
  <c r="C42"/>
  <c r="B42"/>
  <c r="O41"/>
  <c r="I41"/>
  <c r="B41"/>
  <c r="L41" s="1"/>
  <c r="B40"/>
  <c r="I40" s="1"/>
  <c r="O39"/>
  <c r="I39"/>
  <c r="B39"/>
  <c r="R39" s="1"/>
  <c r="F38"/>
  <c r="B38"/>
  <c r="O38" s="1"/>
  <c r="Q37"/>
  <c r="R37" s="1"/>
  <c r="N37"/>
  <c r="O37" s="1"/>
  <c r="K37"/>
  <c r="L37" s="1"/>
  <c r="H37"/>
  <c r="I37" s="1"/>
  <c r="E37"/>
  <c r="F37" s="1"/>
  <c r="B37"/>
  <c r="Q36"/>
  <c r="R36" s="1"/>
  <c r="N36"/>
  <c r="O36" s="1"/>
  <c r="K36"/>
  <c r="L36" s="1"/>
  <c r="H36"/>
  <c r="I36" s="1"/>
  <c r="E36"/>
  <c r="F36" s="1"/>
  <c r="B36"/>
  <c r="R35"/>
  <c r="O35"/>
  <c r="L35"/>
  <c r="I35"/>
  <c r="F35"/>
  <c r="C35"/>
  <c r="B35"/>
  <c r="B34"/>
  <c r="I34" s="1"/>
  <c r="O33"/>
  <c r="I33"/>
  <c r="B33"/>
  <c r="R33" s="1"/>
  <c r="B32"/>
  <c r="O32" s="1"/>
  <c r="O31"/>
  <c r="I31"/>
  <c r="B31"/>
  <c r="L31" s="1"/>
  <c r="B30"/>
  <c r="I30" s="1"/>
  <c r="Q29"/>
  <c r="R29" s="1"/>
  <c r="N29"/>
  <c r="O29" s="1"/>
  <c r="K29"/>
  <c r="L29" s="1"/>
  <c r="H29"/>
  <c r="I29" s="1"/>
  <c r="E29"/>
  <c r="F29" s="1"/>
  <c r="B29"/>
  <c r="Q28"/>
  <c r="R28" s="1"/>
  <c r="N28"/>
  <c r="O28" s="1"/>
  <c r="K28"/>
  <c r="L28" s="1"/>
  <c r="H28"/>
  <c r="I28" s="1"/>
  <c r="E28"/>
  <c r="F28" s="1"/>
  <c r="B28"/>
  <c r="R27"/>
  <c r="O27"/>
  <c r="L27"/>
  <c r="I27"/>
  <c r="F27"/>
  <c r="C27"/>
  <c r="B27"/>
  <c r="B26"/>
  <c r="O26" s="1"/>
  <c r="O25"/>
  <c r="I25"/>
  <c r="B25"/>
  <c r="L25" s="1"/>
  <c r="B24"/>
  <c r="I24" s="1"/>
  <c r="Q23"/>
  <c r="R23" s="1"/>
  <c r="N23"/>
  <c r="O23" s="1"/>
  <c r="K23"/>
  <c r="L23" s="1"/>
  <c r="H23"/>
  <c r="I23" s="1"/>
  <c r="E23"/>
  <c r="F23" s="1"/>
  <c r="B23"/>
  <c r="R22"/>
  <c r="O22"/>
  <c r="L22"/>
  <c r="I22"/>
  <c r="F22"/>
  <c r="C22"/>
  <c r="B22"/>
  <c r="B21"/>
  <c r="O21" s="1"/>
  <c r="O20"/>
  <c r="I20"/>
  <c r="B20"/>
  <c r="L20" s="1"/>
  <c r="B19"/>
  <c r="I19" s="1"/>
  <c r="Q18"/>
  <c r="R18" s="1"/>
  <c r="N18"/>
  <c r="O18" s="1"/>
  <c r="K18"/>
  <c r="L18" s="1"/>
  <c r="H18"/>
  <c r="I18" s="1"/>
  <c r="E18"/>
  <c r="F18" s="1"/>
  <c r="B18"/>
  <c r="Q17"/>
  <c r="R17" s="1"/>
  <c r="N17"/>
  <c r="O17" s="1"/>
  <c r="K17"/>
  <c r="L17" s="1"/>
  <c r="H17"/>
  <c r="I17" s="1"/>
  <c r="E17"/>
  <c r="F17" s="1"/>
  <c r="B17"/>
  <c r="R16"/>
  <c r="O16"/>
  <c r="L16"/>
  <c r="I16"/>
  <c r="F16"/>
  <c r="C16"/>
  <c r="B16"/>
  <c r="R14"/>
  <c r="O14"/>
  <c r="L14"/>
  <c r="I14"/>
  <c r="F14"/>
  <c r="C14"/>
  <c r="B14"/>
  <c r="R12"/>
  <c r="O12"/>
  <c r="L12"/>
  <c r="I12"/>
  <c r="F12"/>
  <c r="C12"/>
  <c r="B12"/>
  <c r="O19" i="17"/>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I114"/>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P20" i="23"/>
  <c r="M20"/>
  <c r="J20"/>
  <c r="G20"/>
  <c r="D20"/>
  <c r="P18"/>
  <c r="M18"/>
  <c r="J18"/>
  <c r="G18"/>
  <c r="D18"/>
  <c r="P16"/>
  <c r="M16"/>
  <c r="J16"/>
  <c r="G16"/>
  <c r="D16"/>
  <c r="P14"/>
  <c r="M14"/>
  <c r="J14"/>
  <c r="G14"/>
  <c r="D14"/>
  <c r="O13"/>
  <c r="P19" s="1"/>
  <c r="L13"/>
  <c r="M19" s="1"/>
  <c r="I13"/>
  <c r="J21" s="1"/>
  <c r="F13"/>
  <c r="G21" s="1"/>
  <c r="C13"/>
  <c r="D19" s="1"/>
  <c r="C194" i="22"/>
  <c r="G194" s="1"/>
  <c r="C193"/>
  <c r="M193" s="1"/>
  <c r="C192"/>
  <c r="G192" s="1"/>
  <c r="C191"/>
  <c r="M191" s="1"/>
  <c r="C190"/>
  <c r="G190" s="1"/>
  <c r="O189"/>
  <c r="L189"/>
  <c r="I189"/>
  <c r="F189"/>
  <c r="C189" s="1"/>
  <c r="P188"/>
  <c r="M188"/>
  <c r="J188"/>
  <c r="G188"/>
  <c r="D188"/>
  <c r="C187"/>
  <c r="M187" s="1"/>
  <c r="P186"/>
  <c r="M186"/>
  <c r="J186"/>
  <c r="G186"/>
  <c r="D186"/>
  <c r="C185"/>
  <c r="G185" s="1"/>
  <c r="C184"/>
  <c r="M184" s="1"/>
  <c r="O183"/>
  <c r="L183"/>
  <c r="I183"/>
  <c r="F183"/>
  <c r="P182"/>
  <c r="M182"/>
  <c r="J182"/>
  <c r="G182"/>
  <c r="D182"/>
  <c r="C182"/>
  <c r="C181"/>
  <c r="P181" s="1"/>
  <c r="C180"/>
  <c r="M180" s="1"/>
  <c r="C179"/>
  <c r="G179" s="1"/>
  <c r="C177"/>
  <c r="M177" s="1"/>
  <c r="C176"/>
  <c r="G176" s="1"/>
  <c r="C175"/>
  <c r="M175" s="1"/>
  <c r="C174"/>
  <c r="G174" s="1"/>
  <c r="C173"/>
  <c r="M173" s="1"/>
  <c r="C172"/>
  <c r="G172" s="1"/>
  <c r="C171"/>
  <c r="M171" s="1"/>
  <c r="C170"/>
  <c r="G170" s="1"/>
  <c r="C169"/>
  <c r="M169" s="1"/>
  <c r="C168"/>
  <c r="M168" s="1"/>
  <c r="C167"/>
  <c r="G167" s="1"/>
  <c r="C166"/>
  <c r="M166" s="1"/>
  <c r="C165"/>
  <c r="G165" s="1"/>
  <c r="C164"/>
  <c r="M164" s="1"/>
  <c r="C163"/>
  <c r="G163" s="1"/>
  <c r="C162"/>
  <c r="M162" s="1"/>
  <c r="C161"/>
  <c r="G161" s="1"/>
  <c r="C160"/>
  <c r="M160" s="1"/>
  <c r="C159"/>
  <c r="G159" s="1"/>
  <c r="C158"/>
  <c r="M158" s="1"/>
  <c r="C157"/>
  <c r="G157" s="1"/>
  <c r="C156"/>
  <c r="M156" s="1"/>
  <c r="C155"/>
  <c r="G155" s="1"/>
  <c r="C154"/>
  <c r="M154" s="1"/>
  <c r="C153"/>
  <c r="G153" s="1"/>
  <c r="C152"/>
  <c r="M152" s="1"/>
  <c r="C151"/>
  <c r="G151" s="1"/>
  <c r="C150"/>
  <c r="M150" s="1"/>
  <c r="C149"/>
  <c r="G149" s="1"/>
  <c r="C148"/>
  <c r="M148" s="1"/>
  <c r="O147"/>
  <c r="L147"/>
  <c r="I147"/>
  <c r="F147"/>
  <c r="P146"/>
  <c r="M146"/>
  <c r="J146"/>
  <c r="G146"/>
  <c r="D146"/>
  <c r="C146"/>
  <c r="C145"/>
  <c r="J145" s="1"/>
  <c r="C144"/>
  <c r="M144" s="1"/>
  <c r="C143"/>
  <c r="G143" s="1"/>
  <c r="C142"/>
  <c r="M142" s="1"/>
  <c r="C141"/>
  <c r="G141" s="1"/>
  <c r="C140"/>
  <c r="M140" s="1"/>
  <c r="C139"/>
  <c r="P139" s="1"/>
  <c r="C138"/>
  <c r="J138" s="1"/>
  <c r="C137"/>
  <c r="P137" s="1"/>
  <c r="C136"/>
  <c r="J136" s="1"/>
  <c r="C135"/>
  <c r="M135" s="1"/>
  <c r="C134"/>
  <c r="P134" s="1"/>
  <c r="O133"/>
  <c r="L133"/>
  <c r="I133"/>
  <c r="F133"/>
  <c r="P96"/>
  <c r="M96"/>
  <c r="J96"/>
  <c r="G96"/>
  <c r="D96"/>
  <c r="C96"/>
  <c r="C95"/>
  <c r="G95" s="1"/>
  <c r="C94"/>
  <c r="M94" s="1"/>
  <c r="C93"/>
  <c r="G93" s="1"/>
  <c r="P92"/>
  <c r="M92"/>
  <c r="J92"/>
  <c r="G92"/>
  <c r="D92"/>
  <c r="C92"/>
  <c r="C91"/>
  <c r="G91" s="1"/>
  <c r="C90"/>
  <c r="M90" s="1"/>
  <c r="C89"/>
  <c r="G89" s="1"/>
  <c r="C88"/>
  <c r="M88" s="1"/>
  <c r="C87"/>
  <c r="G87" s="1"/>
  <c r="C86"/>
  <c r="M86" s="1"/>
  <c r="C85"/>
  <c r="G85" s="1"/>
  <c r="C84"/>
  <c r="M84" s="1"/>
  <c r="C83"/>
  <c r="G83" s="1"/>
  <c r="O82"/>
  <c r="L82"/>
  <c r="I82"/>
  <c r="I81" s="1"/>
  <c r="F82"/>
  <c r="O81"/>
  <c r="L81"/>
  <c r="P80"/>
  <c r="M80"/>
  <c r="J80"/>
  <c r="G80"/>
  <c r="D80"/>
  <c r="C79"/>
  <c r="M79" s="1"/>
  <c r="C78"/>
  <c r="J78" s="1"/>
  <c r="C77"/>
  <c r="M77" s="1"/>
  <c r="C76"/>
  <c r="J76" s="1"/>
  <c r="O75"/>
  <c r="L75"/>
  <c r="I75"/>
  <c r="F75"/>
  <c r="F74" s="1"/>
  <c r="L74"/>
  <c r="P73"/>
  <c r="M73"/>
  <c r="J73"/>
  <c r="G73"/>
  <c r="D73"/>
  <c r="C73"/>
  <c r="C72"/>
  <c r="J72" s="1"/>
  <c r="P71"/>
  <c r="M71"/>
  <c r="J71"/>
  <c r="G71"/>
  <c r="D71"/>
  <c r="C71"/>
  <c r="C70"/>
  <c r="J70" s="1"/>
  <c r="P69"/>
  <c r="M69"/>
  <c r="J69"/>
  <c r="G69"/>
  <c r="D69"/>
  <c r="C69"/>
  <c r="C68"/>
  <c r="J68" s="1"/>
  <c r="C67"/>
  <c r="M67" s="1"/>
  <c r="C66"/>
  <c r="J66" s="1"/>
  <c r="C65"/>
  <c r="M65" s="1"/>
  <c r="C64"/>
  <c r="J64" s="1"/>
  <c r="O63"/>
  <c r="L63"/>
  <c r="L60" s="1"/>
  <c r="I63"/>
  <c r="F63"/>
  <c r="F60" s="1"/>
  <c r="P62"/>
  <c r="M62"/>
  <c r="J62"/>
  <c r="G62"/>
  <c r="D62"/>
  <c r="C62"/>
  <c r="C61"/>
  <c r="M61" s="1"/>
  <c r="P59"/>
  <c r="M59"/>
  <c r="J59"/>
  <c r="G59"/>
  <c r="D59"/>
  <c r="C59"/>
  <c r="C58"/>
  <c r="J58" s="1"/>
  <c r="C57"/>
  <c r="M57" s="1"/>
  <c r="C56"/>
  <c r="J56" s="1"/>
  <c r="C55"/>
  <c r="M55" s="1"/>
  <c r="C54"/>
  <c r="J54" s="1"/>
  <c r="O53"/>
  <c r="L53"/>
  <c r="I53"/>
  <c r="F53"/>
  <c r="P52"/>
  <c r="M52"/>
  <c r="J52"/>
  <c r="G52"/>
  <c r="D52"/>
  <c r="C52"/>
  <c r="C51"/>
  <c r="M51" s="1"/>
  <c r="P50"/>
  <c r="M50"/>
  <c r="J50"/>
  <c r="G50"/>
  <c r="D50"/>
  <c r="C50"/>
  <c r="C49"/>
  <c r="M49" s="1"/>
  <c r="C48"/>
  <c r="J48" s="1"/>
  <c r="C47"/>
  <c r="M47" s="1"/>
  <c r="C46"/>
  <c r="J46" s="1"/>
  <c r="C45"/>
  <c r="M45" s="1"/>
  <c r="C44"/>
  <c r="J44" s="1"/>
  <c r="C43"/>
  <c r="M43" s="1"/>
  <c r="C42"/>
  <c r="J42" s="1"/>
  <c r="O41"/>
  <c r="L41"/>
  <c r="I41"/>
  <c r="F41"/>
  <c r="P40"/>
  <c r="M40"/>
  <c r="J40"/>
  <c r="G40"/>
  <c r="D40"/>
  <c r="C40"/>
  <c r="C39"/>
  <c r="M39" s="1"/>
  <c r="C38"/>
  <c r="J38" s="1"/>
  <c r="C37"/>
  <c r="M37" s="1"/>
  <c r="C36"/>
  <c r="J36" s="1"/>
  <c r="O35"/>
  <c r="L35"/>
  <c r="I35"/>
  <c r="F35"/>
  <c r="F34" s="1"/>
  <c r="P33"/>
  <c r="M33"/>
  <c r="J33"/>
  <c r="G33"/>
  <c r="D33"/>
  <c r="C33"/>
  <c r="C32"/>
  <c r="J32" s="1"/>
  <c r="C31"/>
  <c r="M31" s="1"/>
  <c r="C30"/>
  <c r="J30" s="1"/>
  <c r="C29"/>
  <c r="M29" s="1"/>
  <c r="C28"/>
  <c r="J28" s="1"/>
  <c r="O27"/>
  <c r="L27"/>
  <c r="I27"/>
  <c r="F27"/>
  <c r="F26" s="1"/>
  <c r="C27"/>
  <c r="L26"/>
  <c r="P25"/>
  <c r="M25"/>
  <c r="J25"/>
  <c r="G25"/>
  <c r="D25"/>
  <c r="C25"/>
  <c r="C24"/>
  <c r="J24" s="1"/>
  <c r="C23"/>
  <c r="M23" s="1"/>
  <c r="C22"/>
  <c r="J22" s="1"/>
  <c r="O21"/>
  <c r="L21"/>
  <c r="C21" s="1"/>
  <c r="I21"/>
  <c r="F21"/>
  <c r="P20"/>
  <c r="M20"/>
  <c r="J20"/>
  <c r="G20"/>
  <c r="D20"/>
  <c r="C20"/>
  <c r="C19"/>
  <c r="M19" s="1"/>
  <c r="C18"/>
  <c r="J18" s="1"/>
  <c r="C17"/>
  <c r="M17" s="1"/>
  <c r="O16"/>
  <c r="L16"/>
  <c r="I16"/>
  <c r="I15" s="1"/>
  <c r="F16"/>
  <c r="P14"/>
  <c r="M14"/>
  <c r="J14"/>
  <c r="G14"/>
  <c r="D14"/>
  <c r="C14"/>
  <c r="P12"/>
  <c r="M12"/>
  <c r="J12"/>
  <c r="G12"/>
  <c r="D12"/>
  <c r="C12"/>
  <c r="O112" i="19"/>
  <c r="I112"/>
  <c r="B112"/>
  <c r="L112" s="1"/>
  <c r="B111"/>
  <c r="R111" s="1"/>
  <c r="O110"/>
  <c r="I110"/>
  <c r="F110"/>
  <c r="B110"/>
  <c r="R110" s="1"/>
  <c r="F109"/>
  <c r="B109"/>
  <c r="L109" s="1"/>
  <c r="O108"/>
  <c r="I108"/>
  <c r="B108"/>
  <c r="L108" s="1"/>
  <c r="R107"/>
  <c r="Q107"/>
  <c r="O107"/>
  <c r="N107"/>
  <c r="L107"/>
  <c r="K107"/>
  <c r="I107"/>
  <c r="H107"/>
  <c r="F107"/>
  <c r="E107"/>
  <c r="B107"/>
  <c r="R106"/>
  <c r="O106"/>
  <c r="L106"/>
  <c r="I106"/>
  <c r="F106"/>
  <c r="B106"/>
  <c r="B105"/>
  <c r="L105" s="1"/>
  <c r="R104"/>
  <c r="O104"/>
  <c r="L104"/>
  <c r="I104"/>
  <c r="F104"/>
  <c r="C104"/>
  <c r="B104"/>
  <c r="B103"/>
  <c r="R103" s="1"/>
  <c r="O102"/>
  <c r="I102"/>
  <c r="B102"/>
  <c r="R102" s="1"/>
  <c r="B101"/>
  <c r="L101" s="1"/>
  <c r="R100"/>
  <c r="O100"/>
  <c r="L100"/>
  <c r="I100"/>
  <c r="F100"/>
  <c r="C100"/>
  <c r="B100"/>
  <c r="R99"/>
  <c r="Q99"/>
  <c r="O99"/>
  <c r="N99"/>
  <c r="L99"/>
  <c r="K99"/>
  <c r="I99"/>
  <c r="H99"/>
  <c r="F99"/>
  <c r="E99"/>
  <c r="B99"/>
  <c r="R98"/>
  <c r="O98"/>
  <c r="L98"/>
  <c r="I98"/>
  <c r="F98"/>
  <c r="C98"/>
  <c r="B98"/>
  <c r="O97"/>
  <c r="I97"/>
  <c r="B97"/>
  <c r="R97" s="1"/>
  <c r="B96"/>
  <c r="L96" s="1"/>
  <c r="O95"/>
  <c r="I95"/>
  <c r="B95"/>
  <c r="L95" s="1"/>
  <c r="R94"/>
  <c r="O94"/>
  <c r="L94"/>
  <c r="I94"/>
  <c r="F94"/>
  <c r="C94"/>
  <c r="B94"/>
  <c r="O93"/>
  <c r="I93"/>
  <c r="B93"/>
  <c r="R93" s="1"/>
  <c r="B92"/>
  <c r="L92" s="1"/>
  <c r="O91"/>
  <c r="I91"/>
  <c r="B91"/>
  <c r="L91" s="1"/>
  <c r="B90"/>
  <c r="R90" s="1"/>
  <c r="O89"/>
  <c r="I89"/>
  <c r="B89"/>
  <c r="R89" s="1"/>
  <c r="B88"/>
  <c r="L88" s="1"/>
  <c r="O87"/>
  <c r="I87"/>
  <c r="B87"/>
  <c r="L87" s="1"/>
  <c r="B86"/>
  <c r="R86" s="1"/>
  <c r="O85"/>
  <c r="I85"/>
  <c r="B85"/>
  <c r="R85" s="1"/>
  <c r="R84"/>
  <c r="Q84"/>
  <c r="O84"/>
  <c r="N84"/>
  <c r="L84"/>
  <c r="K84"/>
  <c r="I84"/>
  <c r="H84"/>
  <c r="F84"/>
  <c r="E84"/>
  <c r="B84"/>
  <c r="R83"/>
  <c r="Q83"/>
  <c r="O83"/>
  <c r="N83"/>
  <c r="L83"/>
  <c r="K83"/>
  <c r="I83"/>
  <c r="H83"/>
  <c r="F83"/>
  <c r="E83"/>
  <c r="B83"/>
  <c r="R82"/>
  <c r="O82"/>
  <c r="L82"/>
  <c r="I82"/>
  <c r="F82"/>
  <c r="C82"/>
  <c r="B82"/>
  <c r="O81"/>
  <c r="I81"/>
  <c r="B81"/>
  <c r="L81" s="1"/>
  <c r="B80"/>
  <c r="R80" s="1"/>
  <c r="O79"/>
  <c r="I79"/>
  <c r="B79"/>
  <c r="R79" s="1"/>
  <c r="B78"/>
  <c r="L78" s="1"/>
  <c r="Q77"/>
  <c r="R77" s="1"/>
  <c r="N77"/>
  <c r="O77" s="1"/>
  <c r="K77"/>
  <c r="L77" s="1"/>
  <c r="H77"/>
  <c r="I77" s="1"/>
  <c r="E77"/>
  <c r="F77" s="1"/>
  <c r="B77"/>
  <c r="Q76"/>
  <c r="R76" s="1"/>
  <c r="N76"/>
  <c r="O76" s="1"/>
  <c r="K76"/>
  <c r="L76" s="1"/>
  <c r="H76"/>
  <c r="I76" s="1"/>
  <c r="E76"/>
  <c r="F76" s="1"/>
  <c r="B76"/>
  <c r="R75"/>
  <c r="O75"/>
  <c r="L75"/>
  <c r="I75"/>
  <c r="F75"/>
  <c r="C75"/>
  <c r="B75"/>
  <c r="B74"/>
  <c r="R74" s="1"/>
  <c r="R73"/>
  <c r="O73"/>
  <c r="L73"/>
  <c r="I73"/>
  <c r="F73"/>
  <c r="C73"/>
  <c r="B73"/>
  <c r="B72"/>
  <c r="L72" s="1"/>
  <c r="R71"/>
  <c r="O71"/>
  <c r="L71"/>
  <c r="I71"/>
  <c r="F71"/>
  <c r="C71"/>
  <c r="B71"/>
  <c r="B70"/>
  <c r="R70" s="1"/>
  <c r="O69"/>
  <c r="I69"/>
  <c r="B69"/>
  <c r="R69" s="1"/>
  <c r="B68"/>
  <c r="L68" s="1"/>
  <c r="O67"/>
  <c r="I67"/>
  <c r="B67"/>
  <c r="L67" s="1"/>
  <c r="B66"/>
  <c r="R66" s="1"/>
  <c r="Q65"/>
  <c r="R65" s="1"/>
  <c r="N65"/>
  <c r="O65" s="1"/>
  <c r="K65"/>
  <c r="L65" s="1"/>
  <c r="H65"/>
  <c r="I65" s="1"/>
  <c r="E65"/>
  <c r="F65" s="1"/>
  <c r="B65"/>
  <c r="R64"/>
  <c r="O64"/>
  <c r="L64"/>
  <c r="I64"/>
  <c r="F64"/>
  <c r="C64"/>
  <c r="B64"/>
  <c r="B63"/>
  <c r="L63" s="1"/>
  <c r="Q62"/>
  <c r="R62" s="1"/>
  <c r="N62"/>
  <c r="O62" s="1"/>
  <c r="K62"/>
  <c r="L62" s="1"/>
  <c r="H62"/>
  <c r="I62" s="1"/>
  <c r="E62"/>
  <c r="F62" s="1"/>
  <c r="B62"/>
  <c r="R61"/>
  <c r="O61"/>
  <c r="L61"/>
  <c r="I61"/>
  <c r="F61"/>
  <c r="C61"/>
  <c r="B61"/>
  <c r="B60"/>
  <c r="R60" s="1"/>
  <c r="O59"/>
  <c r="I59"/>
  <c r="B59"/>
  <c r="R59" s="1"/>
  <c r="B58"/>
  <c r="L58" s="1"/>
  <c r="O57"/>
  <c r="I57"/>
  <c r="B57"/>
  <c r="L57" s="1"/>
  <c r="B56"/>
  <c r="R56" s="1"/>
  <c r="Q55"/>
  <c r="R55" s="1"/>
  <c r="N55"/>
  <c r="O55" s="1"/>
  <c r="K55"/>
  <c r="L55" s="1"/>
  <c r="H55"/>
  <c r="I55" s="1"/>
  <c r="E55"/>
  <c r="F55" s="1"/>
  <c r="B55"/>
  <c r="R54"/>
  <c r="O54"/>
  <c r="L54"/>
  <c r="I54"/>
  <c r="F54"/>
  <c r="C54"/>
  <c r="B54"/>
  <c r="B53"/>
  <c r="L53" s="1"/>
  <c r="R52"/>
  <c r="O52"/>
  <c r="L52"/>
  <c r="I52"/>
  <c r="F52"/>
  <c r="C52"/>
  <c r="B52"/>
  <c r="B51"/>
  <c r="R51" s="1"/>
  <c r="O50"/>
  <c r="I50"/>
  <c r="B50"/>
  <c r="R50" s="1"/>
  <c r="B49"/>
  <c r="L49" s="1"/>
  <c r="O48"/>
  <c r="I48"/>
  <c r="B48"/>
  <c r="L48" s="1"/>
  <c r="B47"/>
  <c r="R47" s="1"/>
  <c r="O46"/>
  <c r="I46"/>
  <c r="B46"/>
  <c r="R46" s="1"/>
  <c r="B45"/>
  <c r="L45" s="1"/>
  <c r="O44"/>
  <c r="I44"/>
  <c r="B44"/>
  <c r="L44" s="1"/>
  <c r="R43"/>
  <c r="Q43"/>
  <c r="O43"/>
  <c r="N43"/>
  <c r="L43"/>
  <c r="K43"/>
  <c r="I43"/>
  <c r="H43"/>
  <c r="F43"/>
  <c r="E43"/>
  <c r="B43"/>
  <c r="R42"/>
  <c r="O42"/>
  <c r="L42"/>
  <c r="I42"/>
  <c r="F42"/>
  <c r="C42"/>
  <c r="B42"/>
  <c r="O41"/>
  <c r="I41"/>
  <c r="B41"/>
  <c r="R41" s="1"/>
  <c r="B40"/>
  <c r="L40" s="1"/>
  <c r="O39"/>
  <c r="I39"/>
  <c r="B39"/>
  <c r="L39" s="1"/>
  <c r="B38"/>
  <c r="R38" s="1"/>
  <c r="Q37"/>
  <c r="R37" s="1"/>
  <c r="N37"/>
  <c r="O37" s="1"/>
  <c r="K37"/>
  <c r="L37" s="1"/>
  <c r="H37"/>
  <c r="I37" s="1"/>
  <c r="E37"/>
  <c r="F37" s="1"/>
  <c r="B37"/>
  <c r="Q36"/>
  <c r="R36" s="1"/>
  <c r="N36"/>
  <c r="O36" s="1"/>
  <c r="K36"/>
  <c r="L36" s="1"/>
  <c r="H36"/>
  <c r="I36" s="1"/>
  <c r="E36"/>
  <c r="F36" s="1"/>
  <c r="B36"/>
  <c r="R35"/>
  <c r="O35"/>
  <c r="L35"/>
  <c r="I35"/>
  <c r="F35"/>
  <c r="C35"/>
  <c r="B35"/>
  <c r="B34"/>
  <c r="L34" s="1"/>
  <c r="O33"/>
  <c r="I33"/>
  <c r="B33"/>
  <c r="L33" s="1"/>
  <c r="B32"/>
  <c r="R32" s="1"/>
  <c r="O31"/>
  <c r="I31"/>
  <c r="B31"/>
  <c r="R31" s="1"/>
  <c r="B30"/>
  <c r="L30" s="1"/>
  <c r="Q29"/>
  <c r="R29" s="1"/>
  <c r="N29"/>
  <c r="O29" s="1"/>
  <c r="K29"/>
  <c r="L29" s="1"/>
  <c r="H29"/>
  <c r="I29" s="1"/>
  <c r="E29"/>
  <c r="F29" s="1"/>
  <c r="B29"/>
  <c r="Q28"/>
  <c r="R28" s="1"/>
  <c r="N28"/>
  <c r="O28" s="1"/>
  <c r="K28"/>
  <c r="L28" s="1"/>
  <c r="H28"/>
  <c r="I28" s="1"/>
  <c r="E28"/>
  <c r="F28" s="1"/>
  <c r="B28"/>
  <c r="R27"/>
  <c r="O27"/>
  <c r="L27"/>
  <c r="I27"/>
  <c r="F27"/>
  <c r="C27"/>
  <c r="B27"/>
  <c r="B26"/>
  <c r="R26" s="1"/>
  <c r="O25"/>
  <c r="I25"/>
  <c r="B25"/>
  <c r="R25" s="1"/>
  <c r="B24"/>
  <c r="L24" s="1"/>
  <c r="Q23"/>
  <c r="R23" s="1"/>
  <c r="N23"/>
  <c r="O23" s="1"/>
  <c r="K23"/>
  <c r="L23" s="1"/>
  <c r="H23"/>
  <c r="I23" s="1"/>
  <c r="E23"/>
  <c r="F23" s="1"/>
  <c r="B23"/>
  <c r="R22"/>
  <c r="O22"/>
  <c r="L22"/>
  <c r="I22"/>
  <c r="F22"/>
  <c r="C22"/>
  <c r="B22"/>
  <c r="B21"/>
  <c r="R21" s="1"/>
  <c r="O20"/>
  <c r="I20"/>
  <c r="B20"/>
  <c r="R20" s="1"/>
  <c r="B19"/>
  <c r="L19" s="1"/>
  <c r="Q18"/>
  <c r="R18" s="1"/>
  <c r="N18"/>
  <c r="O18" s="1"/>
  <c r="K18"/>
  <c r="L18" s="1"/>
  <c r="H18"/>
  <c r="I18" s="1"/>
  <c r="E18"/>
  <c r="F18" s="1"/>
  <c r="B18"/>
  <c r="Q17"/>
  <c r="R17" s="1"/>
  <c r="N17"/>
  <c r="O17" s="1"/>
  <c r="K17"/>
  <c r="L17" s="1"/>
  <c r="H17"/>
  <c r="I17" s="1"/>
  <c r="E17"/>
  <c r="F17" s="1"/>
  <c r="B17"/>
  <c r="R16"/>
  <c r="O16"/>
  <c r="L16"/>
  <c r="I16"/>
  <c r="F16"/>
  <c r="C16"/>
  <c r="B16"/>
  <c r="R14"/>
  <c r="O14"/>
  <c r="L14"/>
  <c r="I14"/>
  <c r="F14"/>
  <c r="C14"/>
  <c r="B14"/>
  <c r="R12"/>
  <c r="O12"/>
  <c r="L12"/>
  <c r="I12"/>
  <c r="F12"/>
  <c r="C12"/>
  <c r="B12"/>
  <c r="B114" i="17"/>
  <c r="B113"/>
  <c r="B112"/>
  <c r="B111"/>
  <c r="B110"/>
  <c r="Q109"/>
  <c r="N109"/>
  <c r="K109"/>
  <c r="H109"/>
  <c r="E109"/>
  <c r="B109"/>
  <c r="R108"/>
  <c r="F108"/>
  <c r="B107"/>
  <c r="F107" s="1"/>
  <c r="R106"/>
  <c r="F106"/>
  <c r="C106"/>
  <c r="B106"/>
  <c r="B105"/>
  <c r="F105" s="1"/>
  <c r="B104"/>
  <c r="F104" s="1"/>
  <c r="B103"/>
  <c r="F103" s="1"/>
  <c r="R102"/>
  <c r="F102"/>
  <c r="C102"/>
  <c r="B102"/>
  <c r="Q101"/>
  <c r="N101"/>
  <c r="K101"/>
  <c r="H101"/>
  <c r="E101"/>
  <c r="B101"/>
  <c r="R100"/>
  <c r="F100"/>
  <c r="C100"/>
  <c r="B100"/>
  <c r="R99"/>
  <c r="F99"/>
  <c r="B99"/>
  <c r="R98"/>
  <c r="F98"/>
  <c r="C98"/>
  <c r="B98"/>
  <c r="B97"/>
  <c r="F97" s="1"/>
  <c r="B96"/>
  <c r="F96" s="1"/>
  <c r="B95"/>
  <c r="F95" s="1"/>
  <c r="R94"/>
  <c r="F94"/>
  <c r="C94"/>
  <c r="B94"/>
  <c r="B93"/>
  <c r="F93" s="1"/>
  <c r="B92"/>
  <c r="F92" s="1"/>
  <c r="B91"/>
  <c r="F91" s="1"/>
  <c r="B90"/>
  <c r="F90" s="1"/>
  <c r="B89"/>
  <c r="F89" s="1"/>
  <c r="B88"/>
  <c r="F88" s="1"/>
  <c r="B87"/>
  <c r="F87" s="1"/>
  <c r="B86"/>
  <c r="F86" s="1"/>
  <c r="B85"/>
  <c r="F85" s="1"/>
  <c r="Q84"/>
  <c r="R84" s="1"/>
  <c r="N84"/>
  <c r="K84"/>
  <c r="H84"/>
  <c r="E84"/>
  <c r="F84" s="1"/>
  <c r="B84"/>
  <c r="Q83"/>
  <c r="R83" s="1"/>
  <c r="N83"/>
  <c r="K83"/>
  <c r="H83"/>
  <c r="E83"/>
  <c r="F83" s="1"/>
  <c r="B83"/>
  <c r="R82"/>
  <c r="F82"/>
  <c r="C82"/>
  <c r="B82"/>
  <c r="B81"/>
  <c r="B80"/>
  <c r="B79"/>
  <c r="B78"/>
  <c r="Q77"/>
  <c r="N77"/>
  <c r="K77"/>
  <c r="H77"/>
  <c r="E77"/>
  <c r="B77"/>
  <c r="Q76"/>
  <c r="N76"/>
  <c r="K76"/>
  <c r="H76"/>
  <c r="E76"/>
  <c r="B76"/>
  <c r="R75"/>
  <c r="F75"/>
  <c r="C75"/>
  <c r="B75"/>
  <c r="R74"/>
  <c r="B74"/>
  <c r="R73"/>
  <c r="F73"/>
  <c r="C73"/>
  <c r="B73"/>
  <c r="R72"/>
  <c r="B72"/>
  <c r="R71"/>
  <c r="F71"/>
  <c r="C71"/>
  <c r="B71"/>
  <c r="R70"/>
  <c r="B70"/>
  <c r="R69"/>
  <c r="B69"/>
  <c r="R68"/>
  <c r="B68"/>
  <c r="R67"/>
  <c r="B67"/>
  <c r="R66"/>
  <c r="B66"/>
  <c r="R65"/>
  <c r="Q65"/>
  <c r="N65"/>
  <c r="K65"/>
  <c r="H65"/>
  <c r="F65"/>
  <c r="E65"/>
  <c r="B65"/>
  <c r="R64"/>
  <c r="F64"/>
  <c r="C64"/>
  <c r="B64"/>
  <c r="R63"/>
  <c r="F63"/>
  <c r="B63"/>
  <c r="Q62"/>
  <c r="K62"/>
  <c r="E62"/>
  <c r="R61"/>
  <c r="F61"/>
  <c r="C61"/>
  <c r="B61"/>
  <c r="F60"/>
  <c r="B60"/>
  <c r="R60" s="1"/>
  <c r="F59"/>
  <c r="B59"/>
  <c r="R59" s="1"/>
  <c r="F58"/>
  <c r="B58"/>
  <c r="R58" s="1"/>
  <c r="F57"/>
  <c r="B57"/>
  <c r="R57" s="1"/>
  <c r="F56"/>
  <c r="B56"/>
  <c r="R56" s="1"/>
  <c r="Q55"/>
  <c r="N55"/>
  <c r="K55"/>
  <c r="H55"/>
  <c r="E55"/>
  <c r="R54"/>
  <c r="F54"/>
  <c r="C54"/>
  <c r="B54"/>
  <c r="B53"/>
  <c r="R52"/>
  <c r="F52"/>
  <c r="C52"/>
  <c r="B52"/>
  <c r="B51"/>
  <c r="B50"/>
  <c r="B49"/>
  <c r="B48"/>
  <c r="B47"/>
  <c r="B46"/>
  <c r="B45"/>
  <c r="B44"/>
  <c r="Q43"/>
  <c r="R43" s="1"/>
  <c r="N43"/>
  <c r="K43"/>
  <c r="H43"/>
  <c r="E43"/>
  <c r="F43" s="1"/>
  <c r="B43"/>
  <c r="R42"/>
  <c r="F42"/>
  <c r="C42"/>
  <c r="B42"/>
  <c r="R41"/>
  <c r="B41"/>
  <c r="R40"/>
  <c r="B40"/>
  <c r="R39"/>
  <c r="B39"/>
  <c r="R38"/>
  <c r="B38"/>
  <c r="R37"/>
  <c r="Q37"/>
  <c r="N37"/>
  <c r="K37"/>
  <c r="H37"/>
  <c r="F37"/>
  <c r="E37"/>
  <c r="B37"/>
  <c r="R35"/>
  <c r="F35"/>
  <c r="C35"/>
  <c r="B35"/>
  <c r="R34"/>
  <c r="F34"/>
  <c r="B34"/>
  <c r="R33"/>
  <c r="F33"/>
  <c r="B33"/>
  <c r="R32"/>
  <c r="F32"/>
  <c r="B32"/>
  <c r="R31"/>
  <c r="F31"/>
  <c r="B31"/>
  <c r="R30"/>
  <c r="F30"/>
  <c r="B30"/>
  <c r="Q29"/>
  <c r="N29"/>
  <c r="K29"/>
  <c r="H29"/>
  <c r="E29"/>
  <c r="Q28"/>
  <c r="N28"/>
  <c r="K28"/>
  <c r="H28"/>
  <c r="E28"/>
  <c r="R27"/>
  <c r="F27"/>
  <c r="C27"/>
  <c r="B27"/>
  <c r="F26"/>
  <c r="B26"/>
  <c r="R26" s="1"/>
  <c r="F25"/>
  <c r="B25"/>
  <c r="R25" s="1"/>
  <c r="F24"/>
  <c r="B24"/>
  <c r="R24" s="1"/>
  <c r="Q23"/>
  <c r="N23"/>
  <c r="K23"/>
  <c r="H23"/>
  <c r="E23"/>
  <c r="R22"/>
  <c r="F22"/>
  <c r="C22"/>
  <c r="B22"/>
  <c r="B21"/>
  <c r="B20"/>
  <c r="B19"/>
  <c r="Q18"/>
  <c r="N18"/>
  <c r="O18" s="1"/>
  <c r="K18"/>
  <c r="H18"/>
  <c r="I18" s="1"/>
  <c r="E18"/>
  <c r="B18"/>
  <c r="N17"/>
  <c r="H17"/>
  <c r="R16"/>
  <c r="O16"/>
  <c r="L16"/>
  <c r="I16"/>
  <c r="F16"/>
  <c r="C16"/>
  <c r="B16"/>
  <c r="R14"/>
  <c r="O14"/>
  <c r="L14"/>
  <c r="I14"/>
  <c r="F14"/>
  <c r="C14"/>
  <c r="B14"/>
  <c r="R12"/>
  <c r="O12"/>
  <c r="L12"/>
  <c r="I12"/>
  <c r="F12"/>
  <c r="C12"/>
  <c r="B12"/>
  <c r="O112" i="16"/>
  <c r="I112"/>
  <c r="B112"/>
  <c r="L112" s="1"/>
  <c r="B111"/>
  <c r="R111" s="1"/>
  <c r="O110"/>
  <c r="I110"/>
  <c r="B110"/>
  <c r="R110" s="1"/>
  <c r="F109"/>
  <c r="B109"/>
  <c r="L109" s="1"/>
  <c r="O108"/>
  <c r="I108"/>
  <c r="B108"/>
  <c r="L108" s="1"/>
  <c r="R107"/>
  <c r="Q107"/>
  <c r="O107"/>
  <c r="N107"/>
  <c r="L107"/>
  <c r="K107"/>
  <c r="I107"/>
  <c r="H107"/>
  <c r="F107"/>
  <c r="E107"/>
  <c r="B107"/>
  <c r="R106"/>
  <c r="O106"/>
  <c r="L106"/>
  <c r="I106"/>
  <c r="F106"/>
  <c r="B106"/>
  <c r="B105"/>
  <c r="L105" s="1"/>
  <c r="R104"/>
  <c r="O104"/>
  <c r="L104"/>
  <c r="I104"/>
  <c r="F104"/>
  <c r="C104"/>
  <c r="B104"/>
  <c r="B103"/>
  <c r="R103" s="1"/>
  <c r="O102"/>
  <c r="I102"/>
  <c r="B102"/>
  <c r="R102" s="1"/>
  <c r="B101"/>
  <c r="L101" s="1"/>
  <c r="R100"/>
  <c r="O100"/>
  <c r="L100"/>
  <c r="I100"/>
  <c r="F100"/>
  <c r="C100"/>
  <c r="B100"/>
  <c r="R99"/>
  <c r="Q99"/>
  <c r="O99"/>
  <c r="N99"/>
  <c r="L99"/>
  <c r="K99"/>
  <c r="I99"/>
  <c r="H99"/>
  <c r="F99"/>
  <c r="E99"/>
  <c r="B99"/>
  <c r="R98"/>
  <c r="O98"/>
  <c r="L98"/>
  <c r="I98"/>
  <c r="F98"/>
  <c r="C98"/>
  <c r="B98"/>
  <c r="O97"/>
  <c r="I97"/>
  <c r="B97"/>
  <c r="R97" s="1"/>
  <c r="B96"/>
  <c r="L96" s="1"/>
  <c r="O95"/>
  <c r="I95"/>
  <c r="B95"/>
  <c r="L95" s="1"/>
  <c r="R94"/>
  <c r="O94"/>
  <c r="L94"/>
  <c r="I94"/>
  <c r="F94"/>
  <c r="C94"/>
  <c r="B94"/>
  <c r="O93"/>
  <c r="I93"/>
  <c r="B93"/>
  <c r="R93" s="1"/>
  <c r="B92"/>
  <c r="L92" s="1"/>
  <c r="O91"/>
  <c r="I91"/>
  <c r="B91"/>
  <c r="L91" s="1"/>
  <c r="B90"/>
  <c r="R90" s="1"/>
  <c r="O89"/>
  <c r="I89"/>
  <c r="B89"/>
  <c r="R89" s="1"/>
  <c r="B88"/>
  <c r="L88" s="1"/>
  <c r="O87"/>
  <c r="I87"/>
  <c r="B87"/>
  <c r="L87" s="1"/>
  <c r="B86"/>
  <c r="R86" s="1"/>
  <c r="O85"/>
  <c r="I85"/>
  <c r="B85"/>
  <c r="R85" s="1"/>
  <c r="R84"/>
  <c r="Q84"/>
  <c r="O84"/>
  <c r="N84"/>
  <c r="L84"/>
  <c r="K84"/>
  <c r="I84"/>
  <c r="H84"/>
  <c r="F84"/>
  <c r="E84"/>
  <c r="B84"/>
  <c r="R83"/>
  <c r="Q83"/>
  <c r="O83"/>
  <c r="N83"/>
  <c r="L83"/>
  <c r="K83"/>
  <c r="I83"/>
  <c r="H83"/>
  <c r="F83"/>
  <c r="E83"/>
  <c r="B83"/>
  <c r="R82"/>
  <c r="O82"/>
  <c r="L82"/>
  <c r="I82"/>
  <c r="F82"/>
  <c r="C82"/>
  <c r="B82"/>
  <c r="O81"/>
  <c r="I81"/>
  <c r="B81"/>
  <c r="L81" s="1"/>
  <c r="B80"/>
  <c r="R80" s="1"/>
  <c r="O79"/>
  <c r="I79"/>
  <c r="B79"/>
  <c r="R79" s="1"/>
  <c r="B78"/>
  <c r="L78" s="1"/>
  <c r="Q77"/>
  <c r="R77" s="1"/>
  <c r="N77"/>
  <c r="O77" s="1"/>
  <c r="K77"/>
  <c r="L77" s="1"/>
  <c r="H77"/>
  <c r="I77" s="1"/>
  <c r="E77"/>
  <c r="F77" s="1"/>
  <c r="B77"/>
  <c r="Q76"/>
  <c r="R76" s="1"/>
  <c r="N76"/>
  <c r="O76" s="1"/>
  <c r="K76"/>
  <c r="L76" s="1"/>
  <c r="H76"/>
  <c r="I76" s="1"/>
  <c r="E76"/>
  <c r="F76" s="1"/>
  <c r="B76"/>
  <c r="R75"/>
  <c r="O75"/>
  <c r="L75"/>
  <c r="I75"/>
  <c r="F75"/>
  <c r="C75"/>
  <c r="B75"/>
  <c r="B74"/>
  <c r="R74" s="1"/>
  <c r="R73"/>
  <c r="O73"/>
  <c r="L73"/>
  <c r="I73"/>
  <c r="F73"/>
  <c r="C73"/>
  <c r="B73"/>
  <c r="B72"/>
  <c r="L72" s="1"/>
  <c r="R71"/>
  <c r="O71"/>
  <c r="L71"/>
  <c r="I71"/>
  <c r="F71"/>
  <c r="C71"/>
  <c r="B71"/>
  <c r="B70"/>
  <c r="R70" s="1"/>
  <c r="O69"/>
  <c r="I69"/>
  <c r="B69"/>
  <c r="R69" s="1"/>
  <c r="B68"/>
  <c r="L68" s="1"/>
  <c r="O67"/>
  <c r="I67"/>
  <c r="B67"/>
  <c r="L67" s="1"/>
  <c r="B66"/>
  <c r="R66" s="1"/>
  <c r="Q65"/>
  <c r="R65" s="1"/>
  <c r="N65"/>
  <c r="O65" s="1"/>
  <c r="K65"/>
  <c r="L65" s="1"/>
  <c r="H65"/>
  <c r="I65" s="1"/>
  <c r="E65"/>
  <c r="F65" s="1"/>
  <c r="B65"/>
  <c r="R64"/>
  <c r="O64"/>
  <c r="L64"/>
  <c r="I64"/>
  <c r="F64"/>
  <c r="C64"/>
  <c r="B64"/>
  <c r="B63"/>
  <c r="L63" s="1"/>
  <c r="Q62"/>
  <c r="R62" s="1"/>
  <c r="N62"/>
  <c r="O62" s="1"/>
  <c r="K62"/>
  <c r="L62" s="1"/>
  <c r="H62"/>
  <c r="I62" s="1"/>
  <c r="E62"/>
  <c r="F62" s="1"/>
  <c r="B62"/>
  <c r="R61"/>
  <c r="O61"/>
  <c r="L61"/>
  <c r="I61"/>
  <c r="F61"/>
  <c r="C61"/>
  <c r="B61"/>
  <c r="B60"/>
  <c r="R60" s="1"/>
  <c r="O59"/>
  <c r="I59"/>
  <c r="B59"/>
  <c r="R59" s="1"/>
  <c r="B58"/>
  <c r="L58" s="1"/>
  <c r="O57"/>
  <c r="I57"/>
  <c r="B57"/>
  <c r="L57" s="1"/>
  <c r="B56"/>
  <c r="R56" s="1"/>
  <c r="Q55"/>
  <c r="R55" s="1"/>
  <c r="N55"/>
  <c r="O55" s="1"/>
  <c r="K55"/>
  <c r="L55" s="1"/>
  <c r="H55"/>
  <c r="I55" s="1"/>
  <c r="E55"/>
  <c r="F55" s="1"/>
  <c r="B55"/>
  <c r="R54"/>
  <c r="O54"/>
  <c r="L54"/>
  <c r="I54"/>
  <c r="F54"/>
  <c r="C54"/>
  <c r="B54"/>
  <c r="B53"/>
  <c r="L53" s="1"/>
  <c r="R52"/>
  <c r="O52"/>
  <c r="L52"/>
  <c r="I52"/>
  <c r="F52"/>
  <c r="C52"/>
  <c r="B52"/>
  <c r="B51"/>
  <c r="R51" s="1"/>
  <c r="O50"/>
  <c r="I50"/>
  <c r="B50"/>
  <c r="R50" s="1"/>
  <c r="B49"/>
  <c r="L49" s="1"/>
  <c r="O48"/>
  <c r="I48"/>
  <c r="B48"/>
  <c r="L48" s="1"/>
  <c r="B47"/>
  <c r="R47" s="1"/>
  <c r="O46"/>
  <c r="I46"/>
  <c r="B46"/>
  <c r="R46" s="1"/>
  <c r="B45"/>
  <c r="L45" s="1"/>
  <c r="O44"/>
  <c r="I44"/>
  <c r="B44"/>
  <c r="L44" s="1"/>
  <c r="R43"/>
  <c r="Q43"/>
  <c r="O43"/>
  <c r="N43"/>
  <c r="L43"/>
  <c r="K43"/>
  <c r="I43"/>
  <c r="H43"/>
  <c r="F43"/>
  <c r="E43"/>
  <c r="B43"/>
  <c r="R42"/>
  <c r="O42"/>
  <c r="L42"/>
  <c r="I42"/>
  <c r="F42"/>
  <c r="C42"/>
  <c r="B42"/>
  <c r="O41"/>
  <c r="I41"/>
  <c r="B41"/>
  <c r="R41" s="1"/>
  <c r="B40"/>
  <c r="L40" s="1"/>
  <c r="O39"/>
  <c r="I39"/>
  <c r="B39"/>
  <c r="L39" s="1"/>
  <c r="B38"/>
  <c r="R38" s="1"/>
  <c r="Q37"/>
  <c r="R37" s="1"/>
  <c r="N37"/>
  <c r="O37" s="1"/>
  <c r="K37"/>
  <c r="L37" s="1"/>
  <c r="H37"/>
  <c r="I37" s="1"/>
  <c r="E37"/>
  <c r="F37" s="1"/>
  <c r="B37"/>
  <c r="Q36"/>
  <c r="R36" s="1"/>
  <c r="N36"/>
  <c r="O36" s="1"/>
  <c r="K36"/>
  <c r="L36" s="1"/>
  <c r="H36"/>
  <c r="I36" s="1"/>
  <c r="E36"/>
  <c r="F36" s="1"/>
  <c r="B36"/>
  <c r="R35"/>
  <c r="O35"/>
  <c r="L35"/>
  <c r="I35"/>
  <c r="F35"/>
  <c r="C35"/>
  <c r="B35"/>
  <c r="B34"/>
  <c r="L34" s="1"/>
  <c r="O33"/>
  <c r="I33"/>
  <c r="B33"/>
  <c r="L33" s="1"/>
  <c r="B32"/>
  <c r="R32" s="1"/>
  <c r="O31"/>
  <c r="I31"/>
  <c r="B31"/>
  <c r="R31" s="1"/>
  <c r="B30"/>
  <c r="L30" s="1"/>
  <c r="Q29"/>
  <c r="R29" s="1"/>
  <c r="N29"/>
  <c r="O29" s="1"/>
  <c r="K29"/>
  <c r="L29" s="1"/>
  <c r="H29"/>
  <c r="I29" s="1"/>
  <c r="E29"/>
  <c r="F29" s="1"/>
  <c r="B29"/>
  <c r="Q28"/>
  <c r="R28" s="1"/>
  <c r="N28"/>
  <c r="O28" s="1"/>
  <c r="K28"/>
  <c r="L28" s="1"/>
  <c r="H28"/>
  <c r="I28" s="1"/>
  <c r="E28"/>
  <c r="F28" s="1"/>
  <c r="B28"/>
  <c r="R27"/>
  <c r="O27"/>
  <c r="L27"/>
  <c r="I27"/>
  <c r="F27"/>
  <c r="C27"/>
  <c r="B27"/>
  <c r="B26"/>
  <c r="R26" s="1"/>
  <c r="O25"/>
  <c r="I25"/>
  <c r="B25"/>
  <c r="R25" s="1"/>
  <c r="B24"/>
  <c r="L24" s="1"/>
  <c r="Q23"/>
  <c r="R23" s="1"/>
  <c r="N23"/>
  <c r="O23" s="1"/>
  <c r="K23"/>
  <c r="L23" s="1"/>
  <c r="H23"/>
  <c r="I23" s="1"/>
  <c r="E23"/>
  <c r="F23" s="1"/>
  <c r="B23"/>
  <c r="R22"/>
  <c r="O22"/>
  <c r="L22"/>
  <c r="I22"/>
  <c r="F22"/>
  <c r="C22"/>
  <c r="B22"/>
  <c r="B21"/>
  <c r="R21" s="1"/>
  <c r="O20"/>
  <c r="I20"/>
  <c r="B20"/>
  <c r="R20" s="1"/>
  <c r="B19"/>
  <c r="L19" s="1"/>
  <c r="Q18"/>
  <c r="R18" s="1"/>
  <c r="N18"/>
  <c r="O18" s="1"/>
  <c r="K18"/>
  <c r="L18" s="1"/>
  <c r="H18"/>
  <c r="I18" s="1"/>
  <c r="E18"/>
  <c r="F18" s="1"/>
  <c r="B18"/>
  <c r="Q17"/>
  <c r="R17" s="1"/>
  <c r="N17"/>
  <c r="O17" s="1"/>
  <c r="K17"/>
  <c r="L17" s="1"/>
  <c r="H17"/>
  <c r="I17" s="1"/>
  <c r="E17"/>
  <c r="F17" s="1"/>
  <c r="B17"/>
  <c r="R16"/>
  <c r="O16"/>
  <c r="L16"/>
  <c r="I16"/>
  <c r="F16"/>
  <c r="C16"/>
  <c r="B16"/>
  <c r="R14"/>
  <c r="O14"/>
  <c r="L14"/>
  <c r="I14"/>
  <c r="F14"/>
  <c r="C14"/>
  <c r="B14"/>
  <c r="R12"/>
  <c r="O12"/>
  <c r="L12"/>
  <c r="I12"/>
  <c r="F12"/>
  <c r="C12"/>
  <c r="B12"/>
  <c r="O113" i="14"/>
  <c r="I113"/>
  <c r="B113"/>
  <c r="L113" s="1"/>
  <c r="B112"/>
  <c r="R112" s="1"/>
  <c r="O111"/>
  <c r="I111"/>
  <c r="B111"/>
  <c r="R111" s="1"/>
  <c r="F110"/>
  <c r="B110"/>
  <c r="L110" s="1"/>
  <c r="O109"/>
  <c r="I109"/>
  <c r="B109"/>
  <c r="L109" s="1"/>
  <c r="R108"/>
  <c r="Q108"/>
  <c r="O108"/>
  <c r="N108"/>
  <c r="L108"/>
  <c r="K108"/>
  <c r="I108"/>
  <c r="H108"/>
  <c r="F108"/>
  <c r="E108"/>
  <c r="B108"/>
  <c r="O107"/>
  <c r="L107"/>
  <c r="I107"/>
  <c r="F107"/>
  <c r="B107"/>
  <c r="O106"/>
  <c r="I106"/>
  <c r="B106"/>
  <c r="L106" s="1"/>
  <c r="R105"/>
  <c r="O105"/>
  <c r="L105"/>
  <c r="I105"/>
  <c r="F105"/>
  <c r="C105"/>
  <c r="B105"/>
  <c r="O104"/>
  <c r="I104"/>
  <c r="B104"/>
  <c r="R104" s="1"/>
  <c r="B103"/>
  <c r="L103" s="1"/>
  <c r="O102"/>
  <c r="I102"/>
  <c r="B102"/>
  <c r="L102" s="1"/>
  <c r="R101"/>
  <c r="O101"/>
  <c r="L101"/>
  <c r="I101"/>
  <c r="F101"/>
  <c r="C101"/>
  <c r="B101"/>
  <c r="Q100"/>
  <c r="N100"/>
  <c r="K100"/>
  <c r="H100"/>
  <c r="E100"/>
  <c r="R99"/>
  <c r="O99"/>
  <c r="L99"/>
  <c r="I99"/>
  <c r="F99"/>
  <c r="C99"/>
  <c r="B99"/>
  <c r="B98"/>
  <c r="L98" s="1"/>
  <c r="R97"/>
  <c r="O97"/>
  <c r="L97"/>
  <c r="I97"/>
  <c r="F97"/>
  <c r="C97"/>
  <c r="B97"/>
  <c r="B96"/>
  <c r="R96" s="1"/>
  <c r="B95"/>
  <c r="R95" s="1"/>
  <c r="R94"/>
  <c r="O94"/>
  <c r="L94"/>
  <c r="I94"/>
  <c r="F94"/>
  <c r="C94"/>
  <c r="B94"/>
  <c r="O93"/>
  <c r="I93"/>
  <c r="B93"/>
  <c r="L93" s="1"/>
  <c r="B92"/>
  <c r="R92" s="1"/>
  <c r="O91"/>
  <c r="I91"/>
  <c r="B91"/>
  <c r="R91" s="1"/>
  <c r="B90"/>
  <c r="L90" s="1"/>
  <c r="O89"/>
  <c r="I89"/>
  <c r="B89"/>
  <c r="L89" s="1"/>
  <c r="B88"/>
  <c r="R88" s="1"/>
  <c r="O87"/>
  <c r="I87"/>
  <c r="B87"/>
  <c r="R87" s="1"/>
  <c r="B86"/>
  <c r="L86" s="1"/>
  <c r="O85"/>
  <c r="I85"/>
  <c r="B85"/>
  <c r="L85" s="1"/>
  <c r="R84"/>
  <c r="Q84"/>
  <c r="O84"/>
  <c r="N84"/>
  <c r="L84"/>
  <c r="K84"/>
  <c r="I84"/>
  <c r="H84"/>
  <c r="F84"/>
  <c r="E84"/>
  <c r="B84"/>
  <c r="Q83"/>
  <c r="N83"/>
  <c r="K83"/>
  <c r="H83"/>
  <c r="E83"/>
  <c r="B83"/>
  <c r="O83" s="1"/>
  <c r="R82"/>
  <c r="O82"/>
  <c r="L82"/>
  <c r="I82"/>
  <c r="F82"/>
  <c r="C82"/>
  <c r="B82"/>
  <c r="O81"/>
  <c r="I81"/>
  <c r="B81"/>
  <c r="R81" s="1"/>
  <c r="B80"/>
  <c r="L80" s="1"/>
  <c r="O79"/>
  <c r="I79"/>
  <c r="B79"/>
  <c r="L79" s="1"/>
  <c r="B78"/>
  <c r="R78" s="1"/>
  <c r="Q77"/>
  <c r="R77" s="1"/>
  <c r="N77"/>
  <c r="O77" s="1"/>
  <c r="K77"/>
  <c r="L77" s="1"/>
  <c r="H77"/>
  <c r="I77" s="1"/>
  <c r="E77"/>
  <c r="F77" s="1"/>
  <c r="B77"/>
  <c r="Q76"/>
  <c r="R76" s="1"/>
  <c r="N76"/>
  <c r="O76" s="1"/>
  <c r="K76"/>
  <c r="L76" s="1"/>
  <c r="H76"/>
  <c r="I76" s="1"/>
  <c r="E76"/>
  <c r="F76" s="1"/>
  <c r="B76"/>
  <c r="R75"/>
  <c r="O75"/>
  <c r="L75"/>
  <c r="I75"/>
  <c r="F75"/>
  <c r="C75"/>
  <c r="B75"/>
  <c r="B74"/>
  <c r="L74" s="1"/>
  <c r="R73"/>
  <c r="O73"/>
  <c r="L73"/>
  <c r="I73"/>
  <c r="F73"/>
  <c r="C73"/>
  <c r="B73"/>
  <c r="B72"/>
  <c r="R72" s="1"/>
  <c r="R71"/>
  <c r="O71"/>
  <c r="L71"/>
  <c r="I71"/>
  <c r="F71"/>
  <c r="C71"/>
  <c r="B71"/>
  <c r="B70"/>
  <c r="L70" s="1"/>
  <c r="O69"/>
  <c r="I69"/>
  <c r="B69"/>
  <c r="L69" s="1"/>
  <c r="B68"/>
  <c r="R68" s="1"/>
  <c r="O67"/>
  <c r="I67"/>
  <c r="B67"/>
  <c r="R67" s="1"/>
  <c r="B66"/>
  <c r="L66" s="1"/>
  <c r="Q65"/>
  <c r="R65" s="1"/>
  <c r="N65"/>
  <c r="O65" s="1"/>
  <c r="K65"/>
  <c r="L65" s="1"/>
  <c r="H65"/>
  <c r="I65" s="1"/>
  <c r="E65"/>
  <c r="F65" s="1"/>
  <c r="B65"/>
  <c r="R64"/>
  <c r="O64"/>
  <c r="L64"/>
  <c r="I64"/>
  <c r="F64"/>
  <c r="C64"/>
  <c r="B64"/>
  <c r="B63"/>
  <c r="R63" s="1"/>
  <c r="Q62"/>
  <c r="N62"/>
  <c r="K62"/>
  <c r="H62"/>
  <c r="E62"/>
  <c r="R61"/>
  <c r="O61"/>
  <c r="L61"/>
  <c r="I61"/>
  <c r="F61"/>
  <c r="C61"/>
  <c r="B61"/>
  <c r="B60"/>
  <c r="L60" s="1"/>
  <c r="O59"/>
  <c r="I59"/>
  <c r="B59"/>
  <c r="L59" s="1"/>
  <c r="B58"/>
  <c r="R58" s="1"/>
  <c r="O57"/>
  <c r="I57"/>
  <c r="B57"/>
  <c r="R57" s="1"/>
  <c r="B56"/>
  <c r="L56" s="1"/>
  <c r="Q55"/>
  <c r="R55" s="1"/>
  <c r="N55"/>
  <c r="O55" s="1"/>
  <c r="K55"/>
  <c r="L55" s="1"/>
  <c r="H55"/>
  <c r="I55" s="1"/>
  <c r="E55"/>
  <c r="F55" s="1"/>
  <c r="B55"/>
  <c r="R54"/>
  <c r="O54"/>
  <c r="L54"/>
  <c r="I54"/>
  <c r="F54"/>
  <c r="C54"/>
  <c r="B54"/>
  <c r="B53"/>
  <c r="R53" s="1"/>
  <c r="R52"/>
  <c r="O52"/>
  <c r="L52"/>
  <c r="I52"/>
  <c r="F52"/>
  <c r="C52"/>
  <c r="B52"/>
  <c r="B51"/>
  <c r="L51" s="1"/>
  <c r="O50"/>
  <c r="I50"/>
  <c r="B50"/>
  <c r="L50" s="1"/>
  <c r="B49"/>
  <c r="R49" s="1"/>
  <c r="O48"/>
  <c r="I48"/>
  <c r="B48"/>
  <c r="R48" s="1"/>
  <c r="B47"/>
  <c r="L47" s="1"/>
  <c r="O46"/>
  <c r="I46"/>
  <c r="B46"/>
  <c r="L46" s="1"/>
  <c r="O45"/>
  <c r="I45"/>
  <c r="B45"/>
  <c r="F45" s="1"/>
  <c r="B44"/>
  <c r="L44" s="1"/>
  <c r="Q43"/>
  <c r="R43" s="1"/>
  <c r="N43"/>
  <c r="O43" s="1"/>
  <c r="K43"/>
  <c r="L43" s="1"/>
  <c r="H43"/>
  <c r="I43" s="1"/>
  <c r="E43"/>
  <c r="F43" s="1"/>
  <c r="B43"/>
  <c r="R42"/>
  <c r="O42"/>
  <c r="L42"/>
  <c r="I42"/>
  <c r="F42"/>
  <c r="C42"/>
  <c r="B42"/>
  <c r="B41"/>
  <c r="R41" s="1"/>
  <c r="O40"/>
  <c r="I40"/>
  <c r="B40"/>
  <c r="R40" s="1"/>
  <c r="B39"/>
  <c r="L39" s="1"/>
  <c r="O38"/>
  <c r="I38"/>
  <c r="B38"/>
  <c r="L38" s="1"/>
  <c r="R37"/>
  <c r="Q37"/>
  <c r="O37"/>
  <c r="N37"/>
  <c r="L37"/>
  <c r="K37"/>
  <c r="I37"/>
  <c r="H37"/>
  <c r="F37"/>
  <c r="E37"/>
  <c r="B37"/>
  <c r="O35"/>
  <c r="L35"/>
  <c r="I35"/>
  <c r="F35"/>
  <c r="C35"/>
  <c r="B35"/>
  <c r="B34"/>
  <c r="L34" s="1"/>
  <c r="O33"/>
  <c r="I33"/>
  <c r="B33"/>
  <c r="L33" s="1"/>
  <c r="F32"/>
  <c r="B32"/>
  <c r="R32" s="1"/>
  <c r="O31"/>
  <c r="I31"/>
  <c r="B31"/>
  <c r="R31" s="1"/>
  <c r="B30"/>
  <c r="L30" s="1"/>
  <c r="Q29"/>
  <c r="R29" s="1"/>
  <c r="N29"/>
  <c r="O29" s="1"/>
  <c r="K29"/>
  <c r="L29" s="1"/>
  <c r="H29"/>
  <c r="I29" s="1"/>
  <c r="E29"/>
  <c r="F29" s="1"/>
  <c r="B29"/>
  <c r="Q28"/>
  <c r="R28" s="1"/>
  <c r="N28"/>
  <c r="O28" s="1"/>
  <c r="K28"/>
  <c r="L28" s="1"/>
  <c r="H28"/>
  <c r="I28" s="1"/>
  <c r="E28"/>
  <c r="F28" s="1"/>
  <c r="B28"/>
  <c r="R27"/>
  <c r="O27"/>
  <c r="L27"/>
  <c r="I27"/>
  <c r="F27"/>
  <c r="C27"/>
  <c r="B27"/>
  <c r="B26"/>
  <c r="R26" s="1"/>
  <c r="O25"/>
  <c r="I25"/>
  <c r="B25"/>
  <c r="R25" s="1"/>
  <c r="B24"/>
  <c r="L24" s="1"/>
  <c r="Q23"/>
  <c r="R23" s="1"/>
  <c r="N23"/>
  <c r="O23" s="1"/>
  <c r="K23"/>
  <c r="L23" s="1"/>
  <c r="H23"/>
  <c r="I23" s="1"/>
  <c r="E23"/>
  <c r="F23" s="1"/>
  <c r="B23"/>
  <c r="O22"/>
  <c r="L22"/>
  <c r="I22"/>
  <c r="F22"/>
  <c r="C22"/>
  <c r="B22"/>
  <c r="O21"/>
  <c r="I21"/>
  <c r="B21"/>
  <c r="R21" s="1"/>
  <c r="B20"/>
  <c r="L20" s="1"/>
  <c r="O19"/>
  <c r="I19"/>
  <c r="B19"/>
  <c r="L19" s="1"/>
  <c r="R18"/>
  <c r="Q18"/>
  <c r="O18"/>
  <c r="N18"/>
  <c r="L18"/>
  <c r="K18"/>
  <c r="I18"/>
  <c r="H18"/>
  <c r="F18"/>
  <c r="E18"/>
  <c r="B18"/>
  <c r="B16"/>
  <c r="P15"/>
  <c r="M15"/>
  <c r="J15"/>
  <c r="G15"/>
  <c r="R14"/>
  <c r="O14"/>
  <c r="L14"/>
  <c r="I14"/>
  <c r="F14"/>
  <c r="C14"/>
  <c r="B14"/>
  <c r="R12"/>
  <c r="O12"/>
  <c r="L12"/>
  <c r="I12"/>
  <c r="F12"/>
  <c r="C12"/>
  <c r="B12"/>
  <c r="O112" i="13"/>
  <c r="I112"/>
  <c r="B112"/>
  <c r="L112" s="1"/>
  <c r="B111"/>
  <c r="R111" s="1"/>
  <c r="O110"/>
  <c r="I110"/>
  <c r="B110"/>
  <c r="R110" s="1"/>
  <c r="B109"/>
  <c r="L109" s="1"/>
  <c r="O108"/>
  <c r="I108"/>
  <c r="B108"/>
  <c r="L108" s="1"/>
  <c r="R107"/>
  <c r="Q107"/>
  <c r="O107"/>
  <c r="N107"/>
  <c r="L107"/>
  <c r="K107"/>
  <c r="I107"/>
  <c r="H107"/>
  <c r="F107"/>
  <c r="E107"/>
  <c r="B107"/>
  <c r="R106"/>
  <c r="O106"/>
  <c r="L106"/>
  <c r="I106"/>
  <c r="F106"/>
  <c r="B106"/>
  <c r="B105"/>
  <c r="L105" s="1"/>
  <c r="R104"/>
  <c r="O104"/>
  <c r="L104"/>
  <c r="I104"/>
  <c r="F104"/>
  <c r="C104"/>
  <c r="B104"/>
  <c r="B103"/>
  <c r="R103" s="1"/>
  <c r="O102"/>
  <c r="I102"/>
  <c r="B102"/>
  <c r="R102" s="1"/>
  <c r="B101"/>
  <c r="L101" s="1"/>
  <c r="R100"/>
  <c r="O100"/>
  <c r="L100"/>
  <c r="I100"/>
  <c r="F100"/>
  <c r="C100"/>
  <c r="B100"/>
  <c r="R99"/>
  <c r="Q99"/>
  <c r="O99"/>
  <c r="N99"/>
  <c r="L99"/>
  <c r="K99"/>
  <c r="I99"/>
  <c r="H99"/>
  <c r="F99"/>
  <c r="E99"/>
  <c r="B99"/>
  <c r="R98"/>
  <c r="O98"/>
  <c r="L98"/>
  <c r="I98"/>
  <c r="F98"/>
  <c r="C98"/>
  <c r="B98"/>
  <c r="O97"/>
  <c r="I97"/>
  <c r="B97"/>
  <c r="R97" s="1"/>
  <c r="B96"/>
  <c r="L96" s="1"/>
  <c r="O95"/>
  <c r="I95"/>
  <c r="B95"/>
  <c r="L95" s="1"/>
  <c r="R94"/>
  <c r="O94"/>
  <c r="L94"/>
  <c r="I94"/>
  <c r="F94"/>
  <c r="C94"/>
  <c r="B94"/>
  <c r="O93"/>
  <c r="I93"/>
  <c r="B93"/>
  <c r="R93" s="1"/>
  <c r="B92"/>
  <c r="L92" s="1"/>
  <c r="O91"/>
  <c r="I91"/>
  <c r="B91"/>
  <c r="L91" s="1"/>
  <c r="B90"/>
  <c r="R90" s="1"/>
  <c r="O89"/>
  <c r="I89"/>
  <c r="B89"/>
  <c r="R89" s="1"/>
  <c r="B88"/>
  <c r="L88" s="1"/>
  <c r="O87"/>
  <c r="I87"/>
  <c r="B87"/>
  <c r="L87" s="1"/>
  <c r="B86"/>
  <c r="R86" s="1"/>
  <c r="O85"/>
  <c r="I85"/>
  <c r="B85"/>
  <c r="R85" s="1"/>
  <c r="R84"/>
  <c r="Q84"/>
  <c r="O84"/>
  <c r="N84"/>
  <c r="L84"/>
  <c r="K84"/>
  <c r="I84"/>
  <c r="H84"/>
  <c r="F84"/>
  <c r="E84"/>
  <c r="B84"/>
  <c r="Q83"/>
  <c r="N83"/>
  <c r="K83"/>
  <c r="H83"/>
  <c r="F83"/>
  <c r="E83"/>
  <c r="B83"/>
  <c r="L83" s="1"/>
  <c r="R82"/>
  <c r="O82"/>
  <c r="L82"/>
  <c r="I82"/>
  <c r="F82"/>
  <c r="C82"/>
  <c r="B82"/>
  <c r="O81"/>
  <c r="I81"/>
  <c r="B81"/>
  <c r="L81" s="1"/>
  <c r="B80"/>
  <c r="R80" s="1"/>
  <c r="O79"/>
  <c r="I79"/>
  <c r="B79"/>
  <c r="R79" s="1"/>
  <c r="B78"/>
  <c r="L78" s="1"/>
  <c r="Q77"/>
  <c r="R77" s="1"/>
  <c r="N77"/>
  <c r="O77" s="1"/>
  <c r="K77"/>
  <c r="L77" s="1"/>
  <c r="H77"/>
  <c r="I77" s="1"/>
  <c r="E77"/>
  <c r="F77" s="1"/>
  <c r="B77"/>
  <c r="C77" s="1"/>
  <c r="Q76"/>
  <c r="R76" s="1"/>
  <c r="N76"/>
  <c r="O76" s="1"/>
  <c r="K76"/>
  <c r="L76" s="1"/>
  <c r="H76"/>
  <c r="I76" s="1"/>
  <c r="E76"/>
  <c r="F76" s="1"/>
  <c r="B76"/>
  <c r="C76" s="1"/>
  <c r="R75"/>
  <c r="O75"/>
  <c r="L75"/>
  <c r="I75"/>
  <c r="F75"/>
  <c r="C75"/>
  <c r="B75"/>
  <c r="B74"/>
  <c r="R74" s="1"/>
  <c r="R73"/>
  <c r="O73"/>
  <c r="L73"/>
  <c r="I73"/>
  <c r="F73"/>
  <c r="C73"/>
  <c r="B73"/>
  <c r="B72"/>
  <c r="L72" s="1"/>
  <c r="R71"/>
  <c r="O71"/>
  <c r="L71"/>
  <c r="I71"/>
  <c r="F71"/>
  <c r="C71"/>
  <c r="B71"/>
  <c r="B70"/>
  <c r="R70" s="1"/>
  <c r="O69"/>
  <c r="I69"/>
  <c r="B69"/>
  <c r="R69" s="1"/>
  <c r="B68"/>
  <c r="L68" s="1"/>
  <c r="O67"/>
  <c r="I67"/>
  <c r="B67"/>
  <c r="L67" s="1"/>
  <c r="B66"/>
  <c r="R66" s="1"/>
  <c r="Q65"/>
  <c r="R65" s="1"/>
  <c r="N65"/>
  <c r="O65" s="1"/>
  <c r="K65"/>
  <c r="L65" s="1"/>
  <c r="H65"/>
  <c r="I65" s="1"/>
  <c r="E65"/>
  <c r="F65" s="1"/>
  <c r="B65"/>
  <c r="C65" s="1"/>
  <c r="R64"/>
  <c r="O64"/>
  <c r="L64"/>
  <c r="I64"/>
  <c r="F64"/>
  <c r="C64"/>
  <c r="B64"/>
  <c r="B63"/>
  <c r="L63" s="1"/>
  <c r="Q62"/>
  <c r="N62"/>
  <c r="O62" s="1"/>
  <c r="K62"/>
  <c r="H62"/>
  <c r="I62" s="1"/>
  <c r="E62"/>
  <c r="B62" s="1"/>
  <c r="C62" s="1"/>
  <c r="R61"/>
  <c r="O61"/>
  <c r="L61"/>
  <c r="I61"/>
  <c r="F61"/>
  <c r="C61"/>
  <c r="B61"/>
  <c r="B60"/>
  <c r="R60" s="1"/>
  <c r="O59"/>
  <c r="I59"/>
  <c r="B59"/>
  <c r="R59" s="1"/>
  <c r="B58"/>
  <c r="L58" s="1"/>
  <c r="O57"/>
  <c r="I57"/>
  <c r="B57"/>
  <c r="L57" s="1"/>
  <c r="B56"/>
  <c r="R56" s="1"/>
  <c r="Q55"/>
  <c r="R55" s="1"/>
  <c r="N55"/>
  <c r="O55" s="1"/>
  <c r="K55"/>
  <c r="L55" s="1"/>
  <c r="H55"/>
  <c r="I55" s="1"/>
  <c r="E55"/>
  <c r="F55" s="1"/>
  <c r="B55"/>
  <c r="C55" s="1"/>
  <c r="R54"/>
  <c r="O54"/>
  <c r="L54"/>
  <c r="I54"/>
  <c r="F54"/>
  <c r="C54"/>
  <c r="B54"/>
  <c r="B53"/>
  <c r="L53" s="1"/>
  <c r="R52"/>
  <c r="O52"/>
  <c r="L52"/>
  <c r="I52"/>
  <c r="F52"/>
  <c r="C52"/>
  <c r="B52"/>
  <c r="B51"/>
  <c r="R51" s="1"/>
  <c r="O50"/>
  <c r="I50"/>
  <c r="B50"/>
  <c r="R50" s="1"/>
  <c r="B49"/>
  <c r="L49" s="1"/>
  <c r="O48"/>
  <c r="I48"/>
  <c r="B48"/>
  <c r="L48" s="1"/>
  <c r="B47"/>
  <c r="R47" s="1"/>
  <c r="B46"/>
  <c r="L46" s="1"/>
  <c r="O45"/>
  <c r="I45"/>
  <c r="B45"/>
  <c r="L45" s="1"/>
  <c r="B44"/>
  <c r="R44" s="1"/>
  <c r="Q43"/>
  <c r="R43" s="1"/>
  <c r="N43"/>
  <c r="O43" s="1"/>
  <c r="K43"/>
  <c r="L43" s="1"/>
  <c r="H43"/>
  <c r="I43" s="1"/>
  <c r="E43"/>
  <c r="F43" s="1"/>
  <c r="B43"/>
  <c r="C43" s="1"/>
  <c r="R42"/>
  <c r="O42"/>
  <c r="L42"/>
  <c r="I42"/>
  <c r="F42"/>
  <c r="C42"/>
  <c r="B42"/>
  <c r="B41"/>
  <c r="L41" s="1"/>
  <c r="O40"/>
  <c r="I40"/>
  <c r="B40"/>
  <c r="L40" s="1"/>
  <c r="B39"/>
  <c r="R39" s="1"/>
  <c r="O38"/>
  <c r="I38"/>
  <c r="B38"/>
  <c r="R38" s="1"/>
  <c r="R37"/>
  <c r="Q37"/>
  <c r="O37"/>
  <c r="N37"/>
  <c r="L37"/>
  <c r="K37"/>
  <c r="I37"/>
  <c r="H37"/>
  <c r="F37"/>
  <c r="E37"/>
  <c r="B37"/>
  <c r="R36"/>
  <c r="Q36"/>
  <c r="O36"/>
  <c r="N36"/>
  <c r="L36"/>
  <c r="K36"/>
  <c r="I36"/>
  <c r="H36"/>
  <c r="F36"/>
  <c r="E36"/>
  <c r="B36"/>
  <c r="R35"/>
  <c r="O35"/>
  <c r="L35"/>
  <c r="I35"/>
  <c r="F35"/>
  <c r="C35"/>
  <c r="B35"/>
  <c r="O34"/>
  <c r="I34"/>
  <c r="B34"/>
  <c r="L34" s="1"/>
  <c r="B33"/>
  <c r="R33" s="1"/>
  <c r="O32"/>
  <c r="I32"/>
  <c r="B32"/>
  <c r="R32" s="1"/>
  <c r="B31"/>
  <c r="L31" s="1"/>
  <c r="O30"/>
  <c r="I30"/>
  <c r="B30"/>
  <c r="L30" s="1"/>
  <c r="R29"/>
  <c r="Q29"/>
  <c r="O29"/>
  <c r="N29"/>
  <c r="L29"/>
  <c r="K29"/>
  <c r="I29"/>
  <c r="H29"/>
  <c r="F29"/>
  <c r="E29"/>
  <c r="B29"/>
  <c r="R28"/>
  <c r="Q28"/>
  <c r="O28"/>
  <c r="N28"/>
  <c r="L28"/>
  <c r="K28"/>
  <c r="I28"/>
  <c r="H28"/>
  <c r="F28"/>
  <c r="E28"/>
  <c r="B28"/>
  <c r="R27"/>
  <c r="O27"/>
  <c r="L27"/>
  <c r="I27"/>
  <c r="F27"/>
  <c r="C27"/>
  <c r="B27"/>
  <c r="O26"/>
  <c r="I26"/>
  <c r="B26"/>
  <c r="R26" s="1"/>
  <c r="B25"/>
  <c r="L25" s="1"/>
  <c r="O24"/>
  <c r="I24"/>
  <c r="B24"/>
  <c r="L24" s="1"/>
  <c r="R23"/>
  <c r="Q23"/>
  <c r="O23"/>
  <c r="N23"/>
  <c r="L23"/>
  <c r="K23"/>
  <c r="I23"/>
  <c r="H23"/>
  <c r="F23"/>
  <c r="E23"/>
  <c r="B23"/>
  <c r="R22"/>
  <c r="O22"/>
  <c r="L22"/>
  <c r="I22"/>
  <c r="F22"/>
  <c r="C22"/>
  <c r="B22"/>
  <c r="O21"/>
  <c r="I21"/>
  <c r="B21"/>
  <c r="R21" s="1"/>
  <c r="B20"/>
  <c r="L20" s="1"/>
  <c r="O19"/>
  <c r="I19"/>
  <c r="B19"/>
  <c r="L19" s="1"/>
  <c r="R18"/>
  <c r="Q18"/>
  <c r="O18"/>
  <c r="N18"/>
  <c r="L18"/>
  <c r="K18"/>
  <c r="I18"/>
  <c r="H18"/>
  <c r="F18"/>
  <c r="E18"/>
  <c r="B18"/>
  <c r="R17"/>
  <c r="Q17"/>
  <c r="O17"/>
  <c r="N17"/>
  <c r="L17"/>
  <c r="K17"/>
  <c r="I17"/>
  <c r="H17"/>
  <c r="F17"/>
  <c r="E17"/>
  <c r="B17"/>
  <c r="C16"/>
  <c r="B16"/>
  <c r="Q15"/>
  <c r="N15"/>
  <c r="K15"/>
  <c r="H15"/>
  <c r="E15"/>
  <c r="B15" s="1"/>
  <c r="R14"/>
  <c r="O14"/>
  <c r="L14"/>
  <c r="I14"/>
  <c r="F14"/>
  <c r="C14"/>
  <c r="B14"/>
  <c r="Q13"/>
  <c r="R13" s="1"/>
  <c r="N13"/>
  <c r="O13" s="1"/>
  <c r="K13"/>
  <c r="L13" s="1"/>
  <c r="H13"/>
  <c r="I13" s="1"/>
  <c r="E13"/>
  <c r="F13" s="1"/>
  <c r="B13"/>
  <c r="C13" s="1"/>
  <c r="R12"/>
  <c r="O12"/>
  <c r="L12"/>
  <c r="I12"/>
  <c r="F12"/>
  <c r="C12"/>
  <c r="B12"/>
  <c r="Q11"/>
  <c r="N11"/>
  <c r="O11" s="1"/>
  <c r="K11"/>
  <c r="H11"/>
  <c r="E11"/>
  <c r="B11"/>
  <c r="C110" s="1"/>
  <c r="O112" i="12"/>
  <c r="I112"/>
  <c r="B112"/>
  <c r="L112" s="1"/>
  <c r="B111"/>
  <c r="R111" s="1"/>
  <c r="R110"/>
  <c r="O110"/>
  <c r="I110"/>
  <c r="F110"/>
  <c r="B110"/>
  <c r="L110" s="1"/>
  <c r="F109"/>
  <c r="B109"/>
  <c r="L109" s="1"/>
  <c r="O108"/>
  <c r="I108"/>
  <c r="B108"/>
  <c r="L108" s="1"/>
  <c r="R107"/>
  <c r="Q107"/>
  <c r="O107"/>
  <c r="N107"/>
  <c r="L107"/>
  <c r="K107"/>
  <c r="I107"/>
  <c r="H107"/>
  <c r="F107"/>
  <c r="E107"/>
  <c r="B107"/>
  <c r="R106"/>
  <c r="O106"/>
  <c r="L106"/>
  <c r="I106"/>
  <c r="F106"/>
  <c r="C106"/>
  <c r="B106"/>
  <c r="O105"/>
  <c r="I105"/>
  <c r="B105"/>
  <c r="R105" s="1"/>
  <c r="R104"/>
  <c r="O104"/>
  <c r="L104"/>
  <c r="I104"/>
  <c r="F104"/>
  <c r="C104"/>
  <c r="B104"/>
  <c r="O103"/>
  <c r="I103"/>
  <c r="B103"/>
  <c r="L103" s="1"/>
  <c r="B102"/>
  <c r="R102" s="1"/>
  <c r="O101"/>
  <c r="I101"/>
  <c r="B101"/>
  <c r="R101" s="1"/>
  <c r="B100"/>
  <c r="L100" s="1"/>
  <c r="R99"/>
  <c r="O99"/>
  <c r="L99"/>
  <c r="I99"/>
  <c r="F99"/>
  <c r="C99"/>
  <c r="B99"/>
  <c r="R98"/>
  <c r="Q98"/>
  <c r="O98"/>
  <c r="N98"/>
  <c r="L98"/>
  <c r="K98"/>
  <c r="I98"/>
  <c r="H98"/>
  <c r="F98"/>
  <c r="E98"/>
  <c r="B98"/>
  <c r="R97"/>
  <c r="O97"/>
  <c r="L97"/>
  <c r="I97"/>
  <c r="F97"/>
  <c r="C97"/>
  <c r="B97"/>
  <c r="O96"/>
  <c r="I96"/>
  <c r="B96"/>
  <c r="R96" s="1"/>
  <c r="B95"/>
  <c r="L95" s="1"/>
  <c r="R94"/>
  <c r="O94"/>
  <c r="L94"/>
  <c r="I94"/>
  <c r="F94"/>
  <c r="C94"/>
  <c r="B94"/>
  <c r="B93"/>
  <c r="R93" s="1"/>
  <c r="O92"/>
  <c r="I92"/>
  <c r="B92"/>
  <c r="R92" s="1"/>
  <c r="B91"/>
  <c r="L91" s="1"/>
  <c r="O90"/>
  <c r="I90"/>
  <c r="B90"/>
  <c r="L90" s="1"/>
  <c r="B89"/>
  <c r="R89" s="1"/>
  <c r="O88"/>
  <c r="I88"/>
  <c r="B88"/>
  <c r="R88" s="1"/>
  <c r="B87"/>
  <c r="L87" s="1"/>
  <c r="O86"/>
  <c r="I86"/>
  <c r="B86"/>
  <c r="L86" s="1"/>
  <c r="F85"/>
  <c r="B85"/>
  <c r="R85" s="1"/>
  <c r="Q84"/>
  <c r="R84" s="1"/>
  <c r="N84"/>
  <c r="O84" s="1"/>
  <c r="K84"/>
  <c r="L84" s="1"/>
  <c r="H84"/>
  <c r="I84" s="1"/>
  <c r="E84"/>
  <c r="F84" s="1"/>
  <c r="B84"/>
  <c r="Q83"/>
  <c r="R83" s="1"/>
  <c r="N83"/>
  <c r="O83" s="1"/>
  <c r="K83"/>
  <c r="L83" s="1"/>
  <c r="H83"/>
  <c r="I83" s="1"/>
  <c r="E83"/>
  <c r="F83" s="1"/>
  <c r="B83"/>
  <c r="R82"/>
  <c r="O82"/>
  <c r="L82"/>
  <c r="I82"/>
  <c r="F82"/>
  <c r="C82"/>
  <c r="B82"/>
  <c r="B81"/>
  <c r="L81" s="1"/>
  <c r="O80"/>
  <c r="I80"/>
  <c r="B80"/>
  <c r="L80" s="1"/>
  <c r="B79"/>
  <c r="R79" s="1"/>
  <c r="O78"/>
  <c r="I78"/>
  <c r="B78"/>
  <c r="R78" s="1"/>
  <c r="R77"/>
  <c r="Q77"/>
  <c r="O77"/>
  <c r="N77"/>
  <c r="L77"/>
  <c r="K77"/>
  <c r="I77"/>
  <c r="H77"/>
  <c r="F77"/>
  <c r="E77"/>
  <c r="B77"/>
  <c r="R76"/>
  <c r="Q76"/>
  <c r="O76"/>
  <c r="N76"/>
  <c r="L76"/>
  <c r="K76"/>
  <c r="I76"/>
  <c r="H76"/>
  <c r="F76"/>
  <c r="E76"/>
  <c r="B76"/>
  <c r="R75"/>
  <c r="O75"/>
  <c r="L75"/>
  <c r="I75"/>
  <c r="F75"/>
  <c r="C75"/>
  <c r="B75"/>
  <c r="O74"/>
  <c r="I74"/>
  <c r="F74"/>
  <c r="B74"/>
  <c r="L74" s="1"/>
  <c r="R73"/>
  <c r="O73"/>
  <c r="L73"/>
  <c r="I73"/>
  <c r="F73"/>
  <c r="C73"/>
  <c r="B73"/>
  <c r="O72"/>
  <c r="I72"/>
  <c r="B72"/>
  <c r="R72" s="1"/>
  <c r="R71"/>
  <c r="O71"/>
  <c r="L71"/>
  <c r="I71"/>
  <c r="F71"/>
  <c r="C71"/>
  <c r="B71"/>
  <c r="O70"/>
  <c r="I70"/>
  <c r="B70"/>
  <c r="L70" s="1"/>
  <c r="B69"/>
  <c r="R69" s="1"/>
  <c r="O68"/>
  <c r="I68"/>
  <c r="B68"/>
  <c r="R68" s="1"/>
  <c r="B67"/>
  <c r="L67" s="1"/>
  <c r="O66"/>
  <c r="I66"/>
  <c r="B66"/>
  <c r="L66" s="1"/>
  <c r="R65"/>
  <c r="Q65"/>
  <c r="O65"/>
  <c r="N65"/>
  <c r="L65"/>
  <c r="K65"/>
  <c r="I65"/>
  <c r="H65"/>
  <c r="F65"/>
  <c r="E65"/>
  <c r="B65"/>
  <c r="R64"/>
  <c r="O64"/>
  <c r="L64"/>
  <c r="I64"/>
  <c r="F64"/>
  <c r="C64"/>
  <c r="B64"/>
  <c r="O63"/>
  <c r="I63"/>
  <c r="B63"/>
  <c r="R63" s="1"/>
  <c r="R62"/>
  <c r="Q62"/>
  <c r="O62"/>
  <c r="N62"/>
  <c r="L62"/>
  <c r="K62"/>
  <c r="I62"/>
  <c r="H62"/>
  <c r="F62"/>
  <c r="E62"/>
  <c r="B62"/>
  <c r="R61"/>
  <c r="O61"/>
  <c r="L61"/>
  <c r="I61"/>
  <c r="F61"/>
  <c r="C61"/>
  <c r="B61"/>
  <c r="O60"/>
  <c r="I60"/>
  <c r="B60"/>
  <c r="L60" s="1"/>
  <c r="B59"/>
  <c r="R59" s="1"/>
  <c r="O58"/>
  <c r="I58"/>
  <c r="B58"/>
  <c r="R58" s="1"/>
  <c r="B57"/>
  <c r="L57" s="1"/>
  <c r="O56"/>
  <c r="I56"/>
  <c r="B56"/>
  <c r="L56" s="1"/>
  <c r="R55"/>
  <c r="Q55"/>
  <c r="O55"/>
  <c r="N55"/>
  <c r="L55"/>
  <c r="K55"/>
  <c r="I55"/>
  <c r="H55"/>
  <c r="F55"/>
  <c r="E55"/>
  <c r="B55"/>
  <c r="R54"/>
  <c r="O54"/>
  <c r="L54"/>
  <c r="I54"/>
  <c r="F54"/>
  <c r="C54"/>
  <c r="B54"/>
  <c r="O53"/>
  <c r="I53"/>
  <c r="B53"/>
  <c r="R53" s="1"/>
  <c r="R52"/>
  <c r="O52"/>
  <c r="L52"/>
  <c r="I52"/>
  <c r="F52"/>
  <c r="C52"/>
  <c r="B52"/>
  <c r="O51"/>
  <c r="I51"/>
  <c r="B51"/>
  <c r="L51" s="1"/>
  <c r="B50"/>
  <c r="R50" s="1"/>
  <c r="O49"/>
  <c r="I49"/>
  <c r="F49"/>
  <c r="B49"/>
  <c r="R49" s="1"/>
  <c r="B48"/>
  <c r="L48" s="1"/>
  <c r="O47"/>
  <c r="I47"/>
  <c r="B47"/>
  <c r="L47" s="1"/>
  <c r="B46"/>
  <c r="R46" s="1"/>
  <c r="O45"/>
  <c r="I45"/>
  <c r="F45"/>
  <c r="B45"/>
  <c r="R45" s="1"/>
  <c r="B44"/>
  <c r="L44" s="1"/>
  <c r="Q43"/>
  <c r="R43" s="1"/>
  <c r="N43"/>
  <c r="O43" s="1"/>
  <c r="K43"/>
  <c r="L43" s="1"/>
  <c r="H43"/>
  <c r="I43" s="1"/>
  <c r="E43"/>
  <c r="F43" s="1"/>
  <c r="B43"/>
  <c r="R42"/>
  <c r="O42"/>
  <c r="L42"/>
  <c r="I42"/>
  <c r="F42"/>
  <c r="C42"/>
  <c r="B42"/>
  <c r="B41"/>
  <c r="R41" s="1"/>
  <c r="O40"/>
  <c r="I40"/>
  <c r="B40"/>
  <c r="R40" s="1"/>
  <c r="B39"/>
  <c r="L39" s="1"/>
  <c r="O38"/>
  <c r="I38"/>
  <c r="B38"/>
  <c r="L38" s="1"/>
  <c r="R37"/>
  <c r="Q37"/>
  <c r="O37"/>
  <c r="N37"/>
  <c r="L37"/>
  <c r="K37"/>
  <c r="I37"/>
  <c r="H37"/>
  <c r="F37"/>
  <c r="E37"/>
  <c r="B37"/>
  <c r="R35"/>
  <c r="O35"/>
  <c r="L35"/>
  <c r="I35"/>
  <c r="F35"/>
  <c r="C35"/>
  <c r="B35"/>
  <c r="B34"/>
  <c r="L34" s="1"/>
  <c r="B33"/>
  <c r="F33" s="1"/>
  <c r="B32"/>
  <c r="L32" s="1"/>
  <c r="B31"/>
  <c r="F31" s="1"/>
  <c r="B30"/>
  <c r="L30" s="1"/>
  <c r="Q29"/>
  <c r="R29" s="1"/>
  <c r="N29"/>
  <c r="O29" s="1"/>
  <c r="K29"/>
  <c r="L29" s="1"/>
  <c r="H29"/>
  <c r="I29" s="1"/>
  <c r="E29"/>
  <c r="F29" s="1"/>
  <c r="B29"/>
  <c r="Q28"/>
  <c r="R28" s="1"/>
  <c r="N28"/>
  <c r="O28" s="1"/>
  <c r="K28"/>
  <c r="L28" s="1"/>
  <c r="H28"/>
  <c r="I28" s="1"/>
  <c r="E28"/>
  <c r="F28" s="1"/>
  <c r="B28"/>
  <c r="R27"/>
  <c r="O27"/>
  <c r="L27"/>
  <c r="I27"/>
  <c r="F27"/>
  <c r="C27"/>
  <c r="B27"/>
  <c r="F26"/>
  <c r="B26"/>
  <c r="R26" s="1"/>
  <c r="O25"/>
  <c r="I25"/>
  <c r="B25"/>
  <c r="R25" s="1"/>
  <c r="B24"/>
  <c r="L24" s="1"/>
  <c r="Q23"/>
  <c r="R23" s="1"/>
  <c r="N23"/>
  <c r="O23" s="1"/>
  <c r="K23"/>
  <c r="L23" s="1"/>
  <c r="H23"/>
  <c r="I23" s="1"/>
  <c r="E23"/>
  <c r="F23" s="1"/>
  <c r="B23"/>
  <c r="R22"/>
  <c r="O22"/>
  <c r="L22"/>
  <c r="I22"/>
  <c r="F22"/>
  <c r="C22"/>
  <c r="B22"/>
  <c r="R21"/>
  <c r="F21"/>
  <c r="B21"/>
  <c r="I21" s="1"/>
  <c r="O20"/>
  <c r="I20"/>
  <c r="B20"/>
  <c r="R20" s="1"/>
  <c r="B19"/>
  <c r="L19" s="1"/>
  <c r="Q18"/>
  <c r="R18" s="1"/>
  <c r="N18"/>
  <c r="O18" s="1"/>
  <c r="K18"/>
  <c r="L18" s="1"/>
  <c r="H18"/>
  <c r="I18" s="1"/>
  <c r="E18"/>
  <c r="F18" s="1"/>
  <c r="B18"/>
  <c r="Q17"/>
  <c r="R17" s="1"/>
  <c r="N17"/>
  <c r="O17" s="1"/>
  <c r="K17"/>
  <c r="L17" s="1"/>
  <c r="H17"/>
  <c r="I17" s="1"/>
  <c r="E17"/>
  <c r="F17" s="1"/>
  <c r="B17"/>
  <c r="R16"/>
  <c r="O16"/>
  <c r="L16"/>
  <c r="I16"/>
  <c r="F16"/>
  <c r="C16"/>
  <c r="B16"/>
  <c r="R14"/>
  <c r="O14"/>
  <c r="L14"/>
  <c r="I14"/>
  <c r="F14"/>
  <c r="C14"/>
  <c r="B14"/>
  <c r="C12"/>
  <c r="B112" i="10"/>
  <c r="L112" s="1"/>
  <c r="B111"/>
  <c r="R111" s="1"/>
  <c r="I110"/>
  <c r="B110"/>
  <c r="R110" s="1"/>
  <c r="B109"/>
  <c r="L109" s="1"/>
  <c r="B108"/>
  <c r="L108" s="1"/>
  <c r="Q107"/>
  <c r="R107" s="1"/>
  <c r="N107"/>
  <c r="K107"/>
  <c r="L107" s="1"/>
  <c r="H107"/>
  <c r="E107"/>
  <c r="F107" s="1"/>
  <c r="B107"/>
  <c r="O107" s="1"/>
  <c r="R106"/>
  <c r="O106"/>
  <c r="L106"/>
  <c r="I106"/>
  <c r="F106"/>
  <c r="C106"/>
  <c r="B106"/>
  <c r="O105"/>
  <c r="I105"/>
  <c r="B105"/>
  <c r="R105" s="1"/>
  <c r="O104"/>
  <c r="L104"/>
  <c r="I104"/>
  <c r="F104"/>
  <c r="B104"/>
  <c r="O103"/>
  <c r="I103"/>
  <c r="B103"/>
  <c r="R103" s="1"/>
  <c r="B102"/>
  <c r="L102" s="1"/>
  <c r="B101"/>
  <c r="L101" s="1"/>
  <c r="R100"/>
  <c r="O100"/>
  <c r="L100"/>
  <c r="I100"/>
  <c r="F100"/>
  <c r="C100"/>
  <c r="B100"/>
  <c r="Q99"/>
  <c r="N99"/>
  <c r="K99"/>
  <c r="H99"/>
  <c r="E99"/>
  <c r="B99"/>
  <c r="R98"/>
  <c r="O98"/>
  <c r="L98"/>
  <c r="I98"/>
  <c r="F98"/>
  <c r="C98"/>
  <c r="B98"/>
  <c r="B97"/>
  <c r="O97" s="1"/>
  <c r="B96"/>
  <c r="I96" s="1"/>
  <c r="B95"/>
  <c r="L95" s="1"/>
  <c r="R94"/>
  <c r="O94"/>
  <c r="L94"/>
  <c r="I94"/>
  <c r="F94"/>
  <c r="C94"/>
  <c r="B94"/>
  <c r="B93"/>
  <c r="R93" s="1"/>
  <c r="B92"/>
  <c r="R92" s="1"/>
  <c r="B91"/>
  <c r="L91" s="1"/>
  <c r="B90"/>
  <c r="L90" s="1"/>
  <c r="B89"/>
  <c r="R89" s="1"/>
  <c r="B88"/>
  <c r="R88" s="1"/>
  <c r="F87"/>
  <c r="B87"/>
  <c r="L87" s="1"/>
  <c r="I86"/>
  <c r="B86"/>
  <c r="L86" s="1"/>
  <c r="B85"/>
  <c r="R85" s="1"/>
  <c r="Q84"/>
  <c r="N84"/>
  <c r="K84"/>
  <c r="H84"/>
  <c r="E84"/>
  <c r="B84"/>
  <c r="Q83"/>
  <c r="N83"/>
  <c r="H83"/>
  <c r="E83"/>
  <c r="R82"/>
  <c r="O82"/>
  <c r="L82"/>
  <c r="I82"/>
  <c r="F82"/>
  <c r="C82"/>
  <c r="B82"/>
  <c r="B81"/>
  <c r="L81" s="1"/>
  <c r="B80"/>
  <c r="L80" s="1"/>
  <c r="B79"/>
  <c r="R79" s="1"/>
  <c r="B78"/>
  <c r="R78" s="1"/>
  <c r="Q77"/>
  <c r="N77"/>
  <c r="K77"/>
  <c r="H77"/>
  <c r="E77"/>
  <c r="Q76"/>
  <c r="N76"/>
  <c r="K76"/>
  <c r="H76"/>
  <c r="E76"/>
  <c r="B76" s="1"/>
  <c r="R75"/>
  <c r="O75"/>
  <c r="L75"/>
  <c r="I75"/>
  <c r="F75"/>
  <c r="C75"/>
  <c r="B75"/>
  <c r="B74"/>
  <c r="L74" s="1"/>
  <c r="R73"/>
  <c r="O73"/>
  <c r="L73"/>
  <c r="I73"/>
  <c r="F73"/>
  <c r="C73"/>
  <c r="B73"/>
  <c r="O72"/>
  <c r="I72"/>
  <c r="B72"/>
  <c r="R72" s="1"/>
  <c r="R71"/>
  <c r="O71"/>
  <c r="L71"/>
  <c r="I71"/>
  <c r="F71"/>
  <c r="C71"/>
  <c r="B71"/>
  <c r="B70"/>
  <c r="L70" s="1"/>
  <c r="B69"/>
  <c r="F69" s="1"/>
  <c r="B68"/>
  <c r="L68" s="1"/>
  <c r="B67"/>
  <c r="L67" s="1"/>
  <c r="B66"/>
  <c r="R66" s="1"/>
  <c r="Q65"/>
  <c r="N65"/>
  <c r="K65"/>
  <c r="H65"/>
  <c r="E65"/>
  <c r="R64"/>
  <c r="O64"/>
  <c r="L64"/>
  <c r="I64"/>
  <c r="F64"/>
  <c r="C64"/>
  <c r="B64"/>
  <c r="B63"/>
  <c r="L63" s="1"/>
  <c r="Q62"/>
  <c r="N62"/>
  <c r="K62"/>
  <c r="E62"/>
  <c r="R61"/>
  <c r="O61"/>
  <c r="L61"/>
  <c r="I61"/>
  <c r="F61"/>
  <c r="C61"/>
  <c r="B61"/>
  <c r="B60"/>
  <c r="R60" s="1"/>
  <c r="B59"/>
  <c r="R59" s="1"/>
  <c r="B58"/>
  <c r="L58" s="1"/>
  <c r="B57"/>
  <c r="L57" s="1"/>
  <c r="B56"/>
  <c r="R56" s="1"/>
  <c r="Q55"/>
  <c r="N55"/>
  <c r="K55"/>
  <c r="H55"/>
  <c r="E55"/>
  <c r="R54"/>
  <c r="O54"/>
  <c r="L54"/>
  <c r="I54"/>
  <c r="F54"/>
  <c r="C54"/>
  <c r="B54"/>
  <c r="B53"/>
  <c r="L53" s="1"/>
  <c r="R52"/>
  <c r="O52"/>
  <c r="L52"/>
  <c r="I52"/>
  <c r="F52"/>
  <c r="C52"/>
  <c r="B52"/>
  <c r="B51"/>
  <c r="R51" s="1"/>
  <c r="O50"/>
  <c r="I50"/>
  <c r="B50"/>
  <c r="R50" s="1"/>
  <c r="B49"/>
  <c r="L49" s="1"/>
  <c r="O48"/>
  <c r="I48"/>
  <c r="B48"/>
  <c r="L48" s="1"/>
  <c r="B47"/>
  <c r="R47" s="1"/>
  <c r="I46"/>
  <c r="B46"/>
  <c r="R46" s="1"/>
  <c r="B45"/>
  <c r="L45" s="1"/>
  <c r="B44"/>
  <c r="R44" s="1"/>
  <c r="Q43"/>
  <c r="N43"/>
  <c r="K43"/>
  <c r="H43"/>
  <c r="E43"/>
  <c r="R42"/>
  <c r="O42"/>
  <c r="L42"/>
  <c r="I42"/>
  <c r="F42"/>
  <c r="C42"/>
  <c r="B42"/>
  <c r="B41"/>
  <c r="L41" s="1"/>
  <c r="O40"/>
  <c r="I40"/>
  <c r="B40"/>
  <c r="L40" s="1"/>
  <c r="B39"/>
  <c r="R39" s="1"/>
  <c r="O38"/>
  <c r="I38"/>
  <c r="B38"/>
  <c r="R38" s="1"/>
  <c r="Q37"/>
  <c r="R37" s="1"/>
  <c r="N37"/>
  <c r="K37"/>
  <c r="L37" s="1"/>
  <c r="H37"/>
  <c r="E37"/>
  <c r="F37" s="1"/>
  <c r="B37"/>
  <c r="O37" s="1"/>
  <c r="Q36"/>
  <c r="N36"/>
  <c r="K36"/>
  <c r="H36"/>
  <c r="E36"/>
  <c r="R35"/>
  <c r="O35"/>
  <c r="L35"/>
  <c r="I35"/>
  <c r="F35"/>
  <c r="C35"/>
  <c r="B35"/>
  <c r="O34"/>
  <c r="I34"/>
  <c r="B34"/>
  <c r="L34" s="1"/>
  <c r="B33"/>
  <c r="R33" s="1"/>
  <c r="O32"/>
  <c r="I32"/>
  <c r="B32"/>
  <c r="R32" s="1"/>
  <c r="B31"/>
  <c r="L31" s="1"/>
  <c r="O30"/>
  <c r="I30"/>
  <c r="B30"/>
  <c r="L30" s="1"/>
  <c r="Q29"/>
  <c r="N29"/>
  <c r="K29"/>
  <c r="H29"/>
  <c r="E29"/>
  <c r="B29"/>
  <c r="R29" s="1"/>
  <c r="Q28"/>
  <c r="N28"/>
  <c r="K28"/>
  <c r="H28"/>
  <c r="E28"/>
  <c r="R27"/>
  <c r="O27"/>
  <c r="L27"/>
  <c r="I27"/>
  <c r="F27"/>
  <c r="C27"/>
  <c r="B27"/>
  <c r="O26"/>
  <c r="I26"/>
  <c r="B26"/>
  <c r="R26" s="1"/>
  <c r="B25"/>
  <c r="L25" s="1"/>
  <c r="O24"/>
  <c r="I24"/>
  <c r="B24"/>
  <c r="L24" s="1"/>
  <c r="Q23"/>
  <c r="N23"/>
  <c r="K23"/>
  <c r="H23"/>
  <c r="E23"/>
  <c r="B23"/>
  <c r="R23" s="1"/>
  <c r="R22"/>
  <c r="O22"/>
  <c r="L22"/>
  <c r="I22"/>
  <c r="F22"/>
  <c r="C22"/>
  <c r="B22"/>
  <c r="B21"/>
  <c r="L21" s="1"/>
  <c r="B20"/>
  <c r="F20" s="1"/>
  <c r="B19"/>
  <c r="L19" s="1"/>
  <c r="Q18"/>
  <c r="N18"/>
  <c r="K18"/>
  <c r="H18"/>
  <c r="E18"/>
  <c r="B18"/>
  <c r="N17"/>
  <c r="K17"/>
  <c r="H17"/>
  <c r="R16"/>
  <c r="O16"/>
  <c r="L16"/>
  <c r="I16"/>
  <c r="F16"/>
  <c r="C16"/>
  <c r="B16"/>
  <c r="R14"/>
  <c r="O14"/>
  <c r="L14"/>
  <c r="I14"/>
  <c r="F14"/>
  <c r="C14"/>
  <c r="B14"/>
  <c r="R12"/>
  <c r="O12"/>
  <c r="L12"/>
  <c r="I12"/>
  <c r="F12"/>
  <c r="C12"/>
  <c r="B12"/>
  <c r="P18" i="8"/>
  <c r="M18"/>
  <c r="J18"/>
  <c r="G18"/>
  <c r="D18"/>
  <c r="P16"/>
  <c r="M16"/>
  <c r="J16"/>
  <c r="G16"/>
  <c r="D16"/>
  <c r="P14"/>
  <c r="M14"/>
  <c r="J14"/>
  <c r="G14"/>
  <c r="D14"/>
  <c r="O11"/>
  <c r="P17" s="1"/>
  <c r="L11"/>
  <c r="M17" s="1"/>
  <c r="I11"/>
  <c r="J19" s="1"/>
  <c r="F11"/>
  <c r="G19" s="1"/>
  <c r="C11"/>
  <c r="D17" s="1"/>
  <c r="I125" i="7"/>
  <c r="I124"/>
  <c r="I123"/>
  <c r="I122"/>
  <c r="I121"/>
  <c r="I120"/>
  <c r="I119"/>
  <c r="I118"/>
  <c r="I117"/>
  <c r="I116"/>
  <c r="I115"/>
  <c r="I114"/>
  <c r="I113"/>
  <c r="I112"/>
  <c r="I111"/>
  <c r="I110"/>
  <c r="I109"/>
  <c r="I108"/>
  <c r="I107"/>
  <c r="B100"/>
  <c r="F100" s="1"/>
  <c r="I99"/>
  <c r="F99"/>
  <c r="B99"/>
  <c r="L99" s="1"/>
  <c r="I98"/>
  <c r="B98"/>
  <c r="F98" s="1"/>
  <c r="B97"/>
  <c r="L97" s="1"/>
  <c r="I96"/>
  <c r="B96"/>
  <c r="F96" s="1"/>
  <c r="N95"/>
  <c r="K95"/>
  <c r="H95"/>
  <c r="E95"/>
  <c r="O94"/>
  <c r="L94"/>
  <c r="I94"/>
  <c r="F94"/>
  <c r="C94"/>
  <c r="B94"/>
  <c r="F93"/>
  <c r="B93"/>
  <c r="L93" s="1"/>
  <c r="O92"/>
  <c r="L92"/>
  <c r="I92"/>
  <c r="F92"/>
  <c r="C92"/>
  <c r="B92"/>
  <c r="O91"/>
  <c r="F91"/>
  <c r="B91"/>
  <c r="L91" s="1"/>
  <c r="O90"/>
  <c r="B90"/>
  <c r="F90" s="1"/>
  <c r="F89"/>
  <c r="B89"/>
  <c r="L89" s="1"/>
  <c r="B88"/>
  <c r="F88" s="1"/>
  <c r="B87"/>
  <c r="L87" s="1"/>
  <c r="B86"/>
  <c r="F86" s="1"/>
  <c r="B85"/>
  <c r="L85" s="1"/>
  <c r="B84"/>
  <c r="F84" s="1"/>
  <c r="B83"/>
  <c r="L83" s="1"/>
  <c r="N82"/>
  <c r="N81" s="1"/>
  <c r="K82"/>
  <c r="H82"/>
  <c r="H81" s="1"/>
  <c r="E82"/>
  <c r="B82" s="1"/>
  <c r="K81"/>
  <c r="O80"/>
  <c r="L80"/>
  <c r="I80"/>
  <c r="F80"/>
  <c r="C80"/>
  <c r="B79"/>
  <c r="I79" s="1"/>
  <c r="B78"/>
  <c r="O78" s="1"/>
  <c r="B77"/>
  <c r="I77" s="1"/>
  <c r="B76"/>
  <c r="O76" s="1"/>
  <c r="N75"/>
  <c r="K75"/>
  <c r="H75"/>
  <c r="H74" s="1"/>
  <c r="E75"/>
  <c r="N74"/>
  <c r="O73"/>
  <c r="L73"/>
  <c r="I73"/>
  <c r="F73"/>
  <c r="C73"/>
  <c r="B73"/>
  <c r="B72"/>
  <c r="O72" s="1"/>
  <c r="O71"/>
  <c r="L71"/>
  <c r="I71"/>
  <c r="F71"/>
  <c r="C71"/>
  <c r="B71"/>
  <c r="B70"/>
  <c r="O70" s="1"/>
  <c r="O69"/>
  <c r="L69"/>
  <c r="I69"/>
  <c r="F69"/>
  <c r="C69"/>
  <c r="B69"/>
  <c r="B68"/>
  <c r="O68" s="1"/>
  <c r="O67"/>
  <c r="B67"/>
  <c r="I67" s="1"/>
  <c r="B66"/>
  <c r="O66" s="1"/>
  <c r="O65"/>
  <c r="B65"/>
  <c r="I65" s="1"/>
  <c r="B64"/>
  <c r="O64" s="1"/>
  <c r="N63"/>
  <c r="K63"/>
  <c r="H63"/>
  <c r="E63"/>
  <c r="O62"/>
  <c r="L62"/>
  <c r="I62"/>
  <c r="F62"/>
  <c r="C62"/>
  <c r="B62"/>
  <c r="I61"/>
  <c r="F61"/>
  <c r="B61"/>
  <c r="L61" s="1"/>
  <c r="N60"/>
  <c r="H60"/>
  <c r="O59"/>
  <c r="L59"/>
  <c r="I59"/>
  <c r="F59"/>
  <c r="C59"/>
  <c r="B59"/>
  <c r="B58"/>
  <c r="O58" s="1"/>
  <c r="B57"/>
  <c r="I57" s="1"/>
  <c r="B56"/>
  <c r="O56" s="1"/>
  <c r="B55"/>
  <c r="I55" s="1"/>
  <c r="B54"/>
  <c r="O54" s="1"/>
  <c r="N53"/>
  <c r="K53"/>
  <c r="H53"/>
  <c r="E53"/>
  <c r="O52"/>
  <c r="L52"/>
  <c r="I52"/>
  <c r="F52"/>
  <c r="C52"/>
  <c r="B52"/>
  <c r="F51"/>
  <c r="B51"/>
  <c r="I51" s="1"/>
  <c r="O50"/>
  <c r="L50"/>
  <c r="I50"/>
  <c r="F50"/>
  <c r="C50"/>
  <c r="B50"/>
  <c r="B49"/>
  <c r="I49" s="1"/>
  <c r="B48"/>
  <c r="O48" s="1"/>
  <c r="B47"/>
  <c r="I47" s="1"/>
  <c r="B46"/>
  <c r="O46" s="1"/>
  <c r="B45"/>
  <c r="I45" s="1"/>
  <c r="B44"/>
  <c r="O44" s="1"/>
  <c r="B43"/>
  <c r="I43" s="1"/>
  <c r="B42"/>
  <c r="O42" s="1"/>
  <c r="N41"/>
  <c r="K41"/>
  <c r="H41"/>
  <c r="E41"/>
  <c r="O40"/>
  <c r="L40"/>
  <c r="I40"/>
  <c r="F40"/>
  <c r="C40"/>
  <c r="B40"/>
  <c r="O39"/>
  <c r="F39"/>
  <c r="B39"/>
  <c r="I39" s="1"/>
  <c r="B38"/>
  <c r="O38" s="1"/>
  <c r="B37"/>
  <c r="I37" s="1"/>
  <c r="B36"/>
  <c r="O36" s="1"/>
  <c r="N35"/>
  <c r="K35"/>
  <c r="H35"/>
  <c r="E35"/>
  <c r="N34"/>
  <c r="H34"/>
  <c r="O33"/>
  <c r="L33"/>
  <c r="I33"/>
  <c r="F33"/>
  <c r="C33"/>
  <c r="B33"/>
  <c r="B32"/>
  <c r="O32" s="1"/>
  <c r="B31"/>
  <c r="I31" s="1"/>
  <c r="B30"/>
  <c r="O30" s="1"/>
  <c r="B29"/>
  <c r="I29" s="1"/>
  <c r="B28"/>
  <c r="O28" s="1"/>
  <c r="N27"/>
  <c r="K27"/>
  <c r="H27"/>
  <c r="E27"/>
  <c r="N26"/>
  <c r="K26"/>
  <c r="H26"/>
  <c r="E26"/>
  <c r="B26" s="1"/>
  <c r="O25"/>
  <c r="L25"/>
  <c r="I25"/>
  <c r="F25"/>
  <c r="C25"/>
  <c r="B25"/>
  <c r="B24"/>
  <c r="O24" s="1"/>
  <c r="B23"/>
  <c r="I23" s="1"/>
  <c r="B22"/>
  <c r="O22" s="1"/>
  <c r="N21"/>
  <c r="K21"/>
  <c r="H21"/>
  <c r="E21"/>
  <c r="O20"/>
  <c r="L20"/>
  <c r="I20"/>
  <c r="F20"/>
  <c r="C20"/>
  <c r="B20"/>
  <c r="O19"/>
  <c r="F19"/>
  <c r="B19"/>
  <c r="I19" s="1"/>
  <c r="B18"/>
  <c r="O18" s="1"/>
  <c r="O17"/>
  <c r="F17"/>
  <c r="B17"/>
  <c r="I17" s="1"/>
  <c r="N16"/>
  <c r="K16"/>
  <c r="H16"/>
  <c r="I16" s="1"/>
  <c r="E16"/>
  <c r="B16"/>
  <c r="K15"/>
  <c r="E15"/>
  <c r="O14"/>
  <c r="O12"/>
  <c r="L12"/>
  <c r="I12"/>
  <c r="F12"/>
  <c r="C12"/>
  <c r="B12"/>
  <c r="G33" i="5"/>
  <c r="C33"/>
  <c r="J33" s="1"/>
  <c r="J32"/>
  <c r="G32"/>
  <c r="C31"/>
  <c r="G31" s="1"/>
  <c r="C29"/>
  <c r="G29" s="1"/>
  <c r="J28"/>
  <c r="G28"/>
  <c r="C27"/>
  <c r="J27" s="1"/>
  <c r="C25"/>
  <c r="J25" s="1"/>
  <c r="J24"/>
  <c r="G24"/>
  <c r="C23"/>
  <c r="G23" s="1"/>
  <c r="C21"/>
  <c r="G21" s="1"/>
  <c r="J20"/>
  <c r="G20"/>
  <c r="C19"/>
  <c r="J19" s="1"/>
  <c r="C17"/>
  <c r="J17" s="1"/>
  <c r="J16"/>
  <c r="G16"/>
  <c r="C15"/>
  <c r="G15" s="1"/>
  <c r="C13"/>
  <c r="G13" s="1"/>
  <c r="J12"/>
  <c r="G12"/>
  <c r="C11"/>
  <c r="G11" s="1"/>
  <c r="K114" i="4"/>
  <c r="B114"/>
  <c r="K113"/>
  <c r="B113"/>
  <c r="K112"/>
  <c r="B112"/>
  <c r="K111"/>
  <c r="B111"/>
  <c r="K110"/>
  <c r="B110"/>
  <c r="Q109"/>
  <c r="N109"/>
  <c r="H109"/>
  <c r="I109" s="1"/>
  <c r="E109"/>
  <c r="F109" s="1"/>
  <c r="B109"/>
  <c r="O108"/>
  <c r="K108"/>
  <c r="F108"/>
  <c r="R107"/>
  <c r="K107"/>
  <c r="I107"/>
  <c r="B107"/>
  <c r="R106"/>
  <c r="O106"/>
  <c r="K106"/>
  <c r="I106"/>
  <c r="F106"/>
  <c r="K105"/>
  <c r="B105"/>
  <c r="K104"/>
  <c r="B104"/>
  <c r="K103"/>
  <c r="B103"/>
  <c r="R102"/>
  <c r="O102"/>
  <c r="K102"/>
  <c r="I102"/>
  <c r="F102"/>
  <c r="C102"/>
  <c r="B102"/>
  <c r="Q101"/>
  <c r="N101"/>
  <c r="H101"/>
  <c r="I101" s="1"/>
  <c r="F101"/>
  <c r="E101"/>
  <c r="B101"/>
  <c r="R100"/>
  <c r="O100"/>
  <c r="L100"/>
  <c r="K100"/>
  <c r="I100"/>
  <c r="F100"/>
  <c r="C100"/>
  <c r="B100"/>
  <c r="R99"/>
  <c r="K99"/>
  <c r="I99"/>
  <c r="B99"/>
  <c r="R98"/>
  <c r="K98"/>
  <c r="I98"/>
  <c r="B98"/>
  <c r="R97"/>
  <c r="K97"/>
  <c r="I97"/>
  <c r="B97"/>
  <c r="R96"/>
  <c r="O96"/>
  <c r="L96"/>
  <c r="K96"/>
  <c r="I96"/>
  <c r="F96"/>
  <c r="C96"/>
  <c r="B96"/>
  <c r="R95"/>
  <c r="K95"/>
  <c r="I95"/>
  <c r="B95"/>
  <c r="R94"/>
  <c r="K94"/>
  <c r="I94"/>
  <c r="B94"/>
  <c r="R93"/>
  <c r="K93"/>
  <c r="I93"/>
  <c r="B93"/>
  <c r="R92"/>
  <c r="K92"/>
  <c r="I92"/>
  <c r="B92"/>
  <c r="R91"/>
  <c r="K91"/>
  <c r="I91"/>
  <c r="B91"/>
  <c r="R90"/>
  <c r="K90"/>
  <c r="I90"/>
  <c r="B90"/>
  <c r="R89"/>
  <c r="K89"/>
  <c r="I89"/>
  <c r="F89"/>
  <c r="B89"/>
  <c r="R88"/>
  <c r="O88"/>
  <c r="K88"/>
  <c r="I88"/>
  <c r="F88"/>
  <c r="B88"/>
  <c r="R87"/>
  <c r="O87"/>
  <c r="K87"/>
  <c r="I87"/>
  <c r="F87"/>
  <c r="B87"/>
  <c r="R86"/>
  <c r="Q86"/>
  <c r="N86"/>
  <c r="K86"/>
  <c r="O86" s="1"/>
  <c r="H86"/>
  <c r="E86"/>
  <c r="B86" s="1"/>
  <c r="R85"/>
  <c r="Q85"/>
  <c r="N85"/>
  <c r="K85"/>
  <c r="O85" s="1"/>
  <c r="H85"/>
  <c r="E85"/>
  <c r="B85" s="1"/>
  <c r="R84"/>
  <c r="O84"/>
  <c r="L84"/>
  <c r="K84"/>
  <c r="I84"/>
  <c r="F84"/>
  <c r="C84"/>
  <c r="O83"/>
  <c r="K83"/>
  <c r="R83" s="1"/>
  <c r="F83"/>
  <c r="B83"/>
  <c r="I83" s="1"/>
  <c r="O82"/>
  <c r="K82"/>
  <c r="R82" s="1"/>
  <c r="F82"/>
  <c r="B82"/>
  <c r="I82" s="1"/>
  <c r="O81"/>
  <c r="K81"/>
  <c r="R81" s="1"/>
  <c r="F81"/>
  <c r="B81"/>
  <c r="I81" s="1"/>
  <c r="O80"/>
  <c r="K80"/>
  <c r="R80" s="1"/>
  <c r="F80"/>
  <c r="B80"/>
  <c r="I80" s="1"/>
  <c r="Q79"/>
  <c r="R79" s="1"/>
  <c r="N79"/>
  <c r="K79"/>
  <c r="H79"/>
  <c r="E79"/>
  <c r="Q78"/>
  <c r="R78" s="1"/>
  <c r="N78"/>
  <c r="K78"/>
  <c r="H78"/>
  <c r="E78"/>
  <c r="R77"/>
  <c r="O77"/>
  <c r="L77"/>
  <c r="K77"/>
  <c r="I77"/>
  <c r="F77"/>
  <c r="C77"/>
  <c r="K76"/>
  <c r="O76" s="1"/>
  <c r="B76"/>
  <c r="F76" s="1"/>
  <c r="R75"/>
  <c r="O75"/>
  <c r="L75"/>
  <c r="K75"/>
  <c r="I75"/>
  <c r="F75"/>
  <c r="C75"/>
  <c r="K74"/>
  <c r="B74"/>
  <c r="R73"/>
  <c r="O73"/>
  <c r="L73"/>
  <c r="K73"/>
  <c r="I73"/>
  <c r="F73"/>
  <c r="C73"/>
  <c r="R72"/>
  <c r="O72"/>
  <c r="K72"/>
  <c r="I72"/>
  <c r="F72"/>
  <c r="B72"/>
  <c r="R71"/>
  <c r="O71"/>
  <c r="K71"/>
  <c r="I71"/>
  <c r="F71"/>
  <c r="B71"/>
  <c r="R70"/>
  <c r="O70"/>
  <c r="K70"/>
  <c r="I70"/>
  <c r="F70"/>
  <c r="B70"/>
  <c r="R69"/>
  <c r="O69"/>
  <c r="K69"/>
  <c r="I69"/>
  <c r="F69"/>
  <c r="B69"/>
  <c r="R68"/>
  <c r="O68"/>
  <c r="K68"/>
  <c r="I68"/>
  <c r="F68"/>
  <c r="B68"/>
  <c r="R67"/>
  <c r="Q67"/>
  <c r="N67"/>
  <c r="K67"/>
  <c r="O67" s="1"/>
  <c r="H67"/>
  <c r="E67"/>
  <c r="B67" s="1"/>
  <c r="R66"/>
  <c r="O66"/>
  <c r="L66"/>
  <c r="K66"/>
  <c r="I66"/>
  <c r="F66"/>
  <c r="C66"/>
  <c r="O65"/>
  <c r="K65"/>
  <c r="R65" s="1"/>
  <c r="F65"/>
  <c r="B65"/>
  <c r="I65" s="1"/>
  <c r="Q64"/>
  <c r="R64" s="1"/>
  <c r="N64"/>
  <c r="K64"/>
  <c r="H64"/>
  <c r="E64"/>
  <c r="R63"/>
  <c r="O63"/>
  <c r="L63"/>
  <c r="K63"/>
  <c r="I63"/>
  <c r="F63"/>
  <c r="C63"/>
  <c r="K62"/>
  <c r="O62" s="1"/>
  <c r="B62"/>
  <c r="F62" s="1"/>
  <c r="K61"/>
  <c r="O61" s="1"/>
  <c r="B61"/>
  <c r="F61" s="1"/>
  <c r="K60"/>
  <c r="O60" s="1"/>
  <c r="B60"/>
  <c r="F60" s="1"/>
  <c r="K59"/>
  <c r="O59" s="1"/>
  <c r="B59"/>
  <c r="F59" s="1"/>
  <c r="K58"/>
  <c r="O58" s="1"/>
  <c r="B58"/>
  <c r="F58" s="1"/>
  <c r="Q57"/>
  <c r="N57"/>
  <c r="K57" s="1"/>
  <c r="I57"/>
  <c r="H57"/>
  <c r="E57"/>
  <c r="B57"/>
  <c r="F57" s="1"/>
  <c r="R56"/>
  <c r="O56"/>
  <c r="L56"/>
  <c r="K56"/>
  <c r="I56"/>
  <c r="F56"/>
  <c r="C56"/>
  <c r="K55"/>
  <c r="B55"/>
  <c r="R54"/>
  <c r="O54"/>
  <c r="L54"/>
  <c r="K54"/>
  <c r="I54"/>
  <c r="F54"/>
  <c r="C54"/>
  <c r="R53"/>
  <c r="K53"/>
  <c r="I53"/>
  <c r="F53"/>
  <c r="B53"/>
  <c r="R52"/>
  <c r="O52"/>
  <c r="K52"/>
  <c r="I52"/>
  <c r="F52"/>
  <c r="B52"/>
  <c r="R51"/>
  <c r="O51"/>
  <c r="K51"/>
  <c r="I51"/>
  <c r="F51"/>
  <c r="B51"/>
  <c r="R50"/>
  <c r="O50"/>
  <c r="K50"/>
  <c r="I50"/>
  <c r="F50"/>
  <c r="B50"/>
  <c r="R49"/>
  <c r="O49"/>
  <c r="K49"/>
  <c r="I49"/>
  <c r="F49"/>
  <c r="B49"/>
  <c r="R48"/>
  <c r="K48"/>
  <c r="I48"/>
  <c r="F48"/>
  <c r="B48"/>
  <c r="R47"/>
  <c r="O47"/>
  <c r="K47"/>
  <c r="I47"/>
  <c r="F47"/>
  <c r="B47"/>
  <c r="R46"/>
  <c r="O46"/>
  <c r="K46"/>
  <c r="I46"/>
  <c r="F46"/>
  <c r="B46"/>
  <c r="R45"/>
  <c r="Q45"/>
  <c r="N45"/>
  <c r="K45"/>
  <c r="O45" s="1"/>
  <c r="H45"/>
  <c r="E45"/>
  <c r="B45" s="1"/>
  <c r="R44"/>
  <c r="O44"/>
  <c r="L44"/>
  <c r="K44"/>
  <c r="I44"/>
  <c r="F44"/>
  <c r="C44"/>
  <c r="O43"/>
  <c r="K43"/>
  <c r="R43" s="1"/>
  <c r="F43"/>
  <c r="B43"/>
  <c r="I43" s="1"/>
  <c r="O42"/>
  <c r="K42"/>
  <c r="R42" s="1"/>
  <c r="F42"/>
  <c r="B42"/>
  <c r="I42" s="1"/>
  <c r="O41"/>
  <c r="K41"/>
  <c r="R41" s="1"/>
  <c r="F41"/>
  <c r="B41"/>
  <c r="I41" s="1"/>
  <c r="O40"/>
  <c r="K40"/>
  <c r="R40" s="1"/>
  <c r="F40"/>
  <c r="B40"/>
  <c r="I40" s="1"/>
  <c r="Q39"/>
  <c r="R39" s="1"/>
  <c r="N39"/>
  <c r="K39"/>
  <c r="H39"/>
  <c r="E39"/>
  <c r="Q38"/>
  <c r="R38" s="1"/>
  <c r="N38"/>
  <c r="K38"/>
  <c r="H38"/>
  <c r="E38"/>
  <c r="R37"/>
  <c r="O37"/>
  <c r="L37"/>
  <c r="K37"/>
  <c r="I37"/>
  <c r="F37"/>
  <c r="C37"/>
  <c r="K36"/>
  <c r="O36" s="1"/>
  <c r="B36"/>
  <c r="F36" s="1"/>
  <c r="K35"/>
  <c r="O35" s="1"/>
  <c r="B35"/>
  <c r="F35" s="1"/>
  <c r="K34"/>
  <c r="O34" s="1"/>
  <c r="B34"/>
  <c r="F34" s="1"/>
  <c r="K33"/>
  <c r="O33" s="1"/>
  <c r="B33"/>
  <c r="F33" s="1"/>
  <c r="K32"/>
  <c r="O32" s="1"/>
  <c r="B32"/>
  <c r="F32" s="1"/>
  <c r="Q31"/>
  <c r="N31"/>
  <c r="K31" s="1"/>
  <c r="I31"/>
  <c r="H31"/>
  <c r="E31"/>
  <c r="F31" s="1"/>
  <c r="B31"/>
  <c r="Q30"/>
  <c r="N30"/>
  <c r="K30" s="1"/>
  <c r="I30"/>
  <c r="H30"/>
  <c r="E30"/>
  <c r="B30"/>
  <c r="F30" s="1"/>
  <c r="R29"/>
  <c r="O29"/>
  <c r="L29"/>
  <c r="K29"/>
  <c r="I29"/>
  <c r="F29"/>
  <c r="C29"/>
  <c r="K28"/>
  <c r="B28"/>
  <c r="K27"/>
  <c r="B27"/>
  <c r="K26"/>
  <c r="B26"/>
  <c r="Q25"/>
  <c r="N25"/>
  <c r="H25"/>
  <c r="I25" s="1"/>
  <c r="E25"/>
  <c r="B25"/>
  <c r="R24"/>
  <c r="O24"/>
  <c r="L24"/>
  <c r="K24"/>
  <c r="I24"/>
  <c r="F24"/>
  <c r="C24"/>
  <c r="R23"/>
  <c r="O23"/>
  <c r="K23"/>
  <c r="I23"/>
  <c r="F23"/>
  <c r="B23"/>
  <c r="R22"/>
  <c r="O22"/>
  <c r="K22"/>
  <c r="I22"/>
  <c r="F22"/>
  <c r="B22"/>
  <c r="R21"/>
  <c r="O21"/>
  <c r="K21"/>
  <c r="I21"/>
  <c r="F21"/>
  <c r="B21"/>
  <c r="R20"/>
  <c r="Q20"/>
  <c r="N20"/>
  <c r="K20"/>
  <c r="O20" s="1"/>
  <c r="H20"/>
  <c r="E20"/>
  <c r="B20" s="1"/>
  <c r="R19"/>
  <c r="O19"/>
  <c r="K19"/>
  <c r="I19"/>
  <c r="F19"/>
  <c r="Q18"/>
  <c r="N18"/>
  <c r="H18"/>
  <c r="I18" s="1"/>
  <c r="E18"/>
  <c r="B18"/>
  <c r="R17"/>
  <c r="O17"/>
  <c r="L17"/>
  <c r="K17"/>
  <c r="I17"/>
  <c r="F17"/>
  <c r="C17"/>
  <c r="Q16"/>
  <c r="E16"/>
  <c r="R15"/>
  <c r="O15"/>
  <c r="K15"/>
  <c r="I15"/>
  <c r="F15"/>
  <c r="Q14"/>
  <c r="E14"/>
  <c r="R13"/>
  <c r="O13"/>
  <c r="K13"/>
  <c r="I13"/>
  <c r="F13"/>
  <c r="C13"/>
  <c r="Q12"/>
  <c r="E12"/>
  <c r="C332" i="2"/>
  <c r="G332" s="1"/>
  <c r="C331"/>
  <c r="M331" s="1"/>
  <c r="C330"/>
  <c r="J330" s="1"/>
  <c r="C329"/>
  <c r="M329" s="1"/>
  <c r="C328"/>
  <c r="J328" s="1"/>
  <c r="C327"/>
  <c r="M327" s="1"/>
  <c r="M326"/>
  <c r="J326"/>
  <c r="G326"/>
  <c r="D326"/>
  <c r="C326"/>
  <c r="L325"/>
  <c r="I325"/>
  <c r="F325"/>
  <c r="C325" s="1"/>
  <c r="M324"/>
  <c r="J324"/>
  <c r="G324"/>
  <c r="D324"/>
  <c r="C324"/>
  <c r="C323"/>
  <c r="J323" s="1"/>
  <c r="C322"/>
  <c r="M322" s="1"/>
  <c r="C321"/>
  <c r="J321" s="1"/>
  <c r="C320"/>
  <c r="M320" s="1"/>
  <c r="C319"/>
  <c r="J319" s="1"/>
  <c r="M318"/>
  <c r="J318"/>
  <c r="G318"/>
  <c r="D318"/>
  <c r="C318"/>
  <c r="L317"/>
  <c r="I317"/>
  <c r="F317"/>
  <c r="C317" s="1"/>
  <c r="M316"/>
  <c r="J316"/>
  <c r="G316"/>
  <c r="D316"/>
  <c r="C316"/>
  <c r="L315"/>
  <c r="C315"/>
  <c r="J315" s="1"/>
  <c r="L314"/>
  <c r="C313"/>
  <c r="M313" s="1"/>
  <c r="F312"/>
  <c r="C312"/>
  <c r="J312" s="1"/>
  <c r="F311"/>
  <c r="C311" s="1"/>
  <c r="M310"/>
  <c r="J310"/>
  <c r="G310"/>
  <c r="D310"/>
  <c r="C310"/>
  <c r="L309"/>
  <c r="I309"/>
  <c r="F309"/>
  <c r="M308"/>
  <c r="J308"/>
  <c r="G308"/>
  <c r="D308"/>
  <c r="C308"/>
  <c r="L307"/>
  <c r="C307"/>
  <c r="M307" s="1"/>
  <c r="C306"/>
  <c r="M306" s="1"/>
  <c r="C305"/>
  <c r="G305" s="1"/>
  <c r="C304"/>
  <c r="J304" s="1"/>
  <c r="F303"/>
  <c r="F301" s="1"/>
  <c r="M302"/>
  <c r="J302"/>
  <c r="G302"/>
  <c r="D302"/>
  <c r="C302"/>
  <c r="L301"/>
  <c r="I301"/>
  <c r="M300"/>
  <c r="J300"/>
  <c r="G300"/>
  <c r="D300"/>
  <c r="C300"/>
  <c r="L299"/>
  <c r="I299"/>
  <c r="I298"/>
  <c r="C298" s="1"/>
  <c r="C297"/>
  <c r="M297" s="1"/>
  <c r="C296"/>
  <c r="G296" s="1"/>
  <c r="F295"/>
  <c r="C295" s="1"/>
  <c r="M294"/>
  <c r="J294"/>
  <c r="G294"/>
  <c r="D294"/>
  <c r="C294"/>
  <c r="L293"/>
  <c r="L291" s="1"/>
  <c r="F293"/>
  <c r="M292"/>
  <c r="J292"/>
  <c r="G292"/>
  <c r="D292"/>
  <c r="C292"/>
  <c r="C279"/>
  <c r="M279" s="1"/>
  <c r="C278"/>
  <c r="M278" s="1"/>
  <c r="C277"/>
  <c r="G277" s="1"/>
  <c r="C276"/>
  <c r="J276" s="1"/>
  <c r="C275"/>
  <c r="M275" s="1"/>
  <c r="C274"/>
  <c r="M274" s="1"/>
  <c r="C273"/>
  <c r="G273" s="1"/>
  <c r="C272"/>
  <c r="J272" s="1"/>
  <c r="C271"/>
  <c r="M271" s="1"/>
  <c r="C270"/>
  <c r="M270" s="1"/>
  <c r="M269"/>
  <c r="J269"/>
  <c r="G269"/>
  <c r="D269"/>
  <c r="C269"/>
  <c r="L268"/>
  <c r="I268"/>
  <c r="F268"/>
  <c r="C268" s="1"/>
  <c r="M268" s="1"/>
  <c r="M267"/>
  <c r="J267"/>
  <c r="G267"/>
  <c r="D267"/>
  <c r="C267"/>
  <c r="C266"/>
  <c r="M266" s="1"/>
  <c r="C265"/>
  <c r="M265" s="1"/>
  <c r="C264"/>
  <c r="G264" s="1"/>
  <c r="C263"/>
  <c r="J263" s="1"/>
  <c r="C262"/>
  <c r="M262" s="1"/>
  <c r="C261"/>
  <c r="M261" s="1"/>
  <c r="C260"/>
  <c r="G260" s="1"/>
  <c r="C259"/>
  <c r="J259" s="1"/>
  <c r="C258"/>
  <c r="M258" s="1"/>
  <c r="M257"/>
  <c r="J257"/>
  <c r="G257"/>
  <c r="D257"/>
  <c r="C257"/>
  <c r="L256"/>
  <c r="I256"/>
  <c r="F256"/>
  <c r="M255"/>
  <c r="J255"/>
  <c r="G255"/>
  <c r="D255"/>
  <c r="C255"/>
  <c r="C254"/>
  <c r="J254" s="1"/>
  <c r="C253"/>
  <c r="M253" s="1"/>
  <c r="C252"/>
  <c r="M252" s="1"/>
  <c r="C251"/>
  <c r="G251" s="1"/>
  <c r="C250"/>
  <c r="J250" s="1"/>
  <c r="M249"/>
  <c r="J249"/>
  <c r="G249"/>
  <c r="D249"/>
  <c r="C249"/>
  <c r="L248"/>
  <c r="I248"/>
  <c r="F248"/>
  <c r="C248" s="1"/>
  <c r="J248" s="1"/>
  <c r="M247"/>
  <c r="J247"/>
  <c r="G247"/>
  <c r="D247"/>
  <c r="C247"/>
  <c r="C246"/>
  <c r="G246" s="1"/>
  <c r="M245"/>
  <c r="J245"/>
  <c r="G245"/>
  <c r="D245"/>
  <c r="C245"/>
  <c r="C244"/>
  <c r="M244" s="1"/>
  <c r="M243"/>
  <c r="J243"/>
  <c r="G243"/>
  <c r="D243"/>
  <c r="C243"/>
  <c r="L242"/>
  <c r="I242"/>
  <c r="F242"/>
  <c r="M241"/>
  <c r="J241"/>
  <c r="G241"/>
  <c r="D241"/>
  <c r="C241"/>
  <c r="C240"/>
  <c r="J240" s="1"/>
  <c r="C239"/>
  <c r="M239" s="1"/>
  <c r="C238"/>
  <c r="M238" s="1"/>
  <c r="C237"/>
  <c r="G237" s="1"/>
  <c r="C236"/>
  <c r="J236" s="1"/>
  <c r="C235"/>
  <c r="M235" s="1"/>
  <c r="C234"/>
  <c r="M234" s="1"/>
  <c r="C233"/>
  <c r="G233" s="1"/>
  <c r="C232"/>
  <c r="J232" s="1"/>
  <c r="M231"/>
  <c r="J231"/>
  <c r="G231"/>
  <c r="D231"/>
  <c r="C231"/>
  <c r="L230"/>
  <c r="I230"/>
  <c r="F230"/>
  <c r="M229"/>
  <c r="J229"/>
  <c r="G229"/>
  <c r="D229"/>
  <c r="C229"/>
  <c r="C228"/>
  <c r="G228" s="1"/>
  <c r="C227"/>
  <c r="J227" s="1"/>
  <c r="M226"/>
  <c r="J226"/>
  <c r="G226"/>
  <c r="D226"/>
  <c r="C226"/>
  <c r="L225"/>
  <c r="I225"/>
  <c r="F225"/>
  <c r="C225" s="1"/>
  <c r="J225" s="1"/>
  <c r="M224"/>
  <c r="J224"/>
  <c r="G224"/>
  <c r="D224"/>
  <c r="C224"/>
  <c r="L223"/>
  <c r="I223"/>
  <c r="F223"/>
  <c r="M222"/>
  <c r="D222"/>
  <c r="C222"/>
  <c r="C221"/>
  <c r="M221" s="1"/>
  <c r="C220"/>
  <c r="G220" s="1"/>
  <c r="C219"/>
  <c r="J219" s="1"/>
  <c r="C218"/>
  <c r="M218" s="1"/>
  <c r="C217"/>
  <c r="M217" s="1"/>
  <c r="M216"/>
  <c r="J216"/>
  <c r="G216"/>
  <c r="D216"/>
  <c r="C216"/>
  <c r="L215"/>
  <c r="I215"/>
  <c r="F215"/>
  <c r="M214"/>
  <c r="J214"/>
  <c r="G214"/>
  <c r="D214"/>
  <c r="C214"/>
  <c r="C213"/>
  <c r="M213" s="1"/>
  <c r="C212"/>
  <c r="M212" s="1"/>
  <c r="C211"/>
  <c r="G211" s="1"/>
  <c r="C210"/>
  <c r="J210" s="1"/>
  <c r="C209"/>
  <c r="M209" s="1"/>
  <c r="C208"/>
  <c r="M208" s="1"/>
  <c r="M207"/>
  <c r="J207"/>
  <c r="G207"/>
  <c r="D207"/>
  <c r="C207"/>
  <c r="L206"/>
  <c r="I206"/>
  <c r="F206"/>
  <c r="C206"/>
  <c r="G206" s="1"/>
  <c r="M205"/>
  <c r="J205"/>
  <c r="G205"/>
  <c r="D205"/>
  <c r="C205"/>
  <c r="C204"/>
  <c r="M204" s="1"/>
  <c r="C203"/>
  <c r="M203" s="1"/>
  <c r="C202"/>
  <c r="G202" s="1"/>
  <c r="C201"/>
  <c r="J201" s="1"/>
  <c r="M200"/>
  <c r="J200"/>
  <c r="G200"/>
  <c r="D200"/>
  <c r="C200"/>
  <c r="L199"/>
  <c r="I199"/>
  <c r="F199"/>
  <c r="M198"/>
  <c r="J198"/>
  <c r="G198"/>
  <c r="D198"/>
  <c r="C198"/>
  <c r="L197"/>
  <c r="I197"/>
  <c r="F197"/>
  <c r="M196"/>
  <c r="J196"/>
  <c r="G196"/>
  <c r="D196"/>
  <c r="C196"/>
  <c r="C185"/>
  <c r="J185" s="1"/>
  <c r="M184"/>
  <c r="J184"/>
  <c r="G184"/>
  <c r="D184"/>
  <c r="C184"/>
  <c r="C183"/>
  <c r="M183" s="1"/>
  <c r="J182"/>
  <c r="C182"/>
  <c r="G182" s="1"/>
  <c r="C181"/>
  <c r="J181" s="1"/>
  <c r="C180"/>
  <c r="M180" s="1"/>
  <c r="C179"/>
  <c r="M179" s="1"/>
  <c r="C178"/>
  <c r="G178" s="1"/>
  <c r="C177"/>
  <c r="J177" s="1"/>
  <c r="C176"/>
  <c r="M176" s="1"/>
  <c r="C175"/>
  <c r="M175" s="1"/>
  <c r="C174"/>
  <c r="G174" s="1"/>
  <c r="C173"/>
  <c r="J173" s="1"/>
  <c r="C172"/>
  <c r="M172" s="1"/>
  <c r="C171"/>
  <c r="M171" s="1"/>
  <c r="C170"/>
  <c r="G170" s="1"/>
  <c r="C169"/>
  <c r="J169" s="1"/>
  <c r="C168"/>
  <c r="M168" s="1"/>
  <c r="C167"/>
  <c r="M167" s="1"/>
  <c r="C166"/>
  <c r="G166" s="1"/>
  <c r="C165"/>
  <c r="J165" s="1"/>
  <c r="C164"/>
  <c r="M164" s="1"/>
  <c r="C163"/>
  <c r="M163" s="1"/>
  <c r="C162"/>
  <c r="G162" s="1"/>
  <c r="C161"/>
  <c r="J161" s="1"/>
  <c r="C160"/>
  <c r="M160" s="1"/>
  <c r="C159"/>
  <c r="M159" s="1"/>
  <c r="C158"/>
  <c r="G158" s="1"/>
  <c r="C157"/>
  <c r="J157" s="1"/>
  <c r="C156"/>
  <c r="M156" s="1"/>
  <c r="C155"/>
  <c r="M155" s="1"/>
  <c r="C154"/>
  <c r="G154" s="1"/>
  <c r="C153"/>
  <c r="J153" s="1"/>
  <c r="C152"/>
  <c r="M152" s="1"/>
  <c r="C151"/>
  <c r="M151" s="1"/>
  <c r="C150"/>
  <c r="G150" s="1"/>
  <c r="C149"/>
  <c r="J149" s="1"/>
  <c r="C148"/>
  <c r="M148" s="1"/>
  <c r="C147"/>
  <c r="M147" s="1"/>
  <c r="C146"/>
  <c r="G146" s="1"/>
  <c r="C145"/>
  <c r="J145" s="1"/>
  <c r="C144"/>
  <c r="M144" s="1"/>
  <c r="C143"/>
  <c r="M143" s="1"/>
  <c r="C142"/>
  <c r="G142" s="1"/>
  <c r="C141"/>
  <c r="J141" s="1"/>
  <c r="C140"/>
  <c r="M140" s="1"/>
  <c r="C139"/>
  <c r="M139" s="1"/>
  <c r="C138"/>
  <c r="G138" s="1"/>
  <c r="M137"/>
  <c r="J137"/>
  <c r="G137"/>
  <c r="D137"/>
  <c r="L136"/>
  <c r="I136"/>
  <c r="F136"/>
  <c r="M135"/>
  <c r="J135"/>
  <c r="G135"/>
  <c r="D135"/>
  <c r="C135"/>
  <c r="C134"/>
  <c r="M134" s="1"/>
  <c r="C133"/>
  <c r="M133" s="1"/>
  <c r="C132"/>
  <c r="G132" s="1"/>
  <c r="C131"/>
  <c r="J131" s="1"/>
  <c r="C130"/>
  <c r="M130" s="1"/>
  <c r="C129"/>
  <c r="M129" s="1"/>
  <c r="C128"/>
  <c r="G128" s="1"/>
  <c r="C127"/>
  <c r="J127" s="1"/>
  <c r="C126"/>
  <c r="M126" s="1"/>
  <c r="C125"/>
  <c r="M125" s="1"/>
  <c r="C124"/>
  <c r="G124" s="1"/>
  <c r="C123"/>
  <c r="J123" s="1"/>
  <c r="C122"/>
  <c r="M122" s="1"/>
  <c r="C121"/>
  <c r="M121" s="1"/>
  <c r="M120"/>
  <c r="J120"/>
  <c r="G120"/>
  <c r="D120"/>
  <c r="C120"/>
  <c r="L119"/>
  <c r="I119"/>
  <c r="F119"/>
  <c r="C119" s="1"/>
  <c r="M118"/>
  <c r="J118"/>
  <c r="G118"/>
  <c r="D118"/>
  <c r="C118"/>
  <c r="L117"/>
  <c r="I117"/>
  <c r="M116"/>
  <c r="J116"/>
  <c r="G116"/>
  <c r="D116"/>
  <c r="C116"/>
  <c r="F115"/>
  <c r="M114"/>
  <c r="D114"/>
  <c r="C114"/>
  <c r="F113"/>
  <c r="C113" s="1"/>
  <c r="J113" s="1"/>
  <c r="F112"/>
  <c r="C111"/>
  <c r="G111" s="1"/>
  <c r="F110"/>
  <c r="C110" s="1"/>
  <c r="F109"/>
  <c r="C108"/>
  <c r="J108" s="1"/>
  <c r="F107"/>
  <c r="C106"/>
  <c r="G106" s="1"/>
  <c r="C105"/>
  <c r="J105" s="1"/>
  <c r="L104"/>
  <c r="I104"/>
  <c r="L103"/>
  <c r="I103"/>
  <c r="M102"/>
  <c r="D102"/>
  <c r="C102"/>
  <c r="C91"/>
  <c r="J91" s="1"/>
  <c r="F90"/>
  <c r="F89"/>
  <c r="C89" s="1"/>
  <c r="J89" s="1"/>
  <c r="F88"/>
  <c r="F87" s="1"/>
  <c r="F86" s="1"/>
  <c r="L87"/>
  <c r="I87"/>
  <c r="I86" s="1"/>
  <c r="L86"/>
  <c r="M85"/>
  <c r="J85"/>
  <c r="G85"/>
  <c r="D85"/>
  <c r="C85"/>
  <c r="F84"/>
  <c r="C84" s="1"/>
  <c r="M83"/>
  <c r="J83"/>
  <c r="G83"/>
  <c r="D83"/>
  <c r="C83"/>
  <c r="F82"/>
  <c r="C82" s="1"/>
  <c r="J82" s="1"/>
  <c r="M81"/>
  <c r="J81"/>
  <c r="G81"/>
  <c r="D81"/>
  <c r="C81"/>
  <c r="C80"/>
  <c r="M80" s="1"/>
  <c r="C79"/>
  <c r="G79" s="1"/>
  <c r="C78"/>
  <c r="J78" s="1"/>
  <c r="C77"/>
  <c r="M77" s="1"/>
  <c r="C76"/>
  <c r="M76" s="1"/>
  <c r="L75"/>
  <c r="I75"/>
  <c r="F75"/>
  <c r="M74"/>
  <c r="J74"/>
  <c r="G74"/>
  <c r="D74"/>
  <c r="C74"/>
  <c r="F73"/>
  <c r="C73" s="1"/>
  <c r="L72"/>
  <c r="I72"/>
  <c r="M71"/>
  <c r="J71"/>
  <c r="G71"/>
  <c r="D71"/>
  <c r="C71"/>
  <c r="I70"/>
  <c r="M69"/>
  <c r="J69"/>
  <c r="G69"/>
  <c r="D69"/>
  <c r="C69"/>
  <c r="F68"/>
  <c r="C68" s="1"/>
  <c r="F67"/>
  <c r="C67" s="1"/>
  <c r="J67" s="1"/>
  <c r="F66"/>
  <c r="C66" s="1"/>
  <c r="F65"/>
  <c r="C65" s="1"/>
  <c r="J65" s="1"/>
  <c r="F64"/>
  <c r="C64" s="1"/>
  <c r="L63"/>
  <c r="I63"/>
  <c r="F63"/>
  <c r="C63" s="1"/>
  <c r="J63" s="1"/>
  <c r="M62"/>
  <c r="J62"/>
  <c r="G62"/>
  <c r="D62"/>
  <c r="C62"/>
  <c r="F61"/>
  <c r="C61" s="1"/>
  <c r="J61" s="1"/>
  <c r="F59"/>
  <c r="F58"/>
  <c r="C58" s="1"/>
  <c r="J58" s="1"/>
  <c r="F57"/>
  <c r="F56"/>
  <c r="F55"/>
  <c r="C54"/>
  <c r="G54" s="1"/>
  <c r="F53"/>
  <c r="C53" s="1"/>
  <c r="F52"/>
  <c r="C52" s="1"/>
  <c r="J52" s="1"/>
  <c r="L51"/>
  <c r="I51"/>
  <c r="M50"/>
  <c r="J50"/>
  <c r="G50"/>
  <c r="D50"/>
  <c r="C50"/>
  <c r="F49"/>
  <c r="F48"/>
  <c r="C48"/>
  <c r="G48" s="1"/>
  <c r="F47"/>
  <c r="F46"/>
  <c r="L45"/>
  <c r="L44" s="1"/>
  <c r="I45"/>
  <c r="M43"/>
  <c r="J43"/>
  <c r="G43"/>
  <c r="D43"/>
  <c r="C43"/>
  <c r="F42"/>
  <c r="C41"/>
  <c r="J41" s="1"/>
  <c r="F40"/>
  <c r="F39"/>
  <c r="C39" s="1"/>
  <c r="G39" s="1"/>
  <c r="F38"/>
  <c r="L37"/>
  <c r="L36" s="1"/>
  <c r="I37"/>
  <c r="I36" s="1"/>
  <c r="M35"/>
  <c r="J35"/>
  <c r="G35"/>
  <c r="D35"/>
  <c r="C35"/>
  <c r="F34"/>
  <c r="C34" s="1"/>
  <c r="C33"/>
  <c r="M33" s="1"/>
  <c r="C32"/>
  <c r="G32" s="1"/>
  <c r="L31"/>
  <c r="I31"/>
  <c r="M30"/>
  <c r="J30"/>
  <c r="G30"/>
  <c r="D30"/>
  <c r="C30"/>
  <c r="C29"/>
  <c r="M29" s="1"/>
  <c r="F28"/>
  <c r="C28" s="1"/>
  <c r="G28" s="1"/>
  <c r="F27"/>
  <c r="C27" s="1"/>
  <c r="L26"/>
  <c r="I26"/>
  <c r="I24" s="1"/>
  <c r="M25"/>
  <c r="J25"/>
  <c r="G25"/>
  <c r="D25"/>
  <c r="C25"/>
  <c r="L24"/>
  <c r="M23"/>
  <c r="J23"/>
  <c r="G23"/>
  <c r="D23"/>
  <c r="C23"/>
  <c r="C22"/>
  <c r="G22" s="1"/>
  <c r="F21"/>
  <c r="C21" s="1"/>
  <c r="J21" s="1"/>
  <c r="F20"/>
  <c r="C19"/>
  <c r="J19" s="1"/>
  <c r="C18"/>
  <c r="M18" s="1"/>
  <c r="M17"/>
  <c r="J17"/>
  <c r="G17"/>
  <c r="D17"/>
  <c r="C17"/>
  <c r="L16"/>
  <c r="I16"/>
  <c r="M15"/>
  <c r="J15"/>
  <c r="G15"/>
  <c r="D15"/>
  <c r="C15"/>
  <c r="M13"/>
  <c r="J13"/>
  <c r="G13"/>
  <c r="D13"/>
  <c r="C13"/>
  <c r="C53" i="22" l="1"/>
  <c r="C41"/>
  <c r="G56"/>
  <c r="C75"/>
  <c r="C133"/>
  <c r="G145"/>
  <c r="O95" i="14"/>
  <c r="I95"/>
  <c r="L83"/>
  <c r="I83"/>
  <c r="F83"/>
  <c r="R83"/>
  <c r="I83" i="13"/>
  <c r="R83"/>
  <c r="O83"/>
  <c r="G27" i="5"/>
  <c r="G19"/>
  <c r="G25"/>
  <c r="G17"/>
  <c r="J228" i="2"/>
  <c r="L34" i="22"/>
  <c r="G68"/>
  <c r="G70"/>
  <c r="G72"/>
  <c r="P85"/>
  <c r="J94"/>
  <c r="F132"/>
  <c r="P87"/>
  <c r="O15"/>
  <c r="G66"/>
  <c r="L132"/>
  <c r="I28" i="10"/>
  <c r="I76"/>
  <c r="R76"/>
  <c r="L76"/>
  <c r="F76"/>
  <c r="R28"/>
  <c r="O77"/>
  <c r="O76"/>
  <c r="F18"/>
  <c r="R18"/>
  <c r="B28"/>
  <c r="F28" s="1"/>
  <c r="B36"/>
  <c r="L36" s="1"/>
  <c r="I65"/>
  <c r="L84"/>
  <c r="R96"/>
  <c r="R97"/>
  <c r="O99"/>
  <c r="O108"/>
  <c r="I112"/>
  <c r="O18"/>
  <c r="I23"/>
  <c r="O23"/>
  <c r="I29"/>
  <c r="O29"/>
  <c r="I37"/>
  <c r="I43"/>
  <c r="O57"/>
  <c r="O59"/>
  <c r="F65"/>
  <c r="O67"/>
  <c r="O69"/>
  <c r="B83"/>
  <c r="R83" s="1"/>
  <c r="I84"/>
  <c r="O88"/>
  <c r="O90"/>
  <c r="O92"/>
  <c r="L96"/>
  <c r="L97"/>
  <c r="L99"/>
  <c r="O101"/>
  <c r="I107"/>
  <c r="I108"/>
  <c r="E17"/>
  <c r="Q17"/>
  <c r="L18"/>
  <c r="R43"/>
  <c r="O45"/>
  <c r="B55"/>
  <c r="I55" s="1"/>
  <c r="I57"/>
  <c r="I59"/>
  <c r="H62"/>
  <c r="B65"/>
  <c r="R65" s="1"/>
  <c r="O65"/>
  <c r="I67"/>
  <c r="I69"/>
  <c r="O70"/>
  <c r="O74"/>
  <c r="O78"/>
  <c r="O80"/>
  <c r="K83"/>
  <c r="F84"/>
  <c r="R84"/>
  <c r="O86"/>
  <c r="I88"/>
  <c r="I90"/>
  <c r="I92"/>
  <c r="F96"/>
  <c r="F97"/>
  <c r="I99"/>
  <c r="I101"/>
  <c r="F109"/>
  <c r="I18"/>
  <c r="F23"/>
  <c r="L23"/>
  <c r="F29"/>
  <c r="L29"/>
  <c r="B43"/>
  <c r="L43" s="1"/>
  <c r="O43"/>
  <c r="I45"/>
  <c r="O46"/>
  <c r="L65"/>
  <c r="I70"/>
  <c r="I74"/>
  <c r="B77"/>
  <c r="I78"/>
  <c r="I80"/>
  <c r="I83"/>
  <c r="O84"/>
  <c r="F99"/>
  <c r="R99"/>
  <c r="O110"/>
  <c r="O112"/>
  <c r="AB98" i="31"/>
  <c r="C96"/>
  <c r="AB131"/>
  <c r="AD241"/>
  <c r="Z241"/>
  <c r="AB49"/>
  <c r="C71"/>
  <c r="Z76"/>
  <c r="X98"/>
  <c r="Z98" s="1"/>
  <c r="Z106"/>
  <c r="AD118"/>
  <c r="AD131"/>
  <c r="AD132"/>
  <c r="Z187"/>
  <c r="C203"/>
  <c r="AB216"/>
  <c r="AB237"/>
  <c r="Z239"/>
  <c r="Z244"/>
  <c r="X19"/>
  <c r="C21"/>
  <c r="AD25"/>
  <c r="Z31"/>
  <c r="AD35"/>
  <c r="C42"/>
  <c r="AD46"/>
  <c r="Z49"/>
  <c r="AB55"/>
  <c r="AD57"/>
  <c r="AD65"/>
  <c r="AD104"/>
  <c r="AD106"/>
  <c r="AD110"/>
  <c r="AD122"/>
  <c r="X127"/>
  <c r="C129"/>
  <c r="AD135"/>
  <c r="AB137"/>
  <c r="AD139"/>
  <c r="AB149"/>
  <c r="X179"/>
  <c r="C181"/>
  <c r="AD185"/>
  <c r="AD191"/>
  <c r="AD212"/>
  <c r="Z216"/>
  <c r="AB225"/>
  <c r="AD230"/>
  <c r="X235"/>
  <c r="C237"/>
  <c r="AB241"/>
  <c r="AD244"/>
  <c r="AB23"/>
  <c r="AB33"/>
  <c r="AD33" s="1"/>
  <c r="AB44"/>
  <c r="X53"/>
  <c r="AB63"/>
  <c r="AB183"/>
  <c r="AD183" s="1"/>
  <c r="Z248"/>
  <c r="C35" i="22"/>
  <c r="I132"/>
  <c r="G28"/>
  <c r="G58"/>
  <c r="P89"/>
  <c r="O132"/>
  <c r="C132" s="1"/>
  <c r="C183"/>
  <c r="P183" s="1"/>
  <c r="P83"/>
  <c r="P91"/>
  <c r="P93"/>
  <c r="P95"/>
  <c r="J21"/>
  <c r="G22"/>
  <c r="P27"/>
  <c r="G32"/>
  <c r="M35"/>
  <c r="J41"/>
  <c r="G42"/>
  <c r="P53"/>
  <c r="C63"/>
  <c r="P63" s="1"/>
  <c r="M75"/>
  <c r="C82"/>
  <c r="M82" s="1"/>
  <c r="M133"/>
  <c r="J135"/>
  <c r="J155"/>
  <c r="P156"/>
  <c r="M189"/>
  <c r="G191"/>
  <c r="G21"/>
  <c r="G24"/>
  <c r="M27"/>
  <c r="J35"/>
  <c r="G36"/>
  <c r="G41"/>
  <c r="G44"/>
  <c r="M53"/>
  <c r="M63"/>
  <c r="J75"/>
  <c r="G76"/>
  <c r="J84"/>
  <c r="J86"/>
  <c r="J88"/>
  <c r="J90"/>
  <c r="J133"/>
  <c r="C147"/>
  <c r="P147" s="1"/>
  <c r="J156"/>
  <c r="M183"/>
  <c r="P187"/>
  <c r="J189"/>
  <c r="G193"/>
  <c r="G18"/>
  <c r="P21"/>
  <c r="J27"/>
  <c r="G35"/>
  <c r="G38"/>
  <c r="P41"/>
  <c r="G46"/>
  <c r="J53"/>
  <c r="G54"/>
  <c r="J63"/>
  <c r="G64"/>
  <c r="G75"/>
  <c r="G78"/>
  <c r="F81"/>
  <c r="C81" s="1"/>
  <c r="M81" s="1"/>
  <c r="G133"/>
  <c r="G136"/>
  <c r="M147"/>
  <c r="G156"/>
  <c r="G184"/>
  <c r="J187"/>
  <c r="G189"/>
  <c r="M21"/>
  <c r="G27"/>
  <c r="G30"/>
  <c r="P35"/>
  <c r="M41"/>
  <c r="G48"/>
  <c r="G53"/>
  <c r="G63"/>
  <c r="P75"/>
  <c r="P133"/>
  <c r="P189"/>
  <c r="F19" i="20"/>
  <c r="R19"/>
  <c r="L21"/>
  <c r="F24"/>
  <c r="R24"/>
  <c r="L26"/>
  <c r="F30"/>
  <c r="R30"/>
  <c r="L32"/>
  <c r="F34"/>
  <c r="R34"/>
  <c r="L38"/>
  <c r="F40"/>
  <c r="R40"/>
  <c r="F45"/>
  <c r="R45"/>
  <c r="F48"/>
  <c r="R48"/>
  <c r="L50"/>
  <c r="F57"/>
  <c r="R57"/>
  <c r="L59"/>
  <c r="F67"/>
  <c r="R67"/>
  <c r="L69"/>
  <c r="L79"/>
  <c r="F81"/>
  <c r="R81"/>
  <c r="L85"/>
  <c r="F87"/>
  <c r="R87"/>
  <c r="L89"/>
  <c r="F91"/>
  <c r="R91"/>
  <c r="L93"/>
  <c r="F95"/>
  <c r="R95"/>
  <c r="L97"/>
  <c r="L104"/>
  <c r="F110"/>
  <c r="R110"/>
  <c r="L112"/>
  <c r="F114"/>
  <c r="R114"/>
  <c r="H15"/>
  <c r="N15"/>
  <c r="O19"/>
  <c r="F20"/>
  <c r="R20"/>
  <c r="I21"/>
  <c r="O24"/>
  <c r="F25"/>
  <c r="R25"/>
  <c r="I26"/>
  <c r="O30"/>
  <c r="F31"/>
  <c r="R31"/>
  <c r="I32"/>
  <c r="L33"/>
  <c r="O34"/>
  <c r="I38"/>
  <c r="L39"/>
  <c r="O40"/>
  <c r="F41"/>
  <c r="R41"/>
  <c r="L44"/>
  <c r="O45"/>
  <c r="L47"/>
  <c r="O48"/>
  <c r="F49"/>
  <c r="R49"/>
  <c r="I50"/>
  <c r="L51"/>
  <c r="F53"/>
  <c r="R53"/>
  <c r="L56"/>
  <c r="O57"/>
  <c r="F58"/>
  <c r="R58"/>
  <c r="I59"/>
  <c r="L60"/>
  <c r="F63"/>
  <c r="R63"/>
  <c r="L66"/>
  <c r="O67"/>
  <c r="F68"/>
  <c r="R68"/>
  <c r="I69"/>
  <c r="L70"/>
  <c r="F72"/>
  <c r="R72"/>
  <c r="L74"/>
  <c r="F78"/>
  <c r="R78"/>
  <c r="I79"/>
  <c r="L80"/>
  <c r="O81"/>
  <c r="I85"/>
  <c r="L86"/>
  <c r="O87"/>
  <c r="F88"/>
  <c r="R88"/>
  <c r="I89"/>
  <c r="L90"/>
  <c r="O91"/>
  <c r="F92"/>
  <c r="R92"/>
  <c r="I93"/>
  <c r="O95"/>
  <c r="F96"/>
  <c r="R96"/>
  <c r="I97"/>
  <c r="O98"/>
  <c r="L100"/>
  <c r="F103"/>
  <c r="R103"/>
  <c r="I104"/>
  <c r="L105"/>
  <c r="F107"/>
  <c r="R107"/>
  <c r="O110"/>
  <c r="I112"/>
  <c r="L113"/>
  <c r="O114"/>
  <c r="L19"/>
  <c r="F21"/>
  <c r="R21"/>
  <c r="L24"/>
  <c r="F26"/>
  <c r="R26"/>
  <c r="L30"/>
  <c r="F32"/>
  <c r="R32"/>
  <c r="L34"/>
  <c r="R38"/>
  <c r="L40"/>
  <c r="L45"/>
  <c r="L48"/>
  <c r="F50"/>
  <c r="R50"/>
  <c r="L57"/>
  <c r="R59"/>
  <c r="L67"/>
  <c r="F69"/>
  <c r="R69"/>
  <c r="F79"/>
  <c r="R79"/>
  <c r="L81"/>
  <c r="F85"/>
  <c r="R85"/>
  <c r="L87"/>
  <c r="F89"/>
  <c r="R89"/>
  <c r="L91"/>
  <c r="F93"/>
  <c r="R93"/>
  <c r="L95"/>
  <c r="F97"/>
  <c r="R97"/>
  <c r="F104"/>
  <c r="R104"/>
  <c r="L110"/>
  <c r="F112"/>
  <c r="R112"/>
  <c r="L114"/>
  <c r="E15"/>
  <c r="K15"/>
  <c r="Q15"/>
  <c r="F33"/>
  <c r="F39"/>
  <c r="F44"/>
  <c r="F47"/>
  <c r="F51"/>
  <c r="F56"/>
  <c r="F60"/>
  <c r="F66"/>
  <c r="F70"/>
  <c r="F74"/>
  <c r="F80"/>
  <c r="F86"/>
  <c r="F90"/>
  <c r="F100"/>
  <c r="F113"/>
  <c r="L95" i="7"/>
  <c r="L82"/>
  <c r="I82"/>
  <c r="O16"/>
  <c r="F23"/>
  <c r="F29"/>
  <c r="F31"/>
  <c r="O43"/>
  <c r="O45"/>
  <c r="O47"/>
  <c r="O49"/>
  <c r="O61"/>
  <c r="F77"/>
  <c r="F79"/>
  <c r="I85"/>
  <c r="I89"/>
  <c r="I93"/>
  <c r="B95"/>
  <c r="O95" s="1"/>
  <c r="O100"/>
  <c r="I26"/>
  <c r="F43"/>
  <c r="F45"/>
  <c r="F47"/>
  <c r="F49"/>
  <c r="O55"/>
  <c r="O57"/>
  <c r="E81"/>
  <c r="B81" s="1"/>
  <c r="O82"/>
  <c r="O83"/>
  <c r="F85"/>
  <c r="O86"/>
  <c r="O87"/>
  <c r="O96"/>
  <c r="I100"/>
  <c r="O37"/>
  <c r="F55"/>
  <c r="F57"/>
  <c r="I83"/>
  <c r="I87"/>
  <c r="I91"/>
  <c r="O97"/>
  <c r="O23"/>
  <c r="O26"/>
  <c r="O29"/>
  <c r="O31"/>
  <c r="F37"/>
  <c r="O51"/>
  <c r="F65"/>
  <c r="F67"/>
  <c r="O77"/>
  <c r="O79"/>
  <c r="F83"/>
  <c r="O84"/>
  <c r="O85"/>
  <c r="F87"/>
  <c r="O88"/>
  <c r="O89"/>
  <c r="O93"/>
  <c r="I97"/>
  <c r="O98"/>
  <c r="O99"/>
  <c r="J15" i="23"/>
  <c r="J13" s="1"/>
  <c r="D17"/>
  <c r="P17"/>
  <c r="J19"/>
  <c r="D21"/>
  <c r="P21"/>
  <c r="G15"/>
  <c r="M17"/>
  <c r="G19"/>
  <c r="M21"/>
  <c r="D15"/>
  <c r="D13" s="1"/>
  <c r="P15"/>
  <c r="P13" s="1"/>
  <c r="J17"/>
  <c r="M15"/>
  <c r="G17"/>
  <c r="G82" i="22"/>
  <c r="P82"/>
  <c r="J17"/>
  <c r="P18"/>
  <c r="J19"/>
  <c r="P22"/>
  <c r="J23"/>
  <c r="P24"/>
  <c r="P28"/>
  <c r="J29"/>
  <c r="P30"/>
  <c r="J31"/>
  <c r="P32"/>
  <c r="P36"/>
  <c r="J37"/>
  <c r="P38"/>
  <c r="J39"/>
  <c r="P42"/>
  <c r="J43"/>
  <c r="P44"/>
  <c r="J45"/>
  <c r="P46"/>
  <c r="J47"/>
  <c r="P48"/>
  <c r="J49"/>
  <c r="J51"/>
  <c r="P54"/>
  <c r="J55"/>
  <c r="P56"/>
  <c r="J57"/>
  <c r="P58"/>
  <c r="J61"/>
  <c r="P64"/>
  <c r="J65"/>
  <c r="P66"/>
  <c r="J67"/>
  <c r="P68"/>
  <c r="P70"/>
  <c r="P72"/>
  <c r="P76"/>
  <c r="J77"/>
  <c r="P78"/>
  <c r="J79"/>
  <c r="M83"/>
  <c r="G84"/>
  <c r="M85"/>
  <c r="G86"/>
  <c r="M87"/>
  <c r="G88"/>
  <c r="M89"/>
  <c r="G90"/>
  <c r="M91"/>
  <c r="M93"/>
  <c r="G94"/>
  <c r="M95"/>
  <c r="M134"/>
  <c r="M137"/>
  <c r="G138"/>
  <c r="M139"/>
  <c r="J140"/>
  <c r="P141"/>
  <c r="J142"/>
  <c r="P143"/>
  <c r="J144"/>
  <c r="P145"/>
  <c r="J147"/>
  <c r="J148"/>
  <c r="P149"/>
  <c r="J150"/>
  <c r="P151"/>
  <c r="J152"/>
  <c r="P153"/>
  <c r="J154"/>
  <c r="P155"/>
  <c r="P157"/>
  <c r="J158"/>
  <c r="P159"/>
  <c r="J160"/>
  <c r="P161"/>
  <c r="J162"/>
  <c r="P163"/>
  <c r="J164"/>
  <c r="P165"/>
  <c r="J166"/>
  <c r="P167"/>
  <c r="J168"/>
  <c r="J169"/>
  <c r="P170"/>
  <c r="J171"/>
  <c r="P172"/>
  <c r="J173"/>
  <c r="P174"/>
  <c r="J175"/>
  <c r="P176"/>
  <c r="J177"/>
  <c r="P179"/>
  <c r="J180"/>
  <c r="J184"/>
  <c r="P185"/>
  <c r="G187"/>
  <c r="P190"/>
  <c r="J191"/>
  <c r="P192"/>
  <c r="J193"/>
  <c r="P194"/>
  <c r="F15"/>
  <c r="L15"/>
  <c r="C16"/>
  <c r="M16" s="1"/>
  <c r="G17"/>
  <c r="M18"/>
  <c r="G19"/>
  <c r="M22"/>
  <c r="G23"/>
  <c r="M24"/>
  <c r="I26"/>
  <c r="O26"/>
  <c r="M28"/>
  <c r="G29"/>
  <c r="M30"/>
  <c r="G31"/>
  <c r="M32"/>
  <c r="I34"/>
  <c r="O34"/>
  <c r="M36"/>
  <c r="G37"/>
  <c r="M38"/>
  <c r="G39"/>
  <c r="M42"/>
  <c r="G43"/>
  <c r="M44"/>
  <c r="G45"/>
  <c r="M46"/>
  <c r="G47"/>
  <c r="M48"/>
  <c r="G49"/>
  <c r="G51"/>
  <c r="M54"/>
  <c r="G55"/>
  <c r="M56"/>
  <c r="G57"/>
  <c r="M58"/>
  <c r="I60"/>
  <c r="O60"/>
  <c r="G61"/>
  <c r="M64"/>
  <c r="G65"/>
  <c r="M66"/>
  <c r="G67"/>
  <c r="M68"/>
  <c r="M70"/>
  <c r="M72"/>
  <c r="I74"/>
  <c r="O74"/>
  <c r="M76"/>
  <c r="G77"/>
  <c r="M78"/>
  <c r="G79"/>
  <c r="G81"/>
  <c r="J83"/>
  <c r="P84"/>
  <c r="J85"/>
  <c r="P86"/>
  <c r="J87"/>
  <c r="P88"/>
  <c r="J89"/>
  <c r="P90"/>
  <c r="J91"/>
  <c r="J93"/>
  <c r="P94"/>
  <c r="J95"/>
  <c r="J134"/>
  <c r="G135"/>
  <c r="P136"/>
  <c r="J137"/>
  <c r="P138"/>
  <c r="J139"/>
  <c r="G140"/>
  <c r="M141"/>
  <c r="G142"/>
  <c r="M143"/>
  <c r="G144"/>
  <c r="M145"/>
  <c r="G148"/>
  <c r="M149"/>
  <c r="G150"/>
  <c r="M151"/>
  <c r="G152"/>
  <c r="M153"/>
  <c r="G154"/>
  <c r="M155"/>
  <c r="M157"/>
  <c r="G158"/>
  <c r="M159"/>
  <c r="G160"/>
  <c r="M161"/>
  <c r="G162"/>
  <c r="M163"/>
  <c r="G164"/>
  <c r="M165"/>
  <c r="G166"/>
  <c r="M167"/>
  <c r="G168"/>
  <c r="G169"/>
  <c r="M170"/>
  <c r="G171"/>
  <c r="M172"/>
  <c r="G173"/>
  <c r="M174"/>
  <c r="G175"/>
  <c r="M176"/>
  <c r="G177"/>
  <c r="M179"/>
  <c r="G180"/>
  <c r="M185"/>
  <c r="M190"/>
  <c r="M192"/>
  <c r="M194"/>
  <c r="P17"/>
  <c r="P19"/>
  <c r="P23"/>
  <c r="P29"/>
  <c r="P31"/>
  <c r="P37"/>
  <c r="P39"/>
  <c r="P43"/>
  <c r="P45"/>
  <c r="P47"/>
  <c r="P49"/>
  <c r="P51"/>
  <c r="P55"/>
  <c r="P57"/>
  <c r="P61"/>
  <c r="P65"/>
  <c r="P67"/>
  <c r="P77"/>
  <c r="P79"/>
  <c r="G134"/>
  <c r="P135"/>
  <c r="M136"/>
  <c r="G137"/>
  <c r="M138"/>
  <c r="G139"/>
  <c r="P140"/>
  <c r="J141"/>
  <c r="P142"/>
  <c r="J143"/>
  <c r="P144"/>
  <c r="P148"/>
  <c r="J149"/>
  <c r="P150"/>
  <c r="J151"/>
  <c r="P152"/>
  <c r="J153"/>
  <c r="P154"/>
  <c r="J157"/>
  <c r="P158"/>
  <c r="J159"/>
  <c r="P160"/>
  <c r="J161"/>
  <c r="P162"/>
  <c r="J163"/>
  <c r="P164"/>
  <c r="J165"/>
  <c r="P166"/>
  <c r="J167"/>
  <c r="P168"/>
  <c r="P169"/>
  <c r="J170"/>
  <c r="P171"/>
  <c r="J172"/>
  <c r="P173"/>
  <c r="J174"/>
  <c r="P175"/>
  <c r="J176"/>
  <c r="P177"/>
  <c r="J179"/>
  <c r="P180"/>
  <c r="P184"/>
  <c r="J185"/>
  <c r="J190"/>
  <c r="P191"/>
  <c r="J192"/>
  <c r="P193"/>
  <c r="J194"/>
  <c r="E15" i="19"/>
  <c r="K15"/>
  <c r="Q15"/>
  <c r="I19"/>
  <c r="L20"/>
  <c r="O21"/>
  <c r="I24"/>
  <c r="L25"/>
  <c r="O26"/>
  <c r="I30"/>
  <c r="L31"/>
  <c r="O32"/>
  <c r="F33"/>
  <c r="R33"/>
  <c r="I34"/>
  <c r="O38"/>
  <c r="F39"/>
  <c r="R39"/>
  <c r="I40"/>
  <c r="L41"/>
  <c r="F44"/>
  <c r="R44"/>
  <c r="I45"/>
  <c r="L46"/>
  <c r="O47"/>
  <c r="F48"/>
  <c r="R48"/>
  <c r="I49"/>
  <c r="L50"/>
  <c r="O51"/>
  <c r="I53"/>
  <c r="O56"/>
  <c r="F57"/>
  <c r="R57"/>
  <c r="I58"/>
  <c r="L59"/>
  <c r="O60"/>
  <c r="I63"/>
  <c r="O66"/>
  <c r="F67"/>
  <c r="R67"/>
  <c r="I68"/>
  <c r="L69"/>
  <c r="O70"/>
  <c r="I72"/>
  <c r="O74"/>
  <c r="I78"/>
  <c r="L79"/>
  <c r="O80"/>
  <c r="F81"/>
  <c r="R81"/>
  <c r="L85"/>
  <c r="O86"/>
  <c r="F87"/>
  <c r="R87"/>
  <c r="I88"/>
  <c r="L89"/>
  <c r="O90"/>
  <c r="F91"/>
  <c r="R91"/>
  <c r="I92"/>
  <c r="L93"/>
  <c r="F95"/>
  <c r="R95"/>
  <c r="I96"/>
  <c r="L97"/>
  <c r="I101"/>
  <c r="L102"/>
  <c r="O103"/>
  <c r="I105"/>
  <c r="F108"/>
  <c r="R108"/>
  <c r="I109"/>
  <c r="L110"/>
  <c r="O111"/>
  <c r="F112"/>
  <c r="R112"/>
  <c r="F19"/>
  <c r="R19"/>
  <c r="L21"/>
  <c r="F24"/>
  <c r="R24"/>
  <c r="L26"/>
  <c r="F30"/>
  <c r="R30"/>
  <c r="L32"/>
  <c r="F34"/>
  <c r="R34"/>
  <c r="L38"/>
  <c r="F40"/>
  <c r="R40"/>
  <c r="F45"/>
  <c r="R45"/>
  <c r="L47"/>
  <c r="F49"/>
  <c r="R49"/>
  <c r="L51"/>
  <c r="F53"/>
  <c r="R53"/>
  <c r="L56"/>
  <c r="F58"/>
  <c r="R58"/>
  <c r="L60"/>
  <c r="F63"/>
  <c r="R63"/>
  <c r="L66"/>
  <c r="F68"/>
  <c r="R68"/>
  <c r="L70"/>
  <c r="F72"/>
  <c r="R72"/>
  <c r="L74"/>
  <c r="F78"/>
  <c r="R78"/>
  <c r="L80"/>
  <c r="L86"/>
  <c r="F88"/>
  <c r="R88"/>
  <c r="L90"/>
  <c r="F92"/>
  <c r="R92"/>
  <c r="F96"/>
  <c r="R96"/>
  <c r="F101"/>
  <c r="R101"/>
  <c r="L103"/>
  <c r="F105"/>
  <c r="R105"/>
  <c r="R109"/>
  <c r="L111"/>
  <c r="H15"/>
  <c r="N15"/>
  <c r="O19"/>
  <c r="F20"/>
  <c r="I21"/>
  <c r="O24"/>
  <c r="F25"/>
  <c r="I26"/>
  <c r="O30"/>
  <c r="F31"/>
  <c r="I32"/>
  <c r="O34"/>
  <c r="I38"/>
  <c r="O40"/>
  <c r="F41"/>
  <c r="O45"/>
  <c r="F46"/>
  <c r="I47"/>
  <c r="O49"/>
  <c r="F50"/>
  <c r="I51"/>
  <c r="O53"/>
  <c r="I56"/>
  <c r="O58"/>
  <c r="F59"/>
  <c r="I60"/>
  <c r="O63"/>
  <c r="I66"/>
  <c r="O68"/>
  <c r="F69"/>
  <c r="I70"/>
  <c r="O72"/>
  <c r="I74"/>
  <c r="O78"/>
  <c r="F79"/>
  <c r="I80"/>
  <c r="F85"/>
  <c r="I86"/>
  <c r="O88"/>
  <c r="F89"/>
  <c r="I90"/>
  <c r="O92"/>
  <c r="F93"/>
  <c r="O96"/>
  <c r="F97"/>
  <c r="O101"/>
  <c r="F102"/>
  <c r="I103"/>
  <c r="O105"/>
  <c r="O109"/>
  <c r="I111"/>
  <c r="F21"/>
  <c r="F26"/>
  <c r="F32"/>
  <c r="F38"/>
  <c r="F47"/>
  <c r="F51"/>
  <c r="F56"/>
  <c r="F60"/>
  <c r="F66"/>
  <c r="F70"/>
  <c r="F74"/>
  <c r="F80"/>
  <c r="F86"/>
  <c r="F90"/>
  <c r="F103"/>
  <c r="F111"/>
  <c r="F18" i="17"/>
  <c r="L18"/>
  <c r="R18"/>
  <c r="R19"/>
  <c r="R20"/>
  <c r="R21"/>
  <c r="B23"/>
  <c r="E36"/>
  <c r="K36"/>
  <c r="Q36"/>
  <c r="F38"/>
  <c r="F39"/>
  <c r="F40"/>
  <c r="F41"/>
  <c r="R44"/>
  <c r="R45"/>
  <c r="R46"/>
  <c r="R47"/>
  <c r="R48"/>
  <c r="R49"/>
  <c r="R50"/>
  <c r="R51"/>
  <c r="R53"/>
  <c r="B55"/>
  <c r="R55" s="1"/>
  <c r="F66"/>
  <c r="F67"/>
  <c r="F68"/>
  <c r="F69"/>
  <c r="F70"/>
  <c r="F72"/>
  <c r="F74"/>
  <c r="F76"/>
  <c r="R76"/>
  <c r="F77"/>
  <c r="R77"/>
  <c r="R78"/>
  <c r="R79"/>
  <c r="R80"/>
  <c r="R81"/>
  <c r="F101"/>
  <c r="R101"/>
  <c r="F109"/>
  <c r="R109"/>
  <c r="R110"/>
  <c r="R111"/>
  <c r="R112"/>
  <c r="R113"/>
  <c r="R114"/>
  <c r="E17"/>
  <c r="K17"/>
  <c r="Q17"/>
  <c r="F19"/>
  <c r="F20"/>
  <c r="F21"/>
  <c r="B28"/>
  <c r="R28" s="1"/>
  <c r="B29"/>
  <c r="F29" s="1"/>
  <c r="F44"/>
  <c r="F45"/>
  <c r="F46"/>
  <c r="F47"/>
  <c r="F48"/>
  <c r="F49"/>
  <c r="F50"/>
  <c r="F51"/>
  <c r="F53"/>
  <c r="H62"/>
  <c r="B62" s="1"/>
  <c r="N62"/>
  <c r="F78"/>
  <c r="F79"/>
  <c r="F80"/>
  <c r="F81"/>
  <c r="R85"/>
  <c r="R86"/>
  <c r="R87"/>
  <c r="R88"/>
  <c r="R89"/>
  <c r="R90"/>
  <c r="R91"/>
  <c r="R92"/>
  <c r="R93"/>
  <c r="R95"/>
  <c r="R96"/>
  <c r="R97"/>
  <c r="R103"/>
  <c r="R104"/>
  <c r="R105"/>
  <c r="R107"/>
  <c r="F110"/>
  <c r="F111"/>
  <c r="F112"/>
  <c r="F113"/>
  <c r="F114"/>
  <c r="N15"/>
  <c r="H36"/>
  <c r="H15" s="1"/>
  <c r="N36"/>
  <c r="E15" i="16"/>
  <c r="K15"/>
  <c r="Q15"/>
  <c r="I19"/>
  <c r="L20"/>
  <c r="O21"/>
  <c r="I24"/>
  <c r="L25"/>
  <c r="O26"/>
  <c r="I30"/>
  <c r="L31"/>
  <c r="O32"/>
  <c r="F33"/>
  <c r="R33"/>
  <c r="I34"/>
  <c r="O38"/>
  <c r="F39"/>
  <c r="R39"/>
  <c r="I40"/>
  <c r="L41"/>
  <c r="F44"/>
  <c r="R44"/>
  <c r="I45"/>
  <c r="L46"/>
  <c r="O47"/>
  <c r="F48"/>
  <c r="R48"/>
  <c r="I49"/>
  <c r="L50"/>
  <c r="O51"/>
  <c r="I53"/>
  <c r="O56"/>
  <c r="F57"/>
  <c r="R57"/>
  <c r="I58"/>
  <c r="L59"/>
  <c r="O60"/>
  <c r="I63"/>
  <c r="O66"/>
  <c r="F67"/>
  <c r="R67"/>
  <c r="I68"/>
  <c r="L69"/>
  <c r="O70"/>
  <c r="I72"/>
  <c r="O74"/>
  <c r="I78"/>
  <c r="L79"/>
  <c r="O80"/>
  <c r="F81"/>
  <c r="R81"/>
  <c r="L85"/>
  <c r="O86"/>
  <c r="F87"/>
  <c r="R87"/>
  <c r="I88"/>
  <c r="L89"/>
  <c r="O90"/>
  <c r="F91"/>
  <c r="R91"/>
  <c r="I92"/>
  <c r="L93"/>
  <c r="F95"/>
  <c r="R95"/>
  <c r="I96"/>
  <c r="L97"/>
  <c r="I101"/>
  <c r="L102"/>
  <c r="O103"/>
  <c r="I105"/>
  <c r="F108"/>
  <c r="R108"/>
  <c r="I109"/>
  <c r="L110"/>
  <c r="O111"/>
  <c r="F112"/>
  <c r="R112"/>
  <c r="F19"/>
  <c r="R19"/>
  <c r="L21"/>
  <c r="F24"/>
  <c r="R24"/>
  <c r="L26"/>
  <c r="F30"/>
  <c r="R30"/>
  <c r="L32"/>
  <c r="F34"/>
  <c r="R34"/>
  <c r="L38"/>
  <c r="F40"/>
  <c r="R40"/>
  <c r="F45"/>
  <c r="R45"/>
  <c r="L47"/>
  <c r="F49"/>
  <c r="R49"/>
  <c r="L51"/>
  <c r="F53"/>
  <c r="R53"/>
  <c r="L56"/>
  <c r="F58"/>
  <c r="R58"/>
  <c r="L60"/>
  <c r="F63"/>
  <c r="R63"/>
  <c r="L66"/>
  <c r="F68"/>
  <c r="R68"/>
  <c r="L70"/>
  <c r="F72"/>
  <c r="R72"/>
  <c r="L74"/>
  <c r="F78"/>
  <c r="R78"/>
  <c r="L80"/>
  <c r="L86"/>
  <c r="F88"/>
  <c r="R88"/>
  <c r="L90"/>
  <c r="F92"/>
  <c r="R92"/>
  <c r="F96"/>
  <c r="R96"/>
  <c r="F101"/>
  <c r="R101"/>
  <c r="L103"/>
  <c r="F105"/>
  <c r="R105"/>
  <c r="R109"/>
  <c r="L111"/>
  <c r="H15"/>
  <c r="N15"/>
  <c r="O19"/>
  <c r="F20"/>
  <c r="I21"/>
  <c r="O24"/>
  <c r="F25"/>
  <c r="I26"/>
  <c r="O30"/>
  <c r="F31"/>
  <c r="I32"/>
  <c r="O34"/>
  <c r="I38"/>
  <c r="O40"/>
  <c r="F41"/>
  <c r="O45"/>
  <c r="F46"/>
  <c r="I47"/>
  <c r="O49"/>
  <c r="F50"/>
  <c r="I51"/>
  <c r="O53"/>
  <c r="I56"/>
  <c r="O58"/>
  <c r="F59"/>
  <c r="I60"/>
  <c r="O63"/>
  <c r="I66"/>
  <c r="O68"/>
  <c r="F69"/>
  <c r="I70"/>
  <c r="O72"/>
  <c r="I74"/>
  <c r="O78"/>
  <c r="F79"/>
  <c r="I80"/>
  <c r="F85"/>
  <c r="I86"/>
  <c r="O88"/>
  <c r="F89"/>
  <c r="I90"/>
  <c r="O92"/>
  <c r="F93"/>
  <c r="O96"/>
  <c r="F97"/>
  <c r="O101"/>
  <c r="F102"/>
  <c r="I103"/>
  <c r="O105"/>
  <c r="O109"/>
  <c r="F110"/>
  <c r="I111"/>
  <c r="F21"/>
  <c r="F26"/>
  <c r="F32"/>
  <c r="F38"/>
  <c r="F47"/>
  <c r="F51"/>
  <c r="F56"/>
  <c r="F60"/>
  <c r="F66"/>
  <c r="F70"/>
  <c r="F74"/>
  <c r="F80"/>
  <c r="F86"/>
  <c r="F90"/>
  <c r="F103"/>
  <c r="F111"/>
  <c r="E17" i="14"/>
  <c r="K17"/>
  <c r="Q17"/>
  <c r="F19"/>
  <c r="R19"/>
  <c r="I20"/>
  <c r="L21"/>
  <c r="I24"/>
  <c r="L25"/>
  <c r="O26"/>
  <c r="I30"/>
  <c r="L31"/>
  <c r="O32"/>
  <c r="F33"/>
  <c r="R33"/>
  <c r="I34"/>
  <c r="E36"/>
  <c r="K36"/>
  <c r="Q36"/>
  <c r="F38"/>
  <c r="R38"/>
  <c r="I39"/>
  <c r="L40"/>
  <c r="O41"/>
  <c r="I44"/>
  <c r="L45"/>
  <c r="F46"/>
  <c r="R46"/>
  <c r="I47"/>
  <c r="L48"/>
  <c r="O49"/>
  <c r="F50"/>
  <c r="R50"/>
  <c r="I51"/>
  <c r="O53"/>
  <c r="I56"/>
  <c r="L57"/>
  <c r="O58"/>
  <c r="F59"/>
  <c r="R59"/>
  <c r="I60"/>
  <c r="O63"/>
  <c r="I66"/>
  <c r="L67"/>
  <c r="O68"/>
  <c r="F69"/>
  <c r="R69"/>
  <c r="I70"/>
  <c r="O72"/>
  <c r="I74"/>
  <c r="O78"/>
  <c r="F79"/>
  <c r="R79"/>
  <c r="I80"/>
  <c r="L81"/>
  <c r="F85"/>
  <c r="R85"/>
  <c r="I86"/>
  <c r="L87"/>
  <c r="O88"/>
  <c r="F89"/>
  <c r="R89"/>
  <c r="I90"/>
  <c r="L91"/>
  <c r="O92"/>
  <c r="F93"/>
  <c r="R93"/>
  <c r="L95"/>
  <c r="O96"/>
  <c r="I98"/>
  <c r="F102"/>
  <c r="R102"/>
  <c r="I103"/>
  <c r="L104"/>
  <c r="F106"/>
  <c r="R106"/>
  <c r="F109"/>
  <c r="R109"/>
  <c r="I110"/>
  <c r="L111"/>
  <c r="O112"/>
  <c r="F113"/>
  <c r="R113"/>
  <c r="F20"/>
  <c r="R20"/>
  <c r="F24"/>
  <c r="R24"/>
  <c r="L26"/>
  <c r="F30"/>
  <c r="R30"/>
  <c r="L32"/>
  <c r="F34"/>
  <c r="R34"/>
  <c r="F39"/>
  <c r="R39"/>
  <c r="L41"/>
  <c r="F44"/>
  <c r="R44"/>
  <c r="F47"/>
  <c r="R47"/>
  <c r="L49"/>
  <c r="F51"/>
  <c r="R51"/>
  <c r="L53"/>
  <c r="F56"/>
  <c r="R56"/>
  <c r="L58"/>
  <c r="F60"/>
  <c r="R60"/>
  <c r="B62"/>
  <c r="F62" s="1"/>
  <c r="L63"/>
  <c r="F66"/>
  <c r="R66"/>
  <c r="L68"/>
  <c r="F70"/>
  <c r="R70"/>
  <c r="L72"/>
  <c r="F74"/>
  <c r="R74"/>
  <c r="L78"/>
  <c r="F80"/>
  <c r="R80"/>
  <c r="F86"/>
  <c r="R86"/>
  <c r="L88"/>
  <c r="F90"/>
  <c r="R90"/>
  <c r="L92"/>
  <c r="L96"/>
  <c r="F98"/>
  <c r="R98"/>
  <c r="B100"/>
  <c r="F100" s="1"/>
  <c r="F103"/>
  <c r="R103"/>
  <c r="R110"/>
  <c r="L112"/>
  <c r="H17"/>
  <c r="N17"/>
  <c r="O20"/>
  <c r="F21"/>
  <c r="O24"/>
  <c r="F25"/>
  <c r="I26"/>
  <c r="O30"/>
  <c r="F31"/>
  <c r="I32"/>
  <c r="O34"/>
  <c r="H36"/>
  <c r="N36"/>
  <c r="O39"/>
  <c r="F40"/>
  <c r="I41"/>
  <c r="O44"/>
  <c r="O47"/>
  <c r="F48"/>
  <c r="I49"/>
  <c r="O51"/>
  <c r="I53"/>
  <c r="O56"/>
  <c r="F57"/>
  <c r="I58"/>
  <c r="O60"/>
  <c r="I63"/>
  <c r="O66"/>
  <c r="F67"/>
  <c r="I68"/>
  <c r="O70"/>
  <c r="I72"/>
  <c r="O74"/>
  <c r="I78"/>
  <c r="O80"/>
  <c r="F81"/>
  <c r="O86"/>
  <c r="F87"/>
  <c r="I88"/>
  <c r="O90"/>
  <c r="F91"/>
  <c r="I92"/>
  <c r="F95"/>
  <c r="I96"/>
  <c r="O98"/>
  <c r="O103"/>
  <c r="F104"/>
  <c r="O110"/>
  <c r="F111"/>
  <c r="I112"/>
  <c r="F26"/>
  <c r="F41"/>
  <c r="F49"/>
  <c r="F53"/>
  <c r="F58"/>
  <c r="F63"/>
  <c r="F68"/>
  <c r="F72"/>
  <c r="F78"/>
  <c r="F88"/>
  <c r="F92"/>
  <c r="F96"/>
  <c r="F112"/>
  <c r="O15" i="13"/>
  <c r="I15"/>
  <c r="C15"/>
  <c r="R15"/>
  <c r="L15"/>
  <c r="F15"/>
  <c r="L62"/>
  <c r="C11"/>
  <c r="R62"/>
  <c r="F19"/>
  <c r="R19"/>
  <c r="I20"/>
  <c r="L21"/>
  <c r="F24"/>
  <c r="R24"/>
  <c r="I25"/>
  <c r="L26"/>
  <c r="F30"/>
  <c r="R30"/>
  <c r="I31"/>
  <c r="L32"/>
  <c r="C33"/>
  <c r="O33"/>
  <c r="F34"/>
  <c r="R34"/>
  <c r="L38"/>
  <c r="C39"/>
  <c r="O39"/>
  <c r="F40"/>
  <c r="R40"/>
  <c r="I41"/>
  <c r="C44"/>
  <c r="O44"/>
  <c r="F45"/>
  <c r="R45"/>
  <c r="I46"/>
  <c r="C47"/>
  <c r="O47"/>
  <c r="F48"/>
  <c r="R48"/>
  <c r="I49"/>
  <c r="L50"/>
  <c r="C51"/>
  <c r="O51"/>
  <c r="I53"/>
  <c r="C56"/>
  <c r="O56"/>
  <c r="F57"/>
  <c r="R57"/>
  <c r="I58"/>
  <c r="L59"/>
  <c r="C60"/>
  <c r="O60"/>
  <c r="F62"/>
  <c r="I63"/>
  <c r="C66"/>
  <c r="O66"/>
  <c r="F67"/>
  <c r="R67"/>
  <c r="I68"/>
  <c r="L69"/>
  <c r="C70"/>
  <c r="O70"/>
  <c r="I72"/>
  <c r="C74"/>
  <c r="O74"/>
  <c r="I78"/>
  <c r="L79"/>
  <c r="C80"/>
  <c r="O80"/>
  <c r="F81"/>
  <c r="R81"/>
  <c r="L85"/>
  <c r="C86"/>
  <c r="O86"/>
  <c r="F87"/>
  <c r="R87"/>
  <c r="I88"/>
  <c r="L89"/>
  <c r="C90"/>
  <c r="O90"/>
  <c r="F91"/>
  <c r="R91"/>
  <c r="I92"/>
  <c r="L93"/>
  <c r="F95"/>
  <c r="R95"/>
  <c r="I96"/>
  <c r="L97"/>
  <c r="I101"/>
  <c r="L102"/>
  <c r="C103"/>
  <c r="O103"/>
  <c r="I105"/>
  <c r="F108"/>
  <c r="R108"/>
  <c r="I109"/>
  <c r="L110"/>
  <c r="C111"/>
  <c r="O111"/>
  <c r="F112"/>
  <c r="R112"/>
  <c r="I11"/>
  <c r="C17"/>
  <c r="C18"/>
  <c r="C19"/>
  <c r="F20"/>
  <c r="R20"/>
  <c r="C23"/>
  <c r="C24"/>
  <c r="F25"/>
  <c r="R25"/>
  <c r="C28"/>
  <c r="C29"/>
  <c r="C30"/>
  <c r="F31"/>
  <c r="R31"/>
  <c r="L33"/>
  <c r="C34"/>
  <c r="L39"/>
  <c r="C40"/>
  <c r="F41"/>
  <c r="R41"/>
  <c r="L44"/>
  <c r="C45"/>
  <c r="F46"/>
  <c r="L47"/>
  <c r="C48"/>
  <c r="F49"/>
  <c r="R49"/>
  <c r="L51"/>
  <c r="F53"/>
  <c r="R53"/>
  <c r="L56"/>
  <c r="C57"/>
  <c r="F58"/>
  <c r="R58"/>
  <c r="L60"/>
  <c r="F63"/>
  <c r="R63"/>
  <c r="L66"/>
  <c r="C67"/>
  <c r="F68"/>
  <c r="R68"/>
  <c r="L70"/>
  <c r="F72"/>
  <c r="R72"/>
  <c r="L74"/>
  <c r="F78"/>
  <c r="R78"/>
  <c r="L80"/>
  <c r="C81"/>
  <c r="L86"/>
  <c r="C87"/>
  <c r="F88"/>
  <c r="R88"/>
  <c r="L90"/>
  <c r="C91"/>
  <c r="F92"/>
  <c r="R92"/>
  <c r="C95"/>
  <c r="F96"/>
  <c r="R96"/>
  <c r="C99"/>
  <c r="F101"/>
  <c r="R101"/>
  <c r="L103"/>
  <c r="F105"/>
  <c r="R105"/>
  <c r="C107"/>
  <c r="C108"/>
  <c r="F109"/>
  <c r="R109"/>
  <c r="L111"/>
  <c r="C112"/>
  <c r="C20"/>
  <c r="O20"/>
  <c r="F21"/>
  <c r="C25"/>
  <c r="O25"/>
  <c r="F26"/>
  <c r="C31"/>
  <c r="O31"/>
  <c r="F32"/>
  <c r="I33"/>
  <c r="F38"/>
  <c r="I39"/>
  <c r="C41"/>
  <c r="O41"/>
  <c r="I44"/>
  <c r="C46"/>
  <c r="O46"/>
  <c r="I47"/>
  <c r="C49"/>
  <c r="O49"/>
  <c r="F50"/>
  <c r="I51"/>
  <c r="C53"/>
  <c r="O53"/>
  <c r="I56"/>
  <c r="C58"/>
  <c r="O58"/>
  <c r="F59"/>
  <c r="I60"/>
  <c r="C63"/>
  <c r="O63"/>
  <c r="I66"/>
  <c r="C68"/>
  <c r="O68"/>
  <c r="F69"/>
  <c r="I70"/>
  <c r="C72"/>
  <c r="O72"/>
  <c r="I74"/>
  <c r="C78"/>
  <c r="O78"/>
  <c r="F79"/>
  <c r="I80"/>
  <c r="F85"/>
  <c r="I86"/>
  <c r="C88"/>
  <c r="O88"/>
  <c r="F89"/>
  <c r="I90"/>
  <c r="C92"/>
  <c r="O92"/>
  <c r="F93"/>
  <c r="C96"/>
  <c r="O96"/>
  <c r="F97"/>
  <c r="C101"/>
  <c r="O101"/>
  <c r="F102"/>
  <c r="I103"/>
  <c r="C105"/>
  <c r="O105"/>
  <c r="C109"/>
  <c r="O109"/>
  <c r="F110"/>
  <c r="I111"/>
  <c r="F11"/>
  <c r="L11"/>
  <c r="R11"/>
  <c r="C21"/>
  <c r="C26"/>
  <c r="C32"/>
  <c r="F33"/>
  <c r="C36"/>
  <c r="C37"/>
  <c r="C38"/>
  <c r="F39"/>
  <c r="F44"/>
  <c r="F47"/>
  <c r="C50"/>
  <c r="F51"/>
  <c r="F56"/>
  <c r="C59"/>
  <c r="F60"/>
  <c r="F66"/>
  <c r="C69"/>
  <c r="F70"/>
  <c r="F74"/>
  <c r="C79"/>
  <c r="F80"/>
  <c r="C83"/>
  <c r="C84"/>
  <c r="C85"/>
  <c r="F86"/>
  <c r="C89"/>
  <c r="F90"/>
  <c r="C93"/>
  <c r="C97"/>
  <c r="C102"/>
  <c r="F103"/>
  <c r="F111"/>
  <c r="I19" i="12"/>
  <c r="L20"/>
  <c r="O21"/>
  <c r="I24"/>
  <c r="L25"/>
  <c r="O26"/>
  <c r="I30"/>
  <c r="O31"/>
  <c r="I32"/>
  <c r="O33"/>
  <c r="I34"/>
  <c r="E36"/>
  <c r="E15" s="1"/>
  <c r="K36"/>
  <c r="K15" s="1"/>
  <c r="Q36"/>
  <c r="F38"/>
  <c r="R38"/>
  <c r="I39"/>
  <c r="L40"/>
  <c r="O41"/>
  <c r="I44"/>
  <c r="L45"/>
  <c r="O46"/>
  <c r="F47"/>
  <c r="R47"/>
  <c r="I48"/>
  <c r="L49"/>
  <c r="O50"/>
  <c r="F51"/>
  <c r="R51"/>
  <c r="L53"/>
  <c r="F56"/>
  <c r="R56"/>
  <c r="I57"/>
  <c r="L58"/>
  <c r="O59"/>
  <c r="F60"/>
  <c r="R60"/>
  <c r="L63"/>
  <c r="F66"/>
  <c r="R66"/>
  <c r="I67"/>
  <c r="L68"/>
  <c r="O69"/>
  <c r="F70"/>
  <c r="R70"/>
  <c r="L72"/>
  <c r="R74"/>
  <c r="L78"/>
  <c r="O79"/>
  <c r="F80"/>
  <c r="R80"/>
  <c r="I81"/>
  <c r="O85"/>
  <c r="F86"/>
  <c r="R86"/>
  <c r="I87"/>
  <c r="L88"/>
  <c r="O89"/>
  <c r="F90"/>
  <c r="R90"/>
  <c r="I91"/>
  <c r="L92"/>
  <c r="O93"/>
  <c r="I95"/>
  <c r="L96"/>
  <c r="I100"/>
  <c r="L101"/>
  <c r="O102"/>
  <c r="F103"/>
  <c r="R103"/>
  <c r="L105"/>
  <c r="F108"/>
  <c r="R108"/>
  <c r="I109"/>
  <c r="O111"/>
  <c r="F112"/>
  <c r="R112"/>
  <c r="F19"/>
  <c r="R19"/>
  <c r="L21"/>
  <c r="F24"/>
  <c r="R24"/>
  <c r="L26"/>
  <c r="F30"/>
  <c r="L31"/>
  <c r="F32"/>
  <c r="L33"/>
  <c r="F34"/>
  <c r="F39"/>
  <c r="R39"/>
  <c r="L41"/>
  <c r="F44"/>
  <c r="R44"/>
  <c r="L46"/>
  <c r="F48"/>
  <c r="R48"/>
  <c r="L50"/>
  <c r="F57"/>
  <c r="R57"/>
  <c r="L59"/>
  <c r="F67"/>
  <c r="R67"/>
  <c r="L69"/>
  <c r="L79"/>
  <c r="F81"/>
  <c r="R81"/>
  <c r="L85"/>
  <c r="F87"/>
  <c r="R87"/>
  <c r="L89"/>
  <c r="F91"/>
  <c r="R91"/>
  <c r="L93"/>
  <c r="F95"/>
  <c r="R95"/>
  <c r="F100"/>
  <c r="R100"/>
  <c r="L102"/>
  <c r="R109"/>
  <c r="L111"/>
  <c r="N15"/>
  <c r="O19"/>
  <c r="F20"/>
  <c r="O24"/>
  <c r="F25"/>
  <c r="I26"/>
  <c r="O30"/>
  <c r="I31"/>
  <c r="O32"/>
  <c r="I33"/>
  <c r="O34"/>
  <c r="H36"/>
  <c r="N36"/>
  <c r="O39"/>
  <c r="F40"/>
  <c r="I41"/>
  <c r="O44"/>
  <c r="I46"/>
  <c r="O48"/>
  <c r="I50"/>
  <c r="F53"/>
  <c r="O57"/>
  <c r="F58"/>
  <c r="I59"/>
  <c r="F63"/>
  <c r="O67"/>
  <c r="F68"/>
  <c r="I69"/>
  <c r="F72"/>
  <c r="F78"/>
  <c r="I79"/>
  <c r="O81"/>
  <c r="I85"/>
  <c r="O87"/>
  <c r="F88"/>
  <c r="I89"/>
  <c r="O91"/>
  <c r="F92"/>
  <c r="I93"/>
  <c r="O95"/>
  <c r="F96"/>
  <c r="O100"/>
  <c r="F101"/>
  <c r="I102"/>
  <c r="F105"/>
  <c r="O109"/>
  <c r="I111"/>
  <c r="F41"/>
  <c r="F46"/>
  <c r="F50"/>
  <c r="F59"/>
  <c r="F69"/>
  <c r="F79"/>
  <c r="F89"/>
  <c r="F93"/>
  <c r="F102"/>
  <c r="F111"/>
  <c r="E15" i="10"/>
  <c r="K15"/>
  <c r="Q15"/>
  <c r="I19"/>
  <c r="O20"/>
  <c r="I21"/>
  <c r="F24"/>
  <c r="R24"/>
  <c r="I25"/>
  <c r="L26"/>
  <c r="F30"/>
  <c r="R30"/>
  <c r="I31"/>
  <c r="L32"/>
  <c r="O33"/>
  <c r="F34"/>
  <c r="R34"/>
  <c r="L38"/>
  <c r="O39"/>
  <c r="F40"/>
  <c r="R40"/>
  <c r="I41"/>
  <c r="O44"/>
  <c r="F45"/>
  <c r="L46"/>
  <c r="O47"/>
  <c r="F48"/>
  <c r="R48"/>
  <c r="I49"/>
  <c r="L50"/>
  <c r="O51"/>
  <c r="I53"/>
  <c r="O56"/>
  <c r="F57"/>
  <c r="R57"/>
  <c r="I58"/>
  <c r="L59"/>
  <c r="O60"/>
  <c r="I63"/>
  <c r="O66"/>
  <c r="F67"/>
  <c r="R67"/>
  <c r="I68"/>
  <c r="L69"/>
  <c r="F70"/>
  <c r="R70"/>
  <c r="L72"/>
  <c r="F74"/>
  <c r="R74"/>
  <c r="L78"/>
  <c r="O79"/>
  <c r="F80"/>
  <c r="R80"/>
  <c r="I81"/>
  <c r="O85"/>
  <c r="F86"/>
  <c r="R86"/>
  <c r="I87"/>
  <c r="L88"/>
  <c r="O89"/>
  <c r="F90"/>
  <c r="R90"/>
  <c r="I91"/>
  <c r="L92"/>
  <c r="O93"/>
  <c r="I95"/>
  <c r="O96"/>
  <c r="I97"/>
  <c r="F101"/>
  <c r="R101"/>
  <c r="I102"/>
  <c r="L103"/>
  <c r="L105"/>
  <c r="F108"/>
  <c r="R108"/>
  <c r="I109"/>
  <c r="L110"/>
  <c r="O111"/>
  <c r="F112"/>
  <c r="R112"/>
  <c r="F19"/>
  <c r="L20"/>
  <c r="F21"/>
  <c r="F25"/>
  <c r="R25"/>
  <c r="F31"/>
  <c r="R31"/>
  <c r="L33"/>
  <c r="L39"/>
  <c r="F41"/>
  <c r="R41"/>
  <c r="L44"/>
  <c r="L47"/>
  <c r="F49"/>
  <c r="R49"/>
  <c r="L51"/>
  <c r="F53"/>
  <c r="R53"/>
  <c r="L56"/>
  <c r="F58"/>
  <c r="R58"/>
  <c r="L60"/>
  <c r="F63"/>
  <c r="R63"/>
  <c r="L66"/>
  <c r="F68"/>
  <c r="R68"/>
  <c r="L79"/>
  <c r="F81"/>
  <c r="R81"/>
  <c r="L85"/>
  <c r="R87"/>
  <c r="L89"/>
  <c r="F91"/>
  <c r="R91"/>
  <c r="L93"/>
  <c r="F95"/>
  <c r="R95"/>
  <c r="F102"/>
  <c r="R102"/>
  <c r="R109"/>
  <c r="L111"/>
  <c r="H15"/>
  <c r="N15"/>
  <c r="O19"/>
  <c r="I20"/>
  <c r="O21"/>
  <c r="O25"/>
  <c r="F26"/>
  <c r="O31"/>
  <c r="F32"/>
  <c r="I33"/>
  <c r="F38"/>
  <c r="I39"/>
  <c r="O41"/>
  <c r="I44"/>
  <c r="F46"/>
  <c r="I47"/>
  <c r="O49"/>
  <c r="F50"/>
  <c r="I51"/>
  <c r="O53"/>
  <c r="I56"/>
  <c r="O58"/>
  <c r="F59"/>
  <c r="I60"/>
  <c r="O63"/>
  <c r="I66"/>
  <c r="O68"/>
  <c r="F72"/>
  <c r="F78"/>
  <c r="I79"/>
  <c r="O81"/>
  <c r="I85"/>
  <c r="O87"/>
  <c r="F88"/>
  <c r="I89"/>
  <c r="O91"/>
  <c r="F92"/>
  <c r="I93"/>
  <c r="O95"/>
  <c r="O102"/>
  <c r="F103"/>
  <c r="F105"/>
  <c r="O109"/>
  <c r="F110"/>
  <c r="I111"/>
  <c r="F33"/>
  <c r="F39"/>
  <c r="F44"/>
  <c r="F47"/>
  <c r="F51"/>
  <c r="F56"/>
  <c r="F60"/>
  <c r="F66"/>
  <c r="F79"/>
  <c r="F85"/>
  <c r="F89"/>
  <c r="F93"/>
  <c r="F111"/>
  <c r="J13" i="8"/>
  <c r="D15"/>
  <c r="P15"/>
  <c r="J17"/>
  <c r="D19"/>
  <c r="P19"/>
  <c r="G13"/>
  <c r="M15"/>
  <c r="G17"/>
  <c r="M19"/>
  <c r="D13"/>
  <c r="P13"/>
  <c r="P11" s="1"/>
  <c r="J15"/>
  <c r="M13"/>
  <c r="M11" s="1"/>
  <c r="G15"/>
  <c r="L81" i="7"/>
  <c r="F81"/>
  <c r="I81"/>
  <c r="O81"/>
  <c r="L18"/>
  <c r="L22"/>
  <c r="L54"/>
  <c r="L56"/>
  <c r="L58"/>
  <c r="L72"/>
  <c r="L78"/>
  <c r="F16"/>
  <c r="L16"/>
  <c r="I18"/>
  <c r="I22"/>
  <c r="I24"/>
  <c r="F26"/>
  <c r="L26"/>
  <c r="I28"/>
  <c r="I30"/>
  <c r="I32"/>
  <c r="I36"/>
  <c r="I38"/>
  <c r="I42"/>
  <c r="I44"/>
  <c r="I46"/>
  <c r="I48"/>
  <c r="I54"/>
  <c r="I56"/>
  <c r="I58"/>
  <c r="I64"/>
  <c r="I66"/>
  <c r="I68"/>
  <c r="I70"/>
  <c r="I72"/>
  <c r="I76"/>
  <c r="I78"/>
  <c r="L84"/>
  <c r="L86"/>
  <c r="L88"/>
  <c r="L90"/>
  <c r="L96"/>
  <c r="F97"/>
  <c r="L98"/>
  <c r="L100"/>
  <c r="L32"/>
  <c r="L64"/>
  <c r="L66"/>
  <c r="L68"/>
  <c r="L70"/>
  <c r="B15"/>
  <c r="H15"/>
  <c r="N15"/>
  <c r="L17"/>
  <c r="F18"/>
  <c r="L19"/>
  <c r="B21"/>
  <c r="F22"/>
  <c r="L23"/>
  <c r="F24"/>
  <c r="B27"/>
  <c r="L27" s="1"/>
  <c r="F28"/>
  <c r="L29"/>
  <c r="F30"/>
  <c r="L31"/>
  <c r="F32"/>
  <c r="E34"/>
  <c r="K34"/>
  <c r="B35"/>
  <c r="F35" s="1"/>
  <c r="F36"/>
  <c r="L37"/>
  <c r="F38"/>
  <c r="L39"/>
  <c r="B41"/>
  <c r="L41" s="1"/>
  <c r="F42"/>
  <c r="L43"/>
  <c r="F44"/>
  <c r="L45"/>
  <c r="F46"/>
  <c r="L47"/>
  <c r="F48"/>
  <c r="L49"/>
  <c r="L51"/>
  <c r="B53"/>
  <c r="F53" s="1"/>
  <c r="F54"/>
  <c r="L55"/>
  <c r="F56"/>
  <c r="L57"/>
  <c r="F58"/>
  <c r="E60"/>
  <c r="K60"/>
  <c r="B63"/>
  <c r="F63" s="1"/>
  <c r="F64"/>
  <c r="L65"/>
  <c r="F66"/>
  <c r="L67"/>
  <c r="F68"/>
  <c r="F70"/>
  <c r="F72"/>
  <c r="E74"/>
  <c r="K74"/>
  <c r="B75"/>
  <c r="F75" s="1"/>
  <c r="F76"/>
  <c r="L77"/>
  <c r="F78"/>
  <c r="L79"/>
  <c r="F82"/>
  <c r="I84"/>
  <c r="I86"/>
  <c r="I88"/>
  <c r="I90"/>
  <c r="L24"/>
  <c r="L28"/>
  <c r="L30"/>
  <c r="L36"/>
  <c r="L38"/>
  <c r="L42"/>
  <c r="L44"/>
  <c r="L46"/>
  <c r="L48"/>
  <c r="L76"/>
  <c r="E13"/>
  <c r="K13"/>
  <c r="D17" i="5"/>
  <c r="D27"/>
  <c r="D33"/>
  <c r="D13"/>
  <c r="D19"/>
  <c r="D25"/>
  <c r="J11"/>
  <c r="D11" s="1"/>
  <c r="J13"/>
  <c r="J15"/>
  <c r="D15" s="1"/>
  <c r="J21"/>
  <c r="D21" s="1"/>
  <c r="J23"/>
  <c r="D23" s="1"/>
  <c r="J29"/>
  <c r="D29" s="1"/>
  <c r="J31"/>
  <c r="D31" s="1"/>
  <c r="F67" i="4"/>
  <c r="I67"/>
  <c r="F86"/>
  <c r="I86"/>
  <c r="O25"/>
  <c r="O30"/>
  <c r="R30"/>
  <c r="F20"/>
  <c r="I20"/>
  <c r="F85"/>
  <c r="I85"/>
  <c r="R57"/>
  <c r="R109"/>
  <c r="O31"/>
  <c r="R31"/>
  <c r="F45"/>
  <c r="I45"/>
  <c r="O57"/>
  <c r="O109"/>
  <c r="F18"/>
  <c r="F25"/>
  <c r="I26"/>
  <c r="R26"/>
  <c r="I27"/>
  <c r="R27"/>
  <c r="I28"/>
  <c r="R28"/>
  <c r="O38"/>
  <c r="O39"/>
  <c r="O48"/>
  <c r="O53"/>
  <c r="I55"/>
  <c r="R55"/>
  <c r="O64"/>
  <c r="I74"/>
  <c r="R74"/>
  <c r="O78"/>
  <c r="O79"/>
  <c r="O89"/>
  <c r="F90"/>
  <c r="O90"/>
  <c r="F91"/>
  <c r="O91"/>
  <c r="F92"/>
  <c r="O92"/>
  <c r="F93"/>
  <c r="O93"/>
  <c r="F94"/>
  <c r="O94"/>
  <c r="F95"/>
  <c r="O95"/>
  <c r="F97"/>
  <c r="O97"/>
  <c r="F98"/>
  <c r="O98"/>
  <c r="F99"/>
  <c r="O99"/>
  <c r="K101"/>
  <c r="I103"/>
  <c r="R103"/>
  <c r="I104"/>
  <c r="R104"/>
  <c r="I105"/>
  <c r="R105"/>
  <c r="F107"/>
  <c r="O107"/>
  <c r="I110"/>
  <c r="R110"/>
  <c r="I111"/>
  <c r="R111"/>
  <c r="I112"/>
  <c r="R112"/>
  <c r="I113"/>
  <c r="R113"/>
  <c r="I114"/>
  <c r="R114"/>
  <c r="K18"/>
  <c r="K25"/>
  <c r="F26"/>
  <c r="O26"/>
  <c r="F27"/>
  <c r="O27"/>
  <c r="F28"/>
  <c r="O28"/>
  <c r="I32"/>
  <c r="R32"/>
  <c r="I33"/>
  <c r="R33"/>
  <c r="I34"/>
  <c r="R34"/>
  <c r="I35"/>
  <c r="R35"/>
  <c r="I36"/>
  <c r="R36"/>
  <c r="B38"/>
  <c r="B39"/>
  <c r="F55"/>
  <c r="O55"/>
  <c r="I58"/>
  <c r="R58"/>
  <c r="I59"/>
  <c r="R59"/>
  <c r="I60"/>
  <c r="R60"/>
  <c r="I61"/>
  <c r="R61"/>
  <c r="I62"/>
  <c r="R62"/>
  <c r="B64"/>
  <c r="F64" s="1"/>
  <c r="F74"/>
  <c r="O74"/>
  <c r="I76"/>
  <c r="R76"/>
  <c r="B78"/>
  <c r="B79"/>
  <c r="F79" s="1"/>
  <c r="F103"/>
  <c r="O103"/>
  <c r="F104"/>
  <c r="O104"/>
  <c r="F105"/>
  <c r="O105"/>
  <c r="K109"/>
  <c r="F110"/>
  <c r="O110"/>
  <c r="F111"/>
  <c r="O111"/>
  <c r="F112"/>
  <c r="O112"/>
  <c r="F113"/>
  <c r="O113"/>
  <c r="F114"/>
  <c r="O114"/>
  <c r="H16"/>
  <c r="N16"/>
  <c r="J233" i="2"/>
  <c r="G279"/>
  <c r="G271"/>
  <c r="J297"/>
  <c r="G234"/>
  <c r="J211"/>
  <c r="G275"/>
  <c r="J278"/>
  <c r="J22"/>
  <c r="G119"/>
  <c r="J124"/>
  <c r="G171"/>
  <c r="J174"/>
  <c r="J274"/>
  <c r="M21"/>
  <c r="F117"/>
  <c r="C117" s="1"/>
  <c r="G125"/>
  <c r="G163"/>
  <c r="J166"/>
  <c r="G179"/>
  <c r="G322"/>
  <c r="M119"/>
  <c r="J121"/>
  <c r="J133"/>
  <c r="G204"/>
  <c r="G208"/>
  <c r="J260"/>
  <c r="G265"/>
  <c r="G307"/>
  <c r="J18"/>
  <c r="G29"/>
  <c r="F37"/>
  <c r="F36" s="1"/>
  <c r="L70"/>
  <c r="G80"/>
  <c r="J111"/>
  <c r="G121"/>
  <c r="J125"/>
  <c r="J128"/>
  <c r="G133"/>
  <c r="D133" s="1"/>
  <c r="C136"/>
  <c r="M136" s="1"/>
  <c r="J138"/>
  <c r="G143"/>
  <c r="J146"/>
  <c r="G151"/>
  <c r="J154"/>
  <c r="G159"/>
  <c r="J162"/>
  <c r="G167"/>
  <c r="J170"/>
  <c r="G175"/>
  <c r="J178"/>
  <c r="G183"/>
  <c r="G218"/>
  <c r="J238"/>
  <c r="J246"/>
  <c r="J251"/>
  <c r="M315"/>
  <c r="M325"/>
  <c r="I44"/>
  <c r="I14" s="1"/>
  <c r="D125"/>
  <c r="J203"/>
  <c r="G212"/>
  <c r="G261"/>
  <c r="J264"/>
  <c r="G297"/>
  <c r="G315"/>
  <c r="D315" s="1"/>
  <c r="J325"/>
  <c r="M19"/>
  <c r="G33"/>
  <c r="G76"/>
  <c r="J79"/>
  <c r="J106"/>
  <c r="G129"/>
  <c r="J132"/>
  <c r="G139"/>
  <c r="J142"/>
  <c r="G147"/>
  <c r="J150"/>
  <c r="G155"/>
  <c r="J158"/>
  <c r="M206"/>
  <c r="C215"/>
  <c r="M215" s="1"/>
  <c r="G239"/>
  <c r="G252"/>
  <c r="J307"/>
  <c r="G325"/>
  <c r="J298"/>
  <c r="G298"/>
  <c r="M298"/>
  <c r="G20"/>
  <c r="J317"/>
  <c r="M317"/>
  <c r="L14"/>
  <c r="L12" s="1"/>
  <c r="G18"/>
  <c r="C20"/>
  <c r="M22"/>
  <c r="D22" s="1"/>
  <c r="F26"/>
  <c r="J54"/>
  <c r="F72"/>
  <c r="G77"/>
  <c r="C109"/>
  <c r="J109" s="1"/>
  <c r="G113"/>
  <c r="C115"/>
  <c r="J115" s="1"/>
  <c r="J119"/>
  <c r="D119" s="1"/>
  <c r="G122"/>
  <c r="G126"/>
  <c r="G130"/>
  <c r="G134"/>
  <c r="G136"/>
  <c r="J139"/>
  <c r="D139" s="1"/>
  <c r="J143"/>
  <c r="J147"/>
  <c r="D147" s="1"/>
  <c r="J151"/>
  <c r="J155"/>
  <c r="D155" s="1"/>
  <c r="J159"/>
  <c r="J163"/>
  <c r="D163" s="1"/>
  <c r="J167"/>
  <c r="J171"/>
  <c r="D171" s="1"/>
  <c r="J175"/>
  <c r="J179"/>
  <c r="D179" s="1"/>
  <c r="J183"/>
  <c r="C199"/>
  <c r="J199" s="1"/>
  <c r="G203"/>
  <c r="J206"/>
  <c r="D206" s="1"/>
  <c r="G209"/>
  <c r="G213"/>
  <c r="J220"/>
  <c r="J234"/>
  <c r="G238"/>
  <c r="J239"/>
  <c r="G244"/>
  <c r="G253"/>
  <c r="G258"/>
  <c r="G262"/>
  <c r="G266"/>
  <c r="G268"/>
  <c r="J273"/>
  <c r="J277"/>
  <c r="G306"/>
  <c r="G312"/>
  <c r="G328"/>
  <c r="G331"/>
  <c r="D143"/>
  <c r="D151"/>
  <c r="D167"/>
  <c r="D175"/>
  <c r="D183"/>
  <c r="J217"/>
  <c r="J221"/>
  <c r="C230"/>
  <c r="J230" s="1"/>
  <c r="J235"/>
  <c r="J270"/>
  <c r="C314"/>
  <c r="J314" s="1"/>
  <c r="G317"/>
  <c r="J320"/>
  <c r="J322"/>
  <c r="J33"/>
  <c r="C46"/>
  <c r="J46" s="1"/>
  <c r="C56"/>
  <c r="J56" s="1"/>
  <c r="G58"/>
  <c r="J76"/>
  <c r="J80"/>
  <c r="J129"/>
  <c r="G140"/>
  <c r="G144"/>
  <c r="G148"/>
  <c r="G152"/>
  <c r="G156"/>
  <c r="G160"/>
  <c r="G164"/>
  <c r="G168"/>
  <c r="G172"/>
  <c r="G176"/>
  <c r="G180"/>
  <c r="J202"/>
  <c r="J208"/>
  <c r="D208" s="1"/>
  <c r="J212"/>
  <c r="G217"/>
  <c r="G221"/>
  <c r="G235"/>
  <c r="J237"/>
  <c r="J252"/>
  <c r="D252" s="1"/>
  <c r="J261"/>
  <c r="J265"/>
  <c r="D265" s="1"/>
  <c r="G270"/>
  <c r="G274"/>
  <c r="D274" s="1"/>
  <c r="G278"/>
  <c r="J305"/>
  <c r="G313"/>
  <c r="J327"/>
  <c r="D33"/>
  <c r="G52"/>
  <c r="G61"/>
  <c r="M63"/>
  <c r="G65"/>
  <c r="G67"/>
  <c r="G82"/>
  <c r="G89"/>
  <c r="D129"/>
  <c r="J136"/>
  <c r="D136" s="1"/>
  <c r="M225"/>
  <c r="M230"/>
  <c r="J268"/>
  <c r="J296"/>
  <c r="J306"/>
  <c r="G319"/>
  <c r="G323"/>
  <c r="G327"/>
  <c r="J331"/>
  <c r="J53"/>
  <c r="M53"/>
  <c r="J64"/>
  <c r="M64"/>
  <c r="J66"/>
  <c r="M66"/>
  <c r="J68"/>
  <c r="M68"/>
  <c r="F16"/>
  <c r="G19"/>
  <c r="D19" s="1"/>
  <c r="M199"/>
  <c r="D217"/>
  <c r="D221"/>
  <c r="D278"/>
  <c r="J311"/>
  <c r="M311"/>
  <c r="C26"/>
  <c r="J26" s="1"/>
  <c r="G21"/>
  <c r="D21" s="1"/>
  <c r="D203"/>
  <c r="F291"/>
  <c r="D325"/>
  <c r="J27"/>
  <c r="M27"/>
  <c r="J34"/>
  <c r="M34"/>
  <c r="J73"/>
  <c r="M73"/>
  <c r="J84"/>
  <c r="M84"/>
  <c r="J110"/>
  <c r="M110"/>
  <c r="J295"/>
  <c r="M295"/>
  <c r="C301"/>
  <c r="M301" s="1"/>
  <c r="M248"/>
  <c r="D322"/>
  <c r="G27"/>
  <c r="M28"/>
  <c r="J29"/>
  <c r="D29" s="1"/>
  <c r="G34"/>
  <c r="C36"/>
  <c r="J36" s="1"/>
  <c r="C37"/>
  <c r="J37" s="1"/>
  <c r="C38"/>
  <c r="G38" s="1"/>
  <c r="C40"/>
  <c r="G41"/>
  <c r="F45"/>
  <c r="C47"/>
  <c r="G47" s="1"/>
  <c r="C49"/>
  <c r="G49" s="1"/>
  <c r="M52"/>
  <c r="D52" s="1"/>
  <c r="G53"/>
  <c r="D53" s="1"/>
  <c r="C55"/>
  <c r="C57"/>
  <c r="G57" s="1"/>
  <c r="C59"/>
  <c r="G59" s="1"/>
  <c r="G63"/>
  <c r="D63" s="1"/>
  <c r="G64"/>
  <c r="D64" s="1"/>
  <c r="M65"/>
  <c r="G66"/>
  <c r="M67"/>
  <c r="D67" s="1"/>
  <c r="G68"/>
  <c r="D68" s="1"/>
  <c r="G73"/>
  <c r="D73" s="1"/>
  <c r="C75"/>
  <c r="M75" s="1"/>
  <c r="J77"/>
  <c r="D77" s="1"/>
  <c r="G78"/>
  <c r="G84"/>
  <c r="C86"/>
  <c r="J86" s="1"/>
  <c r="C87"/>
  <c r="M87" s="1"/>
  <c r="C88"/>
  <c r="C90"/>
  <c r="G90" s="1"/>
  <c r="G91"/>
  <c r="F104"/>
  <c r="G105"/>
  <c r="C107"/>
  <c r="G108"/>
  <c r="M109"/>
  <c r="G110"/>
  <c r="C112"/>
  <c r="G112" s="1"/>
  <c r="M115"/>
  <c r="J122"/>
  <c r="D122" s="1"/>
  <c r="G123"/>
  <c r="J126"/>
  <c r="D126" s="1"/>
  <c r="G127"/>
  <c r="J130"/>
  <c r="D130" s="1"/>
  <c r="G131"/>
  <c r="J134"/>
  <c r="J140"/>
  <c r="G141"/>
  <c r="J144"/>
  <c r="D144" s="1"/>
  <c r="G145"/>
  <c r="J148"/>
  <c r="D148" s="1"/>
  <c r="G149"/>
  <c r="J152"/>
  <c r="D152" s="1"/>
  <c r="G153"/>
  <c r="J156"/>
  <c r="G157"/>
  <c r="J160"/>
  <c r="D160" s="1"/>
  <c r="G161"/>
  <c r="J164"/>
  <c r="D164" s="1"/>
  <c r="G165"/>
  <c r="J168"/>
  <c r="D168" s="1"/>
  <c r="G169"/>
  <c r="J172"/>
  <c r="G173"/>
  <c r="J176"/>
  <c r="D176" s="1"/>
  <c r="G177"/>
  <c r="J180"/>
  <c r="D180" s="1"/>
  <c r="G181"/>
  <c r="G185"/>
  <c r="C197"/>
  <c r="J197" s="1"/>
  <c r="G199"/>
  <c r="D199" s="1"/>
  <c r="G201"/>
  <c r="J204"/>
  <c r="D204" s="1"/>
  <c r="J209"/>
  <c r="D209" s="1"/>
  <c r="G210"/>
  <c r="J213"/>
  <c r="D213" s="1"/>
  <c r="J218"/>
  <c r="D218" s="1"/>
  <c r="G219"/>
  <c r="C223"/>
  <c r="M223" s="1"/>
  <c r="G225"/>
  <c r="D225" s="1"/>
  <c r="G227"/>
  <c r="G232"/>
  <c r="G236"/>
  <c r="G240"/>
  <c r="C242"/>
  <c r="M242" s="1"/>
  <c r="J244"/>
  <c r="G248"/>
  <c r="G250"/>
  <c r="J253"/>
  <c r="G254"/>
  <c r="C256"/>
  <c r="M256" s="1"/>
  <c r="J258"/>
  <c r="G259"/>
  <c r="J262"/>
  <c r="D262" s="1"/>
  <c r="G263"/>
  <c r="J266"/>
  <c r="J271"/>
  <c r="D271" s="1"/>
  <c r="G272"/>
  <c r="J275"/>
  <c r="D275" s="1"/>
  <c r="G276"/>
  <c r="J279"/>
  <c r="D279" s="1"/>
  <c r="I293"/>
  <c r="C293" s="1"/>
  <c r="G295"/>
  <c r="C303"/>
  <c r="G303" s="1"/>
  <c r="G304"/>
  <c r="C309"/>
  <c r="J309" s="1"/>
  <c r="G311"/>
  <c r="D311" s="1"/>
  <c r="M312"/>
  <c r="D312" s="1"/>
  <c r="J313"/>
  <c r="D313" s="1"/>
  <c r="M319"/>
  <c r="D319" s="1"/>
  <c r="G321"/>
  <c r="M323"/>
  <c r="D323" s="1"/>
  <c r="M328"/>
  <c r="D328" s="1"/>
  <c r="J329"/>
  <c r="G330"/>
  <c r="M332"/>
  <c r="J28"/>
  <c r="M32"/>
  <c r="M39"/>
  <c r="C42"/>
  <c r="M46"/>
  <c r="M48"/>
  <c r="M54"/>
  <c r="D54" s="1"/>
  <c r="M56"/>
  <c r="M58"/>
  <c r="D58" s="1"/>
  <c r="M61"/>
  <c r="D61" s="1"/>
  <c r="M79"/>
  <c r="D79" s="1"/>
  <c r="M82"/>
  <c r="M89"/>
  <c r="D89" s="1"/>
  <c r="M106"/>
  <c r="D106" s="1"/>
  <c r="M111"/>
  <c r="D111" s="1"/>
  <c r="M113"/>
  <c r="D113" s="1"/>
  <c r="M124"/>
  <c r="D124" s="1"/>
  <c r="M128"/>
  <c r="D128" s="1"/>
  <c r="M132"/>
  <c r="M138"/>
  <c r="D138" s="1"/>
  <c r="M142"/>
  <c r="D142" s="1"/>
  <c r="M146"/>
  <c r="D146" s="1"/>
  <c r="M150"/>
  <c r="M154"/>
  <c r="D154" s="1"/>
  <c r="M158"/>
  <c r="D158" s="1"/>
  <c r="M162"/>
  <c r="D162" s="1"/>
  <c r="M166"/>
  <c r="D166" s="1"/>
  <c r="M170"/>
  <c r="D170" s="1"/>
  <c r="M174"/>
  <c r="D174" s="1"/>
  <c r="M178"/>
  <c r="D178" s="1"/>
  <c r="M182"/>
  <c r="D182" s="1"/>
  <c r="M202"/>
  <c r="D202" s="1"/>
  <c r="M211"/>
  <c r="D211" s="1"/>
  <c r="M220"/>
  <c r="D220" s="1"/>
  <c r="M228"/>
  <c r="D228" s="1"/>
  <c r="M233"/>
  <c r="D233" s="1"/>
  <c r="M237"/>
  <c r="M246"/>
  <c r="D246" s="1"/>
  <c r="M251"/>
  <c r="D251" s="1"/>
  <c r="M260"/>
  <c r="M264"/>
  <c r="D264" s="1"/>
  <c r="M273"/>
  <c r="D273" s="1"/>
  <c r="M277"/>
  <c r="M296"/>
  <c r="D296" s="1"/>
  <c r="C299"/>
  <c r="G299" s="1"/>
  <c r="M305"/>
  <c r="D305" s="1"/>
  <c r="G320"/>
  <c r="D320" s="1"/>
  <c r="G329"/>
  <c r="J332"/>
  <c r="D332" s="1"/>
  <c r="J32"/>
  <c r="D32" s="1"/>
  <c r="J39"/>
  <c r="M41"/>
  <c r="J48"/>
  <c r="M78"/>
  <c r="M91"/>
  <c r="M105"/>
  <c r="M108"/>
  <c r="M123"/>
  <c r="M127"/>
  <c r="M131"/>
  <c r="M141"/>
  <c r="M145"/>
  <c r="M149"/>
  <c r="M153"/>
  <c r="M157"/>
  <c r="M161"/>
  <c r="M165"/>
  <c r="M169"/>
  <c r="M173"/>
  <c r="M177"/>
  <c r="M181"/>
  <c r="M185"/>
  <c r="M201"/>
  <c r="M210"/>
  <c r="M219"/>
  <c r="M227"/>
  <c r="M232"/>
  <c r="M236"/>
  <c r="M240"/>
  <c r="M250"/>
  <c r="M254"/>
  <c r="M259"/>
  <c r="M263"/>
  <c r="M272"/>
  <c r="M276"/>
  <c r="M304"/>
  <c r="M321"/>
  <c r="M330"/>
  <c r="F31"/>
  <c r="F51"/>
  <c r="J132" i="22" l="1"/>
  <c r="G132"/>
  <c r="M132"/>
  <c r="G147"/>
  <c r="L55" i="10"/>
  <c r="O83"/>
  <c r="O36"/>
  <c r="F36"/>
  <c r="L28"/>
  <c r="B62"/>
  <c r="I62" s="1"/>
  <c r="R36"/>
  <c r="I36"/>
  <c r="R77"/>
  <c r="L77"/>
  <c r="F77"/>
  <c r="L83"/>
  <c r="O55"/>
  <c r="F43"/>
  <c r="F55"/>
  <c r="F83"/>
  <c r="O28"/>
  <c r="I77"/>
  <c r="B17"/>
  <c r="F17" s="1"/>
  <c r="R55"/>
  <c r="AB42" i="31"/>
  <c r="AD225"/>
  <c r="AB223"/>
  <c r="X125"/>
  <c r="X17"/>
  <c r="AD71"/>
  <c r="C61"/>
  <c r="Z71"/>
  <c r="AD98"/>
  <c r="AD149"/>
  <c r="AB147"/>
  <c r="C127"/>
  <c r="Z129"/>
  <c r="AD55"/>
  <c r="AB53"/>
  <c r="C19"/>
  <c r="Z21"/>
  <c r="AB235"/>
  <c r="AB96"/>
  <c r="X40"/>
  <c r="AD44"/>
  <c r="AD216"/>
  <c r="AB61"/>
  <c r="AB21"/>
  <c r="X233"/>
  <c r="AD42"/>
  <c r="Z42"/>
  <c r="X96"/>
  <c r="C94"/>
  <c r="AD96"/>
  <c r="Z96"/>
  <c r="AB181"/>
  <c r="AB31"/>
  <c r="C235"/>
  <c r="AD237"/>
  <c r="Z237"/>
  <c r="C179"/>
  <c r="AD181"/>
  <c r="Z181"/>
  <c r="AD137"/>
  <c r="AD203"/>
  <c r="Z203"/>
  <c r="AB129"/>
  <c r="AD63"/>
  <c r="AD23"/>
  <c r="AD49"/>
  <c r="J82" i="22"/>
  <c r="G183"/>
  <c r="P132"/>
  <c r="C60"/>
  <c r="J183"/>
  <c r="J16"/>
  <c r="J81"/>
  <c r="P81"/>
  <c r="P16"/>
  <c r="Q13" i="20"/>
  <c r="E13"/>
  <c r="B15"/>
  <c r="H13"/>
  <c r="K13"/>
  <c r="N13"/>
  <c r="L63" i="7"/>
  <c r="F95"/>
  <c r="I95"/>
  <c r="F27"/>
  <c r="M13" i="23"/>
  <c r="G13"/>
  <c r="G60" i="22"/>
  <c r="M60"/>
  <c r="I13"/>
  <c r="O13"/>
  <c r="J60"/>
  <c r="G16"/>
  <c r="C15"/>
  <c r="G15" s="1"/>
  <c r="F13"/>
  <c r="P60"/>
  <c r="L13"/>
  <c r="M15"/>
  <c r="C74"/>
  <c r="C34"/>
  <c r="P34" s="1"/>
  <c r="C26"/>
  <c r="P26" s="1"/>
  <c r="K13" i="19"/>
  <c r="H13"/>
  <c r="Q13"/>
  <c r="E13"/>
  <c r="B15"/>
  <c r="N13"/>
  <c r="H13" i="17"/>
  <c r="R62"/>
  <c r="F62"/>
  <c r="B17"/>
  <c r="L17" s="1"/>
  <c r="E15"/>
  <c r="K15"/>
  <c r="R36"/>
  <c r="N13"/>
  <c r="R17"/>
  <c r="Q15"/>
  <c r="F23"/>
  <c r="F36"/>
  <c r="B36"/>
  <c r="F55"/>
  <c r="R23"/>
  <c r="F28"/>
  <c r="R29"/>
  <c r="E13" i="16"/>
  <c r="B15"/>
  <c r="K13"/>
  <c r="H13"/>
  <c r="Q13"/>
  <c r="N13"/>
  <c r="H15" i="14"/>
  <c r="F36"/>
  <c r="B36"/>
  <c r="Q15"/>
  <c r="O36"/>
  <c r="L62"/>
  <c r="O62"/>
  <c r="N15"/>
  <c r="I100"/>
  <c r="R62"/>
  <c r="F17"/>
  <c r="B17"/>
  <c r="E15"/>
  <c r="R36"/>
  <c r="L100"/>
  <c r="O100"/>
  <c r="K15"/>
  <c r="I36"/>
  <c r="R100"/>
  <c r="I62"/>
  <c r="K13" i="12"/>
  <c r="E13"/>
  <c r="N13"/>
  <c r="F36"/>
  <c r="B36"/>
  <c r="H15"/>
  <c r="Q15"/>
  <c r="L36"/>
  <c r="H13" i="10"/>
  <c r="E13"/>
  <c r="B15"/>
  <c r="F15" s="1"/>
  <c r="N13"/>
  <c r="K13"/>
  <c r="Q13"/>
  <c r="J11" i="8"/>
  <c r="D11"/>
  <c r="G11"/>
  <c r="B74" i="7"/>
  <c r="O63"/>
  <c r="I63"/>
  <c r="O53"/>
  <c r="I53"/>
  <c r="I15"/>
  <c r="H13"/>
  <c r="L53"/>
  <c r="F15"/>
  <c r="K11"/>
  <c r="B34"/>
  <c r="L34" s="1"/>
  <c r="O35"/>
  <c r="I35"/>
  <c r="O27"/>
  <c r="I27"/>
  <c r="O21"/>
  <c r="I21"/>
  <c r="O15"/>
  <c r="N13"/>
  <c r="L74"/>
  <c r="L35"/>
  <c r="F21"/>
  <c r="L21"/>
  <c r="E11"/>
  <c r="F13"/>
  <c r="B13"/>
  <c r="L13" s="1"/>
  <c r="O75"/>
  <c r="I75"/>
  <c r="B60"/>
  <c r="L60" s="1"/>
  <c r="O41"/>
  <c r="I41"/>
  <c r="F41"/>
  <c r="L15"/>
  <c r="L75"/>
  <c r="I39" i="4"/>
  <c r="H14"/>
  <c r="I16"/>
  <c r="R18"/>
  <c r="R101"/>
  <c r="N14"/>
  <c r="K16"/>
  <c r="I78"/>
  <c r="R25"/>
  <c r="F78"/>
  <c r="B16"/>
  <c r="I64"/>
  <c r="I79"/>
  <c r="I38"/>
  <c r="F39"/>
  <c r="F38"/>
  <c r="O18"/>
  <c r="O101"/>
  <c r="D270" i="2"/>
  <c r="D297"/>
  <c r="D234"/>
  <c r="D268"/>
  <c r="D239"/>
  <c r="D258"/>
  <c r="D307"/>
  <c r="D277"/>
  <c r="D237"/>
  <c r="D253"/>
  <c r="D261"/>
  <c r="D235"/>
  <c r="J117"/>
  <c r="M117"/>
  <c r="G117"/>
  <c r="D117" s="1"/>
  <c r="G301"/>
  <c r="D306"/>
  <c r="D317"/>
  <c r="G109"/>
  <c r="D109" s="1"/>
  <c r="D76"/>
  <c r="D238"/>
  <c r="D159"/>
  <c r="D80"/>
  <c r="D331"/>
  <c r="D329"/>
  <c r="D260"/>
  <c r="D82"/>
  <c r="G230"/>
  <c r="D230" s="1"/>
  <c r="D134"/>
  <c r="D84"/>
  <c r="D65"/>
  <c r="J301"/>
  <c r="M26"/>
  <c r="J215"/>
  <c r="D215" s="1"/>
  <c r="M314"/>
  <c r="D18"/>
  <c r="D121"/>
  <c r="D48"/>
  <c r="D28"/>
  <c r="G314"/>
  <c r="D244"/>
  <c r="D172"/>
  <c r="D156"/>
  <c r="D140"/>
  <c r="G215"/>
  <c r="D150"/>
  <c r="D132"/>
  <c r="D266"/>
  <c r="D212"/>
  <c r="G56"/>
  <c r="D56" s="1"/>
  <c r="M293"/>
  <c r="G293"/>
  <c r="C72"/>
  <c r="F70"/>
  <c r="J20"/>
  <c r="D20" s="1"/>
  <c r="M20"/>
  <c r="G256"/>
  <c r="J256"/>
  <c r="D298"/>
  <c r="D321"/>
  <c r="D259"/>
  <c r="D219"/>
  <c r="D177"/>
  <c r="D161"/>
  <c r="D145"/>
  <c r="M309"/>
  <c r="J87"/>
  <c r="D39"/>
  <c r="D304"/>
  <c r="D210"/>
  <c r="D127"/>
  <c r="D91"/>
  <c r="M36"/>
  <c r="D36" s="1"/>
  <c r="G36"/>
  <c r="G46"/>
  <c r="D46" s="1"/>
  <c r="G115"/>
  <c r="D115" s="1"/>
  <c r="D327"/>
  <c r="J42"/>
  <c r="M42"/>
  <c r="C51"/>
  <c r="G51" s="1"/>
  <c r="J293"/>
  <c r="I291"/>
  <c r="C104"/>
  <c r="G104" s="1"/>
  <c r="F103"/>
  <c r="M57"/>
  <c r="J57"/>
  <c r="M49"/>
  <c r="D49" s="1"/>
  <c r="J49"/>
  <c r="M40"/>
  <c r="J40"/>
  <c r="G16"/>
  <c r="C16"/>
  <c r="D232"/>
  <c r="D263"/>
  <c r="D248"/>
  <c r="D236"/>
  <c r="D201"/>
  <c r="D181"/>
  <c r="D173"/>
  <c r="D165"/>
  <c r="D157"/>
  <c r="D149"/>
  <c r="D141"/>
  <c r="D34"/>
  <c r="G223"/>
  <c r="M86"/>
  <c r="G87"/>
  <c r="D87" s="1"/>
  <c r="G309"/>
  <c r="G75"/>
  <c r="M37"/>
  <c r="M303"/>
  <c r="J303"/>
  <c r="G31"/>
  <c r="C31"/>
  <c r="F24"/>
  <c r="M38"/>
  <c r="J38"/>
  <c r="M88"/>
  <c r="J88"/>
  <c r="M59"/>
  <c r="J59"/>
  <c r="D330"/>
  <c r="D272"/>
  <c r="D108"/>
  <c r="D295"/>
  <c r="D276"/>
  <c r="D250"/>
  <c r="D240"/>
  <c r="D227"/>
  <c r="D185"/>
  <c r="D131"/>
  <c r="D123"/>
  <c r="D110"/>
  <c r="D105"/>
  <c r="D78"/>
  <c r="D66"/>
  <c r="D41"/>
  <c r="D27"/>
  <c r="G242"/>
  <c r="G88"/>
  <c r="J242"/>
  <c r="J223"/>
  <c r="G37"/>
  <c r="G26"/>
  <c r="D26" s="1"/>
  <c r="G40"/>
  <c r="M112"/>
  <c r="J112"/>
  <c r="M107"/>
  <c r="J107"/>
  <c r="M90"/>
  <c r="J90"/>
  <c r="G45"/>
  <c r="C45"/>
  <c r="F44"/>
  <c r="D169"/>
  <c r="D153"/>
  <c r="G197"/>
  <c r="J299"/>
  <c r="G86"/>
  <c r="M299"/>
  <c r="M197"/>
  <c r="J75"/>
  <c r="M55"/>
  <c r="J55"/>
  <c r="M47"/>
  <c r="J47"/>
  <c r="D254"/>
  <c r="G42"/>
  <c r="G55"/>
  <c r="G107"/>
  <c r="I17" i="10" l="1"/>
  <c r="O17"/>
  <c r="L17"/>
  <c r="R17"/>
  <c r="L15"/>
  <c r="L62"/>
  <c r="R62"/>
  <c r="F62"/>
  <c r="O62"/>
  <c r="Z179" i="31"/>
  <c r="AD31"/>
  <c r="Z127"/>
  <c r="C125"/>
  <c r="AD127"/>
  <c r="Z235"/>
  <c r="C233"/>
  <c r="AD235"/>
  <c r="AD223"/>
  <c r="AB221"/>
  <c r="AB179"/>
  <c r="AB233"/>
  <c r="Z19"/>
  <c r="C17"/>
  <c r="AD147"/>
  <c r="AB127"/>
  <c r="AB19"/>
  <c r="AD61"/>
  <c r="Z61"/>
  <c r="C53"/>
  <c r="X15"/>
  <c r="X94"/>
  <c r="AB94"/>
  <c r="AB40"/>
  <c r="AD129"/>
  <c r="AD21"/>
  <c r="K11" i="20"/>
  <c r="R15"/>
  <c r="Q11"/>
  <c r="O15"/>
  <c r="I15"/>
  <c r="N11"/>
  <c r="I13"/>
  <c r="H11"/>
  <c r="F15"/>
  <c r="E11"/>
  <c r="B13"/>
  <c r="L13" s="1"/>
  <c r="L15"/>
  <c r="M74" i="22"/>
  <c r="G74"/>
  <c r="O11"/>
  <c r="J26"/>
  <c r="M34"/>
  <c r="G34"/>
  <c r="J74"/>
  <c r="G26"/>
  <c r="M26"/>
  <c r="L11"/>
  <c r="P15"/>
  <c r="J15"/>
  <c r="P74"/>
  <c r="J34"/>
  <c r="C13"/>
  <c r="J13" s="1"/>
  <c r="F11"/>
  <c r="I11"/>
  <c r="R15" i="19"/>
  <c r="L15"/>
  <c r="Q11"/>
  <c r="K11"/>
  <c r="O15"/>
  <c r="N11"/>
  <c r="F15"/>
  <c r="I15"/>
  <c r="E11"/>
  <c r="B13"/>
  <c r="O13" s="1"/>
  <c r="H11"/>
  <c r="N11" i="17"/>
  <c r="F15"/>
  <c r="E13"/>
  <c r="B15"/>
  <c r="O17"/>
  <c r="I17"/>
  <c r="R15"/>
  <c r="Q13"/>
  <c r="L15"/>
  <c r="K13"/>
  <c r="H11"/>
  <c r="F17"/>
  <c r="Q11" i="16"/>
  <c r="K11"/>
  <c r="L15"/>
  <c r="F15"/>
  <c r="N11"/>
  <c r="H11"/>
  <c r="E11"/>
  <c r="B13"/>
  <c r="R13" s="1"/>
  <c r="R15"/>
  <c r="O15"/>
  <c r="I15"/>
  <c r="H13" i="14"/>
  <c r="L36"/>
  <c r="R17"/>
  <c r="K13"/>
  <c r="N13"/>
  <c r="B15"/>
  <c r="E13"/>
  <c r="Q13"/>
  <c r="L17"/>
  <c r="O17"/>
  <c r="I17"/>
  <c r="E11" i="12"/>
  <c r="H13"/>
  <c r="O36"/>
  <c r="B15"/>
  <c r="I15" s="1"/>
  <c r="N11"/>
  <c r="R15"/>
  <c r="Q13"/>
  <c r="K11"/>
  <c r="I36"/>
  <c r="R36"/>
  <c r="Q11" i="10"/>
  <c r="N11"/>
  <c r="E11"/>
  <c r="B13"/>
  <c r="K11"/>
  <c r="I15"/>
  <c r="H11"/>
  <c r="R15"/>
  <c r="O15"/>
  <c r="I60" i="7"/>
  <c r="O60"/>
  <c r="N11"/>
  <c r="O13"/>
  <c r="O34"/>
  <c r="I34"/>
  <c r="I74"/>
  <c r="O74"/>
  <c r="F60"/>
  <c r="I13"/>
  <c r="H11"/>
  <c r="B11" s="1"/>
  <c r="C60" s="1"/>
  <c r="F34"/>
  <c r="F74"/>
  <c r="B14" i="4"/>
  <c r="I14"/>
  <c r="H12"/>
  <c r="O14"/>
  <c r="K14"/>
  <c r="N12"/>
  <c r="R16"/>
  <c r="F16"/>
  <c r="O16"/>
  <c r="D256" i="2"/>
  <c r="D293"/>
  <c r="D301"/>
  <c r="D57"/>
  <c r="D299"/>
  <c r="D37"/>
  <c r="D242"/>
  <c r="D309"/>
  <c r="D90"/>
  <c r="D88"/>
  <c r="D223"/>
  <c r="D314"/>
  <c r="D47"/>
  <c r="F14"/>
  <c r="F12" s="1"/>
  <c r="D112"/>
  <c r="D303"/>
  <c r="C70"/>
  <c r="G70" s="1"/>
  <c r="D38"/>
  <c r="D75"/>
  <c r="J72"/>
  <c r="M72"/>
  <c r="G72"/>
  <c r="D59"/>
  <c r="D107"/>
  <c r="I12"/>
  <c r="M45"/>
  <c r="J45"/>
  <c r="C24"/>
  <c r="G24" s="1"/>
  <c r="J16"/>
  <c r="M16"/>
  <c r="M104"/>
  <c r="D104" s="1"/>
  <c r="J104"/>
  <c r="M51"/>
  <c r="J51"/>
  <c r="D51" s="1"/>
  <c r="D42"/>
  <c r="D86"/>
  <c r="D40"/>
  <c r="M31"/>
  <c r="J31"/>
  <c r="C44"/>
  <c r="G44" s="1"/>
  <c r="C103"/>
  <c r="D55"/>
  <c r="D197"/>
  <c r="C291"/>
  <c r="AB17" i="31" l="1"/>
  <c r="C15"/>
  <c r="AD17"/>
  <c r="Z17"/>
  <c r="AD221"/>
  <c r="AD233"/>
  <c r="Z233"/>
  <c r="AD94"/>
  <c r="AD53"/>
  <c r="Z53"/>
  <c r="C40"/>
  <c r="AB125"/>
  <c r="AD125"/>
  <c r="Z125"/>
  <c r="X38"/>
  <c r="X13" s="1"/>
  <c r="Z94"/>
  <c r="AD19"/>
  <c r="AD179"/>
  <c r="O13" i="20"/>
  <c r="R13"/>
  <c r="B11"/>
  <c r="F13"/>
  <c r="P13" i="22"/>
  <c r="C11"/>
  <c r="G13"/>
  <c r="M13"/>
  <c r="R13" i="19"/>
  <c r="F13"/>
  <c r="R11"/>
  <c r="B11"/>
  <c r="F11" s="1"/>
  <c r="C13"/>
  <c r="L11"/>
  <c r="I13"/>
  <c r="O11"/>
  <c r="L13"/>
  <c r="Q11" i="17"/>
  <c r="F13"/>
  <c r="E11"/>
  <c r="B13"/>
  <c r="O15"/>
  <c r="I15"/>
  <c r="L13"/>
  <c r="K11"/>
  <c r="B11" i="16"/>
  <c r="F11" s="1"/>
  <c r="F13"/>
  <c r="O13"/>
  <c r="O11"/>
  <c r="I13"/>
  <c r="I11"/>
  <c r="L13"/>
  <c r="E11" i="14"/>
  <c r="B13"/>
  <c r="F13" s="1"/>
  <c r="H11"/>
  <c r="O15"/>
  <c r="Q11"/>
  <c r="K11"/>
  <c r="N11"/>
  <c r="L15"/>
  <c r="F15"/>
  <c r="R15"/>
  <c r="I15"/>
  <c r="Q11" i="12"/>
  <c r="H11"/>
  <c r="I13"/>
  <c r="B11"/>
  <c r="O11" s="1"/>
  <c r="O15"/>
  <c r="L15"/>
  <c r="F15"/>
  <c r="B13"/>
  <c r="F13" i="10"/>
  <c r="R13"/>
  <c r="B11"/>
  <c r="C13" s="1"/>
  <c r="O13"/>
  <c r="I13"/>
  <c r="L13"/>
  <c r="O11" i="7"/>
  <c r="I11"/>
  <c r="C74"/>
  <c r="C99"/>
  <c r="C97"/>
  <c r="C95"/>
  <c r="C93"/>
  <c r="C91"/>
  <c r="C89"/>
  <c r="C87"/>
  <c r="C85"/>
  <c r="C83"/>
  <c r="C100"/>
  <c r="C98"/>
  <c r="C96"/>
  <c r="C90"/>
  <c r="C86"/>
  <c r="C84"/>
  <c r="C79"/>
  <c r="C77"/>
  <c r="C67"/>
  <c r="C65"/>
  <c r="C61"/>
  <c r="C57"/>
  <c r="C55"/>
  <c r="C51"/>
  <c r="C49"/>
  <c r="C47"/>
  <c r="C45"/>
  <c r="C43"/>
  <c r="C39"/>
  <c r="C37"/>
  <c r="C31"/>
  <c r="C29"/>
  <c r="C23"/>
  <c r="C19"/>
  <c r="C17"/>
  <c r="C88"/>
  <c r="C82"/>
  <c r="C26"/>
  <c r="C64"/>
  <c r="C24"/>
  <c r="C36"/>
  <c r="C70"/>
  <c r="C22"/>
  <c r="C32"/>
  <c r="C44"/>
  <c r="C56"/>
  <c r="C68"/>
  <c r="C78"/>
  <c r="C38"/>
  <c r="C46"/>
  <c r="C16"/>
  <c r="C81"/>
  <c r="C18"/>
  <c r="C30"/>
  <c r="C42"/>
  <c r="C54"/>
  <c r="C66"/>
  <c r="C76"/>
  <c r="C28"/>
  <c r="C48"/>
  <c r="C72"/>
  <c r="C58"/>
  <c r="C53"/>
  <c r="C15"/>
  <c r="C75"/>
  <c r="C63"/>
  <c r="C35"/>
  <c r="C27"/>
  <c r="C41"/>
  <c r="C21"/>
  <c r="L11"/>
  <c r="C13"/>
  <c r="C11" s="1"/>
  <c r="F11"/>
  <c r="C34"/>
  <c r="R14" i="4"/>
  <c r="C14"/>
  <c r="F14"/>
  <c r="I12"/>
  <c r="B12"/>
  <c r="K12"/>
  <c r="C14" i="2"/>
  <c r="G14" s="1"/>
  <c r="D31"/>
  <c r="D16"/>
  <c r="D72"/>
  <c r="D45"/>
  <c r="M70"/>
  <c r="J70"/>
  <c r="D70" s="1"/>
  <c r="C12"/>
  <c r="M12" s="1"/>
  <c r="M291"/>
  <c r="G291"/>
  <c r="J44"/>
  <c r="M44"/>
  <c r="M24"/>
  <c r="J24"/>
  <c r="J291"/>
  <c r="J103"/>
  <c r="M103"/>
  <c r="M14"/>
  <c r="J14"/>
  <c r="G103"/>
  <c r="P11" i="22" l="1"/>
  <c r="D178"/>
  <c r="F11" i="10"/>
  <c r="I11"/>
  <c r="X11" i="31"/>
  <c r="Y13"/>
  <c r="Z40"/>
  <c r="C38"/>
  <c r="AD40"/>
  <c r="AC17"/>
  <c r="AB15"/>
  <c r="Y38"/>
  <c r="AC125"/>
  <c r="AB38"/>
  <c r="AC38" s="1"/>
  <c r="Z15"/>
  <c r="AD15"/>
  <c r="G11" i="22"/>
  <c r="C111" i="20"/>
  <c r="C107"/>
  <c r="C103"/>
  <c r="C102"/>
  <c r="C96"/>
  <c r="C92"/>
  <c r="C88"/>
  <c r="C78"/>
  <c r="C77"/>
  <c r="C76"/>
  <c r="C72"/>
  <c r="C68"/>
  <c r="C63"/>
  <c r="C62"/>
  <c r="C58"/>
  <c r="C53"/>
  <c r="C49"/>
  <c r="C46"/>
  <c r="C41"/>
  <c r="C31"/>
  <c r="C25"/>
  <c r="C20"/>
  <c r="C113"/>
  <c r="C105"/>
  <c r="C100"/>
  <c r="C90"/>
  <c r="C86"/>
  <c r="C80"/>
  <c r="C74"/>
  <c r="C70"/>
  <c r="C66"/>
  <c r="C65"/>
  <c r="C60"/>
  <c r="C56"/>
  <c r="C55"/>
  <c r="C51"/>
  <c r="C47"/>
  <c r="C44"/>
  <c r="C43"/>
  <c r="C39"/>
  <c r="C33"/>
  <c r="C83"/>
  <c r="C29"/>
  <c r="C81"/>
  <c r="C87"/>
  <c r="C110"/>
  <c r="C114"/>
  <c r="C32"/>
  <c r="C69"/>
  <c r="C104"/>
  <c r="C36"/>
  <c r="C23"/>
  <c r="C30"/>
  <c r="C67"/>
  <c r="C95"/>
  <c r="C26"/>
  <c r="C79"/>
  <c r="C89"/>
  <c r="C28"/>
  <c r="C17"/>
  <c r="C84"/>
  <c r="C24"/>
  <c r="C45"/>
  <c r="C57"/>
  <c r="C91"/>
  <c r="C21"/>
  <c r="C38"/>
  <c r="C50"/>
  <c r="C97"/>
  <c r="C18"/>
  <c r="C109"/>
  <c r="C37"/>
  <c r="C19"/>
  <c r="C34"/>
  <c r="C40"/>
  <c r="C48"/>
  <c r="C59"/>
  <c r="C85"/>
  <c r="C93"/>
  <c r="C112"/>
  <c r="C15"/>
  <c r="R11"/>
  <c r="F11"/>
  <c r="I11"/>
  <c r="O11"/>
  <c r="L11"/>
  <c r="C13"/>
  <c r="C11" s="1"/>
  <c r="D95" i="22"/>
  <c r="D93"/>
  <c r="D91"/>
  <c r="D89"/>
  <c r="D87"/>
  <c r="D85"/>
  <c r="D83"/>
  <c r="D81"/>
  <c r="D160"/>
  <c r="D158"/>
  <c r="D156"/>
  <c r="D154"/>
  <c r="D187"/>
  <c r="D90"/>
  <c r="D165"/>
  <c r="D155"/>
  <c r="D75"/>
  <c r="D18"/>
  <c r="D28"/>
  <c r="D36"/>
  <c r="D46"/>
  <c r="D64"/>
  <c r="D70"/>
  <c r="D76"/>
  <c r="D153"/>
  <c r="D157"/>
  <c r="D170"/>
  <c r="D179"/>
  <c r="D185"/>
  <c r="D86"/>
  <c r="D138"/>
  <c r="D148"/>
  <c r="D168"/>
  <c r="D175"/>
  <c r="D184"/>
  <c r="D191"/>
  <c r="D139"/>
  <c r="D27"/>
  <c r="D63"/>
  <c r="D21"/>
  <c r="D35"/>
  <c r="D22"/>
  <c r="D30"/>
  <c r="D38"/>
  <c r="D48"/>
  <c r="D54"/>
  <c r="D66"/>
  <c r="D78"/>
  <c r="D141"/>
  <c r="D147"/>
  <c r="D159"/>
  <c r="D172"/>
  <c r="D190"/>
  <c r="D88"/>
  <c r="D19"/>
  <c r="D29"/>
  <c r="D37"/>
  <c r="D43"/>
  <c r="D47"/>
  <c r="D51"/>
  <c r="D57"/>
  <c r="D65"/>
  <c r="D77"/>
  <c r="D142"/>
  <c r="D150"/>
  <c r="D162"/>
  <c r="D169"/>
  <c r="D177"/>
  <c r="D193"/>
  <c r="D137"/>
  <c r="D183"/>
  <c r="D189"/>
  <c r="D24"/>
  <c r="D32"/>
  <c r="D42"/>
  <c r="D56"/>
  <c r="D68"/>
  <c r="D72"/>
  <c r="D143"/>
  <c r="D149"/>
  <c r="D161"/>
  <c r="D167"/>
  <c r="D174"/>
  <c r="D192"/>
  <c r="D144"/>
  <c r="D152"/>
  <c r="D164"/>
  <c r="D171"/>
  <c r="D180"/>
  <c r="D134"/>
  <c r="D82"/>
  <c r="D53"/>
  <c r="D132"/>
  <c r="D41"/>
  <c r="D133"/>
  <c r="D44"/>
  <c r="D58"/>
  <c r="D145"/>
  <c r="D151"/>
  <c r="D163"/>
  <c r="D176"/>
  <c r="D194"/>
  <c r="D84"/>
  <c r="D94"/>
  <c r="D17"/>
  <c r="D23"/>
  <c r="D31"/>
  <c r="D39"/>
  <c r="D45"/>
  <c r="D49"/>
  <c r="D55"/>
  <c r="D61"/>
  <c r="D67"/>
  <c r="D79"/>
  <c r="D166"/>
  <c r="D173"/>
  <c r="D16"/>
  <c r="D60"/>
  <c r="D34"/>
  <c r="D26"/>
  <c r="D74"/>
  <c r="D15"/>
  <c r="J11"/>
  <c r="M11"/>
  <c r="D13"/>
  <c r="D11" s="1"/>
  <c r="C110" i="19"/>
  <c r="C102"/>
  <c r="C97"/>
  <c r="C93"/>
  <c r="C89"/>
  <c r="C85"/>
  <c r="C84"/>
  <c r="C83"/>
  <c r="C79"/>
  <c r="C69"/>
  <c r="C59"/>
  <c r="C50"/>
  <c r="C46"/>
  <c r="C41"/>
  <c r="C31"/>
  <c r="C25"/>
  <c r="C20"/>
  <c r="C112"/>
  <c r="C108"/>
  <c r="C107"/>
  <c r="C11" s="1"/>
  <c r="C99"/>
  <c r="C95"/>
  <c r="C91"/>
  <c r="C87"/>
  <c r="C81"/>
  <c r="C67"/>
  <c r="C57"/>
  <c r="C48"/>
  <c r="C44"/>
  <c r="C43"/>
  <c r="C39"/>
  <c r="C33"/>
  <c r="C62"/>
  <c r="C29"/>
  <c r="C77"/>
  <c r="C60"/>
  <c r="C74"/>
  <c r="C80"/>
  <c r="C40"/>
  <c r="C78"/>
  <c r="C101"/>
  <c r="C105"/>
  <c r="C17"/>
  <c r="C63"/>
  <c r="C92"/>
  <c r="C109"/>
  <c r="C18"/>
  <c r="C19"/>
  <c r="C34"/>
  <c r="C68"/>
  <c r="C36"/>
  <c r="C23"/>
  <c r="C65"/>
  <c r="C38"/>
  <c r="C51"/>
  <c r="C66"/>
  <c r="C90"/>
  <c r="C103"/>
  <c r="C45"/>
  <c r="C49"/>
  <c r="C53"/>
  <c r="C28"/>
  <c r="C58"/>
  <c r="C37"/>
  <c r="C47"/>
  <c r="C70"/>
  <c r="C86"/>
  <c r="C24"/>
  <c r="C72"/>
  <c r="C96"/>
  <c r="C55"/>
  <c r="C21"/>
  <c r="C26"/>
  <c r="C32"/>
  <c r="C56"/>
  <c r="C111"/>
  <c r="C88"/>
  <c r="C76"/>
  <c r="C30"/>
  <c r="C15"/>
  <c r="I11"/>
  <c r="B11" i="17"/>
  <c r="F11" s="1"/>
  <c r="C13"/>
  <c r="O13"/>
  <c r="I13"/>
  <c r="R13"/>
  <c r="L11"/>
  <c r="R11"/>
  <c r="R11" i="16"/>
  <c r="L11"/>
  <c r="C110"/>
  <c r="C102"/>
  <c r="C97"/>
  <c r="C93"/>
  <c r="C89"/>
  <c r="C85"/>
  <c r="C84"/>
  <c r="C83"/>
  <c r="C79"/>
  <c r="C69"/>
  <c r="C59"/>
  <c r="C50"/>
  <c r="C46"/>
  <c r="C41"/>
  <c r="C31"/>
  <c r="C25"/>
  <c r="C20"/>
  <c r="C112"/>
  <c r="C108"/>
  <c r="C107"/>
  <c r="C99"/>
  <c r="C95"/>
  <c r="C91"/>
  <c r="C87"/>
  <c r="C81"/>
  <c r="C67"/>
  <c r="C57"/>
  <c r="C48"/>
  <c r="C44"/>
  <c r="C43"/>
  <c r="C39"/>
  <c r="C33"/>
  <c r="C23"/>
  <c r="C65"/>
  <c r="C36"/>
  <c r="C60"/>
  <c r="C74"/>
  <c r="C80"/>
  <c r="C40"/>
  <c r="C78"/>
  <c r="C101"/>
  <c r="C105"/>
  <c r="C17"/>
  <c r="C55"/>
  <c r="C28"/>
  <c r="C38"/>
  <c r="C51"/>
  <c r="C66"/>
  <c r="C90"/>
  <c r="C103"/>
  <c r="C45"/>
  <c r="C49"/>
  <c r="C53"/>
  <c r="C76"/>
  <c r="C37"/>
  <c r="C18"/>
  <c r="C21"/>
  <c r="C26"/>
  <c r="C32"/>
  <c r="C56"/>
  <c r="C111"/>
  <c r="C58"/>
  <c r="C63"/>
  <c r="C88"/>
  <c r="C92"/>
  <c r="C109"/>
  <c r="C62"/>
  <c r="C29"/>
  <c r="C77"/>
  <c r="C47"/>
  <c r="C70"/>
  <c r="C86"/>
  <c r="C19"/>
  <c r="C24"/>
  <c r="C30"/>
  <c r="C34"/>
  <c r="C68"/>
  <c r="C72"/>
  <c r="C96"/>
  <c r="C15"/>
  <c r="C13"/>
  <c r="O13" i="14"/>
  <c r="I13"/>
  <c r="F11"/>
  <c r="B11"/>
  <c r="L11" s="1"/>
  <c r="R13"/>
  <c r="L13"/>
  <c r="C13" i="12"/>
  <c r="O13"/>
  <c r="F13"/>
  <c r="L13"/>
  <c r="I11"/>
  <c r="L11"/>
  <c r="R13"/>
  <c r="C110"/>
  <c r="C105"/>
  <c r="C101"/>
  <c r="C96"/>
  <c r="C92"/>
  <c r="C88"/>
  <c r="C78"/>
  <c r="C77"/>
  <c r="C76"/>
  <c r="C72"/>
  <c r="C68"/>
  <c r="C63"/>
  <c r="C62"/>
  <c r="C58"/>
  <c r="C53"/>
  <c r="C49"/>
  <c r="C45"/>
  <c r="C40"/>
  <c r="C25"/>
  <c r="C20"/>
  <c r="C112"/>
  <c r="C108"/>
  <c r="C107"/>
  <c r="C103"/>
  <c r="C98"/>
  <c r="C90"/>
  <c r="C86"/>
  <c r="C80"/>
  <c r="C74"/>
  <c r="C70"/>
  <c r="C66"/>
  <c r="C65"/>
  <c r="C60"/>
  <c r="C56"/>
  <c r="C55"/>
  <c r="C51"/>
  <c r="C47"/>
  <c r="C38"/>
  <c r="C37"/>
  <c r="C84"/>
  <c r="C83"/>
  <c r="C33"/>
  <c r="C50"/>
  <c r="C89"/>
  <c r="C102"/>
  <c r="C111"/>
  <c r="C24"/>
  <c r="C30"/>
  <c r="C91"/>
  <c r="C43"/>
  <c r="C28"/>
  <c r="C32"/>
  <c r="C100"/>
  <c r="C93"/>
  <c r="C34"/>
  <c r="C44"/>
  <c r="C29"/>
  <c r="C23"/>
  <c r="C21"/>
  <c r="C26"/>
  <c r="C41"/>
  <c r="C46"/>
  <c r="C69"/>
  <c r="C85"/>
  <c r="C39"/>
  <c r="C67"/>
  <c r="C17"/>
  <c r="C18"/>
  <c r="C31"/>
  <c r="C59"/>
  <c r="C79"/>
  <c r="C19"/>
  <c r="C48"/>
  <c r="C57"/>
  <c r="C81"/>
  <c r="C87"/>
  <c r="C95"/>
  <c r="C109"/>
  <c r="C36"/>
  <c r="C15"/>
  <c r="F11"/>
  <c r="R11"/>
  <c r="R11" i="10"/>
  <c r="L11"/>
  <c r="C110"/>
  <c r="C105"/>
  <c r="C103"/>
  <c r="C92"/>
  <c r="C88"/>
  <c r="C78"/>
  <c r="C77"/>
  <c r="C76"/>
  <c r="C72"/>
  <c r="C69"/>
  <c r="C59"/>
  <c r="C50"/>
  <c r="C46"/>
  <c r="C38"/>
  <c r="C37"/>
  <c r="C36"/>
  <c r="C32"/>
  <c r="C26"/>
  <c r="C112"/>
  <c r="C108"/>
  <c r="C107"/>
  <c r="C11" s="1"/>
  <c r="C101"/>
  <c r="C90"/>
  <c r="C86"/>
  <c r="C80"/>
  <c r="C74"/>
  <c r="C70"/>
  <c r="C67"/>
  <c r="C57"/>
  <c r="C48"/>
  <c r="C45"/>
  <c r="C40"/>
  <c r="C34"/>
  <c r="C30"/>
  <c r="C29"/>
  <c r="C28"/>
  <c r="C24"/>
  <c r="C23"/>
  <c r="C62"/>
  <c r="C55"/>
  <c r="C56"/>
  <c r="C89"/>
  <c r="C111"/>
  <c r="C19"/>
  <c r="C31"/>
  <c r="C84"/>
  <c r="C83"/>
  <c r="C44"/>
  <c r="C47"/>
  <c r="C21"/>
  <c r="C49"/>
  <c r="C53"/>
  <c r="C102"/>
  <c r="C109"/>
  <c r="C43"/>
  <c r="C18"/>
  <c r="C20"/>
  <c r="C39"/>
  <c r="C60"/>
  <c r="C85"/>
  <c r="C93"/>
  <c r="C41"/>
  <c r="C58"/>
  <c r="C63"/>
  <c r="C81"/>
  <c r="C17"/>
  <c r="C99"/>
  <c r="C65"/>
  <c r="C33"/>
  <c r="C51"/>
  <c r="C66"/>
  <c r="C79"/>
  <c r="C25"/>
  <c r="C68"/>
  <c r="C87"/>
  <c r="C91"/>
  <c r="C95"/>
  <c r="C15"/>
  <c r="O11"/>
  <c r="L86" i="4"/>
  <c r="L85"/>
  <c r="L76"/>
  <c r="L67"/>
  <c r="L62"/>
  <c r="L61"/>
  <c r="L60"/>
  <c r="L59"/>
  <c r="L58"/>
  <c r="L45"/>
  <c r="L36"/>
  <c r="L35"/>
  <c r="L34"/>
  <c r="L33"/>
  <c r="L32"/>
  <c r="L20"/>
  <c r="L12"/>
  <c r="L88"/>
  <c r="L87"/>
  <c r="L69"/>
  <c r="L68"/>
  <c r="L52"/>
  <c r="L51"/>
  <c r="L47"/>
  <c r="L46"/>
  <c r="L22"/>
  <c r="L21"/>
  <c r="L83"/>
  <c r="L82"/>
  <c r="L81"/>
  <c r="L80"/>
  <c r="L65"/>
  <c r="L43"/>
  <c r="L42"/>
  <c r="L41"/>
  <c r="L40"/>
  <c r="L79"/>
  <c r="L112"/>
  <c r="L30"/>
  <c r="L39"/>
  <c r="L91"/>
  <c r="R12"/>
  <c r="L74"/>
  <c r="L110"/>
  <c r="L28"/>
  <c r="L71"/>
  <c r="L64"/>
  <c r="L27"/>
  <c r="L70"/>
  <c r="L90"/>
  <c r="L94"/>
  <c r="L99"/>
  <c r="L23"/>
  <c r="L53"/>
  <c r="L113"/>
  <c r="L57"/>
  <c r="L55"/>
  <c r="L89"/>
  <c r="L93"/>
  <c r="L98"/>
  <c r="L107"/>
  <c r="L103"/>
  <c r="L114"/>
  <c r="L49"/>
  <c r="L78"/>
  <c r="L104"/>
  <c r="L26"/>
  <c r="L48"/>
  <c r="L111"/>
  <c r="L31"/>
  <c r="L50"/>
  <c r="L92"/>
  <c r="L97"/>
  <c r="L105"/>
  <c r="L38"/>
  <c r="L72"/>
  <c r="L95"/>
  <c r="L18"/>
  <c r="L101"/>
  <c r="L109"/>
  <c r="L25"/>
  <c r="L16"/>
  <c r="C76"/>
  <c r="C62"/>
  <c r="C61"/>
  <c r="C60"/>
  <c r="C59"/>
  <c r="C58"/>
  <c r="C57"/>
  <c r="C36"/>
  <c r="C35"/>
  <c r="C34"/>
  <c r="C33"/>
  <c r="C32"/>
  <c r="C31"/>
  <c r="C30"/>
  <c r="C89"/>
  <c r="C88"/>
  <c r="C87"/>
  <c r="C70"/>
  <c r="C69"/>
  <c r="C68"/>
  <c r="C53"/>
  <c r="C52"/>
  <c r="C51"/>
  <c r="C50"/>
  <c r="C48"/>
  <c r="C47"/>
  <c r="C46"/>
  <c r="C22"/>
  <c r="C21"/>
  <c r="C83"/>
  <c r="C82"/>
  <c r="C81"/>
  <c r="C80"/>
  <c r="C65"/>
  <c r="C43"/>
  <c r="C42"/>
  <c r="C41"/>
  <c r="C40"/>
  <c r="C12"/>
  <c r="C25"/>
  <c r="C55"/>
  <c r="C97"/>
  <c r="C112"/>
  <c r="C20"/>
  <c r="C67"/>
  <c r="C23"/>
  <c r="C49"/>
  <c r="C91"/>
  <c r="C95"/>
  <c r="C101"/>
  <c r="C110"/>
  <c r="C85"/>
  <c r="C28"/>
  <c r="C109"/>
  <c r="C86"/>
  <c r="C18"/>
  <c r="C71"/>
  <c r="C105"/>
  <c r="C90"/>
  <c r="C94"/>
  <c r="C99"/>
  <c r="C107"/>
  <c r="C26"/>
  <c r="C104"/>
  <c r="C92"/>
  <c r="C72"/>
  <c r="C45"/>
  <c r="F12"/>
  <c r="C27"/>
  <c r="C103"/>
  <c r="C93"/>
  <c r="C98"/>
  <c r="C114"/>
  <c r="C113"/>
  <c r="C74"/>
  <c r="C111"/>
  <c r="C39"/>
  <c r="C79"/>
  <c r="C38"/>
  <c r="C78"/>
  <c r="C64"/>
  <c r="C16"/>
  <c r="O12"/>
  <c r="L14"/>
  <c r="D44" i="2"/>
  <c r="D14"/>
  <c r="D24"/>
  <c r="D291"/>
  <c r="D103"/>
  <c r="J12"/>
  <c r="G12"/>
  <c r="AD38" i="31" l="1"/>
  <c r="Z38"/>
  <c r="Y248"/>
  <c r="AC247"/>
  <c r="Y246"/>
  <c r="Y241"/>
  <c r="AC229"/>
  <c r="Y228"/>
  <c r="Y225"/>
  <c r="Y221"/>
  <c r="Y218"/>
  <c r="Y210"/>
  <c r="Y209"/>
  <c r="Y208"/>
  <c r="Y207"/>
  <c r="AC205"/>
  <c r="Y201"/>
  <c r="Y198"/>
  <c r="Y194"/>
  <c r="AC190"/>
  <c r="Y189"/>
  <c r="Y162"/>
  <c r="AC159"/>
  <c r="AC157"/>
  <c r="Y156"/>
  <c r="Y154"/>
  <c r="Y152"/>
  <c r="Y149"/>
  <c r="Y144"/>
  <c r="Y141"/>
  <c r="Y137"/>
  <c r="AC134"/>
  <c r="Y133"/>
  <c r="AC121"/>
  <c r="Y120"/>
  <c r="Y119"/>
  <c r="Y117"/>
  <c r="Y116"/>
  <c r="AC113"/>
  <c r="Y112"/>
  <c r="AC109"/>
  <c r="Y108"/>
  <c r="Y105"/>
  <c r="AC103"/>
  <c r="Y102"/>
  <c r="AC84"/>
  <c r="AC80"/>
  <c r="AC76"/>
  <c r="AC73"/>
  <c r="Y67"/>
  <c r="Y55"/>
  <c r="Y51"/>
  <c r="Y27"/>
  <c r="Y247"/>
  <c r="Y229"/>
  <c r="Y205"/>
  <c r="AC196"/>
  <c r="AC192"/>
  <c r="Y190"/>
  <c r="Y159"/>
  <c r="Y157"/>
  <c r="Y155"/>
  <c r="Y153"/>
  <c r="Y145"/>
  <c r="Y134"/>
  <c r="Y121"/>
  <c r="AC112"/>
  <c r="Y109"/>
  <c r="Y103"/>
  <c r="AC100"/>
  <c r="AC79"/>
  <c r="AC78"/>
  <c r="Y73"/>
  <c r="AC249"/>
  <c r="AC245"/>
  <c r="Y244"/>
  <c r="AC243"/>
  <c r="Y239"/>
  <c r="AC231"/>
  <c r="Y230"/>
  <c r="AC227"/>
  <c r="Y223"/>
  <c r="AC214"/>
  <c r="Y212"/>
  <c r="AC209"/>
  <c r="AC208"/>
  <c r="AC207"/>
  <c r="AC206"/>
  <c r="Y203"/>
  <c r="AC200"/>
  <c r="Y191"/>
  <c r="AC188"/>
  <c r="Y187"/>
  <c r="AC186"/>
  <c r="Y185"/>
  <c r="AC164"/>
  <c r="Y160"/>
  <c r="AC155"/>
  <c r="AC153"/>
  <c r="AC151"/>
  <c r="Y147"/>
  <c r="AC143"/>
  <c r="Y139"/>
  <c r="Y135"/>
  <c r="AC123"/>
  <c r="Y122"/>
  <c r="AC119"/>
  <c r="AC117"/>
  <c r="AC116"/>
  <c r="AC115"/>
  <c r="Y114"/>
  <c r="AC111"/>
  <c r="Y110"/>
  <c r="AC107"/>
  <c r="Y106"/>
  <c r="AC105"/>
  <c r="Y104"/>
  <c r="AC101"/>
  <c r="AC82"/>
  <c r="Y77"/>
  <c r="Y76"/>
  <c r="AC75"/>
  <c r="Y74"/>
  <c r="Y71"/>
  <c r="Y69"/>
  <c r="AC67"/>
  <c r="Y65"/>
  <c r="AC59"/>
  <c r="Y57"/>
  <c r="AC47"/>
  <c r="Y46"/>
  <c r="AC36"/>
  <c r="Y35"/>
  <c r="AC29"/>
  <c r="Y25"/>
  <c r="Y249"/>
  <c r="Y245"/>
  <c r="Y243"/>
  <c r="Y231"/>
  <c r="Y227"/>
  <c r="Y214"/>
  <c r="Y206"/>
  <c r="Y200"/>
  <c r="Y196"/>
  <c r="Y192"/>
  <c r="Y188"/>
  <c r="Y186"/>
  <c r="Y164"/>
  <c r="Y151"/>
  <c r="AC145"/>
  <c r="Y143"/>
  <c r="Y123"/>
  <c r="Y115"/>
  <c r="Y113"/>
  <c r="Y111"/>
  <c r="Y107"/>
  <c r="Y101"/>
  <c r="Y100"/>
  <c r="Y79"/>
  <c r="Y78"/>
  <c r="Y75"/>
  <c r="AC69"/>
  <c r="Y59"/>
  <c r="Y47"/>
  <c r="Y36"/>
  <c r="Y29"/>
  <c r="Y61"/>
  <c r="AC162"/>
  <c r="AC201"/>
  <c r="AC244"/>
  <c r="AC144"/>
  <c r="AC228"/>
  <c r="AC46"/>
  <c r="AC139"/>
  <c r="Y183"/>
  <c r="AC25"/>
  <c r="AC51"/>
  <c r="AC77"/>
  <c r="AC108"/>
  <c r="Y132"/>
  <c r="AC194"/>
  <c r="Y21"/>
  <c r="AC141"/>
  <c r="AC198"/>
  <c r="AC239"/>
  <c r="AC104"/>
  <c r="AC218"/>
  <c r="Y44"/>
  <c r="Y131"/>
  <c r="AC156"/>
  <c r="Y23"/>
  <c r="Y49"/>
  <c r="AC74"/>
  <c r="AC106"/>
  <c r="Y129"/>
  <c r="AC191"/>
  <c r="AC246"/>
  <c r="AC135"/>
  <c r="AC189"/>
  <c r="AC230"/>
  <c r="AC27"/>
  <c r="AC71"/>
  <c r="Y216"/>
  <c r="AC248"/>
  <c r="AC35"/>
  <c r="AC110"/>
  <c r="AC154"/>
  <c r="AC203"/>
  <c r="Y42"/>
  <c r="AC65"/>
  <c r="AC83"/>
  <c r="AC122"/>
  <c r="Y181"/>
  <c r="AC120"/>
  <c r="AC118"/>
  <c r="Y118"/>
  <c r="AC187"/>
  <c r="AC212"/>
  <c r="AC132"/>
  <c r="AC57"/>
  <c r="AC158"/>
  <c r="Y237"/>
  <c r="Y33"/>
  <c r="AC102"/>
  <c r="AC152"/>
  <c r="AC185"/>
  <c r="Y31"/>
  <c r="Y63"/>
  <c r="AC81"/>
  <c r="AC114"/>
  <c r="AC160"/>
  <c r="AC210"/>
  <c r="AC133"/>
  <c r="AC216"/>
  <c r="AC149"/>
  <c r="AC23"/>
  <c r="Y179"/>
  <c r="AC33"/>
  <c r="AC131"/>
  <c r="AC237"/>
  <c r="AC63"/>
  <c r="AC183"/>
  <c r="Y127"/>
  <c r="AC98"/>
  <c r="AC49"/>
  <c r="AC137"/>
  <c r="AC44"/>
  <c r="AC225"/>
  <c r="Y19"/>
  <c r="AC241"/>
  <c r="Y235"/>
  <c r="Y98"/>
  <c r="AC55"/>
  <c r="Y53"/>
  <c r="AC181"/>
  <c r="AC235"/>
  <c r="AC61"/>
  <c r="Y96"/>
  <c r="AC42"/>
  <c r="Y17"/>
  <c r="AC53"/>
  <c r="AC129"/>
  <c r="Y125"/>
  <c r="Y40"/>
  <c r="Y233"/>
  <c r="AC96"/>
  <c r="AC31"/>
  <c r="AC223"/>
  <c r="AC147"/>
  <c r="AC21"/>
  <c r="AC19"/>
  <c r="AC221"/>
  <c r="AC233"/>
  <c r="Y15"/>
  <c r="Y94"/>
  <c r="AC94"/>
  <c r="AC40"/>
  <c r="AC127"/>
  <c r="AC179"/>
  <c r="AC15"/>
  <c r="AB13"/>
  <c r="C13"/>
  <c r="C107" i="17"/>
  <c r="C105"/>
  <c r="C104"/>
  <c r="C103"/>
  <c r="C97"/>
  <c r="C96"/>
  <c r="C95"/>
  <c r="C93"/>
  <c r="C92"/>
  <c r="C91"/>
  <c r="C90"/>
  <c r="C89"/>
  <c r="C88"/>
  <c r="C87"/>
  <c r="C86"/>
  <c r="C85"/>
  <c r="C84"/>
  <c r="C83"/>
  <c r="C60"/>
  <c r="C59"/>
  <c r="C58"/>
  <c r="C57"/>
  <c r="C56"/>
  <c r="C26"/>
  <c r="C25"/>
  <c r="C24"/>
  <c r="C99"/>
  <c r="C63"/>
  <c r="C47"/>
  <c r="C77"/>
  <c r="C114"/>
  <c r="C37"/>
  <c r="C72"/>
  <c r="C33"/>
  <c r="C49"/>
  <c r="C112"/>
  <c r="C34"/>
  <c r="C68"/>
  <c r="C111"/>
  <c r="C40"/>
  <c r="C65"/>
  <c r="C110"/>
  <c r="C32"/>
  <c r="C50"/>
  <c r="C69"/>
  <c r="C45"/>
  <c r="C109"/>
  <c r="C11" s="1"/>
  <c r="C30"/>
  <c r="C53"/>
  <c r="C66"/>
  <c r="C81"/>
  <c r="C20"/>
  <c r="C38"/>
  <c r="C101"/>
  <c r="C19"/>
  <c r="C46"/>
  <c r="C67"/>
  <c r="C113"/>
  <c r="C41"/>
  <c r="C78"/>
  <c r="C21"/>
  <c r="C48"/>
  <c r="C74"/>
  <c r="C31"/>
  <c r="C51"/>
  <c r="C80"/>
  <c r="C43"/>
  <c r="C79"/>
  <c r="C39"/>
  <c r="C76"/>
  <c r="C18"/>
  <c r="C44"/>
  <c r="C70"/>
  <c r="C28"/>
  <c r="C55"/>
  <c r="C23"/>
  <c r="C62"/>
  <c r="C29"/>
  <c r="C36"/>
  <c r="C17"/>
  <c r="C15"/>
  <c r="O11"/>
  <c r="I11"/>
  <c r="C11" i="16"/>
  <c r="O11" i="14"/>
  <c r="C13"/>
  <c r="R11"/>
  <c r="C111"/>
  <c r="C104"/>
  <c r="C95"/>
  <c r="C91"/>
  <c r="C87"/>
  <c r="C81"/>
  <c r="C67"/>
  <c r="C57"/>
  <c r="C48"/>
  <c r="C45"/>
  <c r="C40"/>
  <c r="C31"/>
  <c r="C25"/>
  <c r="C21"/>
  <c r="C113"/>
  <c r="C109"/>
  <c r="C108"/>
  <c r="C106"/>
  <c r="C102"/>
  <c r="C93"/>
  <c r="C89"/>
  <c r="C85"/>
  <c r="C84"/>
  <c r="C83"/>
  <c r="C79"/>
  <c r="C69"/>
  <c r="C59"/>
  <c r="C50"/>
  <c r="C46"/>
  <c r="C38"/>
  <c r="C37"/>
  <c r="C33"/>
  <c r="C19"/>
  <c r="C18"/>
  <c r="C28"/>
  <c r="C55"/>
  <c r="C26"/>
  <c r="C32"/>
  <c r="C41"/>
  <c r="C49"/>
  <c r="C88"/>
  <c r="C112"/>
  <c r="C47"/>
  <c r="C51"/>
  <c r="C80"/>
  <c r="C43"/>
  <c r="C72"/>
  <c r="C96"/>
  <c r="C20"/>
  <c r="C56"/>
  <c r="C60"/>
  <c r="C86"/>
  <c r="C90"/>
  <c r="C103"/>
  <c r="C29"/>
  <c r="C77"/>
  <c r="C76"/>
  <c r="C63"/>
  <c r="C68"/>
  <c r="C78"/>
  <c r="C92"/>
  <c r="C24"/>
  <c r="C30"/>
  <c r="C34"/>
  <c r="C39"/>
  <c r="C44"/>
  <c r="C66"/>
  <c r="C70"/>
  <c r="C110"/>
  <c r="C23"/>
  <c r="C65"/>
  <c r="C53"/>
  <c r="C58"/>
  <c r="C74"/>
  <c r="C98"/>
  <c r="C62"/>
  <c r="C100"/>
  <c r="C17"/>
  <c r="C36"/>
  <c r="C15"/>
  <c r="I11"/>
  <c r="C11" i="12"/>
  <c r="D12" i="2"/>
  <c r="AB11" i="31" l="1"/>
  <c r="AC13" s="1"/>
  <c r="AD13"/>
  <c r="Z13"/>
  <c r="C11"/>
  <c r="C11" i="14"/>
  <c r="Z11" i="31" l="1"/>
  <c r="AD11"/>
</calcChain>
</file>

<file path=xl/comments1.xml><?xml version="1.0" encoding="utf-8"?>
<comments xmlns="http://schemas.openxmlformats.org/spreadsheetml/2006/main">
  <authors>
    <author>Randy Lopez</author>
    <author>rlopez</author>
    <author>UCR</author>
    <author>sergio</author>
  </authors>
  <commentList>
    <comment ref="L25" authorId="0">
      <text>
        <r>
          <rPr>
            <b/>
            <sz val="9"/>
            <color indexed="81"/>
            <rFont val="Tahoma"/>
            <family val="2"/>
          </rPr>
          <t>Randy Lopez:</t>
        </r>
        <r>
          <rPr>
            <sz val="9"/>
            <color indexed="81"/>
            <rFont val="Tahoma"/>
            <family val="2"/>
          </rPr>
          <t xml:space="preserve">
Cuenta 01002</t>
        </r>
      </text>
    </comment>
    <comment ref="L29" authorId="0">
      <text>
        <r>
          <rPr>
            <b/>
            <sz val="9"/>
            <color indexed="81"/>
            <rFont val="Tahoma"/>
            <family val="2"/>
          </rPr>
          <t>Randy Lopez:</t>
        </r>
        <r>
          <rPr>
            <sz val="9"/>
            <color indexed="81"/>
            <rFont val="Tahoma"/>
            <family val="2"/>
          </rPr>
          <t xml:space="preserve">
cuenta 01001</t>
        </r>
      </text>
    </comment>
    <comment ref="L35" authorId="0">
      <text>
        <r>
          <rPr>
            <b/>
            <sz val="9"/>
            <color indexed="81"/>
            <rFont val="Tahoma"/>
            <family val="2"/>
          </rPr>
          <t>Randy Lopez:</t>
        </r>
        <r>
          <rPr>
            <sz val="9"/>
            <color indexed="81"/>
            <rFont val="Tahoma"/>
            <family val="2"/>
          </rPr>
          <t xml:space="preserve">
Cuenta 02001</t>
        </r>
      </text>
    </comment>
    <comment ref="L36" authorId="1">
      <text>
        <r>
          <rPr>
            <b/>
            <sz val="9"/>
            <color indexed="81"/>
            <rFont val="Tahoma"/>
            <family val="2"/>
          </rPr>
          <t>rlopez:</t>
        </r>
        <r>
          <rPr>
            <sz val="9"/>
            <color indexed="81"/>
            <rFont val="Tahoma"/>
            <family val="2"/>
          </rPr>
          <t xml:space="preserve">
02-004</t>
        </r>
      </text>
    </comment>
    <comment ref="L46" authorId="0">
      <text>
        <r>
          <rPr>
            <b/>
            <sz val="9"/>
            <color indexed="81"/>
            <rFont val="Tahoma"/>
            <family val="2"/>
          </rPr>
          <t>Randy Lopez:</t>
        </r>
        <r>
          <rPr>
            <sz val="9"/>
            <color indexed="81"/>
            <rFont val="Tahoma"/>
            <family val="2"/>
          </rPr>
          <t xml:space="preserve">
Cuenta 04004002</t>
        </r>
      </text>
    </comment>
    <comment ref="L47" authorId="0">
      <text>
        <r>
          <rPr>
            <b/>
            <sz val="9"/>
            <color indexed="81"/>
            <rFont val="Tahoma"/>
            <family val="2"/>
          </rPr>
          <t>Randy Lopez:</t>
        </r>
        <r>
          <rPr>
            <sz val="9"/>
            <color indexed="81"/>
            <rFont val="Tahoma"/>
            <family val="2"/>
          </rPr>
          <t xml:space="preserve">
Cuenta 04004003</t>
        </r>
      </text>
    </comment>
    <comment ref="L51" authorId="0">
      <text>
        <r>
          <rPr>
            <b/>
            <sz val="9"/>
            <color indexed="81"/>
            <rFont val="Tahoma"/>
            <family val="2"/>
          </rPr>
          <t>Randy Lopez:</t>
        </r>
        <r>
          <rPr>
            <sz val="9"/>
            <color indexed="81"/>
            <rFont val="Tahoma"/>
            <family val="2"/>
          </rPr>
          <t xml:space="preserve">
Cuenta 04-041</t>
        </r>
      </text>
    </comment>
    <comment ref="L59" authorId="0">
      <text>
        <r>
          <rPr>
            <b/>
            <sz val="9"/>
            <color indexed="81"/>
            <rFont val="Tahoma"/>
            <family val="2"/>
          </rPr>
          <t>Randy Lopez:
04005018+04005019</t>
        </r>
      </text>
    </comment>
    <comment ref="L65" authorId="0">
      <text>
        <r>
          <rPr>
            <b/>
            <sz val="9"/>
            <color indexed="81"/>
            <rFont val="Tahoma"/>
            <family val="2"/>
          </rPr>
          <t>Randy Lopez:</t>
        </r>
        <r>
          <rPr>
            <sz val="9"/>
            <color indexed="81"/>
            <rFont val="Tahoma"/>
            <family val="2"/>
          </rPr>
          <t xml:space="preserve">
04005002</t>
        </r>
      </text>
    </comment>
    <comment ref="L69" authorId="0">
      <text>
        <r>
          <rPr>
            <b/>
            <sz val="9"/>
            <color indexed="81"/>
            <rFont val="Tahoma"/>
            <family val="2"/>
          </rPr>
          <t>Randy Lopez:</t>
        </r>
        <r>
          <rPr>
            <sz val="9"/>
            <color indexed="81"/>
            <rFont val="Tahoma"/>
            <family val="2"/>
          </rPr>
          <t xml:space="preserve">
04005023</t>
        </r>
      </text>
    </comment>
    <comment ref="E73" authorId="2">
      <text>
        <r>
          <rPr>
            <b/>
            <sz val="8"/>
            <color indexed="81"/>
            <rFont val="Tahoma"/>
            <family val="2"/>
          </rPr>
          <t>cuentas 04-006 y 04-007</t>
        </r>
        <r>
          <rPr>
            <sz val="8"/>
            <color indexed="81"/>
            <rFont val="Tahoma"/>
            <family val="2"/>
          </rPr>
          <t xml:space="preserve">
</t>
        </r>
      </text>
    </comment>
    <comment ref="L73" authorId="0">
      <text>
        <r>
          <rPr>
            <b/>
            <sz val="9"/>
            <color indexed="81"/>
            <rFont val="Tahoma"/>
            <family val="2"/>
          </rPr>
          <t>Randy Lopez:</t>
        </r>
        <r>
          <rPr>
            <sz val="9"/>
            <color indexed="81"/>
            <rFont val="Tahoma"/>
            <family val="2"/>
          </rPr>
          <t xml:space="preserve">
cuenta 04006+04007</t>
        </r>
      </text>
    </comment>
    <comment ref="L74" authorId="0">
      <text>
        <r>
          <rPr>
            <b/>
            <sz val="9"/>
            <color indexed="81"/>
            <rFont val="Tahoma"/>
            <family val="2"/>
          </rPr>
          <t>Randy Lopez:</t>
        </r>
        <r>
          <rPr>
            <sz val="9"/>
            <color indexed="81"/>
            <rFont val="Tahoma"/>
            <family val="2"/>
          </rPr>
          <t xml:space="preserve">
cuenta 04005004</t>
        </r>
      </text>
    </comment>
    <comment ref="E75" authorId="2">
      <text>
        <r>
          <rPr>
            <b/>
            <sz val="8"/>
            <color indexed="81"/>
            <rFont val="Tahoma"/>
            <family val="2"/>
          </rPr>
          <t>Cuentas 04-005-005 y 04-005-021</t>
        </r>
        <r>
          <rPr>
            <sz val="8"/>
            <color indexed="81"/>
            <rFont val="Tahoma"/>
            <family val="2"/>
          </rPr>
          <t xml:space="preserve">
</t>
        </r>
      </text>
    </comment>
    <comment ref="L75" authorId="0">
      <text>
        <r>
          <rPr>
            <b/>
            <sz val="9"/>
            <color indexed="81"/>
            <rFont val="Tahoma"/>
            <family val="2"/>
          </rPr>
          <t>Randy Lopez:</t>
        </r>
        <r>
          <rPr>
            <sz val="9"/>
            <color indexed="81"/>
            <rFont val="Tahoma"/>
            <family val="2"/>
          </rPr>
          <t xml:space="preserve">
cuenta 04005005+04005021</t>
        </r>
      </text>
    </comment>
    <comment ref="E76" authorId="2">
      <text>
        <r>
          <rPr>
            <b/>
            <sz val="8"/>
            <color indexed="81"/>
            <rFont val="Tahoma"/>
            <family val="2"/>
          </rPr>
          <t xml:space="preserve">cuentas 04-005 excepto Alquileres y Publicidad
</t>
        </r>
        <r>
          <rPr>
            <sz val="8"/>
            <color indexed="81"/>
            <rFont val="Tahoma"/>
            <family val="2"/>
          </rPr>
          <t xml:space="preserve">
</t>
        </r>
      </text>
    </comment>
    <comment ref="L76" authorId="0">
      <text>
        <r>
          <rPr>
            <b/>
            <sz val="9"/>
            <color indexed="81"/>
            <rFont val="Tahoma"/>
            <family val="2"/>
          </rPr>
          <t>Randy Lopez:</t>
        </r>
        <r>
          <rPr>
            <sz val="9"/>
            <color indexed="81"/>
            <rFont val="Tahoma"/>
            <family val="2"/>
          </rPr>
          <t xml:space="preserve">
suma 04005009-04005015</t>
        </r>
      </text>
    </comment>
    <comment ref="L77" authorId="0">
      <text>
        <r>
          <rPr>
            <b/>
            <sz val="9"/>
            <color indexed="81"/>
            <rFont val="Tahoma"/>
            <family val="2"/>
          </rPr>
          <t>Randy Lopez:</t>
        </r>
        <r>
          <rPr>
            <sz val="9"/>
            <color indexed="81"/>
            <rFont val="Tahoma"/>
            <family val="2"/>
          </rPr>
          <t xml:space="preserve">
Cuenta 04040</t>
        </r>
      </text>
    </comment>
    <comment ref="L78" authorId="1">
      <text>
        <r>
          <rPr>
            <b/>
            <sz val="9"/>
            <color indexed="81"/>
            <rFont val="Tahoma"/>
            <family val="2"/>
          </rPr>
          <t>rlopez:</t>
        </r>
        <r>
          <rPr>
            <sz val="9"/>
            <color indexed="81"/>
            <rFont val="Tahoma"/>
            <family val="2"/>
          </rPr>
          <t xml:space="preserve">
04-005-030</t>
        </r>
      </text>
    </comment>
    <comment ref="AB80" authorId="1">
      <text>
        <r>
          <rPr>
            <b/>
            <sz val="9"/>
            <color indexed="81"/>
            <rFont val="Tahoma"/>
            <family val="2"/>
          </rPr>
          <t>rlopez:</t>
        </r>
        <r>
          <rPr>
            <sz val="9"/>
            <color indexed="81"/>
            <rFont val="Tahoma"/>
            <family val="2"/>
          </rPr>
          <t xml:space="preserve">
04-005-029</t>
        </r>
      </text>
    </comment>
    <comment ref="AB81" authorId="1">
      <text>
        <r>
          <rPr>
            <b/>
            <sz val="9"/>
            <color indexed="81"/>
            <rFont val="Tahoma"/>
            <family val="2"/>
          </rPr>
          <t>rlopez:</t>
        </r>
        <r>
          <rPr>
            <sz val="9"/>
            <color indexed="81"/>
            <rFont val="Tahoma"/>
            <family val="2"/>
          </rPr>
          <t xml:space="preserve">
04-005-030</t>
        </r>
      </text>
    </comment>
    <comment ref="AB82" authorId="1">
      <text>
        <r>
          <rPr>
            <b/>
            <sz val="9"/>
            <color indexed="81"/>
            <rFont val="Tahoma"/>
            <family val="2"/>
          </rPr>
          <t>rlopez:</t>
        </r>
        <r>
          <rPr>
            <sz val="9"/>
            <color indexed="81"/>
            <rFont val="Tahoma"/>
            <family val="2"/>
          </rPr>
          <t xml:space="preserve">
04-005-031</t>
        </r>
      </text>
    </comment>
    <comment ref="AB83" authorId="1">
      <text>
        <r>
          <rPr>
            <b/>
            <sz val="9"/>
            <color indexed="81"/>
            <rFont val="Tahoma"/>
            <family val="2"/>
          </rPr>
          <t>rlopez:</t>
        </r>
        <r>
          <rPr>
            <sz val="9"/>
            <color indexed="81"/>
            <rFont val="Tahoma"/>
            <family val="2"/>
          </rPr>
          <t xml:space="preserve">
04-005-032</t>
        </r>
      </text>
    </comment>
    <comment ref="AB84" authorId="1">
      <text>
        <r>
          <rPr>
            <b/>
            <sz val="9"/>
            <color indexed="81"/>
            <rFont val="Tahoma"/>
            <family val="2"/>
          </rPr>
          <t>rlopez:</t>
        </r>
        <r>
          <rPr>
            <sz val="9"/>
            <color indexed="81"/>
            <rFont val="Tahoma"/>
            <family val="2"/>
          </rPr>
          <t xml:space="preserve">
04-005-010</t>
        </r>
      </text>
    </comment>
    <comment ref="L100" authorId="0">
      <text>
        <r>
          <rPr>
            <b/>
            <sz val="9"/>
            <color indexed="81"/>
            <rFont val="Tahoma"/>
            <family val="2"/>
          </rPr>
          <t>Randy Lopez:</t>
        </r>
        <r>
          <rPr>
            <sz val="9"/>
            <color indexed="81"/>
            <rFont val="Tahoma"/>
            <family val="2"/>
          </rPr>
          <t xml:space="preserve">
cuenta 06001</t>
        </r>
      </text>
    </comment>
    <comment ref="L101" authorId="0">
      <text>
        <r>
          <rPr>
            <b/>
            <sz val="9"/>
            <color indexed="81"/>
            <rFont val="Tahoma"/>
            <family val="2"/>
          </rPr>
          <t>Randy Lopez:</t>
        </r>
        <r>
          <rPr>
            <sz val="9"/>
            <color indexed="81"/>
            <rFont val="Tahoma"/>
            <family val="2"/>
          </rPr>
          <t xml:space="preserve">
cuenta 06002</t>
        </r>
      </text>
    </comment>
    <comment ref="L102" authorId="0">
      <text>
        <r>
          <rPr>
            <b/>
            <sz val="9"/>
            <color indexed="81"/>
            <rFont val="Tahoma"/>
            <family val="2"/>
          </rPr>
          <t>Randy Lopez:</t>
        </r>
        <r>
          <rPr>
            <sz val="9"/>
            <color indexed="81"/>
            <rFont val="Tahoma"/>
            <family val="2"/>
          </rPr>
          <t xml:space="preserve">
cuenta 06003</t>
        </r>
      </text>
    </comment>
    <comment ref="L103" authorId="0">
      <text>
        <r>
          <rPr>
            <b/>
            <sz val="9"/>
            <color indexed="81"/>
            <rFont val="Tahoma"/>
            <family val="2"/>
          </rPr>
          <t>Randy Lopez:</t>
        </r>
        <r>
          <rPr>
            <sz val="9"/>
            <color indexed="81"/>
            <rFont val="Tahoma"/>
            <family val="2"/>
          </rPr>
          <t xml:space="preserve">
Cuenta 06004</t>
        </r>
      </text>
    </comment>
    <comment ref="L104" authorId="0">
      <text>
        <r>
          <rPr>
            <b/>
            <sz val="9"/>
            <color indexed="81"/>
            <rFont val="Tahoma"/>
            <family val="2"/>
          </rPr>
          <t>Randy Lopez:</t>
        </r>
        <r>
          <rPr>
            <sz val="9"/>
            <color indexed="81"/>
            <rFont val="Tahoma"/>
            <family val="2"/>
          </rPr>
          <t xml:space="preserve">
cuenta 06005001</t>
        </r>
      </text>
    </comment>
    <comment ref="L105" authorId="0">
      <text>
        <r>
          <rPr>
            <b/>
            <sz val="9"/>
            <color indexed="81"/>
            <rFont val="Tahoma"/>
            <family val="2"/>
          </rPr>
          <t>Randy Lopez:</t>
        </r>
        <r>
          <rPr>
            <sz val="9"/>
            <color indexed="81"/>
            <rFont val="Tahoma"/>
            <family val="2"/>
          </rPr>
          <t xml:space="preserve">
cuenta 06006</t>
        </r>
      </text>
    </comment>
    <comment ref="E106" authorId="2">
      <text>
        <r>
          <rPr>
            <b/>
            <sz val="8"/>
            <color indexed="81"/>
            <rFont val="Tahoma"/>
            <family val="2"/>
          </rPr>
          <t xml:space="preserve">Cuentas 06-007 y 06-008 
</t>
        </r>
        <r>
          <rPr>
            <sz val="8"/>
            <color indexed="81"/>
            <rFont val="Tahoma"/>
            <family val="2"/>
          </rPr>
          <t xml:space="preserve">
</t>
        </r>
      </text>
    </comment>
    <comment ref="L106" authorId="0">
      <text>
        <r>
          <rPr>
            <b/>
            <sz val="9"/>
            <color indexed="81"/>
            <rFont val="Tahoma"/>
            <family val="2"/>
          </rPr>
          <t>Randy Lopez:</t>
        </r>
        <r>
          <rPr>
            <sz val="9"/>
            <color indexed="81"/>
            <rFont val="Tahoma"/>
            <family val="2"/>
          </rPr>
          <t xml:space="preserve">
cuenta 06007+06008</t>
        </r>
      </text>
    </comment>
    <comment ref="L107" authorId="0">
      <text>
        <r>
          <rPr>
            <b/>
            <sz val="9"/>
            <color indexed="81"/>
            <rFont val="Tahoma"/>
            <family val="2"/>
          </rPr>
          <t>Randy Lopez:</t>
        </r>
        <r>
          <rPr>
            <sz val="9"/>
            <color indexed="81"/>
            <rFont val="Tahoma"/>
            <family val="2"/>
          </rPr>
          <t xml:space="preserve">
cuenta 06009</t>
        </r>
      </text>
    </comment>
    <comment ref="L108" authorId="0">
      <text>
        <r>
          <rPr>
            <b/>
            <sz val="9"/>
            <color indexed="81"/>
            <rFont val="Tahoma"/>
            <family val="2"/>
          </rPr>
          <t>Randy Lopez:</t>
        </r>
        <r>
          <rPr>
            <sz val="9"/>
            <color indexed="81"/>
            <rFont val="Tahoma"/>
            <family val="2"/>
          </rPr>
          <t xml:space="preserve">
cuenta 06011</t>
        </r>
      </text>
    </comment>
    <comment ref="L109" authorId="0">
      <text>
        <r>
          <rPr>
            <b/>
            <sz val="9"/>
            <color indexed="81"/>
            <rFont val="Tahoma"/>
            <family val="2"/>
          </rPr>
          <t>Randy Lopez:</t>
        </r>
        <r>
          <rPr>
            <sz val="9"/>
            <color indexed="81"/>
            <rFont val="Tahoma"/>
            <family val="2"/>
          </rPr>
          <t xml:space="preserve">
cuenta 06013000</t>
        </r>
      </text>
    </comment>
    <comment ref="L110" authorId="0">
      <text>
        <r>
          <rPr>
            <b/>
            <sz val="9"/>
            <color indexed="81"/>
            <rFont val="Tahoma"/>
            <family val="2"/>
          </rPr>
          <t>Randy Lopez:</t>
        </r>
        <r>
          <rPr>
            <sz val="9"/>
            <color indexed="81"/>
            <rFont val="Tahoma"/>
            <family val="2"/>
          </rPr>
          <t xml:space="preserve">
cuenta 06005008</t>
        </r>
      </text>
    </comment>
    <comment ref="L111" authorId="0">
      <text>
        <r>
          <rPr>
            <b/>
            <sz val="9"/>
            <color indexed="81"/>
            <rFont val="Tahoma"/>
            <family val="2"/>
          </rPr>
          <t>Randy Lopez:</t>
        </r>
        <r>
          <rPr>
            <sz val="9"/>
            <color indexed="81"/>
            <rFont val="Tahoma"/>
            <family val="2"/>
          </rPr>
          <t xml:space="preserve">
cuenta 06005009</t>
        </r>
      </text>
    </comment>
    <comment ref="L112" authorId="1">
      <text>
        <r>
          <rPr>
            <b/>
            <sz val="9"/>
            <color indexed="81"/>
            <rFont val="Tahoma"/>
            <family val="2"/>
          </rPr>
          <t>rlopez:</t>
        </r>
        <r>
          <rPr>
            <sz val="9"/>
            <color indexed="81"/>
            <rFont val="Tahoma"/>
            <family val="2"/>
          </rPr>
          <t xml:space="preserve">
06-021
</t>
        </r>
      </text>
    </comment>
    <comment ref="L113" authorId="1">
      <text>
        <r>
          <rPr>
            <b/>
            <sz val="9"/>
            <color indexed="81"/>
            <rFont val="Tahoma"/>
            <family val="2"/>
          </rPr>
          <t>rlopez:</t>
        </r>
        <r>
          <rPr>
            <sz val="9"/>
            <color indexed="81"/>
            <rFont val="Tahoma"/>
            <family val="2"/>
          </rPr>
          <t xml:space="preserve">
06-022-001</t>
        </r>
      </text>
    </comment>
    <comment ref="L114" authorId="0">
      <text>
        <r>
          <rPr>
            <b/>
            <sz val="9"/>
            <color indexed="81"/>
            <rFont val="Tahoma"/>
            <family val="2"/>
          </rPr>
          <t>Randy Lopez:</t>
        </r>
        <r>
          <rPr>
            <sz val="9"/>
            <color indexed="81"/>
            <rFont val="Tahoma"/>
            <family val="2"/>
          </rPr>
          <t xml:space="preserve">
cuenta 06015000</t>
        </r>
      </text>
    </comment>
    <comment ref="L115" authorId="1">
      <text>
        <r>
          <rPr>
            <b/>
            <sz val="9"/>
            <color indexed="81"/>
            <rFont val="Tahoma"/>
            <family val="2"/>
          </rPr>
          <t>rlopez:</t>
        </r>
        <r>
          <rPr>
            <sz val="9"/>
            <color indexed="81"/>
            <rFont val="Tahoma"/>
            <family val="2"/>
          </rPr>
          <t xml:space="preserve">
06-017
</t>
        </r>
      </text>
    </comment>
    <comment ref="L117" authorId="0">
      <text>
        <r>
          <rPr>
            <b/>
            <sz val="9"/>
            <color indexed="81"/>
            <rFont val="Tahoma"/>
            <family val="2"/>
          </rPr>
          <t>Randy Lopez:</t>
        </r>
        <r>
          <rPr>
            <sz val="9"/>
            <color indexed="81"/>
            <rFont val="Tahoma"/>
            <family val="2"/>
          </rPr>
          <t xml:space="preserve">
cuenta 06005011</t>
        </r>
      </text>
    </comment>
    <comment ref="L119" authorId="0">
      <text>
        <r>
          <rPr>
            <b/>
            <sz val="9"/>
            <color indexed="81"/>
            <rFont val="Tahoma"/>
            <family val="2"/>
          </rPr>
          <t>Randy Lopez:</t>
        </r>
        <r>
          <rPr>
            <sz val="9"/>
            <color indexed="81"/>
            <rFont val="Tahoma"/>
            <family val="2"/>
          </rPr>
          <t xml:space="preserve">
06010000</t>
        </r>
      </text>
    </comment>
    <comment ref="L120" authorId="0">
      <text>
        <r>
          <rPr>
            <b/>
            <sz val="9"/>
            <color indexed="81"/>
            <rFont val="Tahoma"/>
            <family val="2"/>
          </rPr>
          <t>Randy Lopez:</t>
        </r>
        <r>
          <rPr>
            <sz val="9"/>
            <color indexed="81"/>
            <rFont val="Tahoma"/>
            <family val="2"/>
          </rPr>
          <t xml:space="preserve">
cuenta 06010002</t>
        </r>
      </text>
    </comment>
    <comment ref="L121" authorId="0">
      <text>
        <r>
          <rPr>
            <b/>
            <sz val="9"/>
            <color indexed="81"/>
            <rFont val="Tahoma"/>
            <family val="2"/>
          </rPr>
          <t>Randy Lopez:</t>
        </r>
        <r>
          <rPr>
            <sz val="9"/>
            <color indexed="81"/>
            <rFont val="Tahoma"/>
            <family val="2"/>
          </rPr>
          <t xml:space="preserve">
cuenta 06010005</t>
        </r>
      </text>
    </comment>
    <comment ref="L122" authorId="0">
      <text>
        <r>
          <rPr>
            <b/>
            <sz val="9"/>
            <color indexed="81"/>
            <rFont val="Tahoma"/>
            <family val="2"/>
          </rPr>
          <t>Randy Lopez:</t>
        </r>
        <r>
          <rPr>
            <sz val="9"/>
            <color indexed="81"/>
            <rFont val="Tahoma"/>
            <family val="2"/>
          </rPr>
          <t xml:space="preserve">
cuenta 06010001</t>
        </r>
      </text>
    </comment>
    <comment ref="L123" authorId="0">
      <text>
        <r>
          <rPr>
            <b/>
            <sz val="9"/>
            <color indexed="81"/>
            <rFont val="Tahoma"/>
            <family val="2"/>
          </rPr>
          <t>Randy Lopez:</t>
        </r>
        <r>
          <rPr>
            <sz val="9"/>
            <color indexed="81"/>
            <rFont val="Tahoma"/>
            <family val="2"/>
          </rPr>
          <t xml:space="preserve">
06010004</t>
        </r>
      </text>
    </comment>
    <comment ref="H133" authorId="3">
      <text>
        <r>
          <rPr>
            <b/>
            <sz val="9"/>
            <color indexed="81"/>
            <rFont val="Tahoma"/>
            <family val="2"/>
          </rPr>
          <t>sergio:</t>
        </r>
        <r>
          <rPr>
            <sz val="9"/>
            <color indexed="81"/>
            <rFont val="Tahoma"/>
            <family val="2"/>
          </rPr>
          <t xml:space="preserve">
cuenta 05-010</t>
        </r>
      </text>
    </comment>
    <comment ref="L133" authorId="3">
      <text>
        <r>
          <rPr>
            <b/>
            <sz val="9"/>
            <color indexed="81"/>
            <rFont val="Tahoma"/>
            <family val="2"/>
          </rPr>
          <t>sergio:</t>
        </r>
        <r>
          <rPr>
            <sz val="9"/>
            <color indexed="81"/>
            <rFont val="Tahoma"/>
            <family val="2"/>
          </rPr>
          <t xml:space="preserve">
cuenta 05-010</t>
        </r>
      </text>
    </comment>
    <comment ref="H134" authorId="3">
      <text>
        <r>
          <rPr>
            <b/>
            <sz val="9"/>
            <color indexed="81"/>
            <rFont val="Tahoma"/>
            <family val="2"/>
          </rPr>
          <t>sergio:</t>
        </r>
        <r>
          <rPr>
            <sz val="9"/>
            <color indexed="81"/>
            <rFont val="Tahoma"/>
            <family val="2"/>
          </rPr>
          <t xml:space="preserve">
cuenta 05-003</t>
        </r>
      </text>
    </comment>
    <comment ref="L134" authorId="3">
      <text>
        <r>
          <rPr>
            <b/>
            <sz val="9"/>
            <color indexed="81"/>
            <rFont val="Tahoma"/>
            <family val="2"/>
          </rPr>
          <t>sergio:</t>
        </r>
        <r>
          <rPr>
            <sz val="9"/>
            <color indexed="81"/>
            <rFont val="Tahoma"/>
            <family val="2"/>
          </rPr>
          <t xml:space="preserve">
cuenta 05-003</t>
        </r>
      </text>
    </comment>
    <comment ref="H135" authorId="3">
      <text>
        <r>
          <rPr>
            <b/>
            <sz val="9"/>
            <color indexed="81"/>
            <rFont val="Tahoma"/>
            <family val="2"/>
          </rPr>
          <t>sergio:</t>
        </r>
        <r>
          <rPr>
            <sz val="9"/>
            <color indexed="81"/>
            <rFont val="Tahoma"/>
            <family val="2"/>
          </rPr>
          <t xml:space="preserve">
cuenta 05-002</t>
        </r>
      </text>
    </comment>
    <comment ref="L135" authorId="3">
      <text>
        <r>
          <rPr>
            <b/>
            <sz val="9"/>
            <color indexed="81"/>
            <rFont val="Tahoma"/>
            <family val="2"/>
          </rPr>
          <t>sergio:</t>
        </r>
        <r>
          <rPr>
            <sz val="9"/>
            <color indexed="81"/>
            <rFont val="Tahoma"/>
            <family val="2"/>
          </rPr>
          <t xml:space="preserve">
cuenta 05-002</t>
        </r>
      </text>
    </comment>
    <comment ref="L143" authorId="0">
      <text>
        <r>
          <rPr>
            <b/>
            <sz val="9"/>
            <color indexed="81"/>
            <rFont val="Tahoma"/>
            <family val="2"/>
          </rPr>
          <t>Randy Lopez:</t>
        </r>
        <r>
          <rPr>
            <sz val="9"/>
            <color indexed="81"/>
            <rFont val="Tahoma"/>
            <family val="2"/>
          </rPr>
          <t xml:space="preserve">
cuenta 07001</t>
        </r>
      </text>
    </comment>
    <comment ref="L144" authorId="0">
      <text>
        <r>
          <rPr>
            <b/>
            <sz val="9"/>
            <color indexed="81"/>
            <rFont val="Tahoma"/>
            <family val="2"/>
          </rPr>
          <t>Randy Lopez:</t>
        </r>
        <r>
          <rPr>
            <sz val="9"/>
            <color indexed="81"/>
            <rFont val="Tahoma"/>
            <family val="2"/>
          </rPr>
          <t xml:space="preserve">
cuenta 07002</t>
        </r>
      </text>
    </comment>
    <comment ref="L145" authorId="1">
      <text>
        <r>
          <rPr>
            <b/>
            <sz val="9"/>
            <color indexed="81"/>
            <rFont val="Tahoma"/>
            <family val="2"/>
          </rPr>
          <t>rlopez:</t>
        </r>
        <r>
          <rPr>
            <sz val="9"/>
            <color indexed="81"/>
            <rFont val="Tahoma"/>
            <family val="2"/>
          </rPr>
          <t xml:space="preserve">
07-003</t>
        </r>
      </text>
    </comment>
    <comment ref="L151" authorId="0">
      <text>
        <r>
          <rPr>
            <b/>
            <sz val="9"/>
            <color indexed="81"/>
            <rFont val="Tahoma"/>
            <family val="2"/>
          </rPr>
          <t>Randy Lopez:</t>
        </r>
        <r>
          <rPr>
            <sz val="9"/>
            <color indexed="81"/>
            <rFont val="Tahoma"/>
            <family val="2"/>
          </rPr>
          <t xml:space="preserve">
cuenta08006</t>
        </r>
      </text>
    </comment>
    <comment ref="H152" authorId="3">
      <text>
        <r>
          <rPr>
            <b/>
            <sz val="9"/>
            <color indexed="81"/>
            <rFont val="Tahoma"/>
            <family val="2"/>
          </rPr>
          <t>sergio:</t>
        </r>
        <r>
          <rPr>
            <sz val="9"/>
            <color indexed="81"/>
            <rFont val="Tahoma"/>
            <family val="2"/>
          </rPr>
          <t xml:space="preserve">
cuenta 05-016-001</t>
        </r>
      </text>
    </comment>
    <comment ref="L152" authorId="3">
      <text>
        <r>
          <rPr>
            <b/>
            <sz val="9"/>
            <color indexed="81"/>
            <rFont val="Tahoma"/>
            <family val="2"/>
          </rPr>
          <t>sergio:</t>
        </r>
        <r>
          <rPr>
            <sz val="9"/>
            <color indexed="81"/>
            <rFont val="Tahoma"/>
            <family val="2"/>
          </rPr>
          <t xml:space="preserve">
cuenta 05-016-001</t>
        </r>
      </text>
    </comment>
    <comment ref="L153" authorId="1">
      <text>
        <r>
          <rPr>
            <b/>
            <sz val="9"/>
            <color indexed="81"/>
            <rFont val="Tahoma"/>
            <family val="2"/>
          </rPr>
          <t>rlopez:</t>
        </r>
        <r>
          <rPr>
            <sz val="9"/>
            <color indexed="81"/>
            <rFont val="Tahoma"/>
            <family val="2"/>
          </rPr>
          <t xml:space="preserve">
08-007</t>
        </r>
      </text>
    </comment>
    <comment ref="H154" authorId="3">
      <text>
        <r>
          <rPr>
            <b/>
            <sz val="9"/>
            <color indexed="81"/>
            <rFont val="Tahoma"/>
            <family val="2"/>
          </rPr>
          <t>sergio:</t>
        </r>
        <r>
          <rPr>
            <sz val="9"/>
            <color indexed="81"/>
            <rFont val="Tahoma"/>
            <family val="2"/>
          </rPr>
          <t xml:space="preserve">
cuenta 05-017</t>
        </r>
      </text>
    </comment>
    <comment ref="L154" authorId="3">
      <text>
        <r>
          <rPr>
            <b/>
            <sz val="9"/>
            <color indexed="81"/>
            <rFont val="Tahoma"/>
            <family val="2"/>
          </rPr>
          <t>sergio:</t>
        </r>
        <r>
          <rPr>
            <sz val="9"/>
            <color indexed="81"/>
            <rFont val="Tahoma"/>
            <family val="2"/>
          </rPr>
          <t xml:space="preserve">
cuenta 05-017</t>
        </r>
      </text>
    </comment>
    <comment ref="L155" authorId="1">
      <text>
        <r>
          <rPr>
            <b/>
            <sz val="9"/>
            <color indexed="81"/>
            <rFont val="Tahoma"/>
            <family val="2"/>
          </rPr>
          <t>rlopez:</t>
        </r>
        <r>
          <rPr>
            <sz val="9"/>
            <color indexed="81"/>
            <rFont val="Tahoma"/>
            <family val="2"/>
          </rPr>
          <t xml:space="preserve">
08-008</t>
        </r>
      </text>
    </comment>
    <comment ref="L156" authorId="0">
      <text>
        <r>
          <rPr>
            <b/>
            <sz val="9"/>
            <color indexed="81"/>
            <rFont val="Tahoma"/>
            <family val="2"/>
          </rPr>
          <t>Randy Lopez:</t>
        </r>
        <r>
          <rPr>
            <sz val="9"/>
            <color indexed="81"/>
            <rFont val="Tahoma"/>
            <family val="2"/>
          </rPr>
          <t xml:space="preserve">
cuentaq 08011</t>
        </r>
      </text>
    </comment>
    <comment ref="L157" authorId="1">
      <text>
        <r>
          <rPr>
            <b/>
            <sz val="9"/>
            <color indexed="81"/>
            <rFont val="Tahoma"/>
            <family val="2"/>
          </rPr>
          <t>rlopez:</t>
        </r>
        <r>
          <rPr>
            <sz val="9"/>
            <color indexed="81"/>
            <rFont val="Tahoma"/>
            <family val="2"/>
          </rPr>
          <t xml:space="preserve">
08-012</t>
        </r>
      </text>
    </comment>
    <comment ref="L159" authorId="0">
      <text>
        <r>
          <rPr>
            <b/>
            <sz val="9"/>
            <color indexed="81"/>
            <rFont val="Tahoma"/>
            <family val="2"/>
          </rPr>
          <t>Randy Lopez:</t>
        </r>
        <r>
          <rPr>
            <sz val="9"/>
            <color indexed="81"/>
            <rFont val="Tahoma"/>
            <family val="2"/>
          </rPr>
          <t xml:space="preserve">
cuenta 08004</t>
        </r>
      </text>
    </comment>
    <comment ref="L160" authorId="1">
      <text>
        <r>
          <rPr>
            <b/>
            <sz val="9"/>
            <color indexed="81"/>
            <rFont val="Tahoma"/>
            <family val="2"/>
          </rPr>
          <t>rlopez:</t>
        </r>
        <r>
          <rPr>
            <sz val="9"/>
            <color indexed="81"/>
            <rFont val="Tahoma"/>
            <family val="2"/>
          </rPr>
          <t xml:space="preserve">
08-009</t>
        </r>
      </text>
    </comment>
    <comment ref="L164" authorId="0">
      <text>
        <r>
          <rPr>
            <b/>
            <sz val="9"/>
            <color indexed="81"/>
            <rFont val="Tahoma"/>
            <family val="2"/>
          </rPr>
          <t>Randy Lopez:</t>
        </r>
        <r>
          <rPr>
            <sz val="9"/>
            <color indexed="81"/>
            <rFont val="Tahoma"/>
            <family val="2"/>
          </rPr>
          <t xml:space="preserve">
03001</t>
        </r>
      </text>
    </comment>
    <comment ref="L185" authorId="0">
      <text>
        <r>
          <rPr>
            <b/>
            <sz val="9"/>
            <color indexed="81"/>
            <rFont val="Tahoma"/>
            <family val="2"/>
          </rPr>
          <t>Randy Lopez:</t>
        </r>
        <r>
          <rPr>
            <sz val="9"/>
            <color indexed="81"/>
            <rFont val="Tahoma"/>
            <family val="2"/>
          </rPr>
          <t xml:space="preserve">
cuenta 09001000</t>
        </r>
      </text>
    </comment>
    <comment ref="L186" authorId="1">
      <text>
        <r>
          <rPr>
            <b/>
            <sz val="9"/>
            <color indexed="81"/>
            <rFont val="Tahoma"/>
            <family val="2"/>
          </rPr>
          <t>rlopez:</t>
        </r>
        <r>
          <rPr>
            <sz val="9"/>
            <color indexed="81"/>
            <rFont val="Tahoma"/>
            <family val="2"/>
          </rPr>
          <t xml:space="preserve">
09-002</t>
        </r>
      </text>
    </comment>
    <comment ref="E187" authorId="3">
      <text>
        <r>
          <rPr>
            <b/>
            <sz val="9"/>
            <color indexed="81"/>
            <rFont val="Tahoma"/>
            <family val="2"/>
          </rPr>
          <t xml:space="preserve">partidas 9-005-161 y 9-010
</t>
        </r>
        <r>
          <rPr>
            <sz val="9"/>
            <color indexed="81"/>
            <rFont val="Tahoma"/>
            <family val="2"/>
          </rPr>
          <t xml:space="preserve">
</t>
        </r>
      </text>
    </comment>
    <comment ref="L187" authorId="0">
      <text>
        <r>
          <rPr>
            <b/>
            <sz val="9"/>
            <color indexed="81"/>
            <rFont val="Tahoma"/>
            <family val="2"/>
          </rPr>
          <t>Randy Lopez:</t>
        </r>
        <r>
          <rPr>
            <sz val="9"/>
            <color indexed="81"/>
            <rFont val="Tahoma"/>
            <family val="2"/>
          </rPr>
          <t xml:space="preserve">
09005161 + 09010</t>
        </r>
      </text>
    </comment>
    <comment ref="E188" authorId="3">
      <text>
        <r>
          <rPr>
            <b/>
            <sz val="9"/>
            <color indexed="81"/>
            <rFont val="Tahoma"/>
            <family val="2"/>
          </rPr>
          <t>sergio:</t>
        </r>
        <r>
          <rPr>
            <sz val="9"/>
            <color indexed="81"/>
            <rFont val="Tahoma"/>
            <family val="2"/>
          </rPr>
          <t xml:space="preserve">
cuenta 9-005-018</t>
        </r>
      </text>
    </comment>
    <comment ref="L188" authorId="0">
      <text>
        <r>
          <rPr>
            <b/>
            <sz val="9"/>
            <color indexed="81"/>
            <rFont val="Tahoma"/>
            <family val="2"/>
          </rPr>
          <t>Randy Lopez:</t>
        </r>
        <r>
          <rPr>
            <sz val="9"/>
            <color indexed="81"/>
            <rFont val="Tahoma"/>
            <family val="2"/>
          </rPr>
          <t xml:space="preserve">
cuenta 09005018</t>
        </r>
      </text>
    </comment>
    <comment ref="E189" authorId="3">
      <text>
        <r>
          <rPr>
            <b/>
            <sz val="9"/>
            <color indexed="81"/>
            <rFont val="Tahoma"/>
            <family val="2"/>
          </rPr>
          <t>sergio:</t>
        </r>
        <r>
          <rPr>
            <sz val="9"/>
            <color indexed="81"/>
            <rFont val="Tahoma"/>
            <family val="2"/>
          </rPr>
          <t xml:space="preserve">
cuenta 9-005-056
</t>
        </r>
      </text>
    </comment>
    <comment ref="L189" authorId="0">
      <text>
        <r>
          <rPr>
            <b/>
            <sz val="9"/>
            <color indexed="81"/>
            <rFont val="Tahoma"/>
            <family val="2"/>
          </rPr>
          <t>Randy Lopez:</t>
        </r>
        <r>
          <rPr>
            <sz val="9"/>
            <color indexed="81"/>
            <rFont val="Tahoma"/>
            <family val="2"/>
          </rPr>
          <t xml:space="preserve">
09005056</t>
        </r>
      </text>
    </comment>
    <comment ref="E190" authorId="3">
      <text>
        <r>
          <rPr>
            <b/>
            <sz val="9"/>
            <color indexed="81"/>
            <rFont val="Tahoma"/>
            <family val="2"/>
          </rPr>
          <t>sergio:</t>
        </r>
        <r>
          <rPr>
            <sz val="9"/>
            <color indexed="81"/>
            <rFont val="Tahoma"/>
            <family val="2"/>
          </rPr>
          <t xml:space="preserve">
cuenta 9-005-020</t>
        </r>
      </text>
    </comment>
    <comment ref="L190" authorId="0">
      <text>
        <r>
          <rPr>
            <b/>
            <sz val="9"/>
            <color indexed="81"/>
            <rFont val="Tahoma"/>
            <family val="2"/>
          </rPr>
          <t>Randy Lopez:</t>
        </r>
        <r>
          <rPr>
            <sz val="9"/>
            <color indexed="81"/>
            <rFont val="Tahoma"/>
            <family val="2"/>
          </rPr>
          <t xml:space="preserve">
09005020</t>
        </r>
      </text>
    </comment>
    <comment ref="E191" authorId="3">
      <text>
        <r>
          <rPr>
            <b/>
            <sz val="9"/>
            <color indexed="81"/>
            <rFont val="Tahoma"/>
            <family val="2"/>
          </rPr>
          <t>sergio:</t>
        </r>
        <r>
          <rPr>
            <sz val="9"/>
            <color indexed="81"/>
            <rFont val="Tahoma"/>
            <family val="2"/>
          </rPr>
          <t xml:space="preserve">
cuenta 9-005-069</t>
        </r>
      </text>
    </comment>
    <comment ref="L191" authorId="0">
      <text>
        <r>
          <rPr>
            <b/>
            <sz val="9"/>
            <color indexed="81"/>
            <rFont val="Tahoma"/>
            <family val="2"/>
          </rPr>
          <t>Randy Lopez:</t>
        </r>
        <r>
          <rPr>
            <sz val="9"/>
            <color indexed="81"/>
            <rFont val="Tahoma"/>
            <family val="2"/>
          </rPr>
          <t xml:space="preserve">
09005069</t>
        </r>
      </text>
    </comment>
    <comment ref="E192" authorId="3">
      <text>
        <r>
          <rPr>
            <b/>
            <sz val="9"/>
            <color indexed="81"/>
            <rFont val="Tahoma"/>
            <family val="2"/>
          </rPr>
          <t>sergio:</t>
        </r>
        <r>
          <rPr>
            <sz val="9"/>
            <color indexed="81"/>
            <rFont val="Tahoma"/>
            <family val="2"/>
          </rPr>
          <t xml:space="preserve">
cuenta 9-005-129</t>
        </r>
      </text>
    </comment>
    <comment ref="L192" authorId="0">
      <text>
        <r>
          <rPr>
            <b/>
            <sz val="9"/>
            <color indexed="81"/>
            <rFont val="Tahoma"/>
            <family val="2"/>
          </rPr>
          <t>Randy Lopez:</t>
        </r>
        <r>
          <rPr>
            <sz val="9"/>
            <color indexed="81"/>
            <rFont val="Tahoma"/>
            <family val="2"/>
          </rPr>
          <t xml:space="preserve">
09005129</t>
        </r>
      </text>
    </comment>
    <comment ref="L196" authorId="0">
      <text>
        <r>
          <rPr>
            <b/>
            <sz val="9"/>
            <color indexed="81"/>
            <rFont val="Tahoma"/>
            <family val="2"/>
          </rPr>
          <t>Randy Lopez:</t>
        </r>
        <r>
          <rPr>
            <sz val="9"/>
            <color indexed="81"/>
            <rFont val="Tahoma"/>
            <family val="2"/>
          </rPr>
          <t xml:space="preserve">
10002000</t>
        </r>
      </text>
    </comment>
    <comment ref="H200" authorId="3">
      <text>
        <r>
          <rPr>
            <b/>
            <sz val="9"/>
            <color indexed="81"/>
            <rFont val="Tahoma"/>
            <family val="2"/>
          </rPr>
          <t>sergio:</t>
        </r>
        <r>
          <rPr>
            <sz val="9"/>
            <color indexed="81"/>
            <rFont val="Tahoma"/>
            <family val="2"/>
          </rPr>
          <t xml:space="preserve">
cuentas 9-063 y 9-064</t>
        </r>
      </text>
    </comment>
    <comment ref="L200" authorId="3">
      <text>
        <r>
          <rPr>
            <b/>
            <sz val="9"/>
            <color indexed="81"/>
            <rFont val="Tahoma"/>
            <family val="2"/>
          </rPr>
          <t>sergio:</t>
        </r>
        <r>
          <rPr>
            <sz val="9"/>
            <color indexed="81"/>
            <rFont val="Tahoma"/>
            <family val="2"/>
          </rPr>
          <t xml:space="preserve">
cuentas 9-063 y 9-064</t>
        </r>
      </text>
    </comment>
    <comment ref="H201" authorId="3">
      <text>
        <r>
          <rPr>
            <b/>
            <sz val="9"/>
            <color indexed="81"/>
            <rFont val="Tahoma"/>
            <family val="2"/>
          </rPr>
          <t>sergio:</t>
        </r>
        <r>
          <rPr>
            <sz val="9"/>
            <color indexed="81"/>
            <rFont val="Tahoma"/>
            <family val="2"/>
          </rPr>
          <t xml:space="preserve">
cuenta 9-005-312
</t>
        </r>
      </text>
    </comment>
    <comment ref="L201" authorId="3">
      <text>
        <r>
          <rPr>
            <b/>
            <sz val="9"/>
            <color indexed="81"/>
            <rFont val="Tahoma"/>
            <family val="2"/>
          </rPr>
          <t>sergio:</t>
        </r>
        <r>
          <rPr>
            <sz val="9"/>
            <color indexed="81"/>
            <rFont val="Tahoma"/>
            <family val="2"/>
          </rPr>
          <t xml:space="preserve">
cuenta 9-005-312
</t>
        </r>
      </text>
    </comment>
    <comment ref="L205" authorId="0">
      <text>
        <r>
          <rPr>
            <b/>
            <sz val="9"/>
            <color indexed="81"/>
            <rFont val="Tahoma"/>
            <family val="2"/>
          </rPr>
          <t>Randy Lopez:</t>
        </r>
        <r>
          <rPr>
            <sz val="9"/>
            <color indexed="81"/>
            <rFont val="Tahoma"/>
            <family val="2"/>
          </rPr>
          <t xml:space="preserve">
10031</t>
        </r>
      </text>
    </comment>
    <comment ref="H206" authorId="3">
      <text>
        <r>
          <rPr>
            <b/>
            <sz val="9"/>
            <color indexed="81"/>
            <rFont val="Tahoma"/>
            <family val="2"/>
          </rPr>
          <t>sergio:</t>
        </r>
        <r>
          <rPr>
            <sz val="9"/>
            <color indexed="81"/>
            <rFont val="Tahoma"/>
            <family val="2"/>
          </rPr>
          <t xml:space="preserve">
cuenta 10-005
</t>
        </r>
      </text>
    </comment>
    <comment ref="L206" authorId="3">
      <text>
        <r>
          <rPr>
            <b/>
            <sz val="9"/>
            <color indexed="81"/>
            <rFont val="Tahoma"/>
            <family val="2"/>
          </rPr>
          <t>sergio:</t>
        </r>
        <r>
          <rPr>
            <sz val="9"/>
            <color indexed="81"/>
            <rFont val="Tahoma"/>
            <family val="2"/>
          </rPr>
          <t xml:space="preserve">
cuenta 10-005
</t>
        </r>
      </text>
    </comment>
    <comment ref="L207" authorId="0">
      <text>
        <r>
          <rPr>
            <b/>
            <sz val="9"/>
            <color indexed="81"/>
            <rFont val="Tahoma"/>
            <family val="2"/>
          </rPr>
          <t>Randy Lopez:</t>
        </r>
        <r>
          <rPr>
            <sz val="9"/>
            <color indexed="81"/>
            <rFont val="Tahoma"/>
            <family val="2"/>
          </rPr>
          <t xml:space="preserve">
10032</t>
        </r>
      </text>
    </comment>
    <comment ref="H208" authorId="1">
      <text>
        <r>
          <rPr>
            <b/>
            <sz val="9"/>
            <color indexed="81"/>
            <rFont val="Tahoma"/>
            <family val="2"/>
          </rPr>
          <t>rlopez:</t>
        </r>
        <r>
          <rPr>
            <sz val="9"/>
            <color indexed="81"/>
            <rFont val="Tahoma"/>
            <family val="2"/>
          </rPr>
          <t xml:space="preserve">
10-033</t>
        </r>
      </text>
    </comment>
    <comment ref="H209" authorId="3">
      <text>
        <r>
          <rPr>
            <b/>
            <sz val="9"/>
            <color indexed="81"/>
            <rFont val="Tahoma"/>
            <family val="2"/>
          </rPr>
          <t>sergio:</t>
        </r>
        <r>
          <rPr>
            <sz val="9"/>
            <color indexed="81"/>
            <rFont val="Tahoma"/>
            <family val="2"/>
          </rPr>
          <t xml:space="preserve">
cuenta 10-010</t>
        </r>
      </text>
    </comment>
    <comment ref="L209" authorId="3">
      <text>
        <r>
          <rPr>
            <b/>
            <sz val="9"/>
            <color indexed="81"/>
            <rFont val="Tahoma"/>
            <family val="2"/>
          </rPr>
          <t>sergio:</t>
        </r>
        <r>
          <rPr>
            <sz val="9"/>
            <color indexed="81"/>
            <rFont val="Tahoma"/>
            <family val="2"/>
          </rPr>
          <t xml:space="preserve">
cuenta 10-010</t>
        </r>
      </text>
    </comment>
    <comment ref="L210" authorId="1">
      <text>
        <r>
          <rPr>
            <b/>
            <sz val="9"/>
            <color indexed="81"/>
            <rFont val="Tahoma"/>
            <family val="2"/>
          </rPr>
          <t>rlopez:</t>
        </r>
        <r>
          <rPr>
            <sz val="9"/>
            <color indexed="81"/>
            <rFont val="Tahoma"/>
            <family val="2"/>
          </rPr>
          <t xml:space="preserve">
10-034</t>
        </r>
      </text>
    </comment>
    <comment ref="E214" authorId="2">
      <text>
        <r>
          <rPr>
            <b/>
            <sz val="8"/>
            <color indexed="81"/>
            <rFont val="Tahoma"/>
            <family val="2"/>
          </rPr>
          <t xml:space="preserve">Cuentas 12 excepto 12-134-002 (FDI FUNDEVI)
</t>
        </r>
        <r>
          <rPr>
            <sz val="8"/>
            <color indexed="81"/>
            <rFont val="Tahoma"/>
            <family val="2"/>
          </rPr>
          <t xml:space="preserve">
</t>
        </r>
      </text>
    </comment>
    <comment ref="H214" authorId="3">
      <text>
        <r>
          <rPr>
            <b/>
            <sz val="9"/>
            <color indexed="81"/>
            <rFont val="Tahoma"/>
            <family val="2"/>
          </rPr>
          <t>sergio:</t>
        </r>
        <r>
          <rPr>
            <sz val="9"/>
            <color indexed="81"/>
            <rFont val="Tahoma"/>
            <family val="2"/>
          </rPr>
          <t xml:space="preserve">
cuenta 12 menos las 12-134</t>
        </r>
      </text>
    </comment>
    <comment ref="L214" authorId="3">
      <text>
        <r>
          <rPr>
            <b/>
            <sz val="9"/>
            <color indexed="81"/>
            <rFont val="Tahoma"/>
            <family val="2"/>
          </rPr>
          <t>sergio:</t>
        </r>
        <r>
          <rPr>
            <sz val="9"/>
            <color indexed="81"/>
            <rFont val="Tahoma"/>
            <family val="2"/>
          </rPr>
          <t xml:space="preserve">
cuenta 12 menos las 12-134002</t>
        </r>
      </text>
    </comment>
    <comment ref="H218" authorId="3">
      <text>
        <r>
          <rPr>
            <b/>
            <sz val="9"/>
            <color indexed="81"/>
            <rFont val="Tahoma"/>
            <family val="2"/>
          </rPr>
          <t>sergio:</t>
        </r>
        <r>
          <rPr>
            <sz val="9"/>
            <color indexed="81"/>
            <rFont val="Tahoma"/>
            <family val="2"/>
          </rPr>
          <t xml:space="preserve">
cuenta 11 (completa)</t>
        </r>
      </text>
    </comment>
    <comment ref="L218" authorId="3">
      <text>
        <r>
          <rPr>
            <b/>
            <sz val="9"/>
            <color indexed="81"/>
            <rFont val="Tahoma"/>
            <family val="2"/>
          </rPr>
          <t>sergio:</t>
        </r>
        <r>
          <rPr>
            <sz val="9"/>
            <color indexed="81"/>
            <rFont val="Tahoma"/>
            <family val="2"/>
          </rPr>
          <t xml:space="preserve">
cuenta 11 (completa)</t>
        </r>
      </text>
    </comment>
    <comment ref="H227" authorId="3">
      <text>
        <r>
          <rPr>
            <b/>
            <sz val="9"/>
            <color indexed="81"/>
            <rFont val="Tahoma"/>
            <family val="2"/>
          </rPr>
          <t>sergio:</t>
        </r>
        <r>
          <rPr>
            <sz val="9"/>
            <color indexed="81"/>
            <rFont val="Tahoma"/>
            <family val="2"/>
          </rPr>
          <t xml:space="preserve">
cuenta 15-002-005
</t>
        </r>
      </text>
    </comment>
    <comment ref="L227" authorId="3">
      <text>
        <r>
          <rPr>
            <b/>
            <sz val="9"/>
            <color indexed="81"/>
            <rFont val="Tahoma"/>
            <family val="2"/>
          </rPr>
          <t>sergio:</t>
        </r>
        <r>
          <rPr>
            <sz val="9"/>
            <color indexed="81"/>
            <rFont val="Tahoma"/>
            <family val="2"/>
          </rPr>
          <t xml:space="preserve">
cuenta 15-002-005 o
14-001-005
</t>
        </r>
      </text>
    </comment>
    <comment ref="H228" authorId="3">
      <text>
        <r>
          <rPr>
            <b/>
            <sz val="9"/>
            <color indexed="81"/>
            <rFont val="Tahoma"/>
            <family val="2"/>
          </rPr>
          <t>sergio:</t>
        </r>
        <r>
          <rPr>
            <sz val="9"/>
            <color indexed="81"/>
            <rFont val="Tahoma"/>
            <family val="2"/>
          </rPr>
          <t xml:space="preserve">
cuenta 15-002-009</t>
        </r>
      </text>
    </comment>
    <comment ref="L228" authorId="3">
      <text>
        <r>
          <rPr>
            <b/>
            <sz val="9"/>
            <color indexed="81"/>
            <rFont val="Tahoma"/>
            <family val="2"/>
          </rPr>
          <t>sergio:</t>
        </r>
        <r>
          <rPr>
            <sz val="9"/>
            <color indexed="81"/>
            <rFont val="Tahoma"/>
            <family val="2"/>
          </rPr>
          <t xml:space="preserve">
cuenta 15-002-009 o 14-001-009</t>
        </r>
      </text>
    </comment>
    <comment ref="H229" authorId="3">
      <text>
        <r>
          <rPr>
            <b/>
            <sz val="9"/>
            <color indexed="81"/>
            <rFont val="Tahoma"/>
            <family val="2"/>
          </rPr>
          <t>sergio:</t>
        </r>
        <r>
          <rPr>
            <sz val="9"/>
            <color indexed="81"/>
            <rFont val="Tahoma"/>
            <family val="2"/>
          </rPr>
          <t xml:space="preserve">
</t>
        </r>
      </text>
    </comment>
    <comment ref="L229" authorId="3">
      <text>
        <r>
          <rPr>
            <b/>
            <sz val="9"/>
            <color indexed="81"/>
            <rFont val="Tahoma"/>
            <family val="2"/>
          </rPr>
          <t>sergio:</t>
        </r>
        <r>
          <rPr>
            <sz val="9"/>
            <color indexed="81"/>
            <rFont val="Tahoma"/>
            <family val="2"/>
          </rPr>
          <t xml:space="preserve">
15-02-06 o 14-001-006</t>
        </r>
      </text>
    </comment>
    <comment ref="H230" authorId="3">
      <text>
        <r>
          <rPr>
            <b/>
            <sz val="9"/>
            <color indexed="81"/>
            <rFont val="Tahoma"/>
            <family val="2"/>
          </rPr>
          <t>sergio:</t>
        </r>
        <r>
          <rPr>
            <sz val="9"/>
            <color indexed="81"/>
            <rFont val="Tahoma"/>
            <family val="2"/>
          </rPr>
          <t xml:space="preserve">
cuenta 15-002-001</t>
        </r>
      </text>
    </comment>
    <comment ref="L230" authorId="3">
      <text>
        <r>
          <rPr>
            <b/>
            <sz val="9"/>
            <color indexed="81"/>
            <rFont val="Tahoma"/>
            <family val="2"/>
          </rPr>
          <t>sergio:</t>
        </r>
        <r>
          <rPr>
            <sz val="9"/>
            <color indexed="81"/>
            <rFont val="Tahoma"/>
            <family val="2"/>
          </rPr>
          <t xml:space="preserve">
cuenta 15-002-002 o 14-001-002</t>
        </r>
      </text>
    </comment>
    <comment ref="H231" authorId="3">
      <text>
        <r>
          <rPr>
            <b/>
            <sz val="9"/>
            <color indexed="81"/>
            <rFont val="Tahoma"/>
            <family val="2"/>
          </rPr>
          <t>sergio:</t>
        </r>
        <r>
          <rPr>
            <sz val="9"/>
            <color indexed="81"/>
            <rFont val="Tahoma"/>
            <family val="2"/>
          </rPr>
          <t xml:space="preserve">
cuenta 15-002-001
</t>
        </r>
      </text>
    </comment>
    <comment ref="L231" authorId="3">
      <text>
        <r>
          <rPr>
            <b/>
            <sz val="9"/>
            <color indexed="81"/>
            <rFont val="Tahoma"/>
            <family val="2"/>
          </rPr>
          <t>sergio:</t>
        </r>
        <r>
          <rPr>
            <sz val="9"/>
            <color indexed="81"/>
            <rFont val="Tahoma"/>
            <family val="2"/>
          </rPr>
          <t xml:space="preserve">
cuenta 15-002-003 o 14-001-003
</t>
        </r>
      </text>
    </comment>
    <comment ref="H239" authorId="3">
      <text>
        <r>
          <rPr>
            <b/>
            <sz val="9"/>
            <color indexed="81"/>
            <rFont val="Tahoma"/>
            <family val="2"/>
          </rPr>
          <t>sergio:</t>
        </r>
        <r>
          <rPr>
            <sz val="9"/>
            <color indexed="81"/>
            <rFont val="Tahoma"/>
            <family val="2"/>
          </rPr>
          <t xml:space="preserve">
a la cuenta 15-001-001 se le suma la cuenta 15-020-001</t>
        </r>
      </text>
    </comment>
    <comment ref="L239" authorId="3">
      <text>
        <r>
          <rPr>
            <b/>
            <sz val="9"/>
            <color indexed="81"/>
            <rFont val="Tahoma"/>
            <family val="2"/>
          </rPr>
          <t>sergio:</t>
        </r>
        <r>
          <rPr>
            <sz val="9"/>
            <color indexed="81"/>
            <rFont val="Tahoma"/>
            <family val="2"/>
          </rPr>
          <t xml:space="preserve">
a la cuenta 15-001-001 se le suma la cuenta 15-020-001</t>
        </r>
      </text>
    </comment>
    <comment ref="E243" authorId="2">
      <text>
        <r>
          <rPr>
            <b/>
            <sz val="8"/>
            <color indexed="81"/>
            <rFont val="Tahoma"/>
            <family val="2"/>
          </rPr>
          <t>UCR:</t>
        </r>
        <r>
          <rPr>
            <sz val="8"/>
            <color indexed="81"/>
            <rFont val="Tahoma"/>
            <family val="2"/>
          </rPr>
          <t xml:space="preserve">
15-011
</t>
        </r>
      </text>
    </comment>
    <comment ref="L243" authorId="0">
      <text>
        <r>
          <rPr>
            <b/>
            <sz val="9"/>
            <color indexed="81"/>
            <rFont val="Tahoma"/>
            <family val="2"/>
          </rPr>
          <t>Randy Lopez:</t>
        </r>
        <r>
          <rPr>
            <sz val="9"/>
            <color indexed="81"/>
            <rFont val="Tahoma"/>
            <family val="2"/>
          </rPr>
          <t xml:space="preserve">
cuenta 15-011</t>
        </r>
      </text>
    </comment>
    <comment ref="E244" authorId="2">
      <text>
        <r>
          <rPr>
            <b/>
            <sz val="8"/>
            <color indexed="81"/>
            <rFont val="Tahoma"/>
            <family val="2"/>
          </rPr>
          <t>UCR:</t>
        </r>
        <r>
          <rPr>
            <sz val="8"/>
            <color indexed="81"/>
            <rFont val="Tahoma"/>
            <family val="2"/>
          </rPr>
          <t xml:space="preserve">
15-001
</t>
        </r>
      </text>
    </comment>
    <comment ref="H244" authorId="3">
      <text>
        <r>
          <rPr>
            <b/>
            <sz val="9"/>
            <color indexed="81"/>
            <rFont val="Tahoma"/>
            <family val="2"/>
          </rPr>
          <t>sergio:</t>
        </r>
        <r>
          <rPr>
            <sz val="9"/>
            <color indexed="81"/>
            <rFont val="Tahoma"/>
            <family val="2"/>
          </rPr>
          <t xml:space="preserve">
a la cuenta 15-001 se le resta la 15-001-001
</t>
        </r>
      </text>
    </comment>
    <comment ref="L244" authorId="3">
      <text>
        <r>
          <rPr>
            <b/>
            <sz val="9"/>
            <color indexed="81"/>
            <rFont val="Tahoma"/>
            <family val="2"/>
          </rPr>
          <t>sergio:</t>
        </r>
        <r>
          <rPr>
            <sz val="9"/>
            <color indexed="81"/>
            <rFont val="Tahoma"/>
            <family val="2"/>
          </rPr>
          <t xml:space="preserve">
a la cuenta 15-001 se le resta la 15-001-001
</t>
        </r>
      </text>
    </comment>
    <comment ref="E245" authorId="2">
      <text>
        <r>
          <rPr>
            <b/>
            <sz val="8"/>
            <color indexed="81"/>
            <rFont val="Tahoma"/>
            <family val="2"/>
          </rPr>
          <t>UCR:</t>
        </r>
        <r>
          <rPr>
            <sz val="8"/>
            <color indexed="81"/>
            <rFont val="Tahoma"/>
            <family val="2"/>
          </rPr>
          <t xml:space="preserve">
15-003</t>
        </r>
      </text>
    </comment>
    <comment ref="L245" authorId="0">
      <text>
        <r>
          <rPr>
            <b/>
            <sz val="9"/>
            <color indexed="81"/>
            <rFont val="Tahoma"/>
            <family val="2"/>
          </rPr>
          <t>Randy Lopez:</t>
        </r>
        <r>
          <rPr>
            <sz val="9"/>
            <color indexed="81"/>
            <rFont val="Tahoma"/>
            <family val="2"/>
          </rPr>
          <t xml:space="preserve">
Cuenta 15-003</t>
        </r>
      </text>
    </comment>
    <comment ref="E246" authorId="2">
      <text>
        <r>
          <rPr>
            <b/>
            <sz val="8"/>
            <color indexed="81"/>
            <rFont val="Tahoma"/>
            <family val="2"/>
          </rPr>
          <t>UCR:</t>
        </r>
        <r>
          <rPr>
            <sz val="8"/>
            <color indexed="81"/>
            <rFont val="Tahoma"/>
            <family val="2"/>
          </rPr>
          <t xml:space="preserve">
</t>
        </r>
        <r>
          <rPr>
            <sz val="11"/>
            <color indexed="81"/>
            <rFont val="Tahoma"/>
            <family val="2"/>
          </rPr>
          <t>15-014</t>
        </r>
        <r>
          <rPr>
            <sz val="8"/>
            <color indexed="81"/>
            <rFont val="Tahoma"/>
            <family val="2"/>
          </rPr>
          <t xml:space="preserve">
</t>
        </r>
      </text>
    </comment>
    <comment ref="L246" authorId="0">
      <text>
        <r>
          <rPr>
            <b/>
            <sz val="9"/>
            <color indexed="81"/>
            <rFont val="Tahoma"/>
            <family val="2"/>
          </rPr>
          <t>Randy Lopez:</t>
        </r>
        <r>
          <rPr>
            <sz val="9"/>
            <color indexed="81"/>
            <rFont val="Tahoma"/>
            <family val="2"/>
          </rPr>
          <t xml:space="preserve">
cuenta 15-014</t>
        </r>
      </text>
    </comment>
    <comment ref="E247" authorId="2">
      <text>
        <r>
          <rPr>
            <b/>
            <sz val="8"/>
            <color indexed="81"/>
            <rFont val="Tahoma"/>
            <family val="2"/>
          </rPr>
          <t>UCR:</t>
        </r>
        <r>
          <rPr>
            <sz val="8"/>
            <color indexed="81"/>
            <rFont val="Tahoma"/>
            <family val="2"/>
          </rPr>
          <t xml:space="preserve">
</t>
        </r>
        <r>
          <rPr>
            <sz val="10"/>
            <color indexed="81"/>
            <rFont val="Tahoma"/>
            <family val="2"/>
          </rPr>
          <t>15-013</t>
        </r>
      </text>
    </comment>
    <comment ref="L247" authorId="0">
      <text>
        <r>
          <rPr>
            <b/>
            <sz val="9"/>
            <color indexed="81"/>
            <rFont val="Tahoma"/>
            <family val="2"/>
          </rPr>
          <t>Randy Lopez:</t>
        </r>
        <r>
          <rPr>
            <sz val="9"/>
            <color indexed="81"/>
            <rFont val="Tahoma"/>
            <family val="2"/>
          </rPr>
          <t xml:space="preserve">
15-013</t>
        </r>
      </text>
    </comment>
    <comment ref="E248" authorId="2">
      <text>
        <r>
          <rPr>
            <b/>
            <sz val="11"/>
            <color indexed="81"/>
            <rFont val="Tahoma"/>
            <family val="2"/>
          </rPr>
          <t>cuentas 04-005-024+12-134-001+15-015+15-016+15-017+15-018-001+15-019</t>
        </r>
        <r>
          <rPr>
            <b/>
            <sz val="8"/>
            <color indexed="81"/>
            <rFont val="Tahoma"/>
            <family val="2"/>
          </rPr>
          <t xml:space="preserve">
</t>
        </r>
        <r>
          <rPr>
            <sz val="8"/>
            <color indexed="81"/>
            <rFont val="Tahoma"/>
            <family val="2"/>
          </rPr>
          <t xml:space="preserve">
</t>
        </r>
      </text>
    </comment>
    <comment ref="L248" authorId="0">
      <text>
        <r>
          <rPr>
            <b/>
            <sz val="9"/>
            <color indexed="81"/>
            <rFont val="Tahoma"/>
            <family val="2"/>
          </rPr>
          <t>Randy Lopez:</t>
        </r>
        <r>
          <rPr>
            <sz val="9"/>
            <color indexed="81"/>
            <rFont val="Tahoma"/>
            <family val="2"/>
          </rPr>
          <t xml:space="preserve">
4005024+12134001+15015+15016+15017+15018001+15019</t>
        </r>
      </text>
    </comment>
    <comment ref="E249" authorId="2">
      <text>
        <r>
          <rPr>
            <b/>
            <sz val="11"/>
            <color indexed="81"/>
            <rFont val="Tahoma"/>
            <family val="2"/>
          </rPr>
          <t>cuentas 12-134-002+15-018-002</t>
        </r>
        <r>
          <rPr>
            <sz val="8"/>
            <color indexed="81"/>
            <rFont val="Tahoma"/>
            <family val="2"/>
          </rPr>
          <t xml:space="preserve">
</t>
        </r>
      </text>
    </comment>
    <comment ref="L249" authorId="0">
      <text>
        <r>
          <rPr>
            <b/>
            <sz val="9"/>
            <color indexed="81"/>
            <rFont val="Tahoma"/>
            <family val="2"/>
          </rPr>
          <t>Randy Lopez:</t>
        </r>
        <r>
          <rPr>
            <sz val="9"/>
            <color indexed="81"/>
            <rFont val="Tahoma"/>
            <family val="2"/>
          </rPr>
          <t xml:space="preserve">
12134002+1518002</t>
        </r>
      </text>
    </comment>
  </commentList>
</comments>
</file>

<file path=xl/comments2.xml><?xml version="1.0" encoding="utf-8"?>
<comments xmlns="http://schemas.openxmlformats.org/spreadsheetml/2006/main">
  <authors>
    <author>Mainor Ulate</author>
    <author>mainor</author>
  </authors>
  <commentList>
    <comment ref="D13" authorId="0">
      <text>
        <r>
          <rPr>
            <b/>
            <sz val="8"/>
            <color indexed="81"/>
            <rFont val="Tahoma"/>
            <family val="2"/>
          </rPr>
          <t>Mainor Ulate:</t>
        </r>
        <r>
          <rPr>
            <sz val="8"/>
            <color indexed="81"/>
            <rFont val="Tahoma"/>
            <family val="2"/>
          </rPr>
          <t xml:space="preserve">
se suma fondos corrientes mas fondo de prestamo</t>
        </r>
      </text>
    </comment>
    <comment ref="G13" authorId="0">
      <text>
        <r>
          <rPr>
            <b/>
            <sz val="8"/>
            <color indexed="81"/>
            <rFont val="Tahoma"/>
            <family val="2"/>
          </rPr>
          <t>Mainor Ulate:</t>
        </r>
        <r>
          <rPr>
            <sz val="8"/>
            <color indexed="81"/>
            <rFont val="Tahoma"/>
            <family val="2"/>
          </rPr>
          <t xml:space="preserve">
se suma fondos corrientes mas fond prestamo</t>
        </r>
      </text>
    </comment>
    <comment ref="J13" authorId="0">
      <text>
        <r>
          <rPr>
            <b/>
            <sz val="8"/>
            <color indexed="81"/>
            <rFont val="Tahoma"/>
            <family val="2"/>
          </rPr>
          <t>Mainor Ulate:</t>
        </r>
        <r>
          <rPr>
            <sz val="8"/>
            <color indexed="81"/>
            <rFont val="Tahoma"/>
            <family val="2"/>
          </rPr>
          <t xml:space="preserve">
se suma fondos corrientes mas fond prestamo PAG 7 EN 2015</t>
        </r>
      </text>
    </comment>
    <comment ref="M13" authorId="0">
      <text>
        <r>
          <rPr>
            <b/>
            <sz val="8"/>
            <color indexed="81"/>
            <rFont val="Tahoma"/>
            <family val="2"/>
          </rPr>
          <t>Mainor Ulate:</t>
        </r>
        <r>
          <rPr>
            <sz val="8"/>
            <color indexed="81"/>
            <rFont val="Tahoma"/>
            <family val="2"/>
          </rPr>
          <t xml:space="preserve">
se suma fondos corrientes mas fond prestamo PAG 11 2016</t>
        </r>
      </text>
    </comment>
    <comment ref="P13" authorId="0">
      <text>
        <r>
          <rPr>
            <b/>
            <sz val="8"/>
            <color indexed="81"/>
            <rFont val="Tahoma"/>
            <family val="2"/>
          </rPr>
          <t>Mainor Ulate:</t>
        </r>
        <r>
          <rPr>
            <sz val="8"/>
            <color indexed="81"/>
            <rFont val="Tahoma"/>
            <family val="2"/>
          </rPr>
          <t xml:space="preserve">
se suma fondos corrientes mas fond prestamo PAG 11 2016</t>
        </r>
      </text>
    </comment>
    <comment ref="G15" authorId="1">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J15" authorId="1">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M15" authorId="1">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P15" authorId="1">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D16" authorId="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16" authorId="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J16" authorId="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M16" authorId="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P16" authorId="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20" authorId="1">
      <text>
        <r>
          <rPr>
            <b/>
            <sz val="9"/>
            <color indexed="81"/>
            <rFont val="Tahoma"/>
            <family val="2"/>
          </rPr>
          <t>mainor:</t>
        </r>
        <r>
          <rPr>
            <sz val="9"/>
            <color indexed="81"/>
            <rFont val="Tahoma"/>
            <family val="2"/>
          </rPr>
          <t xml:space="preserve">
se suma FR+F intraproyectos+F del sistema+Plan de mejoramiento Instit</t>
        </r>
      </text>
    </comment>
    <comment ref="J20" authorId="1">
      <text>
        <r>
          <rPr>
            <b/>
            <sz val="9"/>
            <color indexed="81"/>
            <rFont val="Tahoma"/>
            <family val="2"/>
          </rPr>
          <t>mainor:</t>
        </r>
        <r>
          <rPr>
            <sz val="9"/>
            <color indexed="81"/>
            <rFont val="Tahoma"/>
            <family val="2"/>
          </rPr>
          <t xml:space="preserve">
se suma FR+F intraproyectos+F del sistema+Plan de mejoramiento Instit</t>
        </r>
      </text>
    </comment>
    <comment ref="M20" authorId="1">
      <text>
        <r>
          <rPr>
            <b/>
            <sz val="9"/>
            <color indexed="81"/>
            <rFont val="Tahoma"/>
            <family val="2"/>
          </rPr>
          <t>mainor:</t>
        </r>
        <r>
          <rPr>
            <sz val="9"/>
            <color indexed="81"/>
            <rFont val="Tahoma"/>
            <family val="2"/>
          </rPr>
          <t xml:space="preserve">
se suma FR+F intraproyectos+F del sistema+Plan de mejoramiento Instit</t>
        </r>
      </text>
    </comment>
    <comment ref="P20" authorId="1">
      <text>
        <r>
          <rPr>
            <b/>
            <sz val="9"/>
            <color indexed="81"/>
            <rFont val="Tahoma"/>
            <family val="2"/>
          </rPr>
          <t>mainor:</t>
        </r>
        <r>
          <rPr>
            <sz val="9"/>
            <color indexed="81"/>
            <rFont val="Tahoma"/>
            <family val="2"/>
          </rPr>
          <t xml:space="preserve">
se suma FR+F intraproyectos+F del sistema+Plan de mejoramiento Instit</t>
        </r>
      </text>
    </comment>
    <comment ref="G22" authorId="1">
      <text>
        <r>
          <rPr>
            <b/>
            <sz val="9"/>
            <color indexed="81"/>
            <rFont val="Tahoma"/>
            <family val="2"/>
          </rPr>
          <t>mainor:</t>
        </r>
        <r>
          <rPr>
            <sz val="9"/>
            <color indexed="81"/>
            <rFont val="Tahoma"/>
            <family val="2"/>
          </rPr>
          <t xml:space="preserve">
se suma Cursos espec+Program de Posgrad con financiamiemto complementario</t>
        </r>
      </text>
    </comment>
    <comment ref="J22" authorId="1">
      <text>
        <r>
          <rPr>
            <b/>
            <sz val="9"/>
            <color indexed="81"/>
            <rFont val="Tahoma"/>
            <family val="2"/>
          </rPr>
          <t>mainor:</t>
        </r>
        <r>
          <rPr>
            <sz val="9"/>
            <color indexed="81"/>
            <rFont val="Tahoma"/>
            <family val="2"/>
          </rPr>
          <t xml:space="preserve">
se suma Cursos espec+Program de Posgrad con financiamiemto complementario</t>
        </r>
      </text>
    </comment>
    <comment ref="M22" authorId="1">
      <text>
        <r>
          <rPr>
            <b/>
            <sz val="9"/>
            <color indexed="81"/>
            <rFont val="Tahoma"/>
            <family val="2"/>
          </rPr>
          <t>mainor:</t>
        </r>
        <r>
          <rPr>
            <sz val="9"/>
            <color indexed="81"/>
            <rFont val="Tahoma"/>
            <family val="2"/>
          </rPr>
          <t xml:space="preserve">
se suma Cursos espec+Program de Posgrad con financiamiemto complementario</t>
        </r>
      </text>
    </comment>
    <comment ref="P22" authorId="1">
      <text>
        <r>
          <rPr>
            <b/>
            <sz val="9"/>
            <color indexed="81"/>
            <rFont val="Tahoma"/>
            <family val="2"/>
          </rPr>
          <t>mainor:</t>
        </r>
        <r>
          <rPr>
            <sz val="9"/>
            <color indexed="81"/>
            <rFont val="Tahoma"/>
            <family val="2"/>
          </rPr>
          <t xml:space="preserve">
se suma Cursos espec+Program de Posgrad con financiamiemto complementario</t>
        </r>
      </text>
    </comment>
  </commentList>
</comments>
</file>

<file path=xl/comments3.xml><?xml version="1.0" encoding="utf-8"?>
<comments xmlns="http://schemas.openxmlformats.org/spreadsheetml/2006/main">
  <authors>
    <author>mainor</author>
  </authors>
  <commentList>
    <comment ref="E20" authorId="0">
      <text>
        <r>
          <rPr>
            <b/>
            <sz val="9"/>
            <color indexed="81"/>
            <rFont val="Tahoma"/>
            <family val="2"/>
          </rPr>
          <t>mainor:</t>
        </r>
        <r>
          <rPr>
            <sz val="9"/>
            <color indexed="81"/>
            <rFont val="Tahoma"/>
            <family val="2"/>
          </rPr>
          <t xml:space="preserve">
se suma el GR de VE y el GR de Fondo de prestamo de VE</t>
        </r>
      </text>
    </comment>
    <comment ref="E24" authorId="0">
      <text>
        <r>
          <rPr>
            <b/>
            <sz val="9"/>
            <color indexed="81"/>
            <rFont val="Tahoma"/>
            <family val="2"/>
          </rPr>
          <t>mainor:</t>
        </r>
        <r>
          <rPr>
            <sz val="9"/>
            <color indexed="81"/>
            <rFont val="Tahoma"/>
            <family val="2"/>
          </rPr>
          <t xml:space="preserve">
se suma el GR de DSUP y el GR de Fondo de Presta de D Sup
</t>
        </r>
      </text>
    </comment>
  </commentList>
</comments>
</file>

<file path=xl/sharedStrings.xml><?xml version="1.0" encoding="utf-8"?>
<sst xmlns="http://schemas.openxmlformats.org/spreadsheetml/2006/main" count="8805" uniqueCount="2290">
  <si>
    <t xml:space="preserve">                      Universidad de Costa Rica</t>
  </si>
  <si>
    <t xml:space="preserve">                      Panorama Cuantitativo Universitario</t>
  </si>
  <si>
    <t>Cuadro RH1  Distribución de Plazas en la Universidad de Costa Rica, por programa y subprograma.  2017</t>
  </si>
  <si>
    <r>
      <t xml:space="preserve">Plazas  </t>
    </r>
    <r>
      <rPr>
        <b/>
        <vertAlign val="superscript"/>
        <sz val="10"/>
        <rFont val="Arial"/>
        <family val="2"/>
      </rPr>
      <t>1/</t>
    </r>
  </si>
  <si>
    <t>Unidades</t>
  </si>
  <si>
    <t>Total</t>
  </si>
  <si>
    <t>Docente</t>
  </si>
  <si>
    <t>De Apoyo</t>
  </si>
  <si>
    <t xml:space="preserve">Administración </t>
  </si>
  <si>
    <t>abs.</t>
  </si>
  <si>
    <t>%</t>
  </si>
  <si>
    <t/>
  </si>
  <si>
    <t>Docencia</t>
  </si>
  <si>
    <t>Apoyo a la Docencia</t>
  </si>
  <si>
    <t>Licencia Sabática</t>
  </si>
  <si>
    <t>Centro de Evaluación Académica</t>
  </si>
  <si>
    <t>Tercer Ciclo</t>
  </si>
  <si>
    <t>Servicios de Apoyo</t>
  </si>
  <si>
    <t>Formación de Recursos Docentes</t>
  </si>
  <si>
    <t>Area de Artes y Letras</t>
  </si>
  <si>
    <t xml:space="preserve">  Facultad de Bellas Artes</t>
  </si>
  <si>
    <t xml:space="preserve">   Artes Dramáticas</t>
  </si>
  <si>
    <t xml:space="preserve">   Artes Musicales</t>
  </si>
  <si>
    <t xml:space="preserve">   Artes Plásticas</t>
  </si>
  <si>
    <t xml:space="preserve">  Facultad de Letras</t>
  </si>
  <si>
    <t xml:space="preserve">   Filología</t>
  </si>
  <si>
    <t xml:space="preserve">   Filosofía</t>
  </si>
  <si>
    <t xml:space="preserve">   Lenguas Modernas</t>
  </si>
  <si>
    <t>Area de Ciencias Básicas</t>
  </si>
  <si>
    <t xml:space="preserve">  Facultad de Ciencias</t>
  </si>
  <si>
    <t xml:space="preserve">   Biología </t>
  </si>
  <si>
    <t xml:space="preserve">   Física</t>
  </si>
  <si>
    <t xml:space="preserve">   Geología </t>
  </si>
  <si>
    <t xml:space="preserve">   Matemática</t>
  </si>
  <si>
    <t xml:space="preserve">   Química</t>
  </si>
  <si>
    <t>Area de Ciencias Sociales</t>
  </si>
  <si>
    <t xml:space="preserve"> Facultad de Ciencias Económicas</t>
  </si>
  <si>
    <t xml:space="preserve">   Administración de Negocios</t>
  </si>
  <si>
    <t xml:space="preserve">   Administración Pública</t>
  </si>
  <si>
    <t xml:space="preserve">   Economía</t>
  </si>
  <si>
    <t xml:space="preserve">   Estadística</t>
  </si>
  <si>
    <t xml:space="preserve"> Facultad de Ciencias Sociales</t>
  </si>
  <si>
    <t xml:space="preserve">   Sociología</t>
  </si>
  <si>
    <t xml:space="preserve">   Cs. de la Comunicación Colectiva</t>
  </si>
  <si>
    <t xml:space="preserve">   Ciencias Políticas</t>
  </si>
  <si>
    <t xml:space="preserve">   Historia  </t>
  </si>
  <si>
    <t xml:space="preserve">   Trabajo Social</t>
  </si>
  <si>
    <t xml:space="preserve">   Psicología</t>
  </si>
  <si>
    <t xml:space="preserve">   Geografía</t>
  </si>
  <si>
    <t xml:space="preserve">   Antropología</t>
  </si>
  <si>
    <t xml:space="preserve"> Facultad de Derecho</t>
  </si>
  <si>
    <t xml:space="preserve"> Facultad de Educación</t>
  </si>
  <si>
    <t xml:space="preserve">   Administración Educativa</t>
  </si>
  <si>
    <t xml:space="preserve">   Formación Docente</t>
  </si>
  <si>
    <t xml:space="preserve">   Orient. y Educación Especial</t>
  </si>
  <si>
    <t xml:space="preserve">   Bibliotecología  Cs. Información</t>
  </si>
  <si>
    <t xml:space="preserve">   Educación Física y Deportes</t>
  </si>
  <si>
    <t>Area de Salud</t>
  </si>
  <si>
    <t xml:space="preserve"> Facultad de Farmacia</t>
  </si>
  <si>
    <t xml:space="preserve">   Esc. de Farmacia</t>
  </si>
  <si>
    <t xml:space="preserve">  Facultad de Medicina</t>
  </si>
  <si>
    <t xml:space="preserve">   Medicina</t>
  </si>
  <si>
    <t xml:space="preserve">   Enfermería</t>
  </si>
  <si>
    <t xml:space="preserve">   Salud Pública</t>
  </si>
  <si>
    <t xml:space="preserve">   Nutrición</t>
  </si>
  <si>
    <t xml:space="preserve">   Tecnologías en Salud</t>
  </si>
  <si>
    <t xml:space="preserve">  Facultad de Microbiología</t>
  </si>
  <si>
    <t xml:space="preserve">  Facultad de Odontología</t>
  </si>
  <si>
    <t>Area de Ciencias Agroalimentarias</t>
  </si>
  <si>
    <t xml:space="preserve">  Facultad de Agronomía</t>
  </si>
  <si>
    <t xml:space="preserve">   Economía Agrícola y Agronegocios</t>
  </si>
  <si>
    <t xml:space="preserve">   Agronomía</t>
  </si>
  <si>
    <t xml:space="preserve">   Zootecnia</t>
  </si>
  <si>
    <t xml:space="preserve">   Tecnología de Alimentos</t>
  </si>
  <si>
    <t>Area de Ingeniería y Arquitectura</t>
  </si>
  <si>
    <t xml:space="preserve">  Facultad de Ingeniería</t>
  </si>
  <si>
    <t xml:space="preserve">   Ingeniería Civil</t>
  </si>
  <si>
    <t xml:space="preserve">   Ingeniería Química</t>
  </si>
  <si>
    <t xml:space="preserve">   Ingeniería Eléctrica</t>
  </si>
  <si>
    <t xml:space="preserve">   Ingeniería Mecánica</t>
  </si>
  <si>
    <t xml:space="preserve">   Ingeniería Industrial</t>
  </si>
  <si>
    <t xml:space="preserve">   Arquitectura</t>
  </si>
  <si>
    <t xml:space="preserve">   Ingeniería Agricola</t>
  </si>
  <si>
    <t xml:space="preserve">   Cs. Computación e Información</t>
  </si>
  <si>
    <t xml:space="preserve">   Ingeniería Topográfíca </t>
  </si>
  <si>
    <t>Estudios Generales</t>
  </si>
  <si>
    <t>Investigación</t>
  </si>
  <si>
    <t>Apoyo a la Investigación</t>
  </si>
  <si>
    <t xml:space="preserve"> Servicios de Apoyo</t>
  </si>
  <si>
    <t xml:space="preserve">  Direcc. Editorial  y Difusión de la Invest. </t>
  </si>
  <si>
    <t xml:space="preserve">  Ofic. de Biblioteca Doc. e Información</t>
  </si>
  <si>
    <t xml:space="preserve">  Jardín Lankester</t>
  </si>
  <si>
    <t xml:space="preserve">  Est. Experimental Fabio Baudrit M.</t>
  </si>
  <si>
    <t xml:space="preserve">  Est. Experimental Alfredo Volio Mata</t>
  </si>
  <si>
    <t xml:space="preserve">  Laboratorio de Ensayos Biologicos</t>
  </si>
  <si>
    <t xml:space="preserve">  Finca de Producción Animal</t>
  </si>
  <si>
    <t xml:space="preserve">  Observatorio del Desarrollo</t>
  </si>
  <si>
    <t xml:space="preserve">  Unidad de Gestión y Transf. del Conoci.</t>
  </si>
  <si>
    <t xml:space="preserve">  Lab. de Materiales y Modelos Estrc.</t>
  </si>
  <si>
    <t xml:space="preserve">  Finca Exp. Interdis de Model Agrope</t>
  </si>
  <si>
    <t xml:space="preserve">  Red y Museos </t>
  </si>
  <si>
    <t xml:space="preserve"> Unidad Espec Invest de Areas Proteg.</t>
  </si>
  <si>
    <t>Centros e Inst. de Investigación</t>
  </si>
  <si>
    <t xml:space="preserve"> C. Inv. en Biolog. Celular y Molec.</t>
  </si>
  <si>
    <t xml:space="preserve"> C. Inv. en Cs. del Mar y Limnología</t>
  </si>
  <si>
    <t xml:space="preserve"> C. Inv. en Electroq. y Energ. Quím.</t>
  </si>
  <si>
    <t xml:space="preserve"> C. Inv. en Hem. Anorm. y Trast. Af.</t>
  </si>
  <si>
    <t xml:space="preserve"> C. Inv. en Productos Naturales</t>
  </si>
  <si>
    <t xml:space="preserve"> C. Inv. Geofísicas</t>
  </si>
  <si>
    <t xml:space="preserve"> C. Inv. en Enfermedades Tropicales</t>
  </si>
  <si>
    <t xml:space="preserve"> C. Inv. Históricas de América Central</t>
  </si>
  <si>
    <t xml:space="preserve"> C. Inv. en Contaminación Ambiental</t>
  </si>
  <si>
    <t xml:space="preserve"> C. Inv. Agronómicas</t>
  </si>
  <si>
    <t xml:space="preserve"> C. Inv. en Granos y Semillas</t>
  </si>
  <si>
    <t xml:space="preserve"> C. Inv. en Tecnología de Alimentos</t>
  </si>
  <si>
    <t xml:space="preserve"> I. Inv. en Ciencias Económicas</t>
  </si>
  <si>
    <t xml:space="preserve"> I. Inv. Psicológicas</t>
  </si>
  <si>
    <t xml:space="preserve"> I. Inv. En Educación</t>
  </si>
  <si>
    <t xml:space="preserve"> I. Inv. Sociales</t>
  </si>
  <si>
    <t xml:space="preserve"> I. Clodomiro Picado</t>
  </si>
  <si>
    <t xml:space="preserve"> I. Inv. en Salud</t>
  </si>
  <si>
    <t xml:space="preserve"> I. Inv. en Ingeniería </t>
  </si>
  <si>
    <t xml:space="preserve"> C. Inv. en Nutrición Animal</t>
  </si>
  <si>
    <t xml:space="preserve"> I. Inv. Agricolas</t>
  </si>
  <si>
    <t xml:space="preserve"> I. Inv. FilosófIcas</t>
  </si>
  <si>
    <t xml:space="preserve"> C. Inv. en Protección de Cultivo</t>
  </si>
  <si>
    <t xml:space="preserve"> C. Inv. en Ingeniería de Materiales</t>
  </si>
  <si>
    <t xml:space="preserve"> I. Inv. Farmaceuticas</t>
  </si>
  <si>
    <t>C. Inv. en Estudios de la Mujer</t>
  </si>
  <si>
    <t>C. Inv. en Desarrollo Sostenible</t>
  </si>
  <si>
    <t xml:space="preserve"> C. Inv. De identidad de Cultura Latinoamericana</t>
  </si>
  <si>
    <t>C. de Inv. Matemática y  Metamátematica</t>
  </si>
  <si>
    <t xml:space="preserve"> C. Inv. de Agro y Desarrollo Agroempresarial</t>
  </si>
  <si>
    <t xml:space="preserve"> Instituto de Inv. en Lingüística</t>
  </si>
  <si>
    <t>C. Inv. en Matemática Pura y Aplicada</t>
  </si>
  <si>
    <t xml:space="preserve"> I. Inv. Jurídicas</t>
  </si>
  <si>
    <t>C. Inv. en Estructuras Microscopicas</t>
  </si>
  <si>
    <t>Centro Centroamericano de Población</t>
  </si>
  <si>
    <t>Ctro de Inv. Espaciales</t>
  </si>
  <si>
    <t>Ctro de Inv. Atómicas, Nucle. y Molecul</t>
  </si>
  <si>
    <t>Ctro. Inv. y Capacitac. En Admin. Pública</t>
  </si>
  <si>
    <t>Ctro. Inv. en Ciencias Geológicas</t>
  </si>
  <si>
    <t>Ctro. Inv. y Estudios Políticos "J.M. Castro M"</t>
  </si>
  <si>
    <t>Ctro. Inv. Tecnol. Infor y Comunicación</t>
  </si>
  <si>
    <t>Ctro. Inv. en Comunicación</t>
  </si>
  <si>
    <t>Ctro. Inv. Sobre Diversidad Cult y Estud</t>
  </si>
  <si>
    <t>Ctro. Inv. en Neurociencias</t>
  </si>
  <si>
    <t xml:space="preserve"> I. Inv. en Arte</t>
  </si>
  <si>
    <t>Ctro.Inv. en Cs. del Movimiento Huma</t>
  </si>
  <si>
    <t>Sistema de Estudios de Posgrado</t>
  </si>
  <si>
    <t>Acción Social</t>
  </si>
  <si>
    <t xml:space="preserve"> Divulgación y Difusión</t>
  </si>
  <si>
    <t xml:space="preserve">  Semanario Universidad</t>
  </si>
  <si>
    <t xml:space="preserve">  Radio Universidad de Costa Rica </t>
  </si>
  <si>
    <t xml:space="preserve">  Canal 15</t>
  </si>
  <si>
    <t xml:space="preserve">  Oficina de Divulgación e Información</t>
  </si>
  <si>
    <t xml:space="preserve"> Apoyo a la Acción Social</t>
  </si>
  <si>
    <t xml:space="preserve">  Trabajo Comunal Universitario</t>
  </si>
  <si>
    <t xml:space="preserve">  Teatro Universistario</t>
  </si>
  <si>
    <t xml:space="preserve">  Extensión  Cultural</t>
  </si>
  <si>
    <t xml:space="preserve">  Servicios de Apoyo a la Acción Social</t>
  </si>
  <si>
    <t xml:space="preserve">  Unidades de Extensión Docente</t>
  </si>
  <si>
    <t xml:space="preserve">  Centro Infantil Laboratorio</t>
  </si>
  <si>
    <t>Vida Estudiantil</t>
  </si>
  <si>
    <t xml:space="preserve"> Servicios de Apoyo de Vida Estudiantil</t>
  </si>
  <si>
    <t xml:space="preserve"> Oficina de Registro e información</t>
  </si>
  <si>
    <t xml:space="preserve"> Oficina de Becas y Atención Socioec.</t>
  </si>
  <si>
    <t xml:space="preserve"> Oficina de Orientación </t>
  </si>
  <si>
    <t xml:space="preserve"> Oficina de Bienestar y Salud</t>
  </si>
  <si>
    <t>Administración</t>
  </si>
  <si>
    <t xml:space="preserve"> Adm. Financ. y de Personal</t>
  </si>
  <si>
    <t xml:space="preserve">  Oficina de Admistración Financiera</t>
  </si>
  <si>
    <t xml:space="preserve">  Oficina de Personal</t>
  </si>
  <si>
    <t xml:space="preserve"> Servicios </t>
  </si>
  <si>
    <t xml:space="preserve">  Oficina de Suministros</t>
  </si>
  <si>
    <t xml:space="preserve">  Unidad de Coordinación de Serv. Generales</t>
  </si>
  <si>
    <t xml:space="preserve">  Sección de Construc. y Mantenimiento</t>
  </si>
  <si>
    <t xml:space="preserve">  Sección de Correos</t>
  </si>
  <si>
    <t xml:space="preserve">  Sección de Transportes</t>
  </si>
  <si>
    <t xml:space="preserve">  Sección de Seguridad y Tránsito</t>
  </si>
  <si>
    <t xml:space="preserve">  Sección de Servicios Contratados</t>
  </si>
  <si>
    <t xml:space="preserve">  Sección de Mantenimiento de Maq. y Equipo</t>
  </si>
  <si>
    <t xml:space="preserve">  Servicios de Apoyo</t>
  </si>
  <si>
    <t>Dirección Superior</t>
  </si>
  <si>
    <t xml:space="preserve"> Consejo Universitario</t>
  </si>
  <si>
    <t xml:space="preserve"> Rectoría</t>
  </si>
  <si>
    <t xml:space="preserve"> Vicerrectorías</t>
  </si>
  <si>
    <t xml:space="preserve">  Vicerrectoría de Docencia</t>
  </si>
  <si>
    <t xml:space="preserve">  Vicerrectoría de Investigación</t>
  </si>
  <si>
    <t xml:space="preserve">  Vicerrectoría de Acción Social</t>
  </si>
  <si>
    <t xml:space="preserve">  Vicerrectoría de Vida Estudiantil</t>
  </si>
  <si>
    <t xml:space="preserve">  Vicerrectoría de Administración</t>
  </si>
  <si>
    <t xml:space="preserve"> Decanatos</t>
  </si>
  <si>
    <t xml:space="preserve">  Decanato de Bellas Artes</t>
  </si>
  <si>
    <t xml:space="preserve">  Decanato de Letras</t>
  </si>
  <si>
    <t xml:space="preserve">  Decanato de Ciencias Básicas</t>
  </si>
  <si>
    <t xml:space="preserve">  Decanato de Ciencias Económicas</t>
  </si>
  <si>
    <t xml:space="preserve">  Decanato de Educación</t>
  </si>
  <si>
    <t xml:space="preserve">  Decanato de Ciencias Sociales</t>
  </si>
  <si>
    <t xml:space="preserve">  Decanato de Medicina</t>
  </si>
  <si>
    <t xml:space="preserve">  Decanato de Cs Agroalimentarias</t>
  </si>
  <si>
    <t xml:space="preserve">  Decanato de Ingeniería</t>
  </si>
  <si>
    <t xml:space="preserve"> Oficinas Administrativas</t>
  </si>
  <si>
    <t xml:space="preserve">  Oficina de Planificación Universitaria</t>
  </si>
  <si>
    <t xml:space="preserve">  Oficina de Contraloría</t>
  </si>
  <si>
    <t xml:space="preserve">  Oficina Jurídica</t>
  </si>
  <si>
    <t xml:space="preserve">  Oficina Ejecutora del Plan de Invers.</t>
  </si>
  <si>
    <t xml:space="preserve">  Oficina de Asuntos Internacionales</t>
  </si>
  <si>
    <t xml:space="preserve">  Centro de Informática</t>
  </si>
  <si>
    <t xml:space="preserve">  Tribunal Universitario</t>
  </si>
  <si>
    <t xml:space="preserve">   Unidades de Apoyo Académico</t>
  </si>
  <si>
    <t xml:space="preserve">   Recinto de  Golfito</t>
  </si>
  <si>
    <t xml:space="preserve">   Archivo Universitario</t>
  </si>
  <si>
    <t>Desarrollo Regional</t>
  </si>
  <si>
    <r>
      <t xml:space="preserve"> Sede Regional de Occidente</t>
    </r>
    <r>
      <rPr>
        <vertAlign val="superscript"/>
        <sz val="10"/>
        <rFont val="Arial"/>
        <family val="2"/>
      </rPr>
      <t xml:space="preserve"> 2/</t>
    </r>
  </si>
  <si>
    <t xml:space="preserve">  Docencia (San Ramón)</t>
  </si>
  <si>
    <t xml:space="preserve">  Investigación (San Ramón)</t>
  </si>
  <si>
    <t xml:space="preserve">  Acción Social (San Ramón)</t>
  </si>
  <si>
    <t xml:space="preserve">  Vida Estudiantil (San Ramón)</t>
  </si>
  <si>
    <t xml:space="preserve">  Administración (San Ramón) </t>
  </si>
  <si>
    <r>
      <t xml:space="preserve"> Sede Regional de Guanacaste </t>
    </r>
    <r>
      <rPr>
        <vertAlign val="superscript"/>
        <sz val="10"/>
        <rFont val="Arial"/>
        <family val="2"/>
      </rPr>
      <t>3/</t>
    </r>
  </si>
  <si>
    <t xml:space="preserve">  Docencia (Guanacaste) </t>
  </si>
  <si>
    <t xml:space="preserve">  Investigación (Guanacaste)</t>
  </si>
  <si>
    <t xml:space="preserve">  Acción Social (Guanacaste)</t>
  </si>
  <si>
    <t xml:space="preserve">  Vida Estudiantil (Guanacaste)</t>
  </si>
  <si>
    <t xml:space="preserve">  Administración (Guanacaste) </t>
  </si>
  <si>
    <r>
      <t xml:space="preserve"> Sede Regional del Atlántico </t>
    </r>
    <r>
      <rPr>
        <vertAlign val="superscript"/>
        <sz val="10"/>
        <rFont val="Arial"/>
        <family val="2"/>
      </rPr>
      <t>4/</t>
    </r>
  </si>
  <si>
    <t xml:space="preserve">  Docencia (Turrialba) </t>
  </si>
  <si>
    <t xml:space="preserve">  Investigación (Turrialba)  </t>
  </si>
  <si>
    <t xml:space="preserve">  Acción Social (Turrialba)  </t>
  </si>
  <si>
    <t xml:space="preserve">  Vida Estudiantil (Turrialba)  </t>
  </si>
  <si>
    <t xml:space="preserve">  Administración (Turrialba)   </t>
  </si>
  <si>
    <t xml:space="preserve"> Sede Regional del Caribe</t>
  </si>
  <si>
    <t xml:space="preserve">  Docencia (Caribe)</t>
  </si>
  <si>
    <t xml:space="preserve">  Investigación (Caribe)</t>
  </si>
  <si>
    <t xml:space="preserve">  Acción Social (Caribe)</t>
  </si>
  <si>
    <t xml:space="preserve">  Vida Estudiantil (Caribe)</t>
  </si>
  <si>
    <t xml:space="preserve">  Administración (Caribe)</t>
  </si>
  <si>
    <t xml:space="preserve"> Sede Regional del Pacífico</t>
  </si>
  <si>
    <t xml:space="preserve">  Docencia (Puntarenas)  </t>
  </si>
  <si>
    <t xml:space="preserve">  Investigación (Puntarenas)</t>
  </si>
  <si>
    <t xml:space="preserve">  Acción Social (Puntarenas)</t>
  </si>
  <si>
    <t xml:space="preserve">  Vida Estudiantil (Puntarenas)</t>
  </si>
  <si>
    <t xml:space="preserve">  Administración (Puntarenas)</t>
  </si>
  <si>
    <t xml:space="preserve">  Dirección Superior (Puntarenas)  </t>
  </si>
  <si>
    <r>
      <t>1/</t>
    </r>
    <r>
      <rPr>
        <sz val="11"/>
        <color theme="1"/>
        <rFont val="Calibri"/>
        <family val="2"/>
        <scheme val="minor"/>
      </rPr>
      <t xml:space="preserve">  Equivalentes de tiempo completo, y contemplan plazas en propiedad e interinas.</t>
    </r>
  </si>
  <si>
    <r>
      <t xml:space="preserve">2/  </t>
    </r>
    <r>
      <rPr>
        <sz val="10"/>
        <rFont val="Arial"/>
        <family val="2"/>
      </rPr>
      <t>Incluyen el Recinto de Tacares Grecia.</t>
    </r>
  </si>
  <si>
    <r>
      <t xml:space="preserve">3/  </t>
    </r>
    <r>
      <rPr>
        <sz val="10"/>
        <rFont val="Arial"/>
        <family val="2"/>
      </rPr>
      <t>Incluyen el Recinto de Santa Cruz.</t>
    </r>
  </si>
  <si>
    <t xml:space="preserve">     </t>
  </si>
  <si>
    <t>Fuente:  Presupuesto por Programas y Actividades, Relacion de Puestos 2017</t>
  </si>
  <si>
    <t xml:space="preserve">              Oficina de Planificación Universitaria. </t>
  </si>
  <si>
    <t>INDICE DE CUADROS</t>
  </si>
  <si>
    <t>RECURSOS HUMANOS</t>
  </si>
  <si>
    <t xml:space="preserve"> </t>
  </si>
  <si>
    <t>Cuadro RH1</t>
  </si>
  <si>
    <t>Distribución de plazas en la Universidad de Costa Rica, por programa y subprograma. 2017.  (Ver Gráfico RH1)</t>
  </si>
  <si>
    <t>Cuadro RH2</t>
  </si>
  <si>
    <t>Distribución del personal docente, según tipo de nombramiento y ciclo lectivo, por unidad. 2017.</t>
  </si>
  <si>
    <t>Cuadro RH3</t>
  </si>
  <si>
    <t>Cuadro RH4</t>
  </si>
  <si>
    <t>Profesores en régimen académico, según categoría, por unidad. 2017.</t>
  </si>
  <si>
    <t>Cuadro RH5</t>
  </si>
  <si>
    <t>Profesores en régimen académico, según categoría. 2013 – 2017.  (Ver Gráfico RH3)</t>
  </si>
  <si>
    <t>Cuadro RH6</t>
  </si>
  <si>
    <t>Cuadro RH7</t>
  </si>
  <si>
    <t>Cuadro RH8</t>
  </si>
  <si>
    <t>Distribución del personal docente interino, según grado académico, por unidad. I ciclo 2017.  (Ver Gráfico RH5)</t>
  </si>
  <si>
    <t>Cuadro RH9</t>
  </si>
  <si>
    <t>Distribución del personal docente interino, según grado académico, por unidad. II ciclo    2017.  (Ver Gráfico RH 5)</t>
  </si>
  <si>
    <t>Cuadro RH10</t>
  </si>
  <si>
    <t>Cuadro RH11</t>
  </si>
  <si>
    <t>Cuadro RH12</t>
  </si>
  <si>
    <t>Cuadro RH13</t>
  </si>
  <si>
    <t>Cuadro RH14</t>
  </si>
  <si>
    <t>Distribución de la carga académica del personal docente, por unidad. I ciclo 2017.</t>
  </si>
  <si>
    <t>Cuadro RH15</t>
  </si>
  <si>
    <t>Total   de   cargas   académicas   por   actividad.   I   ciclo  de   2013 – 2017.  (Ver Gráfico RH8)</t>
  </si>
  <si>
    <t>Propiedad</t>
  </si>
  <si>
    <t>Interino</t>
  </si>
  <si>
    <t>I ciclo 2013</t>
  </si>
  <si>
    <t>II ciclo 2013</t>
  </si>
  <si>
    <t>I ciclo 2014</t>
  </si>
  <si>
    <t>II ciclo 2014</t>
  </si>
  <si>
    <t>I ciclo 2015</t>
  </si>
  <si>
    <t>II ciclo 2015</t>
  </si>
  <si>
    <t>I ciclo 2016</t>
  </si>
  <si>
    <t>II ciclo 2016</t>
  </si>
  <si>
    <t>I ciclo 2017</t>
  </si>
  <si>
    <t>II ciclo 2017</t>
  </si>
  <si>
    <t>Catedrático</t>
  </si>
  <si>
    <t xml:space="preserve">Asociado </t>
  </si>
  <si>
    <t>Adjunto</t>
  </si>
  <si>
    <t>Instructor</t>
  </si>
  <si>
    <t>I Ciclo</t>
  </si>
  <si>
    <t>II Ciclo</t>
  </si>
  <si>
    <t xml:space="preserve">Master </t>
  </si>
  <si>
    <t>Licenciado</t>
  </si>
  <si>
    <t xml:space="preserve">Doctor </t>
  </si>
  <si>
    <t>Sin Información</t>
  </si>
  <si>
    <t>Bachiller</t>
  </si>
  <si>
    <t>I ciclo</t>
  </si>
  <si>
    <t>II ciclo</t>
  </si>
  <si>
    <t xml:space="preserve">Sin Información </t>
  </si>
  <si>
    <t>Máster</t>
  </si>
  <si>
    <t>Doctor</t>
  </si>
  <si>
    <t>Otras Jornadas</t>
  </si>
  <si>
    <t>1/4 de tiempo</t>
  </si>
  <si>
    <t>1/2 tiempo</t>
  </si>
  <si>
    <t>3/4 de tiempo</t>
  </si>
  <si>
    <t>Tiempo Completo</t>
  </si>
  <si>
    <t>Doc-Administ.</t>
  </si>
  <si>
    <t xml:space="preserve">                       Universidad de Costa Rica</t>
  </si>
  <si>
    <t xml:space="preserve">                       Panorama Cuantitativo Universitario</t>
  </si>
  <si>
    <t xml:space="preserve">   Unidades              </t>
  </si>
  <si>
    <t>Primer ciclo</t>
  </si>
  <si>
    <t>Segundo ciclo</t>
  </si>
  <si>
    <t xml:space="preserve">                                      Tipo de</t>
  </si>
  <si>
    <r>
      <t xml:space="preserve">Total  </t>
    </r>
    <r>
      <rPr>
        <vertAlign val="superscript"/>
        <sz val="10"/>
        <rFont val="Arial"/>
        <family val="2"/>
      </rPr>
      <t>2/</t>
    </r>
  </si>
  <si>
    <t xml:space="preserve">Propiedad </t>
  </si>
  <si>
    <t xml:space="preserve">Interino  </t>
  </si>
  <si>
    <r>
      <t xml:space="preserve">Total   </t>
    </r>
    <r>
      <rPr>
        <vertAlign val="superscript"/>
        <sz val="10"/>
        <rFont val="Arial"/>
        <family val="2"/>
      </rPr>
      <t>2/</t>
    </r>
  </si>
  <si>
    <t xml:space="preserve">             Interino</t>
  </si>
  <si>
    <t xml:space="preserve">                                       Nombramiento</t>
  </si>
  <si>
    <t xml:space="preserve">   abs.</t>
  </si>
  <si>
    <t xml:space="preserve">   %</t>
  </si>
  <si>
    <t>Universidad de Costa Rica</t>
  </si>
  <si>
    <t>Sede Rodrigo Facio</t>
  </si>
  <si>
    <t>Área de Artes y Letras</t>
  </si>
  <si>
    <t xml:space="preserve">Área de Ciencias </t>
  </si>
  <si>
    <t>Área de Ciencias Sociales</t>
  </si>
  <si>
    <t xml:space="preserve">   Antropología </t>
  </si>
  <si>
    <t xml:space="preserve">   Historia</t>
  </si>
  <si>
    <t xml:space="preserve">   Bibliotecas y Cs. Información</t>
  </si>
  <si>
    <t>Área de Salud</t>
  </si>
  <si>
    <t xml:space="preserve">  Facultad de Farmacia</t>
  </si>
  <si>
    <t xml:space="preserve">   Medicina </t>
  </si>
  <si>
    <t>Área de Ciencias Agroalimentarias</t>
  </si>
  <si>
    <t xml:space="preserve">  Facultad de Ciencias Agroalimentarias</t>
  </si>
  <si>
    <t xml:space="preserve">   Ingeniería Agrícola</t>
  </si>
  <si>
    <t xml:space="preserve">   Cs. Computación e Informática</t>
  </si>
  <si>
    <t>Recinto de Golfito</t>
  </si>
  <si>
    <t>Sede Interuniversitaria Alajuela</t>
  </si>
  <si>
    <t>Institutos de Investigación</t>
  </si>
  <si>
    <t>Centros de Investigación</t>
  </si>
  <si>
    <t>Estaciones Experimentales</t>
  </si>
  <si>
    <t>Sistema Estudios de Posgrado</t>
  </si>
  <si>
    <t>Sedes Regionales</t>
  </si>
  <si>
    <t xml:space="preserve">   Sede Regional de Occidente</t>
  </si>
  <si>
    <t xml:space="preserve">   Sede Regional del Atlántico </t>
  </si>
  <si>
    <t xml:space="preserve">   Sede Regional de Guanacaste</t>
  </si>
  <si>
    <t xml:space="preserve">   Sede Regional de Limón</t>
  </si>
  <si>
    <t xml:space="preserve">   Sede Regional del Pacífico  </t>
  </si>
  <si>
    <t xml:space="preserve">Nota: Un docente puede tener un nombramiento interino y otro en propiedad en la misma Unidad Académica y tambiém en varias Unidades Académicas, por lo que se contabilizan </t>
  </si>
  <si>
    <t xml:space="preserve">todos sus nombramientos en el total de UCR. </t>
  </si>
  <si>
    <t>Fuente:  Centro de Evaluación Académica.</t>
  </si>
  <si>
    <t xml:space="preserve">                 Oficina de Planificación Universitaria.</t>
  </si>
  <si>
    <t>Cuadro RH3:   Distribución del personal docente, según tipo de nombramiento, por ciclo lectivo.  2013 - 2017.</t>
  </si>
  <si>
    <t>Ciclo        Nombramiento</t>
  </si>
  <si>
    <t xml:space="preserve">               Propiedad</t>
  </si>
  <si>
    <t xml:space="preserve">                Interinos</t>
  </si>
  <si>
    <t>Abs.</t>
  </si>
  <si>
    <t>I ciclo 2012</t>
  </si>
  <si>
    <t>II ciclo 2012</t>
  </si>
  <si>
    <t>Nota: Se refiere a personas físicas, una misma persona puede tener varios tipos de</t>
  </si>
  <si>
    <t xml:space="preserve">          nombramiento y jornadas.</t>
  </si>
  <si>
    <t xml:space="preserve">              Oficina de Planificación Universitaria.</t>
  </si>
  <si>
    <t xml:space="preserve">                         Universidad de Costa Rica</t>
  </si>
  <si>
    <t xml:space="preserve">                         Panorama Cuantitativo Universitario</t>
  </si>
  <si>
    <t>Cuadro RH4:    Profesores en Régimen Académico, según categoría, por unidad.  2017</t>
  </si>
  <si>
    <t xml:space="preserve">                  </t>
  </si>
  <si>
    <t xml:space="preserve">     Unidades</t>
  </si>
  <si>
    <r>
      <t xml:space="preserve">            Total </t>
    </r>
    <r>
      <rPr>
        <vertAlign val="superscript"/>
        <sz val="10"/>
        <rFont val="Arial"/>
        <family val="2"/>
      </rPr>
      <t>1/</t>
    </r>
  </si>
  <si>
    <t>Asociado</t>
  </si>
  <si>
    <t xml:space="preserve">                                       Categoría</t>
  </si>
  <si>
    <t xml:space="preserve">        </t>
  </si>
  <si>
    <t>Área de Ciencias Básicas</t>
  </si>
  <si>
    <t xml:space="preserve">   Tecnologias en Salud</t>
  </si>
  <si>
    <t xml:space="preserve">   Topografía </t>
  </si>
  <si>
    <t xml:space="preserve">   Sede Regional del Caribe</t>
  </si>
  <si>
    <t xml:space="preserve">                          Universidad de Costa Rica</t>
  </si>
  <si>
    <t xml:space="preserve">                          Panorama Cuantitativo Universitario</t>
  </si>
  <si>
    <t>Cuadro RH5:   Profesores en régimen académico,  según categoría.  2013 - 2017.</t>
  </si>
  <si>
    <t xml:space="preserve">Categoría                 </t>
  </si>
  <si>
    <t>Académica                     Año</t>
  </si>
  <si>
    <t>Fuente:   Centro de Evaluación Académica.</t>
  </si>
  <si>
    <t xml:space="preserve">               Oficina de Planificación Universitaria.</t>
  </si>
  <si>
    <t xml:space="preserve">                          </t>
  </si>
  <si>
    <t xml:space="preserve">   Unidades                  Grado</t>
  </si>
  <si>
    <t xml:space="preserve">                Doctor</t>
  </si>
  <si>
    <t xml:space="preserve">           Máster</t>
  </si>
  <si>
    <t xml:space="preserve">                Licenciado</t>
  </si>
  <si>
    <t xml:space="preserve">Bachiller </t>
  </si>
  <si>
    <t xml:space="preserve">                                         Académico</t>
  </si>
  <si>
    <t xml:space="preserve">       </t>
  </si>
  <si>
    <t xml:space="preserve">Universidad de Costa Rica </t>
  </si>
  <si>
    <t xml:space="preserve">   Medicina  </t>
  </si>
  <si>
    <t>Área de Ingeniería y Arquitectura</t>
  </si>
  <si>
    <t>Sede Interuniversitaría de Alajuela</t>
  </si>
  <si>
    <t xml:space="preserve">  Institutos de Investigación</t>
  </si>
  <si>
    <t xml:space="preserve">  Centros de Investigación</t>
  </si>
  <si>
    <t xml:space="preserve">  Estaciones Experimentales</t>
  </si>
  <si>
    <t>Nota: Un docente puede tener un nombramiento interino y otro en propiedad en la misma Unidad Académica, y también en varias Unidades Académicas</t>
  </si>
  <si>
    <t xml:space="preserve">         por lo que se contabilizan todos sus nombramientos en el total de la UCR.</t>
  </si>
  <si>
    <t>1/  La distribución  vertical es con respecto al total de la Universidad y la horizontal es con respecto al total de la Unidad.</t>
  </si>
  <si>
    <t>Fuente:  Sección Técnica de Cargas Académicas.  Centro de Evaluación Académica.</t>
  </si>
  <si>
    <t>Cuadro RH7:   Distribución del personal docente en régimen académico, según grado académico, por unidad. II ciclo 2017.</t>
  </si>
  <si>
    <r>
      <t>Bachiller</t>
    </r>
    <r>
      <rPr>
        <vertAlign val="superscript"/>
        <sz val="10"/>
        <rFont val="Arial"/>
        <family val="2"/>
      </rPr>
      <t xml:space="preserve"> </t>
    </r>
  </si>
  <si>
    <t>Sin información</t>
  </si>
  <si>
    <t xml:space="preserve">   Técnologias en Salud</t>
  </si>
  <si>
    <t>Sede Interuniversitaria de Alajuela</t>
  </si>
  <si>
    <t xml:space="preserve">  Sistema Estudios de Posgrado</t>
  </si>
  <si>
    <t>por lo que se contabilizan todos sus nombramientos en el total de la UCR.</t>
  </si>
  <si>
    <t>Cuadro RH8:   Distribución del personal docente interino, según grado académico, por unidad. I ciclo 2017.</t>
  </si>
  <si>
    <r>
      <t xml:space="preserve">Total </t>
    </r>
    <r>
      <rPr>
        <vertAlign val="superscript"/>
        <sz val="10"/>
        <rFont val="Arial"/>
        <family val="2"/>
      </rPr>
      <t>1/</t>
    </r>
  </si>
  <si>
    <t>Universidad de Costa Rica 2/</t>
  </si>
  <si>
    <t xml:space="preserve">  Institutos de Investigación </t>
  </si>
  <si>
    <t xml:space="preserve">Notas: Un docente puede tener un nombramiento interino y otro en propiedad en la misma Unidad Académica, y también en varias Unidades Académicas, por lo que </t>
  </si>
  <si>
    <t>se contabilizan todos sus nombramientos en el total de la UCR.</t>
  </si>
  <si>
    <t>2/ Total Universidad de Costa Rica según nombramientos.</t>
  </si>
  <si>
    <t>Cuadro RH9:   Distribución del personal docente interino, según grado académico, por unidad. II ciclo 2017.</t>
  </si>
  <si>
    <t xml:space="preserve">   Tecnologías en  Salud</t>
  </si>
  <si>
    <t xml:space="preserve">   Ingeniería Topográfica </t>
  </si>
  <si>
    <t>Cuadro RH10:   Distribución del personal docente, en propiedad según jornada, por unidad. I ciclo 2017.</t>
  </si>
  <si>
    <t xml:space="preserve">   Unidades                  </t>
  </si>
  <si>
    <t xml:space="preserve">                Tiempo Completo</t>
  </si>
  <si>
    <t>1/2  tiempo</t>
  </si>
  <si>
    <t xml:space="preserve">                                         Jornada</t>
  </si>
  <si>
    <t xml:space="preserve">Nota: Un docente puede tener dos tipos de jornada en cada Unidad Académica, tiempo profesor u horas profesor, y se contabililzan ambos tipos si los tuvieren. </t>
  </si>
  <si>
    <t>Un docente puede tener jornadas en varias unidades académicas, y el total de la UCR considera sus jornadas en todas las Unidades Académicas donde tenga nombramiento.</t>
  </si>
  <si>
    <t>Cuadro RH11:   Distribución del personal docente, en propiedad según jornada, por unidad. II ciclo 2017.</t>
  </si>
  <si>
    <t>Sede Interunivers. Alajuela</t>
  </si>
  <si>
    <t xml:space="preserve">                         Universidad de Costa Rica </t>
  </si>
  <si>
    <t>Cuadro RH12:   Distribución del personal docente, interino según jornada, por unidad. I ciclo 2017.</t>
  </si>
  <si>
    <t>Cuadro  RH14:  Distribución de la carga académica del personal docente por unidad, (horas reloj por semana), para el I ciclo 2017.</t>
  </si>
  <si>
    <t xml:space="preserve"> Unidades                    </t>
  </si>
  <si>
    <r>
      <t>Total</t>
    </r>
    <r>
      <rPr>
        <vertAlign val="superscript"/>
        <sz val="10"/>
        <rFont val="Arial"/>
        <family val="2"/>
      </rPr>
      <t xml:space="preserve"> 1/</t>
    </r>
  </si>
  <si>
    <t xml:space="preserve">     Cargos Doc- Adm.</t>
  </si>
  <si>
    <t xml:space="preserve">                                       </t>
  </si>
  <si>
    <t xml:space="preserve">   Cs. de la comunicación Colectiva</t>
  </si>
  <si>
    <t xml:space="preserve">   Historia </t>
  </si>
  <si>
    <t xml:space="preserve">  Tecnologías en Salud</t>
  </si>
  <si>
    <t xml:space="preserve">   Ingeniería Topografíca </t>
  </si>
  <si>
    <t xml:space="preserve">   Estudios Generales</t>
  </si>
  <si>
    <t xml:space="preserve">   Recinto de Golfito</t>
  </si>
  <si>
    <t xml:space="preserve">   Sede Interuniversitaria Alajuela</t>
  </si>
  <si>
    <t>Institutos y Centros de Investigación</t>
  </si>
  <si>
    <t>Institutos</t>
  </si>
  <si>
    <t xml:space="preserve">   Ins. Inv. Ciencias Económicas  (IICE)</t>
  </si>
  <si>
    <t xml:space="preserve">   Ins. Inv. en  Arte (IIARTE) </t>
  </si>
  <si>
    <t xml:space="preserve">   Ins. Inv. Agricolas  (IIA)</t>
  </si>
  <si>
    <t xml:space="preserve">   Ins. Clodomiro Picado (ICP)</t>
  </si>
  <si>
    <t xml:space="preserve">   Ins. Inv. Ingeniería (IINI)</t>
  </si>
  <si>
    <t xml:space="preserve">   Ins. Inv. en  Educación (INIE) </t>
  </si>
  <si>
    <t xml:space="preserve">   Ins. Inv. Filosoficas  (INIF)</t>
  </si>
  <si>
    <t xml:space="preserve">   Ins. Inv. Psicológicas  (IIP)</t>
  </si>
  <si>
    <t xml:space="preserve">   Ins. Inv. Salud  (INISA)</t>
  </si>
  <si>
    <t xml:space="preserve">   Ins. Inv. Sociales  (IIS)</t>
  </si>
  <si>
    <t xml:space="preserve">   Ins. Inv. Linguísticas  (IIL)</t>
  </si>
  <si>
    <t xml:space="preserve">   Ins. Inv. Juridicas  (IIJ)</t>
  </si>
  <si>
    <t>Centros</t>
  </si>
  <si>
    <t xml:space="preserve">   Ctro. Inv. Agronómicas (CIA)</t>
  </si>
  <si>
    <t xml:space="preserve">   Ctro. Inv. Biol. Celular y Molecular (CIBCM)</t>
  </si>
  <si>
    <t xml:space="preserve">   Ctro. Inv. Cs. del Mar y Limnología (CIMAR)</t>
  </si>
  <si>
    <t xml:space="preserve">   Ctro. Inv. Contaminación Amb. (CICA)</t>
  </si>
  <si>
    <t xml:space="preserve">   Ctro. Inv. Enf. Tropicales  (CIET)</t>
  </si>
  <si>
    <t xml:space="preserve">   Ctro. Inv. Geofísicas (CIGEFI)</t>
  </si>
  <si>
    <t xml:space="preserve">   Ctro. Inv. Granos y Semillas (CIGRAS)</t>
  </si>
  <si>
    <t xml:space="preserve">   Ctro. Inv. Hem. Anorm. y Tras. Af. (CIHATA)</t>
  </si>
  <si>
    <t xml:space="preserve">   Ctro Inv. Hist. y Amér. Ctral (CIHAC)</t>
  </si>
  <si>
    <t xml:space="preserve">   Ctro. Inv. Nutrición Animal  (CINA)</t>
  </si>
  <si>
    <t xml:space="preserve">   Ctro. Inv. Productos Naturales (CIPRONA)</t>
  </si>
  <si>
    <t xml:space="preserve">   Ctro Nac. Ciencia y Tec. Alim (CITA)</t>
  </si>
  <si>
    <t xml:space="preserve">   Ctro Inv Estudios de la Mujer (CIEM)</t>
  </si>
  <si>
    <t xml:space="preserve">   Ctro. Inv. Matemática y Meta-Mat. (CIMM)</t>
  </si>
  <si>
    <t xml:space="preserve">   Ctro. Inv. Identidad y Cultura Latin (CICLA)</t>
  </si>
  <si>
    <t xml:space="preserve">   Ctro.Inv.Matemátic Pura Aplicada (CIMPA)</t>
  </si>
  <si>
    <t xml:space="preserve">   Ctro.Inv. en Ciencias Geológicas (CICG)</t>
  </si>
  <si>
    <t xml:space="preserve">   Ctro.inv.Estruct Microscopicas (CIEMIC)</t>
  </si>
  <si>
    <t xml:space="preserve">   Ctro. Inv. Electroq. y Energía Quimica (CELEQ)</t>
  </si>
  <si>
    <t xml:space="preserve">   Ctro. Inv. y Capacitac en Adminitr Pública (CICAP)</t>
  </si>
  <si>
    <t xml:space="preserve">   Ctro.Inv. en Neurociencia</t>
  </si>
  <si>
    <t xml:space="preserve">   Ctro.Investigaciones en Estudios Políticos (CIEP)</t>
  </si>
  <si>
    <t xml:space="preserve">   Ctro. Inv.  Tecnologia Inf.  Y Comu</t>
  </si>
  <si>
    <t xml:space="preserve">   Ctro. Inv. y Est. Desarrollo Sostenible )CIEDES)</t>
  </si>
  <si>
    <t xml:space="preserve">   Ctro. Centroámericano de Población (CCP)</t>
  </si>
  <si>
    <t xml:space="preserve">   Ctro. Inv. en Movimiento Humano (CIMOHU)</t>
  </si>
  <si>
    <t xml:space="preserve">   Ctro. de Inv.  Espaciales (CINESPA)</t>
  </si>
  <si>
    <t xml:space="preserve">   Ctro. Inv. en en Protección de Cultivos (CIPROC)</t>
  </si>
  <si>
    <t xml:space="preserve">   Ctro. Inv. en Ciencias e Ing. de Materiales (CICIMA)</t>
  </si>
  <si>
    <t xml:space="preserve">   Ctro. Inv. en Comunicaciones (CICOM)</t>
  </si>
  <si>
    <t xml:space="preserve">   Laboratorio de Ensayos Biológicos (LEBI)</t>
  </si>
  <si>
    <t xml:space="preserve">   Jardín Lankester</t>
  </si>
  <si>
    <t xml:space="preserve">   Museo- UCR</t>
  </si>
  <si>
    <t xml:space="preserve">   Estac. Exp. Alfredo Volio Mata</t>
  </si>
  <si>
    <t xml:space="preserve">   Estac. Exp. Fabio Baudrit M.</t>
  </si>
  <si>
    <t>Nota: Es la carga real asignada para ese ciclo.</t>
  </si>
  <si>
    <t xml:space="preserve">                        Universidad de Costa Rica</t>
  </si>
  <si>
    <t xml:space="preserve">                        Panorama Cuantitativo Universitario</t>
  </si>
  <si>
    <t>Cuadro RH15:  Total de carga académica por actividad, para el I ciclo de 2013-2017.</t>
  </si>
  <si>
    <t xml:space="preserve">   Actividad         </t>
  </si>
  <si>
    <t xml:space="preserve">                                    Año</t>
  </si>
  <si>
    <t xml:space="preserve">   Total</t>
  </si>
  <si>
    <t xml:space="preserve">   Docencia</t>
  </si>
  <si>
    <t xml:space="preserve">   Investigación</t>
  </si>
  <si>
    <t xml:space="preserve">   Acción Social</t>
  </si>
  <si>
    <t xml:space="preserve">   Docente-Administrativo</t>
  </si>
  <si>
    <t>Nota:  Los datos incluyen las unidades docentes y los centros e institutos de investigación.</t>
  </si>
  <si>
    <t xml:space="preserve">          La carga que se presenta es la real asignada para ese ciclo.</t>
  </si>
  <si>
    <t xml:space="preserve">Fuente:  Sección de Cargas Académicas. Centro de Evaluación Académica.  </t>
  </si>
  <si>
    <t>Cuadro RH13:   Distribución del personal docente, interino según jornada, por unidad. II ciclo 2017.</t>
  </si>
  <si>
    <t>Especialidades Medicas</t>
  </si>
  <si>
    <t xml:space="preserve">  Institutos</t>
  </si>
  <si>
    <t xml:space="preserve">  Centros </t>
  </si>
  <si>
    <t>RECURSOS FINANCIEROS</t>
  </si>
  <si>
    <t>Cuadro RF1</t>
  </si>
  <si>
    <t>Ingresos reales de la Universidad de Costa Rica, según clase de ingreso. En miles de colones. 2013-2017.  (Ver Gráfico RF1)</t>
  </si>
  <si>
    <t>Cuadro RF2</t>
  </si>
  <si>
    <t>Total de ingresos de la Universidad de Costa Rica, según clase de ingreso. En colones. 2013-2017.</t>
  </si>
  <si>
    <t>Cuadro RF3</t>
  </si>
  <si>
    <t>Total de egresos, por programa. En colones corrientes. 2017.</t>
  </si>
  <si>
    <t>Cuadro RF4</t>
  </si>
  <si>
    <t xml:space="preserve">Total de egresos de la Universidad de Costa Rica, según clase de egreso. En colones corrientes. 2013- 2017. </t>
  </si>
  <si>
    <t xml:space="preserve">                      Panorama Cuantitativo Universitario            </t>
  </si>
  <si>
    <t xml:space="preserve"> Clase de                </t>
  </si>
  <si>
    <t>INGRESO REAL</t>
  </si>
  <si>
    <t>2010</t>
  </si>
  <si>
    <t>2011</t>
  </si>
  <si>
    <t>2012</t>
  </si>
  <si>
    <t>2013</t>
  </si>
  <si>
    <t>2014</t>
  </si>
  <si>
    <t>2015</t>
  </si>
  <si>
    <t>2016</t>
  </si>
  <si>
    <t xml:space="preserve">    Ingreso                    Año</t>
  </si>
  <si>
    <r>
      <t>%</t>
    </r>
    <r>
      <rPr>
        <vertAlign val="superscript"/>
        <sz val="10"/>
        <color indexed="8"/>
        <rFont val="Arial"/>
        <family val="2"/>
      </rPr>
      <t>1/</t>
    </r>
  </si>
  <si>
    <r>
      <t>%</t>
    </r>
    <r>
      <rPr>
        <vertAlign val="superscript"/>
        <sz val="10"/>
        <color indexed="8"/>
        <rFont val="Arial"/>
        <family val="2"/>
      </rPr>
      <t>2/</t>
    </r>
  </si>
  <si>
    <t>*******</t>
  </si>
  <si>
    <t>Total de Ingresos</t>
  </si>
  <si>
    <t>******</t>
  </si>
  <si>
    <t>Ingresos Corrientes</t>
  </si>
  <si>
    <t>*****</t>
  </si>
  <si>
    <t>Ingresos Tributarios</t>
  </si>
  <si>
    <t>****</t>
  </si>
  <si>
    <t>Impuesto sobre Bienes y Servicios</t>
  </si>
  <si>
    <t>***</t>
  </si>
  <si>
    <t>Impue Específ sobre la Produc y Consumo de Bienes y Servicios</t>
  </si>
  <si>
    <t>**</t>
  </si>
  <si>
    <t>Impuestos Específicos sobre la Producción y Consumo de Bienes</t>
  </si>
  <si>
    <t>*</t>
  </si>
  <si>
    <t>Impuesto Especif sobre la Explot de Recursos Natu y Minerales</t>
  </si>
  <si>
    <t>Derechos de Pesca del atún  Ley nº 8436</t>
  </si>
  <si>
    <t>Otros impuestos especif sobre la produc y consumo de bienes</t>
  </si>
  <si>
    <t>Control Calid. Alimentos  CINA. Ley 6883</t>
  </si>
  <si>
    <t>Otros Ingresos Tributarios</t>
  </si>
  <si>
    <t>Ingresos Tributarios Diversos</t>
  </si>
  <si>
    <t>Timbre de Educacion y Cultura</t>
  </si>
  <si>
    <t>Timbre Topográfico Ley n° 5361</t>
  </si>
  <si>
    <t>Ingresos no Tributarios</t>
  </si>
  <si>
    <t>Venta de Bienes y Servicios</t>
  </si>
  <si>
    <t>Venta de Bienes</t>
  </si>
  <si>
    <t>Venta de otros Bienes Manufacturados</t>
  </si>
  <si>
    <t>Productos Oficina de Coordinacion Edit.</t>
  </si>
  <si>
    <t>Productos Semanario Universidad</t>
  </si>
  <si>
    <t>Venta de otros Bienes</t>
  </si>
  <si>
    <t>Venta de Bienes Empresas Auxiliares</t>
  </si>
  <si>
    <t>Venta de Servicios</t>
  </si>
  <si>
    <t>Alquileres</t>
  </si>
  <si>
    <t>Alquiler de Edificios e Instalaciones</t>
  </si>
  <si>
    <t>Alquiler de Soda y Fotocopiadora</t>
  </si>
  <si>
    <t>Otros Servicios</t>
  </si>
  <si>
    <t>Servicios Médicos Asistenciales</t>
  </si>
  <si>
    <t>Servicios Dentales</t>
  </si>
  <si>
    <t>Servicios de Publicidad e Impresión</t>
  </si>
  <si>
    <t>Publicidad Semanario Universidad</t>
  </si>
  <si>
    <t>Venta de Otros Servicios</t>
  </si>
  <si>
    <t>Servicios Fondos Restringidos</t>
  </si>
  <si>
    <t>Servicios Administrativos</t>
  </si>
  <si>
    <t>Servicios de Fotocopiado</t>
  </si>
  <si>
    <t>Servicios Varios</t>
  </si>
  <si>
    <t>Venta de Servicios Empresas Auxiliares</t>
  </si>
  <si>
    <t>Fondo Solidario CIUS</t>
  </si>
  <si>
    <t>Fotocopias de expedientes</t>
  </si>
  <si>
    <t>Servicios Radio U</t>
  </si>
  <si>
    <t>Servicios Canal 15</t>
  </si>
  <si>
    <t>Servicios Semanario Universidad</t>
  </si>
  <si>
    <t>Servicios Impresión SIEDIN</t>
  </si>
  <si>
    <t>Material quebrado</t>
  </si>
  <si>
    <t>Derechos Administrativos</t>
  </si>
  <si>
    <t>Derechos Administrativos a Otros Servicios Publicos</t>
  </si>
  <si>
    <t>Derechos Administrativos a los Servicios De  Educación</t>
  </si>
  <si>
    <t>Derecho y Confección Carne Universitario</t>
  </si>
  <si>
    <t>Derechos de  Exámenes</t>
  </si>
  <si>
    <t>Derechos de  Examen de  Admisión</t>
  </si>
  <si>
    <t>Derechos de  Marchamo</t>
  </si>
  <si>
    <t>Derechos de  Laboratorio</t>
  </si>
  <si>
    <t>Derechos de  Certificaciones</t>
  </si>
  <si>
    <t>Convenio Articulación Y Cooperación OPES-CONARE</t>
  </si>
  <si>
    <t>Supernumerario</t>
  </si>
  <si>
    <t>Inscripción a Seminarios y Congresos</t>
  </si>
  <si>
    <t>Ingresos Intersede  de  Alajuela</t>
  </si>
  <si>
    <t>Fondo Solidario Estudiantil</t>
  </si>
  <si>
    <t>Carne Funcionario UCR</t>
  </si>
  <si>
    <t>Diplomado en Histotecnología</t>
  </si>
  <si>
    <t>Diplomado en Citotecnología</t>
  </si>
  <si>
    <t>Derechos de  Cuota de  Bienestar Estudiantl</t>
  </si>
  <si>
    <t>Cuota Bienestar Estudiantil</t>
  </si>
  <si>
    <t>Cuota Estudiantil Asoc. Deportiva</t>
  </si>
  <si>
    <t>Cuota Estudiantil Eventos Deportivos</t>
  </si>
  <si>
    <t>Cuota Estudiantil FEUCR</t>
  </si>
  <si>
    <t>Cuota Estudiantil Grupos Cult. y Dep.</t>
  </si>
  <si>
    <t>Ingresos de La Propiedad</t>
  </si>
  <si>
    <t>Renta de Activos Financieros</t>
  </si>
  <si>
    <t>Intereses Sobre Títulos Valores</t>
  </si>
  <si>
    <t xml:space="preserve">Intereses Sobre Títulos Valores de Instit Publicas Financieras </t>
  </si>
  <si>
    <t>Intereses Sobre Inv. Emp. Pub. Financ.</t>
  </si>
  <si>
    <t>Intereses sobre saldos Cuentas Corrientes</t>
  </si>
  <si>
    <t>Intereses Sobre Bonos  Emp. Pub. Financ.</t>
  </si>
  <si>
    <t>Multas, Sanciones, Remates y Confiscaciones</t>
  </si>
  <si>
    <t>Multas y Sanciones</t>
  </si>
  <si>
    <t xml:space="preserve">Otras Multas </t>
  </si>
  <si>
    <t>Deudas de Biblioteca</t>
  </si>
  <si>
    <t>Recargos por Matrícula</t>
  </si>
  <si>
    <t>Sanciones Administrativas</t>
  </si>
  <si>
    <t>Otros Ingresos No Tributarios</t>
  </si>
  <si>
    <t>Reintegros en Efectivo</t>
  </si>
  <si>
    <t>Depósitos Bancarios No Especificados</t>
  </si>
  <si>
    <t>Diferencias por Tipo de Cambio</t>
  </si>
  <si>
    <t>Revaloración Inversiones en Dólares</t>
  </si>
  <si>
    <t>Revaloración en Dólares Fondos Restringidos</t>
  </si>
  <si>
    <t>Venta de Activos</t>
  </si>
  <si>
    <t>Fondo Estudiantil Apoyo Estudiantes</t>
  </si>
  <si>
    <t>Descuentos por Pronto Pago</t>
  </si>
  <si>
    <t>Descuentos por Pronto Pago Banco Mundial</t>
  </si>
  <si>
    <t>Otros Ingresos</t>
  </si>
  <si>
    <t>Cheques prescritos</t>
  </si>
  <si>
    <t>Ingresos Varios no Especificados</t>
  </si>
  <si>
    <t>Indemnizaciones Del INS</t>
  </si>
  <si>
    <t>Transferencias Corrientes</t>
  </si>
  <si>
    <t>Transferencias Corrientes del Sector Público</t>
  </si>
  <si>
    <t>Transferencias Corrientes del Gobierno Central</t>
  </si>
  <si>
    <t>Subvención Estatal-Fondo Educ. Superior</t>
  </si>
  <si>
    <t>Transferencia MEP / Banco Mundial</t>
  </si>
  <si>
    <t>Subvención Estatal-Ley Nº 7386</t>
  </si>
  <si>
    <t>Aporte Poder Judicial Consultorios Jurídicos</t>
  </si>
  <si>
    <t>MAG-UCR CITA Ley 7147</t>
  </si>
  <si>
    <t>Convenio MUCIT-UCR-CITA-MAG</t>
  </si>
  <si>
    <t>Convenio UCR-Defensoria Habit y Consult Juríd</t>
  </si>
  <si>
    <t>MAG-UCR Sede Regional de Limón Ley 7277</t>
  </si>
  <si>
    <t>Transferencias Corrientes de Empresas Públicas no Financieras</t>
  </si>
  <si>
    <t>Subvención Estatal-Jpssj-Renta Lot. Nac.</t>
  </si>
  <si>
    <t>Transferencias Corrientes de Organos Desconcentrados</t>
  </si>
  <si>
    <t>Comisión Nacional de Prevención de Riesgo y Atención de Emergen</t>
  </si>
  <si>
    <t>Subvención Estatal-Impuesto Gasolina</t>
  </si>
  <si>
    <t>Transfer Corrientes de Instituc Decentral no Empresariales</t>
  </si>
  <si>
    <t>Transferencia Universidad Nacional</t>
  </si>
  <si>
    <t>Transferencia de CONARE</t>
  </si>
  <si>
    <t>Transferencia CONARE - MEP</t>
  </si>
  <si>
    <t>Transferencia UNED</t>
  </si>
  <si>
    <t>C.C.S.S. Diplomado en Citotecnología</t>
  </si>
  <si>
    <t>Transferencias CONARE</t>
  </si>
  <si>
    <t>Transferencias Corrientes Del Sector Privado</t>
  </si>
  <si>
    <t>Aportes Varios para Fondos Restr.</t>
  </si>
  <si>
    <t xml:space="preserve">Transferencias Corrientes del Sector Externo </t>
  </si>
  <si>
    <t>Aporte Varias Transf. Corrientes Sector Externo</t>
  </si>
  <si>
    <t>Ingresos de Capital</t>
  </si>
  <si>
    <t>Recuperación de Prestamos</t>
  </si>
  <si>
    <t>Recup. Prestamos Al Sector Privado</t>
  </si>
  <si>
    <t>20% Reintegro Becas A Profesores</t>
  </si>
  <si>
    <t>Incumplimiento Contrato De Becas</t>
  </si>
  <si>
    <t>Prestamos a Profesores</t>
  </si>
  <si>
    <t>Prestamos Corto Plazo Estudiantes</t>
  </si>
  <si>
    <t>Prestamos Largo Plazo Estudiantes</t>
  </si>
  <si>
    <t>Financiamiento</t>
  </si>
  <si>
    <t>Recursos de Vigencias Anteriores</t>
  </si>
  <si>
    <t>Supervit Libre</t>
  </si>
  <si>
    <t>Superávit  Fondos Corrientes</t>
  </si>
  <si>
    <t>Superávit Específico</t>
  </si>
  <si>
    <t>Superávit Compromisos de Presupuesto</t>
  </si>
  <si>
    <t>Superávit Compromet Fdos Corrientes</t>
  </si>
  <si>
    <t>Superávit Específico. Fondos Restr.</t>
  </si>
  <si>
    <t>Superávit Específico. Empresa auxiliar</t>
  </si>
  <si>
    <t>Superávit Específico. Cursos Especiales.</t>
  </si>
  <si>
    <t>Fondo Desarrollo Institucional</t>
  </si>
  <si>
    <t>Fondo Desarrollo Institucional FUNDEVI</t>
  </si>
  <si>
    <t xml:space="preserve">             Oficina de Planificación Universitaria.</t>
  </si>
  <si>
    <t>Cuadro RF1:  Ingresos Reales de la Universidad de Costa Rica, según clase de Ingreso. En miles de colones corrientes.  2013-2017.</t>
  </si>
  <si>
    <t>2017</t>
  </si>
  <si>
    <t>Fuente:  Informe de Ingresos y Egresos.  Oficina de Administración Financiera. 2013-2017.</t>
  </si>
  <si>
    <t>Cuadro RF2:  Total de Ingresos de la Universidad de Costa Rica, según clase de ingreso. En colones corrientes.  2013-2017.</t>
  </si>
  <si>
    <t>Clase de Ingreso</t>
  </si>
  <si>
    <t xml:space="preserve">  Total</t>
  </si>
  <si>
    <t>Fondos Corrientes</t>
  </si>
  <si>
    <r>
      <t xml:space="preserve">  FEES </t>
    </r>
    <r>
      <rPr>
        <vertAlign val="superscript"/>
        <sz val="10"/>
        <rFont val="Arial"/>
        <family val="2"/>
      </rPr>
      <t>1/</t>
    </r>
  </si>
  <si>
    <r>
      <t xml:space="preserve">  Otros Ingresos </t>
    </r>
    <r>
      <rPr>
        <vertAlign val="superscript"/>
        <sz val="10"/>
        <rFont val="Arial"/>
        <family val="2"/>
      </rPr>
      <t>2/</t>
    </r>
  </si>
  <si>
    <t>Empresas Auxiliares</t>
  </si>
  <si>
    <t xml:space="preserve">Cursos Especiales </t>
  </si>
  <si>
    <r>
      <t>2/</t>
    </r>
    <r>
      <rPr>
        <sz val="10"/>
        <rFont val="Arial"/>
        <family val="2"/>
      </rPr>
      <t xml:space="preserve">  Incluye entre otros el cobro de matrícula y otras transferencias del sector público y privado.</t>
    </r>
  </si>
  <si>
    <r>
      <t>3/</t>
    </r>
    <r>
      <rPr>
        <sz val="10"/>
        <rFont val="Arial"/>
        <family val="2"/>
      </rPr>
      <t xml:space="preserve"> Incluye el monto correspondiente de Fondos del Sistema provenientes del FEES, los cuales tienen un fin específico.</t>
    </r>
  </si>
  <si>
    <t>Fuente:  Estados Financieros y Liquidación Presupuestaria 2013-2017, Oficina de Administración Financiera.</t>
  </si>
  <si>
    <t>Cuadro RF3:   Total de egresos, por programa. En colones corrientes. 2017.</t>
  </si>
  <si>
    <t>Clase de Egreso</t>
  </si>
  <si>
    <t>Programa</t>
  </si>
  <si>
    <t>Fondos Restringidos</t>
  </si>
  <si>
    <t>Cursos Especiales</t>
  </si>
  <si>
    <t>Prog. Posg. Financ. Comple</t>
  </si>
  <si>
    <t>Fondos Intraproyectos</t>
  </si>
  <si>
    <t>Fondo del Sist. (CONARE)</t>
  </si>
  <si>
    <t>Plan de Mejoramiento Inst.</t>
  </si>
  <si>
    <t>Inversiones</t>
  </si>
  <si>
    <t>Fuente:  Estados Financieros y Liquidación Presupuestaria al 31 de diciembre de 2017, Oficina de Administración Financiera.</t>
  </si>
  <si>
    <t>Cuadro RF4   Total de Egresos de la Universidad de Costa Rica, según clase de egreso. En colones corrientes. 2013 - 2017</t>
  </si>
  <si>
    <t>Prog. Posg. Financia</t>
  </si>
  <si>
    <t>Complementario</t>
  </si>
  <si>
    <t>Fondos del Sistema</t>
  </si>
  <si>
    <t>(CONARE)</t>
  </si>
  <si>
    <t xml:space="preserve">Plan de Mejoramiento </t>
  </si>
  <si>
    <t>Institucional</t>
  </si>
  <si>
    <t>Fuente:  Estados Financieros y Liquidación Presupuestaria al 31 de diciembre 2013 - 2017, Oficina de Administración Financiera.</t>
  </si>
  <si>
    <t>2013 - 2014</t>
  </si>
  <si>
    <t>2014 - 2015</t>
  </si>
  <si>
    <t>2015 - 2016</t>
  </si>
  <si>
    <t>2016 - 2017</t>
  </si>
  <si>
    <t>DOCENCIA</t>
  </si>
  <si>
    <t>Plazas</t>
  </si>
  <si>
    <t>Cuadro D1</t>
  </si>
  <si>
    <r>
      <t>Distribución de plazas del Programa de Docencia, por programa y subprograma.  2017.</t>
    </r>
    <r>
      <rPr>
        <sz val="10"/>
        <color theme="1"/>
        <rFont val="Times New Roman"/>
        <family val="1"/>
      </rPr>
      <t xml:space="preserve"> </t>
    </r>
    <r>
      <rPr>
        <sz val="12"/>
        <color theme="1"/>
        <rFont val="Times New Roman"/>
        <family val="1"/>
      </rPr>
      <t>(Ver Gráfico D1)</t>
    </r>
  </si>
  <si>
    <t>Carreras, materias y créditos</t>
  </si>
  <si>
    <t>Cuadro D2</t>
  </si>
  <si>
    <r>
      <t>Número de carreras ofrecidas, según grado y posgrado, por unidad. 2017.  (Ver Gráfico D2</t>
    </r>
    <r>
      <rPr>
        <sz val="10"/>
        <color theme="1"/>
        <rFont val="Times New Roman"/>
        <family val="1"/>
      </rPr>
      <t>)</t>
    </r>
  </si>
  <si>
    <t>Cuadro D3</t>
  </si>
  <si>
    <r>
      <t>Número de carreras ofrecidas, según posgrado, por área 2017 (Ver Gráfico D3</t>
    </r>
    <r>
      <rPr>
        <sz val="10"/>
        <color theme="1"/>
        <rFont val="Times New Roman"/>
        <family val="1"/>
      </rPr>
      <t>)</t>
    </r>
  </si>
  <si>
    <t>Cuadro D4</t>
  </si>
  <si>
    <t>Cuadro D5</t>
  </si>
  <si>
    <t>Cuadro D6</t>
  </si>
  <si>
    <t>Cuadro D7</t>
  </si>
  <si>
    <t>Cuadro D8</t>
  </si>
  <si>
    <t>Cuadro D9</t>
  </si>
  <si>
    <t>Cuadro D10</t>
  </si>
  <si>
    <t>Cuadro D11</t>
  </si>
  <si>
    <t>Cuadro D12</t>
  </si>
  <si>
    <t>Estudiantes físicos de pregrado y grado, según materias aprobadas, por materias matriculadas. 2017.</t>
  </si>
  <si>
    <t>Cuadro D13</t>
  </si>
  <si>
    <t>Estudiantes físicos de posgrado, según materias aprobadas, por materias matriculadas. 2017.</t>
  </si>
  <si>
    <t>Cuadro D14</t>
  </si>
  <si>
    <t>Estudiantes físicos de pregrado y grado, según créditos aprobados, por créditos matriculados. 2017.</t>
  </si>
  <si>
    <t>Cuadro D15</t>
  </si>
  <si>
    <t>Estudiantes físicos de posgrado, según créditos aprobados, por créditos matriculados. 2017.</t>
  </si>
  <si>
    <t>Graduados</t>
  </si>
  <si>
    <t>Cuadro D16</t>
  </si>
  <si>
    <t>Cuadro D17</t>
  </si>
  <si>
    <t>Cuadro D18</t>
  </si>
  <si>
    <t>Cuadro D19</t>
  </si>
  <si>
    <t>Cuadro D-1 Distribución de Plazas del Programa de Docencia, por programa y subprograma.  2017</t>
  </si>
  <si>
    <t xml:space="preserve">  Docencia (Ocidente)</t>
  </si>
  <si>
    <r>
      <t xml:space="preserve">  Docencia (Guanacaste)  </t>
    </r>
    <r>
      <rPr>
        <vertAlign val="superscript"/>
        <sz val="10"/>
        <color indexed="8"/>
        <rFont val="Arial"/>
        <family val="2"/>
      </rPr>
      <t>2/</t>
    </r>
  </si>
  <si>
    <t xml:space="preserve">  Docencia (Atlántico) </t>
  </si>
  <si>
    <t xml:space="preserve">                    Universidad de Costa Rica</t>
  </si>
  <si>
    <t xml:space="preserve">                    Panorama Cuantitativo Universitario</t>
  </si>
  <si>
    <t>Diplomado</t>
  </si>
  <si>
    <t>Bachillerato</t>
  </si>
  <si>
    <t>Licenciatura</t>
  </si>
  <si>
    <t xml:space="preserve">                                      Grado académico</t>
  </si>
  <si>
    <t xml:space="preserve"> Sede Rodrigo Facio</t>
  </si>
  <si>
    <t xml:space="preserve"> Facultad de Letras</t>
  </si>
  <si>
    <t xml:space="preserve"> Facultad de Ciencias Básicas</t>
  </si>
  <si>
    <t xml:space="preserve"> Facultad de Educación </t>
  </si>
  <si>
    <t xml:space="preserve">   Formación Docente </t>
  </si>
  <si>
    <t xml:space="preserve">   Bibliotecología y Cs. Información</t>
  </si>
  <si>
    <t xml:space="preserve">   Administración de Negocios </t>
  </si>
  <si>
    <t xml:space="preserve">   Economía </t>
  </si>
  <si>
    <t xml:space="preserve">   Estadística </t>
  </si>
  <si>
    <t>Facultad de Ciencias Sociales</t>
  </si>
  <si>
    <t xml:space="preserve"> Facultad de Ingeniería</t>
  </si>
  <si>
    <t xml:space="preserve"> Facultad de Ciencias Agroalimentarias</t>
  </si>
  <si>
    <t xml:space="preserve"> Facultad de Medicina</t>
  </si>
  <si>
    <t xml:space="preserve">  Facultad de Odontología </t>
  </si>
  <si>
    <t xml:space="preserve">  Recinto de Golfito</t>
  </si>
  <si>
    <t xml:space="preserve">  Sede Interuniversitaria Alajuela</t>
  </si>
  <si>
    <t xml:space="preserve">  Sede Regional de Occidente</t>
  </si>
  <si>
    <t xml:space="preserve">  Sede Regional del Atlántico </t>
  </si>
  <si>
    <t xml:space="preserve">  Sede Regional de Guanacaste</t>
  </si>
  <si>
    <t xml:space="preserve">  Sede Regional de Limón </t>
  </si>
  <si>
    <t xml:space="preserve">  Sede Regional del Pacífico</t>
  </si>
  <si>
    <t xml:space="preserve">Fuente:  Centro de Evaluación Académica. </t>
  </si>
  <si>
    <t>Áreas</t>
  </si>
  <si>
    <t xml:space="preserve">Especialidades </t>
  </si>
  <si>
    <t>Doctorado</t>
  </si>
  <si>
    <t xml:space="preserve">                                      Posgrado </t>
  </si>
  <si>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</si>
  <si>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</si>
  <si>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</si>
  <si>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</si>
  <si>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</si>
  <si>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</si>
  <si>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Interdisciplinarias</t>
  </si>
  <si>
    <t>Fuente:  Sistema de Estudios de Posgrado</t>
  </si>
  <si>
    <t xml:space="preserve">            Oficina de Planificación Universitaria.</t>
  </si>
  <si>
    <t xml:space="preserve">                   Universidad de Costa Rica</t>
  </si>
  <si>
    <t xml:space="preserve">                   Panorama Cuantitativo Universitario</t>
  </si>
  <si>
    <t>Cuadro D4:  Estudiantes físicos según materias matriculadas de pregrado y grado, por unidad.  2017</t>
  </si>
  <si>
    <t xml:space="preserve"> Unidades              Materias</t>
  </si>
  <si>
    <r>
      <t xml:space="preserve">            Total  </t>
    </r>
    <r>
      <rPr>
        <vertAlign val="superscript"/>
        <sz val="10"/>
        <rFont val="Arial"/>
        <family val="2"/>
      </rPr>
      <t>1/</t>
    </r>
  </si>
  <si>
    <t>Menos de 5</t>
  </si>
  <si>
    <t>de 5 a 9</t>
  </si>
  <si>
    <t>de 10 a 14</t>
  </si>
  <si>
    <t>de 15 a 19</t>
  </si>
  <si>
    <t>20 y más</t>
  </si>
  <si>
    <t xml:space="preserve">   % </t>
  </si>
  <si>
    <t xml:space="preserve">   Proy. Sede Interunivers. Alajuela</t>
  </si>
  <si>
    <t xml:space="preserve">   Sede Regional del Pacífico</t>
  </si>
  <si>
    <t xml:space="preserve">  Convenios Universidades Extranjeras</t>
  </si>
  <si>
    <r>
      <t>1/</t>
    </r>
    <r>
      <rPr>
        <sz val="11"/>
        <color theme="1"/>
        <rFont val="Calibri"/>
        <family val="2"/>
        <scheme val="minor"/>
      </rPr>
      <t xml:space="preserve">  La distribución vertical es con respecto al total de la Universidad, y la distribución horizontal es con respecto al total de la Unidad.</t>
    </r>
  </si>
  <si>
    <t>Fuente:   Archivo de Notas del 03 de abril de 2018, Oficina de Registro.</t>
  </si>
  <si>
    <t xml:space="preserve">   Gerencia Agroempresarial</t>
  </si>
  <si>
    <t>Cuadro D5:   Estudiantes físicos de posgrado, según materias matriculadas en el año, por especialidad. 2017</t>
  </si>
  <si>
    <t xml:space="preserve"> Especialidad                  Materias</t>
  </si>
  <si>
    <t xml:space="preserve">       Menos de 5</t>
  </si>
  <si>
    <t xml:space="preserve">         de 5 a 9</t>
  </si>
  <si>
    <t xml:space="preserve">         20 y más</t>
  </si>
  <si>
    <t xml:space="preserve">                                            Matriculadas</t>
  </si>
  <si>
    <t xml:space="preserve">Doctorados </t>
  </si>
  <si>
    <t xml:space="preserve">   Ciencias</t>
  </si>
  <si>
    <t xml:space="preserve">   Educación</t>
  </si>
  <si>
    <t xml:space="preserve">   Estudios de la Sociedad y la Cultura</t>
  </si>
  <si>
    <t xml:space="preserve">   Ingeniería</t>
  </si>
  <si>
    <t>Maestrías</t>
  </si>
  <si>
    <t xml:space="preserve">  Administración Pública</t>
  </si>
  <si>
    <t xml:space="preserve">  Administración Universitaria</t>
  </si>
  <si>
    <t xml:space="preserve">  Administración y Dirección</t>
  </si>
  <si>
    <t xml:space="preserve">  Antropología</t>
  </si>
  <si>
    <t xml:space="preserve">  Arquitectura</t>
  </si>
  <si>
    <t xml:space="preserve">  Artes</t>
  </si>
  <si>
    <t xml:space="preserve">  Bibliotecología</t>
  </si>
  <si>
    <t xml:space="preserve">  Biología</t>
  </si>
  <si>
    <t xml:space="preserve">  Ciencia de Alimentos</t>
  </si>
  <si>
    <t xml:space="preserve">  Ciencias Biomédicas</t>
  </si>
  <si>
    <t xml:space="preserve">  Ciencias Cognoscitivas</t>
  </si>
  <si>
    <t xml:space="preserve">  Ciencias de la Atmósfera</t>
  </si>
  <si>
    <t xml:space="preserve">  Ciencias de la Educación</t>
  </si>
  <si>
    <t xml:space="preserve">  Ciencias Médicas</t>
  </si>
  <si>
    <t xml:space="preserve">  Ciencias Políticas</t>
  </si>
  <si>
    <t xml:space="preserve">  Computación e Informática</t>
  </si>
  <si>
    <t xml:space="preserve">  Comunicación</t>
  </si>
  <si>
    <t xml:space="preserve">  Cs. Agrícolas y Recur. Naturales</t>
  </si>
  <si>
    <t xml:space="preserve">  Cs. del Movimiento Humano</t>
  </si>
  <si>
    <t xml:space="preserve">  Economía</t>
  </si>
  <si>
    <t xml:space="preserve">  Educación</t>
  </si>
  <si>
    <t xml:space="preserve">  Enfermería</t>
  </si>
  <si>
    <t xml:space="preserve">  Enseñanza del Ingles</t>
  </si>
  <si>
    <t xml:space="preserve">  Español como Segunda Lengua</t>
  </si>
  <si>
    <t xml:space="preserve">  Estadística</t>
  </si>
  <si>
    <t xml:space="preserve">  Estudios de la Mujer</t>
  </si>
  <si>
    <t xml:space="preserve">  Estudios Interdisciplinarios</t>
  </si>
  <si>
    <t xml:space="preserve">  Estudios de Posgrado</t>
  </si>
  <si>
    <t xml:space="preserve">  Evaluación de Prog. Proyectos</t>
  </si>
  <si>
    <t xml:space="preserve">  Farmacia</t>
  </si>
  <si>
    <t xml:space="preserve">  Filosofía</t>
  </si>
  <si>
    <t xml:space="preserve">  Física</t>
  </si>
  <si>
    <t xml:space="preserve">  Geografía</t>
  </si>
  <si>
    <t xml:space="preserve">  Geología</t>
  </si>
  <si>
    <t xml:space="preserve">  Gerencia Agroempresarial</t>
  </si>
  <si>
    <t xml:space="preserve">  Gerontología</t>
  </si>
  <si>
    <t xml:space="preserve">  Gestión Ambiental y Ecoturismo</t>
  </si>
  <si>
    <t xml:space="preserve">  Gestión Integrada Areas Costeras Tropic. </t>
  </si>
  <si>
    <t xml:space="preserve">  Gobierno y Políticas Públicas</t>
  </si>
  <si>
    <t xml:space="preserve">  Historia</t>
  </si>
  <si>
    <t xml:space="preserve">  Ingeniería Civil</t>
  </si>
  <si>
    <t xml:space="preserve">  Ingeniería Eléctrica</t>
  </si>
  <si>
    <t xml:space="preserve">  Ingeniería Industrial</t>
  </si>
  <si>
    <t xml:space="preserve">  Ingeniería Mecánica</t>
  </si>
  <si>
    <t xml:space="preserve">  Ingeniería Química</t>
  </si>
  <si>
    <t xml:space="preserve">  Lingüística</t>
  </si>
  <si>
    <t xml:space="preserve">  Literatura</t>
  </si>
  <si>
    <t xml:space="preserve">  Matemática</t>
  </si>
  <si>
    <t xml:space="preserve">  Microb. Parasitol. y Química Clínica</t>
  </si>
  <si>
    <t xml:space="preserve">  Nutrición Humana</t>
  </si>
  <si>
    <t xml:space="preserve">  Odontología</t>
  </si>
  <si>
    <t xml:space="preserve">  Planeación Curricular</t>
  </si>
  <si>
    <t xml:space="preserve">  Psicología</t>
  </si>
  <si>
    <t xml:space="preserve">  Química</t>
  </si>
  <si>
    <t xml:space="preserve">  Salud Pública</t>
  </si>
  <si>
    <t xml:space="preserve">  Sociología</t>
  </si>
  <si>
    <t xml:space="preserve">  Trabajo Social</t>
  </si>
  <si>
    <t>Especialidades</t>
  </si>
  <si>
    <t xml:space="preserve">  Derecho</t>
  </si>
  <si>
    <t xml:space="preserve">  Medicina</t>
  </si>
  <si>
    <t xml:space="preserve">  Microbiologia</t>
  </si>
  <si>
    <t xml:space="preserve">   Ciencias de la Educación</t>
  </si>
  <si>
    <t xml:space="preserve">   Derecho</t>
  </si>
  <si>
    <t xml:space="preserve">   Desarrollo Sostenible</t>
  </si>
  <si>
    <t xml:space="preserve">   Enseñanza del Castellano</t>
  </si>
  <si>
    <t xml:space="preserve">   Enseñanza del Ingles</t>
  </si>
  <si>
    <t xml:space="preserve">   Estudios de la Mujer</t>
  </si>
  <si>
    <t xml:space="preserve">   Planificación Curricular</t>
  </si>
  <si>
    <t>Fuente:   Archivo de Notas del  03 de abril de 2018, Oficina de Registro.</t>
  </si>
  <si>
    <t>Cuadro  D6:   Estudiantes físicos de pregrado y grado, según materias aprobadas en el año, por unidad.  2017</t>
  </si>
  <si>
    <t xml:space="preserve"> Unidades                        Materias</t>
  </si>
  <si>
    <t xml:space="preserve">                                           Aprobadas </t>
  </si>
  <si>
    <t xml:space="preserve">   Recinto de Golfito </t>
  </si>
  <si>
    <t xml:space="preserve">   Sede Regional de Caribe</t>
  </si>
  <si>
    <r>
      <t xml:space="preserve">1/ </t>
    </r>
    <r>
      <rPr>
        <sz val="11"/>
        <color theme="1"/>
        <rFont val="Calibri"/>
        <family val="2"/>
        <scheme val="minor"/>
      </rPr>
      <t xml:space="preserve"> La distribución vertical es con respecto al total de la Universidad, y la distribución horizontal es con respecto al total de la Unidad.</t>
    </r>
  </si>
  <si>
    <t>Cuadro D 7:    Estudiantes físicos de posgrado, según materias aprobadas en el año, por especialidad. 2017</t>
  </si>
  <si>
    <t>Especialidad                   Materias</t>
  </si>
  <si>
    <t xml:space="preserve">         de 10 a 14</t>
  </si>
  <si>
    <t xml:space="preserve">                                             Aprobadas</t>
  </si>
  <si>
    <t xml:space="preserve">   Estudios de lqa Mujer</t>
  </si>
  <si>
    <t>Fuente:   Archivo de Notas del 03 abril de 2018, Oficina de Registro.</t>
  </si>
  <si>
    <t xml:space="preserve">                        Panorama Cuantitativo Universitario </t>
  </si>
  <si>
    <t>Cuadro  D8:   Estudiantes físicos de pregrado y grado,  según créditos matriculados en el año,  por unidad. 2017</t>
  </si>
  <si>
    <t>De 1 a</t>
  </si>
  <si>
    <t>De 12 a</t>
  </si>
  <si>
    <t xml:space="preserve">De 24 a </t>
  </si>
  <si>
    <t xml:space="preserve">                                  Créditos</t>
  </si>
  <si>
    <r>
      <t xml:space="preserve">Total  </t>
    </r>
    <r>
      <rPr>
        <vertAlign val="superscript"/>
        <sz val="10"/>
        <rFont val="Arial"/>
        <family val="2"/>
      </rPr>
      <t>1/</t>
    </r>
  </si>
  <si>
    <r>
      <t xml:space="preserve">Cero créditos </t>
    </r>
    <r>
      <rPr>
        <vertAlign val="superscript"/>
        <sz val="10"/>
        <rFont val="Arial"/>
        <family val="2"/>
      </rPr>
      <t>2/</t>
    </r>
  </si>
  <si>
    <t>menos de 12</t>
  </si>
  <si>
    <t xml:space="preserve">menos de 24 </t>
  </si>
  <si>
    <t>menos de 36</t>
  </si>
  <si>
    <t>36 y más</t>
  </si>
  <si>
    <t xml:space="preserve">                                       Matriculados</t>
  </si>
  <si>
    <t xml:space="preserve"> Estudios Generales</t>
  </si>
  <si>
    <t xml:space="preserve">   Sede Interunivers. Alajuela</t>
  </si>
  <si>
    <t>Convenios Universidades Extranjeras</t>
  </si>
  <si>
    <r>
      <t>2/</t>
    </r>
    <r>
      <rPr>
        <sz val="11"/>
        <color theme="1"/>
        <rFont val="Calibri"/>
        <family val="2"/>
        <scheme val="minor"/>
      </rPr>
      <t xml:space="preserve">  Corresponde a las materias que no tienen créditos, tales como: Seminarios de Graduación y las Deportivas.</t>
    </r>
  </si>
  <si>
    <t>Fuente:   Archivo de 03 de abril de 2018, Oficina de Registro.</t>
  </si>
  <si>
    <t>Cuadro D9:    Estudiantes físicos de posgrado, según créditos matriculados en el año, por especialidad. 2017</t>
  </si>
  <si>
    <t>Especialidad</t>
  </si>
  <si>
    <t xml:space="preserve">         De 1 a</t>
  </si>
  <si>
    <t xml:space="preserve">       De 12 a</t>
  </si>
  <si>
    <t xml:space="preserve">      De 24 a </t>
  </si>
  <si>
    <r>
      <t xml:space="preserve">           Total  </t>
    </r>
    <r>
      <rPr>
        <vertAlign val="superscript"/>
        <sz val="10"/>
        <rFont val="Arial"/>
        <family val="2"/>
      </rPr>
      <t>1/</t>
    </r>
  </si>
  <si>
    <t xml:space="preserve">   Cero créditos 2/</t>
  </si>
  <si>
    <t xml:space="preserve">     menos de 12</t>
  </si>
  <si>
    <t xml:space="preserve">    menos de 24 </t>
  </si>
  <si>
    <t xml:space="preserve">    menos de 36</t>
  </si>
  <si>
    <t xml:space="preserve">         36 y más</t>
  </si>
  <si>
    <t xml:space="preserve">  Microbiología</t>
  </si>
  <si>
    <t xml:space="preserve">                     Universidad de Costa Rica</t>
  </si>
  <si>
    <t xml:space="preserve">                     Panorama Cuantitativo Universitario</t>
  </si>
  <si>
    <t xml:space="preserve">                                     Créditos</t>
  </si>
  <si>
    <r>
      <t xml:space="preserve">          Total </t>
    </r>
    <r>
      <rPr>
        <vertAlign val="superscript"/>
        <sz val="10"/>
        <rFont val="Arial"/>
        <family val="2"/>
      </rPr>
      <t>1/</t>
    </r>
  </si>
  <si>
    <r>
      <t xml:space="preserve">    Cero créditos </t>
    </r>
    <r>
      <rPr>
        <vertAlign val="superscript"/>
        <sz val="10"/>
        <rFont val="Arial"/>
        <family val="2"/>
      </rPr>
      <t>2/</t>
    </r>
  </si>
  <si>
    <t xml:space="preserve">                                          Aprobados</t>
  </si>
  <si>
    <t xml:space="preserve">  Sedes Regionales</t>
  </si>
  <si>
    <t xml:space="preserve">   Sede Regional deL Caribe</t>
  </si>
  <si>
    <t xml:space="preserve">   Convenios Universidades Extranjeras</t>
  </si>
  <si>
    <r>
      <t>1/</t>
    </r>
    <r>
      <rPr>
        <sz val="11"/>
        <color theme="1"/>
        <rFont val="Calibri"/>
        <family val="2"/>
        <scheme val="minor"/>
      </rPr>
      <t xml:space="preserve"> La distribución vertical es con respecto al total de la Universidad, y la distribución horizontal es con respecto al total de la Unidad.</t>
    </r>
  </si>
  <si>
    <r>
      <t>2/</t>
    </r>
    <r>
      <rPr>
        <sz val="11"/>
        <color theme="1"/>
        <rFont val="Calibri"/>
        <family val="2"/>
        <scheme val="minor"/>
      </rPr>
      <t xml:space="preserve"> Corresponde a las materias que no tienen créditos, tales como: Seminarios de Graduación y las Deportivas.</t>
    </r>
  </si>
  <si>
    <t>Fuente:   Archivo de Notas de 03 de abril de 2018, Oficina de Registro.</t>
  </si>
  <si>
    <t>Cuadro D11:   Estudiantes físicos de posgrado, según créditos aprobados en el año, por especialidad. 2017</t>
  </si>
  <si>
    <t xml:space="preserve">                                        Aprobados</t>
  </si>
  <si>
    <t xml:space="preserve">  Estudios Interdisciplinarios </t>
  </si>
  <si>
    <t xml:space="preserve">   Estudios de la mujer</t>
  </si>
  <si>
    <t xml:space="preserve">   Planeación Curricular</t>
  </si>
  <si>
    <t>Fuente:   Archivo de Notas de 03 de abril 2018, Oficina de Registro.</t>
  </si>
  <si>
    <t>Cuadro D12:   Estudiantes físicos de pregrado y grado, según materias aprobadas, por materias matriculadas. 2017</t>
  </si>
  <si>
    <t xml:space="preserve">  Materias                     Materias</t>
  </si>
  <si>
    <t xml:space="preserve">  Matriculadas            Aprobadas  </t>
  </si>
  <si>
    <t xml:space="preserve">     abs.</t>
  </si>
  <si>
    <t xml:space="preserve">    5 a 9</t>
  </si>
  <si>
    <t xml:space="preserve">   10 a 14</t>
  </si>
  <si>
    <t xml:space="preserve">   15 a 19</t>
  </si>
  <si>
    <t xml:space="preserve">   20 y más</t>
  </si>
  <si>
    <t xml:space="preserve"> Menos de 5</t>
  </si>
  <si>
    <t>Fuente:  Archivo de Notas de 03 de abril de 2018, Oficina de Registro.</t>
  </si>
  <si>
    <t>Cuadro D13:   Estudiantes físicos de posgrado, según materias aprobadas, por materias matriculadas.  2017</t>
  </si>
  <si>
    <t xml:space="preserve">        15 y más</t>
  </si>
  <si>
    <t xml:space="preserve">  Matriculadas            Aprobadas                              </t>
  </si>
  <si>
    <t xml:space="preserve">   15 y más</t>
  </si>
  <si>
    <t>Cuadro D14:   Estudiantes físicos de pregrado y grado, según créditos aprobados,  por créditos matriculados.  2017</t>
  </si>
  <si>
    <t>Créditos                      Créditos</t>
  </si>
  <si>
    <r>
      <t xml:space="preserve">         Total  </t>
    </r>
    <r>
      <rPr>
        <vertAlign val="superscript"/>
        <sz val="10"/>
        <rFont val="Arial"/>
        <family val="2"/>
      </rPr>
      <t>1/</t>
    </r>
  </si>
  <si>
    <r>
      <t xml:space="preserve">   Cero créditos </t>
    </r>
    <r>
      <rPr>
        <vertAlign val="superscript"/>
        <sz val="10"/>
        <rFont val="Arial"/>
        <family val="2"/>
      </rPr>
      <t>2/</t>
    </r>
  </si>
  <si>
    <t>De 1 a  menos de 12</t>
  </si>
  <si>
    <t xml:space="preserve">De 12 a menos de 24 </t>
  </si>
  <si>
    <t>De 24 a menos de 36</t>
  </si>
  <si>
    <t>Matriculados               Aprobados</t>
  </si>
  <si>
    <t xml:space="preserve">      %</t>
  </si>
  <si>
    <t xml:space="preserve">    cero créditos</t>
  </si>
  <si>
    <t xml:space="preserve">   1 a menos de 12</t>
  </si>
  <si>
    <t xml:space="preserve">   12 a menos de 24</t>
  </si>
  <si>
    <t xml:space="preserve">   24 a menos de 36</t>
  </si>
  <si>
    <t xml:space="preserve">   36 y más</t>
  </si>
  <si>
    <t>Cuadro D15:   Estudiantes físicos de posgrado, según créditos aprobados, por créditos matriculados.  2017</t>
  </si>
  <si>
    <r>
      <t xml:space="preserve">1/ </t>
    </r>
    <r>
      <rPr>
        <sz val="11"/>
        <color theme="1"/>
        <rFont val="Calibri"/>
        <family val="2"/>
        <scheme val="minor"/>
      </rPr>
      <t xml:space="preserve"> La distribución vertical es con respecto al total de la Universidad, y la distribución horizontal es con respecto al total de los créditos matriculados.</t>
    </r>
  </si>
  <si>
    <t>Fuente: Archivo de Notas del 03 abril de 2018, Oficina de Registro.</t>
  </si>
  <si>
    <t>Cuadro D16:   Títulos otorgados en pregrado y grado, según grado académico obtenido, por unidad.  2017.</t>
  </si>
  <si>
    <t xml:space="preserve">  Unidades</t>
  </si>
  <si>
    <t>a/</t>
  </si>
  <si>
    <t>b/</t>
  </si>
  <si>
    <t>c/</t>
  </si>
  <si>
    <t>d/</t>
  </si>
  <si>
    <t>e/</t>
  </si>
  <si>
    <t>Interuniversidad de Alajuela</t>
  </si>
  <si>
    <t>f/</t>
  </si>
  <si>
    <t>g/</t>
  </si>
  <si>
    <t>h/</t>
  </si>
  <si>
    <t>i/</t>
  </si>
  <si>
    <t>j/</t>
  </si>
  <si>
    <t>Nota: Son estudiantes graduados en el año cronológico.</t>
  </si>
  <si>
    <t>a/ Corresponde a 58 diplomados.</t>
  </si>
  <si>
    <t xml:space="preserve">b/ Corresponde a 96 profesorados </t>
  </si>
  <si>
    <t>c/ Corresponde a 22 profesorados.</t>
  </si>
  <si>
    <t>d/ Corresponde a 9 profesorados y 18 diplomado.</t>
  </si>
  <si>
    <t>e/ Corresponde a 34 diplomados.</t>
  </si>
  <si>
    <t>f/ Corresponde a 9 profesorados.</t>
  </si>
  <si>
    <t>g/ Corresponde a 13 diplomados.</t>
  </si>
  <si>
    <t>h/ Corresponde a 10 profesorados y 5 diplomado.</t>
  </si>
  <si>
    <t>i/ Corresponde a 29  diplomado.</t>
  </si>
  <si>
    <t>j/ Corresponde a 8 profesorados.</t>
  </si>
  <si>
    <t>Fuente:  Oficina de Registro.</t>
  </si>
  <si>
    <t xml:space="preserve">     Unidades                  </t>
  </si>
  <si>
    <r>
      <t xml:space="preserve">            Total </t>
    </r>
    <r>
      <rPr>
        <vertAlign val="superscript"/>
        <sz val="12"/>
        <rFont val="Arial"/>
        <family val="2"/>
      </rPr>
      <t>1/</t>
    </r>
  </si>
  <si>
    <t>Femenino</t>
  </si>
  <si>
    <t>Masculino</t>
  </si>
  <si>
    <t xml:space="preserve">  Facultad de Ingeniería Arqitectura</t>
  </si>
  <si>
    <t xml:space="preserve">   Ingenieía Topográfíca</t>
  </si>
  <si>
    <r>
      <t xml:space="preserve">1/ </t>
    </r>
    <r>
      <rPr>
        <sz val="12"/>
        <rFont val="Arial"/>
        <family val="2"/>
      </rPr>
      <t xml:space="preserve"> La distribución vertical es con respecto al total de la Universidad, y la distribución horizontal es con respecto </t>
    </r>
  </si>
  <si>
    <t xml:space="preserve">     al total de Especialidades de Posgrado.</t>
  </si>
  <si>
    <t>Cuadro D18:  Títulos otorgados según género, por especialidad de posgrado.  2017</t>
  </si>
  <si>
    <t xml:space="preserve">     de Posgrado</t>
  </si>
  <si>
    <t xml:space="preserve">  Ciencias Agricolas </t>
  </si>
  <si>
    <t xml:space="preserve">  Ciencias del Movimiento Humano</t>
  </si>
  <si>
    <t xml:space="preserve">  Ciencias </t>
  </si>
  <si>
    <t xml:space="preserve">Maestrías </t>
  </si>
  <si>
    <t xml:space="preserve">   Administración Pública con varios énfasis</t>
  </si>
  <si>
    <t xml:space="preserve">   Administración y Dirección de Empresas con varios énfasis</t>
  </si>
  <si>
    <t xml:space="preserve">   Arquitectura Tropical</t>
  </si>
  <si>
    <t xml:space="preserve">   Artes</t>
  </si>
  <si>
    <t xml:space="preserve">   Bibliotecología y Estudios de la Información</t>
  </si>
  <si>
    <t xml:space="preserve">   Ciencias de la Alimentación</t>
  </si>
  <si>
    <t xml:space="preserve">   Ciencias de la Atmosfera</t>
  </si>
  <si>
    <t xml:space="preserve">   Ciencias de la Educación enfasis en Educ. de Adultos </t>
  </si>
  <si>
    <t xml:space="preserve">   Ciencias de la Enfermería</t>
  </si>
  <si>
    <t xml:space="preserve">   Ciencias Médicas</t>
  </si>
  <si>
    <t xml:space="preserve">   Ciencias del Movimiento Humano</t>
  </si>
  <si>
    <t xml:space="preserve">   Computación e Informática</t>
  </si>
  <si>
    <t xml:space="preserve">   Comunicación </t>
  </si>
  <si>
    <t xml:space="preserve">   Cs. Agrícolas y Recursos Naturales con varios énfasis</t>
  </si>
  <si>
    <t xml:space="preserve">   Cs. Biomédicas énf Bioquímica y Fisiología</t>
  </si>
  <si>
    <t xml:space="preserve">   Desarrollo Integral</t>
  </si>
  <si>
    <t xml:space="preserve">   Desarrollo Sostenible con varios enfasis</t>
  </si>
  <si>
    <t xml:space="preserve">   Económia</t>
  </si>
  <si>
    <t xml:space="preserve">   Enseñanaza del Castellano</t>
  </si>
  <si>
    <t xml:space="preserve">   Español como Segunda Lengua</t>
  </si>
  <si>
    <t xml:space="preserve">   Estudios de la Mujer (Convenio UCR-UNA)</t>
  </si>
  <si>
    <t xml:space="preserve">   Evaluación de Programas y Proyectos de Desarrollo</t>
  </si>
  <si>
    <t xml:space="preserve">   Geología</t>
  </si>
  <si>
    <t xml:space="preserve">   Gerontología</t>
  </si>
  <si>
    <t xml:space="preserve">   Gestión Ambiental y Ecoturismo </t>
  </si>
  <si>
    <t xml:space="preserve">   Gestión Integrada</t>
  </si>
  <si>
    <t xml:space="preserve">   Ingeniería Eléctrica con varios enfasis</t>
  </si>
  <si>
    <t xml:space="preserve">   Lingüística</t>
  </si>
  <si>
    <t xml:space="preserve">   Literatura</t>
  </si>
  <si>
    <t xml:space="preserve">   Matemática con varios enfasis </t>
  </si>
  <si>
    <t xml:space="preserve">   Microbiología</t>
  </si>
  <si>
    <t xml:space="preserve">   Nutrición Humana</t>
  </si>
  <si>
    <t xml:space="preserve">   Odontologia con varios enfasis </t>
  </si>
  <si>
    <t xml:space="preserve">   Salud Pública </t>
  </si>
  <si>
    <t xml:space="preserve">   Trabajo Social con varios enfasis</t>
  </si>
  <si>
    <t xml:space="preserve">   Especialidades Médicas</t>
  </si>
  <si>
    <t xml:space="preserve">   Medicina Legal y Patología Forence</t>
  </si>
  <si>
    <t xml:space="preserve">   Odontología</t>
  </si>
  <si>
    <r>
      <t xml:space="preserve">1/ </t>
    </r>
    <r>
      <rPr>
        <sz val="11"/>
        <rFont val="Arial"/>
        <family val="2"/>
      </rPr>
      <t xml:space="preserve"> La distribución vertical es con respecto al total de la Universidad, y la distribución horizontal es con respecto </t>
    </r>
  </si>
  <si>
    <t xml:space="preserve">Cuadro D19:   Número de estudiantes graduados de pregrado, grado y posgrado según género, </t>
  </si>
  <si>
    <t xml:space="preserve">                       por sede y área.  2017</t>
  </si>
  <si>
    <t>Género</t>
  </si>
  <si>
    <t xml:space="preserve">      Sede</t>
  </si>
  <si>
    <t xml:space="preserve">                               Área</t>
  </si>
  <si>
    <t xml:space="preserve">Universidad de Costa Rica  </t>
  </si>
  <si>
    <t xml:space="preserve">Área de Artes y Letras  </t>
  </si>
  <si>
    <t xml:space="preserve">Recinto de Golfito </t>
  </si>
  <si>
    <t>Fuente: Oficina de Registro.</t>
  </si>
  <si>
    <t>Maestria Profesional</t>
  </si>
  <si>
    <t>Maestria Acádemica</t>
  </si>
  <si>
    <t>Créditos  Matriculados</t>
  </si>
  <si>
    <t>Cs. Agroalimentarias</t>
  </si>
  <si>
    <t>Cs. Básicas</t>
  </si>
  <si>
    <t>Ing. y Arquitectura</t>
  </si>
  <si>
    <t xml:space="preserve">Artes y Letras </t>
  </si>
  <si>
    <t>Salud</t>
  </si>
  <si>
    <t>Cs. Sociales</t>
  </si>
  <si>
    <t>Maestría Profesional</t>
  </si>
  <si>
    <t>Maestría</t>
  </si>
  <si>
    <t>Maestrias</t>
  </si>
  <si>
    <t xml:space="preserve">      de 5 a 9</t>
  </si>
  <si>
    <t xml:space="preserve"> de 15 a 19</t>
  </si>
  <si>
    <t>15 y más</t>
  </si>
  <si>
    <t xml:space="preserve">    Matriculadas.</t>
  </si>
  <si>
    <r>
      <t>1/</t>
    </r>
    <r>
      <rPr>
        <sz val="11"/>
        <color theme="1"/>
        <rFont val="Calibri"/>
        <family val="2"/>
        <scheme val="minor"/>
      </rPr>
      <t xml:space="preserve">  La distribución vertical es con respecto al total de la Universidad, y la distribución horizontal es con respecto al total de las Materias </t>
    </r>
  </si>
  <si>
    <r>
      <t>1/</t>
    </r>
    <r>
      <rPr>
        <sz val="10"/>
        <color theme="1"/>
        <rFont val="Arial"/>
        <family val="2"/>
      </rPr>
      <t xml:space="preserve">  La distribución vertical es con respecto al total de la Universidad, y la distribución horizontal es con respecto al total de las Materias Matriculadas.</t>
    </r>
  </si>
  <si>
    <r>
      <t>1/</t>
    </r>
    <r>
      <rPr>
        <sz val="10"/>
        <color theme="1"/>
        <rFont val="Arial"/>
        <family val="2"/>
      </rPr>
      <t xml:space="preserve">  La distribución vertical es con respecto al total de la Universidad, y la distribución horizontal es con respecto al total de los créditos matriculados.</t>
    </r>
  </si>
  <si>
    <r>
      <t xml:space="preserve">2/ </t>
    </r>
    <r>
      <rPr>
        <sz val="10"/>
        <color theme="1"/>
        <rFont val="Arial"/>
        <family val="2"/>
      </rPr>
      <t>Corresponde a las materias que no tienen créditos, tales como: Seminarios de Graduación y las Deportivas.</t>
    </r>
  </si>
  <si>
    <r>
      <t xml:space="preserve">Total </t>
    </r>
    <r>
      <rPr>
        <vertAlign val="superscript"/>
        <sz val="10"/>
        <rFont val="Arial"/>
        <family val="2"/>
      </rPr>
      <t xml:space="preserve"> 1/</t>
    </r>
  </si>
  <si>
    <r>
      <t>1/</t>
    </r>
    <r>
      <rPr>
        <vertAlign val="superscript"/>
        <sz val="10"/>
        <rFont val="Arial"/>
        <family val="2"/>
      </rPr>
      <t xml:space="preserve"> </t>
    </r>
    <r>
      <rPr>
        <sz val="10"/>
        <rFont val="Arial"/>
        <family val="2"/>
      </rPr>
      <t xml:space="preserve"> La distribución vertical es con respecto al total de la Universidad, y la distribución horizontal es con respecto al total de la Unidad.</t>
    </r>
  </si>
  <si>
    <r>
      <t xml:space="preserve">Total </t>
    </r>
    <r>
      <rPr>
        <vertAlign val="superscript"/>
        <sz val="11"/>
        <rFont val="Arial"/>
        <family val="2"/>
      </rPr>
      <t>1/</t>
    </r>
  </si>
  <si>
    <t>INVESTIGACIÓN</t>
  </si>
  <si>
    <t>Cuadro I-1</t>
  </si>
  <si>
    <t>Distribución de plazas del Programa de Investigación, por programa y subprograma.  2017.  (Ver Gráfico I-1)</t>
  </si>
  <si>
    <t>Proyectos</t>
  </si>
  <si>
    <t>Cuadro I-2</t>
  </si>
  <si>
    <t>Proyectos vigentes, inscritos, nuevos en desarrollo, terminados, cerrados y suspendidos ampliaciones y reactivaciones por unidad. 2017.  (Ver Gráfico I-2)</t>
  </si>
  <si>
    <t>Cuadro I-3</t>
  </si>
  <si>
    <t xml:space="preserve">Número de Proyectos vigentes, inscritos, nuevos en desarrollo, terminados, cerrados y suspendidos. 2013 – 2017. </t>
  </si>
  <si>
    <t>Cuadro I-4</t>
  </si>
  <si>
    <t>Número de Proyectos, según tipo por unidad.  2017 (Ver Gráfico I-3)</t>
  </si>
  <si>
    <t>Cuadro I-5</t>
  </si>
  <si>
    <t>Número de Investigadores (as) participantes en los proyectos de investigación, según grado y género, por programa y área.  2017 (Ver Gráfico I-4)</t>
  </si>
  <si>
    <t>Revistas</t>
  </si>
  <si>
    <t>Cuadro I-6</t>
  </si>
  <si>
    <t xml:space="preserve">Número de ejemplares de revistas publicadas. 2017. </t>
  </si>
  <si>
    <t>Cuadro I-7</t>
  </si>
  <si>
    <t xml:space="preserve">Número de libros publicados, según clasificación por modalidad 2017. </t>
  </si>
  <si>
    <t>Bibliotecas</t>
  </si>
  <si>
    <t>Cuadro I-8</t>
  </si>
  <si>
    <t>Número de usuarios atendidos, según tipo de servicio, por biblioteca. 2017. (Ver Gráfico I-5)</t>
  </si>
  <si>
    <t>Cuadro I-9</t>
  </si>
  <si>
    <t>Número de usuarios atendidos, por tipo de servicio. 2013-2017.</t>
  </si>
  <si>
    <t>Cuadro I-10</t>
  </si>
  <si>
    <t>Número de títulos impresos nuevos, por modalidad de adquisición. 2017.</t>
  </si>
  <si>
    <t>Cuadro I-11</t>
  </si>
  <si>
    <t>Número de títulos eléctricos nuevos, por modalidad de adquisición. 2017.</t>
  </si>
  <si>
    <t>Cuadro I-12</t>
  </si>
  <si>
    <t>Ejemplares procesados por tipo de material y bibliotecas, por sede. 2017.</t>
  </si>
  <si>
    <t>Cuadro I-13</t>
  </si>
  <si>
    <t>Préstamo de materiales bibliográficos, equipo audiovisual, salas y auditorios, según tipo de servicio y biblioteca.  2017</t>
  </si>
  <si>
    <t>Cuadro I-1  Distribución de Plazas de Investigación, por programa y subprograma.  2017</t>
  </si>
  <si>
    <t xml:space="preserve">Investigación </t>
  </si>
  <si>
    <t xml:space="preserve">  Investigación (Occidente)</t>
  </si>
  <si>
    <r>
      <t xml:space="preserve">  Investigación (Atlántico) </t>
    </r>
    <r>
      <rPr>
        <vertAlign val="superscript"/>
        <sz val="10"/>
        <color indexed="8"/>
        <rFont val="Arial"/>
        <family val="2"/>
      </rPr>
      <t>2/</t>
    </r>
  </si>
  <si>
    <r>
      <t>2/</t>
    </r>
    <r>
      <rPr>
        <sz val="10"/>
        <rFont val="Arial"/>
        <family val="2"/>
      </rPr>
      <t xml:space="preserve"> Incluyen el Recinto de Paraiso y el de Guapiles.</t>
    </r>
  </si>
  <si>
    <t xml:space="preserve">                    Panorama Cuantitativo Universiatrio</t>
  </si>
  <si>
    <t>Cuadro I-2:   Proyectos según estado, por unidad.  2017</t>
  </si>
  <si>
    <r>
      <t>Activos</t>
    </r>
    <r>
      <rPr>
        <vertAlign val="superscript"/>
        <sz val="10"/>
        <color indexed="8"/>
        <rFont val="Arial"/>
        <family val="2"/>
      </rPr>
      <t xml:space="preserve"> 1/</t>
    </r>
  </si>
  <si>
    <r>
      <t>Nuevos</t>
    </r>
    <r>
      <rPr>
        <vertAlign val="superscript"/>
        <sz val="10"/>
        <color indexed="8"/>
        <rFont val="Arial"/>
        <family val="2"/>
      </rPr>
      <t xml:space="preserve"> 2/</t>
    </r>
  </si>
  <si>
    <r>
      <t xml:space="preserve"> Suspendidos </t>
    </r>
    <r>
      <rPr>
        <vertAlign val="superscript"/>
        <sz val="10"/>
        <color indexed="8"/>
        <rFont val="Arial"/>
        <family val="2"/>
      </rPr>
      <t>3</t>
    </r>
    <r>
      <rPr>
        <vertAlign val="superscript"/>
        <sz val="10"/>
        <rFont val="Arial"/>
        <family val="2"/>
      </rPr>
      <t>/</t>
    </r>
  </si>
  <si>
    <r>
      <t xml:space="preserve">Cerrados </t>
    </r>
    <r>
      <rPr>
        <vertAlign val="superscript"/>
        <sz val="10"/>
        <rFont val="Arial"/>
        <family val="2"/>
      </rPr>
      <t>4/</t>
    </r>
  </si>
  <si>
    <r>
      <t xml:space="preserve">Terminados </t>
    </r>
    <r>
      <rPr>
        <vertAlign val="superscript"/>
        <sz val="10"/>
        <rFont val="Arial"/>
        <family val="2"/>
      </rPr>
      <t>5/</t>
    </r>
  </si>
  <si>
    <r>
      <t xml:space="preserve">Ampliaciones </t>
    </r>
    <r>
      <rPr>
        <vertAlign val="superscript"/>
        <sz val="10"/>
        <color theme="1"/>
        <rFont val="Arial"/>
        <family val="2"/>
      </rPr>
      <t>6</t>
    </r>
    <r>
      <rPr>
        <vertAlign val="superscript"/>
        <sz val="10"/>
        <rFont val="Arial"/>
        <family val="2"/>
      </rPr>
      <t>/</t>
    </r>
  </si>
  <si>
    <r>
      <t xml:space="preserve">Reactivaciones </t>
    </r>
    <r>
      <rPr>
        <vertAlign val="superscript"/>
        <sz val="10"/>
        <color theme="1"/>
        <rFont val="Arial"/>
        <family val="2"/>
      </rPr>
      <t>7</t>
    </r>
    <r>
      <rPr>
        <vertAlign val="superscript"/>
        <sz val="10"/>
        <rFont val="Arial"/>
        <family val="2"/>
      </rPr>
      <t>/</t>
    </r>
  </si>
  <si>
    <t xml:space="preserve">                              Proyectos</t>
  </si>
  <si>
    <t xml:space="preserve">      abs.</t>
  </si>
  <si>
    <t>Programa de Docencia</t>
  </si>
  <si>
    <t xml:space="preserve">   Decanato</t>
  </si>
  <si>
    <t xml:space="preserve">   Decanato de Cs. Economicas </t>
  </si>
  <si>
    <t xml:space="preserve">   Decanato Ciencias Sociales</t>
  </si>
  <si>
    <t xml:space="preserve">   Decanato de Educación</t>
  </si>
  <si>
    <t xml:space="preserve">   Educación Especial</t>
  </si>
  <si>
    <t xml:space="preserve">   Bibliotecología</t>
  </si>
  <si>
    <t xml:space="preserve">  Decanato Medicina</t>
  </si>
  <si>
    <t xml:space="preserve">   Tecnologías en Salud </t>
  </si>
  <si>
    <t xml:space="preserve">                             Proyectos</t>
  </si>
  <si>
    <t xml:space="preserve">   Decanato de Ingeniería</t>
  </si>
  <si>
    <t xml:space="preserve">   Ingeniería Topográfica</t>
  </si>
  <si>
    <t xml:space="preserve">   Ingeniería Biosistemas</t>
  </si>
  <si>
    <t xml:space="preserve">   Decanato de Cs. Agroalimentarias</t>
  </si>
  <si>
    <t xml:space="preserve">   Zootecnía</t>
  </si>
  <si>
    <t xml:space="preserve">   Agronomia</t>
  </si>
  <si>
    <t>Escuela de Estudios Generales</t>
  </si>
  <si>
    <t>Programa de Investigación</t>
  </si>
  <si>
    <t xml:space="preserve"> Unidades de apoyo</t>
  </si>
  <si>
    <t xml:space="preserve">   Est. Exp. Fabio Baudrit</t>
  </si>
  <si>
    <t xml:space="preserve">   Est. Exp. Ganado Lechero</t>
  </si>
  <si>
    <t xml:space="preserve">   LEBI</t>
  </si>
  <si>
    <t xml:space="preserve">   SI.B.D.I</t>
  </si>
  <si>
    <t>Centros e Institutos de investigación</t>
  </si>
  <si>
    <t xml:space="preserve">   CCP</t>
  </si>
  <si>
    <t xml:space="preserve">   C.E.L.E.Q.</t>
  </si>
  <si>
    <t xml:space="preserve">   C.E.T.E.C.</t>
  </si>
  <si>
    <t xml:space="preserve">   C.E.A.</t>
  </si>
  <si>
    <t xml:space="preserve">   C.I.A.</t>
  </si>
  <si>
    <t xml:space="preserve">   C.I.A.N</t>
  </si>
  <si>
    <t xml:space="preserve">   C.I.B.C.M.</t>
  </si>
  <si>
    <t xml:space="preserve">   C.I.C.A.</t>
  </si>
  <si>
    <t xml:space="preserve">   C.I.CANUN.</t>
  </si>
  <si>
    <t xml:space="preserve">   C.I.CI.MA</t>
  </si>
  <si>
    <t xml:space="preserve">   C.I.C.AP</t>
  </si>
  <si>
    <t xml:space="preserve">   C.I.C.OM</t>
  </si>
  <si>
    <t xml:space="preserve">   C.I.E.D.A.</t>
  </si>
  <si>
    <t xml:space="preserve">   C.I.DI.CER</t>
  </si>
  <si>
    <t xml:space="preserve">   C.I.DES</t>
  </si>
  <si>
    <t xml:space="preserve">   C.I.E.P.</t>
  </si>
  <si>
    <t xml:space="preserve">   C.I.E.M.</t>
  </si>
  <si>
    <t xml:space="preserve">   C.I.E.M.I.C.</t>
  </si>
  <si>
    <t xml:space="preserve">   C.I.E.T.</t>
  </si>
  <si>
    <t xml:space="preserve">   C.I.G.</t>
  </si>
  <si>
    <t xml:space="preserve">   C.I.GE.FI.</t>
  </si>
  <si>
    <t xml:space="preserve">   C.I.GRA.S.</t>
  </si>
  <si>
    <t xml:space="preserve">   C.I.H.A.C.</t>
  </si>
  <si>
    <t xml:space="preserve">   C.I.H.A.T.A.</t>
  </si>
  <si>
    <t xml:space="preserve">   C.I.I.C.LA.</t>
  </si>
  <si>
    <t xml:space="preserve">   C.I.MAR.</t>
  </si>
  <si>
    <t xml:space="preserve">   C.I.N.A.</t>
  </si>
  <si>
    <t xml:space="preserve">   C.I.NES.PA.</t>
  </si>
  <si>
    <t xml:space="preserve">   C.I.PRO.C.</t>
  </si>
  <si>
    <t xml:space="preserve">   C.I.PRO.NA.</t>
  </si>
  <si>
    <t xml:space="preserve">   C.I.T.A.</t>
  </si>
  <si>
    <t xml:space="preserve">   CITIC</t>
  </si>
  <si>
    <t xml:space="preserve">   CIMM</t>
  </si>
  <si>
    <t xml:space="preserve">   CIMOHU</t>
  </si>
  <si>
    <t xml:space="preserve">   CIN</t>
  </si>
  <si>
    <t xml:space="preserve">   CIMPA</t>
  </si>
  <si>
    <t xml:space="preserve">   I.C.P.</t>
  </si>
  <si>
    <t xml:space="preserve">   I.I.ARTE</t>
  </si>
  <si>
    <t xml:space="preserve">   I.I.C.E.</t>
  </si>
  <si>
    <t xml:space="preserve">   I.I.J.</t>
  </si>
  <si>
    <t xml:space="preserve">   I.I.P.</t>
  </si>
  <si>
    <t xml:space="preserve">   I.I.S.</t>
  </si>
  <si>
    <t xml:space="preserve">   IN.I.F.</t>
  </si>
  <si>
    <t xml:space="preserve">   IN.I.E.</t>
  </si>
  <si>
    <t xml:space="preserve">   IN.I.I.</t>
  </si>
  <si>
    <t xml:space="preserve">   IN.I.SA.</t>
  </si>
  <si>
    <t xml:space="preserve">   INIFAR</t>
  </si>
  <si>
    <t xml:space="preserve">   INIL</t>
  </si>
  <si>
    <t xml:space="preserve">   ODD</t>
  </si>
  <si>
    <t xml:space="preserve">   FEIMA</t>
  </si>
  <si>
    <t>Programa de Estudios de Posgrado</t>
  </si>
  <si>
    <t xml:space="preserve">    Sistemas de Estudios de Posgrado</t>
  </si>
  <si>
    <t>Programa  de Dirección Superior</t>
  </si>
  <si>
    <t xml:space="preserve">   Vicerrectoría de Investigación</t>
  </si>
  <si>
    <t xml:space="preserve">   </t>
  </si>
  <si>
    <r>
      <rPr>
        <vertAlign val="superscript"/>
        <sz val="10"/>
        <rFont val="Arial"/>
        <family val="2"/>
      </rPr>
      <t>1/</t>
    </r>
    <r>
      <rPr>
        <sz val="10"/>
        <rFont val="Arial"/>
        <family val="2"/>
      </rPr>
      <t xml:space="preserve">  Todo proyecto que estuvo vigente en el periodo determinado.</t>
    </r>
  </si>
  <si>
    <r>
      <t>2/</t>
    </r>
    <r>
      <rPr>
        <sz val="10"/>
        <rFont val="Arial"/>
        <family val="2"/>
      </rPr>
      <t xml:space="preserve">  Propuestas aprobadas en la Vicerrectoría de Investigación.</t>
    </r>
  </si>
  <si>
    <r>
      <t>3/</t>
    </r>
    <r>
      <rPr>
        <sz val="10"/>
        <rFont val="Arial"/>
        <family val="2"/>
      </rPr>
      <t xml:space="preserve">  La ejecución del proyecto ha sido paralizada temporalmente, por lo tanto, las actividades registradas para el proyecto se encuentran suspendidas. </t>
    </r>
  </si>
  <si>
    <r>
      <t>4/</t>
    </r>
    <r>
      <rPr>
        <sz val="10"/>
        <rFont val="Arial"/>
        <family val="2"/>
      </rPr>
      <t xml:space="preserve">  La ejecución del proyecto ha sido paralizada indefinidamente sin que éste haya alcanzado los objetivos propuestos.</t>
    </r>
  </si>
  <si>
    <r>
      <t xml:space="preserve">5/ </t>
    </r>
    <r>
      <rPr>
        <sz val="10"/>
        <rFont val="Arial"/>
        <family val="2"/>
      </rPr>
      <t xml:space="preserve"> Son aquellos proyectos que una vez concluída su vigencia de ejecución se dan por terminados. Generalmente los proyectos que terminan en un determinado año, se vienen ejecutando</t>
    </r>
  </si>
  <si>
    <t xml:space="preserve">     desde años atrás. Para efectos estadísticos, se contabilizan a partir del momento en que terminan su ejecución.</t>
  </si>
  <si>
    <r>
      <t xml:space="preserve">6/  </t>
    </r>
    <r>
      <rPr>
        <sz val="10"/>
        <rFont val="Arial"/>
        <family val="2"/>
      </rPr>
      <t>Ampliación de proyectos en desarrollo y se toman por periodo de vigencia.</t>
    </r>
  </si>
  <si>
    <r>
      <t xml:space="preserve">7/  </t>
    </r>
    <r>
      <rPr>
        <sz val="10"/>
        <rFont val="Arial"/>
        <family val="2"/>
      </rPr>
      <t>Reactivación de proyectos suspendidos.</t>
    </r>
  </si>
  <si>
    <t>Fuente:  Vicerrectoría de Investigación.</t>
  </si>
  <si>
    <t>Cuadro I-3:    Número de proyectos según estado.   2013 - 2017.</t>
  </si>
  <si>
    <r>
      <t xml:space="preserve">Activos  </t>
    </r>
    <r>
      <rPr>
        <vertAlign val="superscript"/>
        <sz val="12"/>
        <rFont val="Arial"/>
        <family val="2"/>
      </rPr>
      <t>1/</t>
    </r>
  </si>
  <si>
    <r>
      <t xml:space="preserve">Nuevos </t>
    </r>
    <r>
      <rPr>
        <vertAlign val="superscript"/>
        <sz val="12"/>
        <rFont val="Arial"/>
        <family val="2"/>
      </rPr>
      <t>2/</t>
    </r>
    <r>
      <rPr>
        <sz val="12"/>
        <rFont val="Arial"/>
        <family val="2"/>
      </rPr>
      <t xml:space="preserve"> </t>
    </r>
  </si>
  <si>
    <r>
      <t xml:space="preserve">Terminados  </t>
    </r>
    <r>
      <rPr>
        <vertAlign val="superscript"/>
        <sz val="12"/>
        <rFont val="Arial"/>
        <family val="2"/>
      </rPr>
      <t>3/</t>
    </r>
  </si>
  <si>
    <r>
      <t xml:space="preserve">Cerrados   </t>
    </r>
    <r>
      <rPr>
        <vertAlign val="superscript"/>
        <sz val="12"/>
        <rFont val="Arial"/>
        <family val="2"/>
      </rPr>
      <t>4/</t>
    </r>
  </si>
  <si>
    <r>
      <t xml:space="preserve">Suspendidos   </t>
    </r>
    <r>
      <rPr>
        <vertAlign val="superscript"/>
        <sz val="12"/>
        <rFont val="Arial"/>
        <family val="2"/>
      </rPr>
      <t>5/</t>
    </r>
  </si>
  <si>
    <r>
      <t xml:space="preserve">Ampliaciones </t>
    </r>
    <r>
      <rPr>
        <vertAlign val="superscript"/>
        <sz val="12"/>
        <rFont val="Arial"/>
        <family val="2"/>
      </rPr>
      <t>6/</t>
    </r>
  </si>
  <si>
    <r>
      <t xml:space="preserve">Reactivaciones </t>
    </r>
    <r>
      <rPr>
        <vertAlign val="superscript"/>
        <sz val="12"/>
        <rFont val="Arial"/>
        <family val="2"/>
      </rPr>
      <t>7/</t>
    </r>
  </si>
  <si>
    <r>
      <t>1/</t>
    </r>
    <r>
      <rPr>
        <sz val="11"/>
        <rFont val="Arial"/>
        <family val="2"/>
      </rPr>
      <t xml:space="preserve">  Propuestas aprobadas en la Vicerrectoría de Investigación.</t>
    </r>
  </si>
  <si>
    <r>
      <t>2/</t>
    </r>
    <r>
      <rPr>
        <sz val="11"/>
        <rFont val="Arial"/>
        <family val="2"/>
      </rPr>
      <t xml:space="preserve">  Todo proyecto que estuvo vigente en el periodo determinado.</t>
    </r>
  </si>
  <si>
    <r>
      <t xml:space="preserve">3/ </t>
    </r>
    <r>
      <rPr>
        <sz val="11"/>
        <rFont val="Arial"/>
        <family val="2"/>
      </rPr>
      <t xml:space="preserve"> Son aquellos proyectos que una vez concluída su vigencia de ejecución se dan por terminados. </t>
    </r>
  </si>
  <si>
    <r>
      <t xml:space="preserve">6/  </t>
    </r>
    <r>
      <rPr>
        <sz val="11"/>
        <rFont val="Arial"/>
        <family val="2"/>
      </rPr>
      <t>Ampliación de proyectos en desarrollo y se toman por periodo de vigencia.</t>
    </r>
  </si>
  <si>
    <r>
      <t xml:space="preserve">7/  </t>
    </r>
    <r>
      <rPr>
        <sz val="11"/>
        <rFont val="Arial"/>
        <family val="2"/>
      </rPr>
      <t>Reactivación de proyectos suspendidos.</t>
    </r>
  </si>
  <si>
    <t xml:space="preserve">                    Panorama Cuantitativo Universiatario</t>
  </si>
  <si>
    <t>Cuadro I-4:   Proyectos de investigación según tipo, por unidad.  2017</t>
  </si>
  <si>
    <r>
      <t xml:space="preserve">Total </t>
    </r>
    <r>
      <rPr>
        <vertAlign val="superscript"/>
        <sz val="10"/>
        <color indexed="8"/>
        <rFont val="Arial"/>
        <family val="2"/>
      </rPr>
      <t>1/</t>
    </r>
  </si>
  <si>
    <t>Básica</t>
  </si>
  <si>
    <t>Aplicada</t>
  </si>
  <si>
    <t>Tecnológica</t>
  </si>
  <si>
    <t xml:space="preserve">                                   Proyectos</t>
  </si>
  <si>
    <t xml:space="preserve">   Decanato de Bellas Artes</t>
  </si>
  <si>
    <t xml:space="preserve">   Decanato de Agronomía</t>
  </si>
  <si>
    <t xml:space="preserve">   Zootécnia</t>
  </si>
  <si>
    <t xml:space="preserve">    Agronomia</t>
  </si>
  <si>
    <t xml:space="preserve">    SI.B.D.I</t>
  </si>
  <si>
    <t xml:space="preserve">    SEP </t>
  </si>
  <si>
    <t xml:space="preserve">   C.I.A.N.</t>
  </si>
  <si>
    <t xml:space="preserve">   C.I.C.A.P</t>
  </si>
  <si>
    <t xml:space="preserve">   C.I.COM</t>
  </si>
  <si>
    <t xml:space="preserve">   CIDICER</t>
  </si>
  <si>
    <t xml:space="preserve">   C.I.E.DE.S.</t>
  </si>
  <si>
    <t xml:space="preserve">   C.I.C.G.</t>
  </si>
  <si>
    <t xml:space="preserve">   C.I.N.</t>
  </si>
  <si>
    <t xml:space="preserve">   C.I.T.I.C.</t>
  </si>
  <si>
    <t xml:space="preserve">   LANAMME</t>
  </si>
  <si>
    <t>Programa de Dirección Superior</t>
  </si>
  <si>
    <t xml:space="preserve">   Vicerrectoría de Docencia</t>
  </si>
  <si>
    <t>Unidades              Grado</t>
  </si>
  <si>
    <r>
      <t xml:space="preserve">Maestria  </t>
    </r>
    <r>
      <rPr>
        <vertAlign val="superscript"/>
        <sz val="10"/>
        <color indexed="8"/>
        <rFont val="Arial"/>
        <family val="2"/>
      </rPr>
      <t>2/</t>
    </r>
  </si>
  <si>
    <t xml:space="preserve">                                     Género</t>
  </si>
  <si>
    <t>Hombre</t>
  </si>
  <si>
    <t>Mujer</t>
  </si>
  <si>
    <t xml:space="preserve">  Programa de Docencia</t>
  </si>
  <si>
    <t xml:space="preserve">   Deacanato de Bellas Artes</t>
  </si>
  <si>
    <t xml:space="preserve">   Decanato de Letras</t>
  </si>
  <si>
    <t xml:space="preserve">   Decanato de Ciencias</t>
  </si>
  <si>
    <t xml:space="preserve">   Decanato de Ciencias Económicas</t>
  </si>
  <si>
    <t>Facultas de Derecho</t>
  </si>
  <si>
    <t xml:space="preserve">  Facultad de Cs. Agroalimentarias</t>
  </si>
  <si>
    <t xml:space="preserve">   Decanato de Cs. Agronómicas</t>
  </si>
  <si>
    <t xml:space="preserve">  Programa de Investigación</t>
  </si>
  <si>
    <t xml:space="preserve">   C.I.C.I.D.E.R.</t>
  </si>
  <si>
    <t xml:space="preserve">   PRODUS</t>
  </si>
  <si>
    <t xml:space="preserve">  Otros Programas</t>
  </si>
  <si>
    <t xml:space="preserve"> Vicerrectorías y otras unidades</t>
  </si>
  <si>
    <t xml:space="preserve">   Centro de informática</t>
  </si>
  <si>
    <t xml:space="preserve">   Centro de Evaluación Académica</t>
  </si>
  <si>
    <t xml:space="preserve">   Consejo Universitario</t>
  </si>
  <si>
    <t xml:space="preserve">   Administración</t>
  </si>
  <si>
    <t xml:space="preserve">   Vicerrectoría de Acción Social</t>
  </si>
  <si>
    <t xml:space="preserve">   Vicerrectoría de Vida Estudiantil</t>
  </si>
  <si>
    <t xml:space="preserve">   SIEDIN</t>
  </si>
  <si>
    <t xml:space="preserve">   Oficina de Salud</t>
  </si>
  <si>
    <t xml:space="preserve">   Semanario U</t>
  </si>
  <si>
    <t xml:space="preserve">   Rectoría </t>
  </si>
  <si>
    <t xml:space="preserve">   Deconocida</t>
  </si>
  <si>
    <t xml:space="preserve"> Sedes Regionales</t>
  </si>
  <si>
    <t>1/  La distribución vertical es con respecto al total de la Universidad y la horizontal es con respecto al total de la Unidad.</t>
  </si>
  <si>
    <r>
      <t xml:space="preserve">2/ </t>
    </r>
    <r>
      <rPr>
        <sz val="10"/>
        <rFont val="Arial"/>
        <family val="2"/>
      </rPr>
      <t xml:space="preserve"> En la Maestría se incluyen 45 especialidades, 23 en hombres y 22 en mujeres.</t>
    </r>
  </si>
  <si>
    <t>Activos</t>
  </si>
  <si>
    <t>Nuevos</t>
  </si>
  <si>
    <t>Terminados</t>
  </si>
  <si>
    <t>Ampliaciones</t>
  </si>
  <si>
    <t>Otros</t>
  </si>
  <si>
    <t>Apliacada</t>
  </si>
  <si>
    <t>Master</t>
  </si>
  <si>
    <t>F:\PLANI\PANORAMA\ESTAD-96\INVEST\PUBLICA</t>
  </si>
  <si>
    <t>Cuadro I-6   Número de ejemplares de revistas publicadas.  2017.</t>
  </si>
  <si>
    <t xml:space="preserve"> Revistas                       </t>
  </si>
  <si>
    <t>Publicaciones</t>
  </si>
  <si>
    <t xml:space="preserve">                                          Libros</t>
  </si>
  <si>
    <t>Total Revistas ingresadas</t>
  </si>
  <si>
    <t>Actualidaddes en Psicología</t>
  </si>
  <si>
    <t>Agronomía Costarricense</t>
  </si>
  <si>
    <t>Agronomía Mesoamericana</t>
  </si>
  <si>
    <t>Anuario de Estudios Centroamericanos</t>
  </si>
  <si>
    <t>Biología Tropical</t>
  </si>
  <si>
    <t>Ciencias Económicas</t>
  </si>
  <si>
    <t>Ciencias Sociales</t>
  </si>
  <si>
    <t>Cuadernos Inter, Cambio Bio.</t>
  </si>
  <si>
    <t>Educación</t>
  </si>
  <si>
    <t>Escena</t>
  </si>
  <si>
    <t>Estudios de Lingüística Chibcha</t>
  </si>
  <si>
    <t>Estudios</t>
  </si>
  <si>
    <t>Filología y Lingüística</t>
  </si>
  <si>
    <t>Filosofía</t>
  </si>
  <si>
    <t>Geológica de América Central</t>
  </si>
  <si>
    <t>Girasol</t>
  </si>
  <si>
    <t>Herencia</t>
  </si>
  <si>
    <t xml:space="preserve">Historia </t>
  </si>
  <si>
    <t>Humanidades</t>
  </si>
  <si>
    <t>Ingeniería</t>
  </si>
  <si>
    <t>Lankesteriana</t>
  </si>
  <si>
    <t>Lenguas Modernas</t>
  </si>
  <si>
    <t>Odovtos</t>
  </si>
  <si>
    <t>Káñina de Artes y Letras</t>
  </si>
  <si>
    <t>Reflexiones</t>
  </si>
  <si>
    <t>Matemáticas: Teoría y Aplicaciones</t>
  </si>
  <si>
    <t>Revista Filatélica</t>
  </si>
  <si>
    <t>Ciencias de la Administración</t>
  </si>
  <si>
    <t>Ciencias Exactas y Naturales</t>
  </si>
  <si>
    <t>Ingeniería y Tecnología</t>
  </si>
  <si>
    <t>Arte y Humanidades</t>
  </si>
  <si>
    <t>Ciencias Médicas</t>
  </si>
  <si>
    <t>Literatura</t>
  </si>
  <si>
    <t xml:space="preserve">Ciencias de la Educación </t>
  </si>
  <si>
    <t>Fuente:  Vicerrectoría de Investigación. Dirección Editorial y Difusión de la</t>
  </si>
  <si>
    <t xml:space="preserve">               Investigación.</t>
  </si>
  <si>
    <t>Modalidad</t>
  </si>
  <si>
    <t>Clasificación</t>
  </si>
  <si>
    <r>
      <t xml:space="preserve">Temas Generales </t>
    </r>
    <r>
      <rPr>
        <vertAlign val="superscript"/>
        <sz val="10"/>
        <rFont val="Arial"/>
        <family val="2"/>
      </rPr>
      <t>2/</t>
    </r>
  </si>
  <si>
    <r>
      <t xml:space="preserve">Libros de Texto </t>
    </r>
    <r>
      <rPr>
        <vertAlign val="superscript"/>
        <sz val="10"/>
        <rFont val="Arial"/>
        <family val="2"/>
      </rPr>
      <t>3/</t>
    </r>
  </si>
  <si>
    <t>Libros Nuevos</t>
  </si>
  <si>
    <r>
      <t xml:space="preserve">Tirajes bajo demanda </t>
    </r>
    <r>
      <rPr>
        <vertAlign val="superscript"/>
        <sz val="10"/>
        <rFont val="Arial"/>
        <family val="2"/>
      </rPr>
      <t>4/</t>
    </r>
  </si>
  <si>
    <r>
      <t xml:space="preserve">Reimpresiones </t>
    </r>
    <r>
      <rPr>
        <vertAlign val="superscript"/>
        <sz val="10"/>
        <rFont val="Arial"/>
        <family val="2"/>
      </rPr>
      <t>5/</t>
    </r>
  </si>
  <si>
    <t>Libros Digitales</t>
  </si>
  <si>
    <r>
      <t>1/</t>
    </r>
    <r>
      <rPr>
        <sz val="10"/>
        <rFont val="Arial"/>
        <family val="2"/>
      </rPr>
      <t xml:space="preserve">  La distribución vertical es con respecto al total de la Universidad y la horizontal es con respecto al total </t>
    </r>
  </si>
  <si>
    <r>
      <t xml:space="preserve">     </t>
    </r>
    <r>
      <rPr>
        <sz val="10"/>
        <rFont val="Arial"/>
        <family val="2"/>
      </rPr>
      <t>de las revistas.</t>
    </r>
  </si>
  <si>
    <r>
      <t xml:space="preserve">2/ </t>
    </r>
    <r>
      <rPr>
        <sz val="10"/>
        <rFont val="Arial"/>
        <family val="2"/>
      </rPr>
      <t>Los Libros nuevos de temas generales corresponden a los géneros de novelas, poesía, cuento e investigación.</t>
    </r>
  </si>
  <si>
    <r>
      <t xml:space="preserve">3/ </t>
    </r>
    <r>
      <rPr>
        <sz val="10"/>
        <rFont val="Arial"/>
        <family val="2"/>
      </rPr>
      <t>Los Libros Texto nuevos son aquellos que se utilizan en cursos universitarios.</t>
    </r>
  </si>
  <si>
    <r>
      <t xml:space="preserve">4/ </t>
    </r>
    <r>
      <rPr>
        <sz val="10"/>
        <rFont val="Arial"/>
        <family val="2"/>
      </rPr>
      <t xml:space="preserve">Se refiere a los tirajes parciales de una edición o una reimpresión, a partir de la solicitud de la Sección de </t>
    </r>
  </si>
  <si>
    <r>
      <t xml:space="preserve">     </t>
    </r>
    <r>
      <rPr>
        <sz val="10"/>
        <rFont val="Arial"/>
        <family val="2"/>
      </rPr>
      <t>Comercialización y Mercadeo.</t>
    </r>
  </si>
  <si>
    <r>
      <t xml:space="preserve">5/ </t>
    </r>
    <r>
      <rPr>
        <sz val="10"/>
        <rFont val="Arial"/>
        <family val="2"/>
      </rPr>
      <t>Las reimpresiones y tiraje bajo demanda son solicitadas por la sección de Comercialización y Mercadeo.</t>
    </r>
  </si>
  <si>
    <t>Fuente:  Vicerrectoría de Investigación.  Dirección Editorial y Difusión de la Investigación.</t>
  </si>
  <si>
    <t>Cuadro I-8   Número de usuarios atendidos, según tipo de servicio, por biblioteca.   2017</t>
  </si>
  <si>
    <t>Biblioteca                   Tipo de</t>
  </si>
  <si>
    <r>
      <t xml:space="preserve">              Total </t>
    </r>
    <r>
      <rPr>
        <vertAlign val="superscript"/>
        <sz val="10"/>
        <rFont val="Arial"/>
        <family val="2"/>
      </rPr>
      <t>1/</t>
    </r>
  </si>
  <si>
    <r>
      <t xml:space="preserve">Circulación </t>
    </r>
    <r>
      <rPr>
        <vertAlign val="superscript"/>
        <sz val="10"/>
        <rFont val="Arial"/>
        <family val="2"/>
      </rPr>
      <t>2/</t>
    </r>
  </si>
  <si>
    <r>
      <t xml:space="preserve">Referencia </t>
    </r>
    <r>
      <rPr>
        <vertAlign val="superscript"/>
        <sz val="10"/>
        <rFont val="Arial"/>
        <family val="2"/>
      </rPr>
      <t>3/</t>
    </r>
  </si>
  <si>
    <r>
      <t xml:space="preserve">Audiovisuales </t>
    </r>
    <r>
      <rPr>
        <vertAlign val="superscript"/>
        <sz val="10"/>
        <rFont val="Arial"/>
        <family val="2"/>
      </rPr>
      <t>4/</t>
    </r>
  </si>
  <si>
    <r>
      <t xml:space="preserve">Servicios Administrativos </t>
    </r>
    <r>
      <rPr>
        <vertAlign val="superscript"/>
        <sz val="10"/>
        <rFont val="Arial"/>
        <family val="2"/>
      </rPr>
      <t>5/</t>
    </r>
  </si>
  <si>
    <r>
      <t xml:space="preserve">Otros Servicios </t>
    </r>
    <r>
      <rPr>
        <vertAlign val="superscript"/>
        <sz val="10"/>
        <rFont val="Arial"/>
        <family val="2"/>
      </rPr>
      <t>6/</t>
    </r>
  </si>
  <si>
    <t xml:space="preserve">                          Servicio</t>
  </si>
  <si>
    <t xml:space="preserve">  abs.</t>
  </si>
  <si>
    <t xml:space="preserve">  %</t>
  </si>
  <si>
    <t>Carlos Monge Alfaro</t>
  </si>
  <si>
    <t xml:space="preserve">Luis Demetrio Tinoco </t>
  </si>
  <si>
    <t>Biblioteca de Ciencias de la Salud</t>
  </si>
  <si>
    <t>Biblioteca de Ciencias Agroalimentarias</t>
  </si>
  <si>
    <t>Biblioteca de Derecho</t>
  </si>
  <si>
    <t>Biblioteca de Artes Musicales</t>
  </si>
  <si>
    <t>Centro Centroamericano Población</t>
  </si>
  <si>
    <t>Biblioteca de Educación</t>
  </si>
  <si>
    <t>Biblioteca Eugenio Fonseca Tortós</t>
  </si>
  <si>
    <t>Biblioteca Francisco Amighetti</t>
  </si>
  <si>
    <t>CEDO-CIHAC</t>
  </si>
  <si>
    <t>Biblioteca de LANAMME</t>
  </si>
  <si>
    <t>Biblioteca de Arquitectura</t>
  </si>
  <si>
    <r>
      <t xml:space="preserve">1/ </t>
    </r>
    <r>
      <rPr>
        <sz val="10"/>
        <rFont val="Arial"/>
        <family val="2"/>
      </rPr>
      <t xml:space="preserve"> La distribución vertical es con respecto al total de la Universidad y la horizontal es con respecto a la Unidad.</t>
    </r>
  </si>
  <si>
    <r>
      <t>2/</t>
    </r>
    <r>
      <rPr>
        <sz val="10"/>
        <rFont val="Arial"/>
        <family val="2"/>
      </rPr>
      <t xml:space="preserve">  Incluye servicios como:  información general y colección e inscripción de usuarios.</t>
    </r>
  </si>
  <si>
    <r>
      <t>3/</t>
    </r>
    <r>
      <rPr>
        <sz val="10"/>
        <rFont val="Arial"/>
        <family val="2"/>
      </rPr>
      <t xml:space="preserve">  Incluye colecciones y catálogos, archivo vertical, servicio de alerta, acceso bases de datos, educación de usuarios, bibliografías especializadas, préstamo interbibliotecario</t>
    </r>
  </si>
  <si>
    <t xml:space="preserve">     y publicaciones periódicas.</t>
  </si>
  <si>
    <r>
      <t xml:space="preserve">4/ </t>
    </r>
    <r>
      <rPr>
        <sz val="10"/>
        <rFont val="Arial"/>
        <family val="2"/>
      </rPr>
      <t xml:space="preserve"> Incluye proyecciones, audiciones, grabaciones y reproducciones, asesorías en módulos A.V., solicitudes de equipo, ediciones de T.V., lecturas de microformas, transferencias</t>
    </r>
  </si>
  <si>
    <t xml:space="preserve">     videos, reservación de salas y usuarios atendidos en salas. </t>
  </si>
  <si>
    <r>
      <t xml:space="preserve">5/ </t>
    </r>
    <r>
      <rPr>
        <sz val="10"/>
        <rFont val="Arial"/>
        <family val="2"/>
      </rPr>
      <t xml:space="preserve"> Incluye los servicios administrativos de las bibliotecas Carlos Monge y Luis Demetrio Tinoco,  Ciencias de la Salud, Ciencias Agroalimentarias y Lanamme.</t>
    </r>
  </si>
  <si>
    <r>
      <t xml:space="preserve">6/  </t>
    </r>
    <r>
      <rPr>
        <sz val="10"/>
        <rFont val="Arial"/>
        <family val="2"/>
      </rPr>
      <t>Incluye usuarios atendidos por correo electrónico, en laboratorios y por teléfono y en el Centro de Cómputo.</t>
    </r>
  </si>
  <si>
    <t>Fuente:  Informe Anual. Sistema de Bibliotecas, Documentación e Información.</t>
  </si>
  <si>
    <t xml:space="preserve">                  Oficina de Planificación Universitaria.</t>
  </si>
  <si>
    <t>Cuadro I-9    Número de usuarios atendidos por tipo de servicio.  2013 - 2017</t>
  </si>
  <si>
    <t>Tipo de                    Año</t>
  </si>
  <si>
    <t xml:space="preserve"> Servicio                  </t>
  </si>
  <si>
    <t>abs</t>
  </si>
  <si>
    <r>
      <t xml:space="preserve">Circulación  </t>
    </r>
    <r>
      <rPr>
        <vertAlign val="superscript"/>
        <sz val="12"/>
        <rFont val="Arial"/>
        <family val="2"/>
      </rPr>
      <t>1/</t>
    </r>
  </si>
  <si>
    <r>
      <t xml:space="preserve">Referencia  </t>
    </r>
    <r>
      <rPr>
        <vertAlign val="superscript"/>
        <sz val="12"/>
        <rFont val="Arial"/>
        <family val="2"/>
      </rPr>
      <t>2/</t>
    </r>
  </si>
  <si>
    <r>
      <t xml:space="preserve">Audiovisuales  </t>
    </r>
    <r>
      <rPr>
        <vertAlign val="superscript"/>
        <sz val="12"/>
        <rFont val="Arial"/>
        <family val="2"/>
      </rPr>
      <t>3/</t>
    </r>
  </si>
  <si>
    <r>
      <t xml:space="preserve">Servicios Administrativos  </t>
    </r>
    <r>
      <rPr>
        <vertAlign val="superscript"/>
        <sz val="12"/>
        <rFont val="Arial"/>
        <family val="2"/>
      </rPr>
      <t>4/</t>
    </r>
  </si>
  <si>
    <r>
      <t xml:space="preserve">Otros Servicios   </t>
    </r>
    <r>
      <rPr>
        <vertAlign val="superscript"/>
        <sz val="12"/>
        <rFont val="Arial"/>
        <family val="2"/>
      </rPr>
      <t>5/</t>
    </r>
  </si>
  <si>
    <r>
      <t xml:space="preserve">2/ </t>
    </r>
    <r>
      <rPr>
        <sz val="12"/>
        <rFont val="Arial"/>
        <family val="2"/>
      </rPr>
      <t xml:space="preserve"> Incluye colecciones y catálogos, archivo vertical, servicio de alerta, acceso bases de datos, educación de usuarios, bibliografías </t>
    </r>
  </si>
  <si>
    <t xml:space="preserve">   especializadas, préstamo interbibliotecario y publicaciones periódicas. </t>
  </si>
  <si>
    <r>
      <t>3/</t>
    </r>
    <r>
      <rPr>
        <sz val="12"/>
        <rFont val="Arial"/>
        <family val="2"/>
      </rPr>
      <t xml:space="preserve">  Incluye videoconferencias, proyecciones, audiciones, grabaciones y reproducciones, asesorías en módulos A.V., solicitudes de equipo y auditorio en</t>
    </r>
  </si>
  <si>
    <t xml:space="preserve">     las Bibliotecas Luis Demetrio  Tinoco, Carlos Monge  Alfaro, Ciencias de la Salud y Artes Musicales</t>
  </si>
  <si>
    <r>
      <t>4/</t>
    </r>
    <r>
      <rPr>
        <sz val="12"/>
        <rFont val="Arial"/>
        <family val="2"/>
      </rPr>
      <t xml:space="preserve"> Incluye los servicios administrativos ( usuarios atendidos en la secretaria ) de las </t>
    </r>
  </si>
  <si>
    <t xml:space="preserve">  Bibliotecas Carlos Monge y Luis Demetrio Tinoco,  Ciencias de la Salud, Ciencias Agroalimentaria y Lanamme.</t>
  </si>
  <si>
    <r>
      <t xml:space="preserve">5/ </t>
    </r>
    <r>
      <rPr>
        <sz val="12"/>
        <rFont val="Arial"/>
        <family val="2"/>
      </rPr>
      <t>Incluye usuarios atendidos por email, en laboratorios y por telefono.</t>
    </r>
  </si>
  <si>
    <t>Fuente: Informe anual. Sistema de Bibliotecas, Documentación e Información.</t>
  </si>
  <si>
    <t>Cuadro I-10  Número de  títulos impresos nuevos,  por modalidad de adquisición.  2017</t>
  </si>
  <si>
    <t xml:space="preserve"> Modalidad      Tipo de    </t>
  </si>
  <si>
    <r>
      <t xml:space="preserve">Monografías </t>
    </r>
    <r>
      <rPr>
        <vertAlign val="superscript"/>
        <sz val="10"/>
        <rFont val="Arial"/>
        <family val="2"/>
      </rPr>
      <t>1/</t>
    </r>
  </si>
  <si>
    <r>
      <t>Publ. Periódicas</t>
    </r>
    <r>
      <rPr>
        <vertAlign val="superscript"/>
        <sz val="10"/>
        <rFont val="Arial"/>
        <family val="2"/>
      </rPr>
      <t xml:space="preserve"> </t>
    </r>
  </si>
  <si>
    <t xml:space="preserve">Audiovisuales </t>
  </si>
  <si>
    <r>
      <t xml:space="preserve">Especiales </t>
    </r>
    <r>
      <rPr>
        <vertAlign val="superscript"/>
        <sz val="10"/>
        <rFont val="Arial"/>
        <family val="2"/>
      </rPr>
      <t>2/</t>
    </r>
  </si>
  <si>
    <t xml:space="preserve">                 Material</t>
  </si>
  <si>
    <t xml:space="preserve">Compra </t>
  </si>
  <si>
    <t>Canje</t>
  </si>
  <si>
    <t>Donación</t>
  </si>
  <si>
    <t>Biblioteca Depositaria</t>
  </si>
  <si>
    <t>Ley de Prop. Intelectual</t>
  </si>
  <si>
    <t>Régimen Académico</t>
  </si>
  <si>
    <r>
      <t>1/</t>
    </r>
    <r>
      <rPr>
        <sz val="10"/>
        <rFont val="Arial"/>
        <family val="2"/>
      </rPr>
      <t xml:space="preserve">  Incluye libros,  trabajos finales de graduación, proyectos de investigación impresos.</t>
    </r>
  </si>
  <si>
    <r>
      <t>2/</t>
    </r>
    <r>
      <rPr>
        <sz val="10"/>
        <rFont val="Arial"/>
        <family val="2"/>
      </rPr>
      <t xml:space="preserve">  Incluye material cartográfico y gráfico.</t>
    </r>
  </si>
  <si>
    <t>Fuente:  Informe Anual. Sistema de  Bibliotecas, Documentación e Información.</t>
  </si>
  <si>
    <t>Cuadro I-11  Número de  títulos eletrónicos nuevos,  por modalidad de adquisición.  2017</t>
  </si>
  <si>
    <t>Modelos interactivos</t>
  </si>
  <si>
    <r>
      <t>Publ. Periódicas</t>
    </r>
    <r>
      <rPr>
        <vertAlign val="superscript"/>
        <sz val="10"/>
        <rFont val="Arial"/>
        <family val="2"/>
      </rPr>
      <t xml:space="preserve"> 2/</t>
    </r>
  </si>
  <si>
    <r>
      <t xml:space="preserve">Otros Materiales </t>
    </r>
    <r>
      <rPr>
        <vertAlign val="superscript"/>
        <sz val="10"/>
        <rFont val="Arial"/>
        <family val="2"/>
      </rPr>
      <t>3/</t>
    </r>
  </si>
  <si>
    <t>Conferencias</t>
  </si>
  <si>
    <t>Estándares</t>
  </si>
  <si>
    <t>Protocolos</t>
  </si>
  <si>
    <r>
      <t xml:space="preserve">Imágenes y Videos </t>
    </r>
    <r>
      <rPr>
        <vertAlign val="superscript"/>
        <sz val="10"/>
        <rFont val="Arial"/>
        <family val="2"/>
      </rPr>
      <t>4/</t>
    </r>
  </si>
  <si>
    <t>En 3D y estructuras</t>
  </si>
  <si>
    <r>
      <t>2/</t>
    </r>
    <r>
      <rPr>
        <sz val="10"/>
        <rFont val="Arial"/>
        <family val="2"/>
      </rPr>
      <t xml:space="preserve">  Incluye normas electrónicas de la Base de Datos Master Lex y publicaciones periódicas contenidas en bases de datos (159.935)</t>
    </r>
  </si>
  <si>
    <r>
      <t>3/</t>
    </r>
    <r>
      <rPr>
        <sz val="10"/>
        <rFont val="Arial"/>
        <family val="2"/>
      </rPr>
      <t xml:space="preserve">  Es todo aquel material, libro, mapa, acompañante en formato electrónico  (diskette, disco</t>
    </r>
  </si>
  <si>
    <r>
      <rPr>
        <vertAlign val="superscript"/>
        <sz val="10"/>
        <rFont val="Arial"/>
        <family val="2"/>
      </rPr>
      <t>4/</t>
    </r>
    <r>
      <rPr>
        <sz val="10"/>
        <rFont val="Arial"/>
        <family val="2"/>
      </rPr>
      <t xml:space="preserve"> Incluye 5.366.300  Imágenes en Compra y 55.707 videos en Compra </t>
    </r>
  </si>
  <si>
    <t>Cuadro I-12 Ejemplares procesados por tipo de material y bibliotecas en la Sede Rodrigo Facio y Sedes Regionales 2017</t>
  </si>
  <si>
    <t xml:space="preserve"> Tipo de                     </t>
  </si>
  <si>
    <t xml:space="preserve">Sede </t>
  </si>
  <si>
    <t>Otras Sedes</t>
  </si>
  <si>
    <t xml:space="preserve">  Material                  Sede</t>
  </si>
  <si>
    <t>Rodrigo Facio</t>
  </si>
  <si>
    <t>Universitarias</t>
  </si>
  <si>
    <t xml:space="preserve">  y Colección </t>
  </si>
  <si>
    <t>Total General</t>
  </si>
  <si>
    <t xml:space="preserve">  Áreas del Conocimiento</t>
  </si>
  <si>
    <t xml:space="preserve">    Bellas Artes</t>
  </si>
  <si>
    <t xml:space="preserve">    Ciencias aplicadas</t>
  </si>
  <si>
    <t xml:space="preserve">    Ciencias puras</t>
  </si>
  <si>
    <t xml:space="preserve">    Ciencias Sociales</t>
  </si>
  <si>
    <t xml:space="preserve">    Filosofía y afines</t>
  </si>
  <si>
    <t xml:space="preserve">    Historia y Geografía</t>
  </si>
  <si>
    <t xml:space="preserve">    Informática, Cs. de la Información</t>
  </si>
  <si>
    <t xml:space="preserve">    y obras generales</t>
  </si>
  <si>
    <t xml:space="preserve">    Lenguas</t>
  </si>
  <si>
    <t xml:space="preserve">    Literatura</t>
  </si>
  <si>
    <t xml:space="preserve">    Religión</t>
  </si>
  <si>
    <t xml:space="preserve">  Colecciones Especiales</t>
  </si>
  <si>
    <t xml:space="preserve">    Becas (Libros)</t>
  </si>
  <si>
    <t xml:space="preserve">    Colección Eduardo Ortiz Ortiz</t>
  </si>
  <si>
    <t xml:space="preserve">    (solo en Derecho)</t>
  </si>
  <si>
    <t xml:space="preserve">    Estante alto</t>
  </si>
  <si>
    <r>
      <t xml:space="preserve">    Libros especiales </t>
    </r>
    <r>
      <rPr>
        <vertAlign val="superscript"/>
        <sz val="10"/>
        <rFont val="Arial"/>
        <family val="2"/>
      </rPr>
      <t>1/</t>
    </r>
  </si>
  <si>
    <t xml:space="preserve">    Normas</t>
  </si>
  <si>
    <t xml:space="preserve">    Proyectos de investigación</t>
  </si>
  <si>
    <t xml:space="preserve">    Referencias</t>
  </si>
  <si>
    <t xml:space="preserve">    Indice y Abstracciones </t>
  </si>
  <si>
    <t xml:space="preserve">    Trabajos finales de graduación</t>
  </si>
  <si>
    <t>Otros Materiales Bibliográficos</t>
  </si>
  <si>
    <r>
      <t xml:space="preserve">  Audiovisuales  </t>
    </r>
    <r>
      <rPr>
        <vertAlign val="superscript"/>
        <sz val="10"/>
        <rFont val="Arial"/>
        <family val="2"/>
      </rPr>
      <t>2/</t>
    </r>
  </si>
  <si>
    <r>
      <t xml:space="preserve">  Electrónicos </t>
    </r>
    <r>
      <rPr>
        <vertAlign val="superscript"/>
        <sz val="10"/>
        <rFont val="Arial"/>
        <family val="2"/>
      </rPr>
      <t>3/</t>
    </r>
  </si>
  <si>
    <t xml:space="preserve">  Mapas y Atlas</t>
  </si>
  <si>
    <t xml:space="preserve">  Música impresa</t>
  </si>
  <si>
    <t xml:space="preserve">  Publicac. Periódicas </t>
  </si>
  <si>
    <r>
      <rPr>
        <vertAlign val="superscript"/>
        <sz val="10"/>
        <rFont val="Arial"/>
        <family val="2"/>
      </rPr>
      <t>2/</t>
    </r>
    <r>
      <rPr>
        <sz val="10"/>
        <rFont val="Arial"/>
        <family val="2"/>
        <charset val="1"/>
      </rPr>
      <t xml:space="preserve"> Incluye videograbaciones, grabaciones sonoras, materiales gráficos, artefactos tridimensionales, multimedios y microfichas</t>
    </r>
  </si>
  <si>
    <r>
      <t>3/</t>
    </r>
    <r>
      <rPr>
        <sz val="10"/>
        <rFont val="Arial"/>
        <family val="2"/>
      </rPr>
      <t xml:space="preserve"> Incluye disquetes, discos compactos y discos compactos de datos.</t>
    </r>
  </si>
  <si>
    <t>Cuadro I-13  Préstamo de Materiales Bibliográficos, equipo audiovisual, salas y auditorios, según tipo de servicio, por biblioteca.   2015</t>
  </si>
  <si>
    <r>
      <t xml:space="preserve">Otros </t>
    </r>
    <r>
      <rPr>
        <vertAlign val="superscript"/>
        <sz val="10"/>
        <rFont val="Arial"/>
        <family val="2"/>
      </rPr>
      <t>5/</t>
    </r>
  </si>
  <si>
    <t>Biblioteca Carlos Monge Alfaro</t>
  </si>
  <si>
    <t xml:space="preserve">Biblioteca Luis Demetrio Tinoco </t>
  </si>
  <si>
    <t>Biblioteca  de Ciencias de la Salud</t>
  </si>
  <si>
    <r>
      <t>3/</t>
    </r>
    <r>
      <rPr>
        <sz val="10"/>
        <rFont val="Arial"/>
        <family val="2"/>
      </rPr>
      <t xml:space="preserve">  Incluye carpetas de archivo vertical, diccionarios, enciclopedias, mapas, atlas y publicaciones periódicas a sala y domicilio, departamento, </t>
    </r>
  </si>
  <si>
    <t xml:space="preserve">     e interbibliotecario.</t>
  </si>
  <si>
    <r>
      <t xml:space="preserve">4/ </t>
    </r>
    <r>
      <rPr>
        <sz val="10"/>
        <rFont val="Arial"/>
        <family val="2"/>
      </rPr>
      <t xml:space="preserve"> Incluye el préstamo de material y equipo audiovisual, salas y auditorios.</t>
    </r>
  </si>
  <si>
    <r>
      <t xml:space="preserve">5/ </t>
    </r>
    <r>
      <rPr>
        <sz val="10"/>
        <rFont val="Arial"/>
        <family val="2"/>
      </rPr>
      <t xml:space="preserve"> Corresponde a Préstamos de Equipo y Ayudas Técnicas.</t>
    </r>
  </si>
  <si>
    <t xml:space="preserve">Circulación </t>
  </si>
  <si>
    <t>referencia</t>
  </si>
  <si>
    <t>audiovisuales</t>
  </si>
  <si>
    <t>Serv. Administrativos</t>
  </si>
  <si>
    <t>Proyectos           Año</t>
  </si>
  <si>
    <t xml:space="preserve">    Generalmente los proyectos que terminan en un determinado año, se vienen ejecutando desde </t>
  </si>
  <si>
    <t xml:space="preserve">     ejecucion.</t>
  </si>
  <si>
    <t xml:space="preserve">    años atrás. Para efectos estadísticos, se contabilizan a partir del momento en que terminan su </t>
  </si>
  <si>
    <t xml:space="preserve">      objetivos propuestos.</t>
  </si>
  <si>
    <r>
      <t>4/</t>
    </r>
    <r>
      <rPr>
        <sz val="11"/>
        <rFont val="Arial"/>
        <family val="2"/>
      </rPr>
      <t xml:space="preserve">  La ejecución del proyecto ha sido paralizada indefinidamente sin que éste haya alcanzado los</t>
    </r>
  </si>
  <si>
    <t xml:space="preserve">    registradas para el proyecto se encuentran suspendidas.  Para 2014 y 2015 no hubo.</t>
  </si>
  <si>
    <r>
      <t>5/</t>
    </r>
    <r>
      <rPr>
        <sz val="11"/>
        <rFont val="Arial"/>
        <family val="2"/>
      </rPr>
      <t xml:space="preserve">  La  ejecución  del  proyecto ha  sido  paralizada  temporalmente,  por  lo tanto, las actividades </t>
    </r>
  </si>
  <si>
    <t xml:space="preserve">    al  total de la Unidad.</t>
  </si>
  <si>
    <r>
      <t xml:space="preserve">1/ </t>
    </r>
    <r>
      <rPr>
        <sz val="11"/>
        <color theme="1"/>
        <rFont val="Calibri"/>
        <family val="2"/>
        <scheme val="minor"/>
      </rPr>
      <t xml:space="preserve"> La distribución vertical es con respecto al total de la Universidad, y la distribución horizontal es con respecto</t>
    </r>
  </si>
  <si>
    <t>ACCIÓN SOCIAL</t>
  </si>
  <si>
    <t>Cuadro AS1</t>
  </si>
  <si>
    <t>Distribución de plazas del Programa de Acción Social, por programa y subprograma.  2017. (Ver Gráfico AS1)</t>
  </si>
  <si>
    <t>Extensión Docente</t>
  </si>
  <si>
    <t>Cuadro AS2</t>
  </si>
  <si>
    <t>Número de proyectos y cursos de Extensión Docente, distribuidos por sede y área. 2013-2017. (Ver Gráfico AS2)</t>
  </si>
  <si>
    <t>Cuadro AS3</t>
  </si>
  <si>
    <t>Número de profesores que participaron en los proyectos de extensión docente, distribuidos según categoría  por grado académico. 2017</t>
  </si>
  <si>
    <t>Trabajo Comunal Universitario</t>
  </si>
  <si>
    <t>Cuadro AS4</t>
  </si>
  <si>
    <t>Número de proyectos de Trabajo Comunal Universitario, por unidad. 2017. (Ver Gráfico AS3)</t>
  </si>
  <si>
    <t>Cuadro AS5</t>
  </si>
  <si>
    <t>Extensión Cultural</t>
  </si>
  <si>
    <t>Cuadro AS6</t>
  </si>
  <si>
    <t>Número de proyectos de Extensión Cultural, según unidades.  2017 (Ver Gráfico AS4)</t>
  </si>
  <si>
    <t>Cuadro AS7</t>
  </si>
  <si>
    <t>Número de profesores que participaron en los proyectos de extensión cultural, distribuidos según categoría  por grado académico. 2017</t>
  </si>
  <si>
    <t>Cuadro AS8</t>
  </si>
  <si>
    <t>Programa Integral sobre el Envejecimiento</t>
  </si>
  <si>
    <t>Cuadro AS9</t>
  </si>
  <si>
    <r>
      <t>Número de estudiantes matriculados en el Programa Integral para la persona Adulta y  Adulta Mayor, distribuidos según edad, por ciclo lectivo. 2017.</t>
    </r>
    <r>
      <rPr>
        <sz val="10"/>
        <color theme="1"/>
        <rFont val="Times New Roman"/>
        <family val="1"/>
      </rPr>
      <t xml:space="preserve"> </t>
    </r>
  </si>
  <si>
    <t>Cuadro AS10</t>
  </si>
  <si>
    <t>Número de cursos ofrecidos por el Programa Integral para la persona Adulta y Adulta Mayor, distribuidos según unidad, por ciclo lectivo. 2017.</t>
  </si>
  <si>
    <t>Cuadro AS-1  Distribución de Plazas en el Programa de Acción Social, por programa y subprograma.  2017</t>
  </si>
  <si>
    <t xml:space="preserve">Sede Rodrigo Facio </t>
  </si>
  <si>
    <t>Cuadro AS2:  Número de  proyectos de Extensión Docente, distribuidos por sede y área. 2013 - 2017.</t>
  </si>
  <si>
    <t>Sede                               Año</t>
  </si>
  <si>
    <t xml:space="preserve">     Área</t>
  </si>
  <si>
    <t xml:space="preserve"> Área de Artes y Letras</t>
  </si>
  <si>
    <t xml:space="preserve"> Área de Ciencias Básicas</t>
  </si>
  <si>
    <t xml:space="preserve"> Área de Ciencias Sociales</t>
  </si>
  <si>
    <t xml:space="preserve">   Antropología y Sociología</t>
  </si>
  <si>
    <t xml:space="preserve">   Historia y Geografía</t>
  </si>
  <si>
    <t xml:space="preserve"> Área de Salud</t>
  </si>
  <si>
    <t xml:space="preserve"> Área de Ciencias Agroalimentarias</t>
  </si>
  <si>
    <t xml:space="preserve"> Área de Ingeniería y Arquitectura</t>
  </si>
  <si>
    <t xml:space="preserve">   Economía Agrícola</t>
  </si>
  <si>
    <t xml:space="preserve">   Fitotecnia</t>
  </si>
  <si>
    <r>
      <t xml:space="preserve"> Otras Unidades </t>
    </r>
    <r>
      <rPr>
        <vertAlign val="superscript"/>
        <sz val="12"/>
        <rFont val="Arial"/>
        <family val="2"/>
      </rPr>
      <t>1/</t>
    </r>
  </si>
  <si>
    <t>1/ Corresponden a proyectos en Oficinas administrativas.</t>
  </si>
  <si>
    <t>Fuente:  Vicerrectoría de Acción Social.</t>
  </si>
  <si>
    <t>Cuadro AS3 : Número de profesores que participaron en los proyectos de Extensión Docente, distribuidos según categoría,</t>
  </si>
  <si>
    <t xml:space="preserve">                        por grado académico.  2016</t>
  </si>
  <si>
    <t xml:space="preserve">Categoría       </t>
  </si>
  <si>
    <r>
      <t xml:space="preserve">Total </t>
    </r>
    <r>
      <rPr>
        <vertAlign val="superscript"/>
        <sz val="12"/>
        <rFont val="Arial"/>
        <family val="2"/>
      </rPr>
      <t>1/</t>
    </r>
  </si>
  <si>
    <r>
      <t xml:space="preserve">Otros </t>
    </r>
    <r>
      <rPr>
        <vertAlign val="superscript"/>
        <sz val="12"/>
        <rFont val="Arial"/>
        <family val="2"/>
      </rPr>
      <t>2/</t>
    </r>
  </si>
  <si>
    <t xml:space="preserve">                          Grado</t>
  </si>
  <si>
    <t xml:space="preserve">    abs.</t>
  </si>
  <si>
    <t>Ad honorem</t>
  </si>
  <si>
    <t>Invitado</t>
  </si>
  <si>
    <t>Exbecario</t>
  </si>
  <si>
    <t>No se indica</t>
  </si>
  <si>
    <r>
      <t xml:space="preserve">1/ </t>
    </r>
    <r>
      <rPr>
        <sz val="12"/>
        <rFont val="Arial"/>
        <family val="2"/>
      </rPr>
      <t xml:space="preserve"> La distribución vertical es con respecto al total de la Universidad y la horizontal es con respecto al total de la Unidad.</t>
    </r>
  </si>
  <si>
    <t>Artes y Letras</t>
  </si>
  <si>
    <t>Cs. Basicas</t>
  </si>
  <si>
    <t>Otras Unidades</t>
  </si>
  <si>
    <t xml:space="preserve">   Unidades</t>
  </si>
  <si>
    <t>Sin área académica especificada</t>
  </si>
  <si>
    <t xml:space="preserve">  Sede Regional de Occidente  </t>
  </si>
  <si>
    <t xml:space="preserve">  Sede Regional del Atlántico</t>
  </si>
  <si>
    <t xml:space="preserve">  Sede Regional del Caribe</t>
  </si>
  <si>
    <t xml:space="preserve">                        por grado académico.  2017</t>
  </si>
  <si>
    <t>Adjunto (a)</t>
  </si>
  <si>
    <t>Interino Bachiller</t>
  </si>
  <si>
    <t>Interino en Regimen</t>
  </si>
  <si>
    <t>Interino Licenciado (a)</t>
  </si>
  <si>
    <t xml:space="preserve">Invitado </t>
  </si>
  <si>
    <t>Sin Datos</t>
  </si>
  <si>
    <t>Cs. Socilaes</t>
  </si>
  <si>
    <t>Artes y letras</t>
  </si>
  <si>
    <t>Cuadro AS6   Número de proyectos de Extención Cultural, por sede y área. 2017</t>
  </si>
  <si>
    <t>Oficinas Administrativas</t>
  </si>
  <si>
    <t>Cuadro AS7 : Número de profesores que participaron en los proyectos de Extensión Cultural, distribuidos según categoría,</t>
  </si>
  <si>
    <t>Asociado (a)</t>
  </si>
  <si>
    <t>Catedrático (a)</t>
  </si>
  <si>
    <t>Instructor (a)</t>
  </si>
  <si>
    <t>Interino en Régimen</t>
  </si>
  <si>
    <t>Fuente: Vicerrectoría de Acción Social.</t>
  </si>
  <si>
    <t>Ofic. Administrativa</t>
  </si>
  <si>
    <t>Cuadro AS9:  Número de  estudiantes matriculados en el Programa Integral para</t>
  </si>
  <si>
    <t xml:space="preserve">                        la  Persona Adulta y Adulta Mayor, distribuidos según edad, por</t>
  </si>
  <si>
    <t xml:space="preserve">                        ciclo lectivo. 2017</t>
  </si>
  <si>
    <t xml:space="preserve"> Edad      </t>
  </si>
  <si>
    <t xml:space="preserve">         %</t>
  </si>
  <si>
    <t xml:space="preserve">  80 años y más</t>
  </si>
  <si>
    <t xml:space="preserve">   De 75 a 79</t>
  </si>
  <si>
    <t xml:space="preserve">   De 70 a 74</t>
  </si>
  <si>
    <t xml:space="preserve">   De 65 a 69</t>
  </si>
  <si>
    <t xml:space="preserve">   De 60 a 64</t>
  </si>
  <si>
    <t xml:space="preserve">   De 55 a 59</t>
  </si>
  <si>
    <t xml:space="preserve">   De 50 a 54</t>
  </si>
  <si>
    <t xml:space="preserve">   Menos de 50</t>
  </si>
  <si>
    <t>Cuadro AS10 : Número de cursos ofrecidos por el Programa Integral para la Persona Adulta</t>
  </si>
  <si>
    <t xml:space="preserve">                           y Adulta Mayor, según unidad, por ciclo lectivo.  2017</t>
  </si>
  <si>
    <t xml:space="preserve">Ciclo        </t>
  </si>
  <si>
    <t xml:space="preserve">I ciclo </t>
  </si>
  <si>
    <t xml:space="preserve">                      Unidad</t>
  </si>
  <si>
    <t xml:space="preserve">Estudios Generales </t>
  </si>
  <si>
    <t xml:space="preserve">Artes Plásticas </t>
  </si>
  <si>
    <t xml:space="preserve">Lenguas Modernas </t>
  </si>
  <si>
    <t>Física</t>
  </si>
  <si>
    <t>Geología</t>
  </si>
  <si>
    <t>Química</t>
  </si>
  <si>
    <t>Derecho</t>
  </si>
  <si>
    <t>Orientación y Educación Espec.</t>
  </si>
  <si>
    <t>Educación Física y Deportes</t>
  </si>
  <si>
    <t>Cs de la Comunicación Colectiva</t>
  </si>
  <si>
    <t>Psicología</t>
  </si>
  <si>
    <t xml:space="preserve">Ciencias Políticas </t>
  </si>
  <si>
    <t>Trabajo Social</t>
  </si>
  <si>
    <t>Historia</t>
  </si>
  <si>
    <t>Geografía</t>
  </si>
  <si>
    <t>Antropología</t>
  </si>
  <si>
    <t>Sociología</t>
  </si>
  <si>
    <t>Arquitectura</t>
  </si>
  <si>
    <t>Computacion e Informática</t>
  </si>
  <si>
    <t>Estructuras Microscópicas</t>
  </si>
  <si>
    <t>Estudios de Posgrado</t>
  </si>
  <si>
    <t>PIAM</t>
  </si>
  <si>
    <t>con respecto al total de la Unidad.</t>
  </si>
  <si>
    <t>Cuadro AS11:  Número de  estudiantes matriculados en el Programa Integral para</t>
  </si>
  <si>
    <t xml:space="preserve">                          la  Persona Adulta y Adulta Mayor, distribuidos según escolaridad, </t>
  </si>
  <si>
    <t xml:space="preserve">                          por ciclo lectivo. 2017</t>
  </si>
  <si>
    <t xml:space="preserve">  Primaria incompleta</t>
  </si>
  <si>
    <t xml:space="preserve">   Primaria completa</t>
  </si>
  <si>
    <t xml:space="preserve">  Secundaria incompleta</t>
  </si>
  <si>
    <t xml:space="preserve">  Secundaria completa</t>
  </si>
  <si>
    <t xml:space="preserve">   Parauniversitaria</t>
  </si>
  <si>
    <t xml:space="preserve">   Universitaria incompleta</t>
  </si>
  <si>
    <t xml:space="preserve">   Universitaria completa</t>
  </si>
  <si>
    <t xml:space="preserve">   No se indica</t>
  </si>
  <si>
    <t>VIDA ESTUDIANTIL</t>
  </si>
  <si>
    <t>Cuadro VE1</t>
  </si>
  <si>
    <t>Distribución de plazas del Programa de Vida Estudiantil, por programa y subprograma. 2017  (Ver Gráfico VE1)</t>
  </si>
  <si>
    <t>Características Socio-Económicas de los Estudiantes</t>
  </si>
  <si>
    <t>Cuadro VE2</t>
  </si>
  <si>
    <t>Estudiantes físicos de pregrado y grado, según sexo, por unidad. I ciclo  2017  (Ver Gráfico VE2)</t>
  </si>
  <si>
    <t>Cuadro VE3</t>
  </si>
  <si>
    <t>Estudiantes físicos de posgrado, según sexo, por especialidad. I ciclo 2017  (Ver Gráfico VE2)</t>
  </si>
  <si>
    <t>Cuadro VE4</t>
  </si>
  <si>
    <t>Estudiantes físicos de pregrado y grado, según edad, por unidad. I ciclo  2017  (Ver Gráfico VE3)</t>
  </si>
  <si>
    <t>Cuadro VE5</t>
  </si>
  <si>
    <t>Estudiantes físicos de posgrado, según edad, por especialidad. I ciclo 2017  (Ver Gráfico VE3)</t>
  </si>
  <si>
    <t>Cuadro VE6</t>
  </si>
  <si>
    <t>Estudiantes físicos de pregrado, y grado según estado civil, por unidad. I ciclo 2017  (Ver Gráfico VE4)</t>
  </si>
  <si>
    <t>Cuadro VE7</t>
  </si>
  <si>
    <t>Estudiantes físicos de posgrado, según estado civil, por especialidad. I ciclo 2017  (Ver Gráfico VE4)</t>
  </si>
  <si>
    <t>Cuadro VE8</t>
  </si>
  <si>
    <t>Estudiantes físicos de pregrado y grado, según nacionalidad, por unidad. I ciclo 2017  (Ver Gráfico VE5)</t>
  </si>
  <si>
    <t>Cuadro VE9</t>
  </si>
  <si>
    <t>Estudiantes físicos de posgrado, según nacionalidad, por especialidad. I ciclo 2017.  (Ver Gráfico VE5)</t>
  </si>
  <si>
    <t>Cuadro VE10</t>
  </si>
  <si>
    <t>Estudiantes físicos de pregrado y grado, según número de miembros del grupo familiar, por unidad. I ciclo 2017.  (Ver Gráfico VE6)</t>
  </si>
  <si>
    <t>Cuadro VE11</t>
  </si>
  <si>
    <t>Estudiantes físicos de posgrado, según número de miembros del grupo familiar, por especialidad. I ciclo  2017  (Ver Gráfico VE6)</t>
  </si>
  <si>
    <t>Cuadro VE12</t>
  </si>
  <si>
    <t>Estudiantes físicos de pregrado y grado, según categoría de beca asignada, por unidad. I ciclo 2017</t>
  </si>
  <si>
    <t>Cuadro VE13</t>
  </si>
  <si>
    <t>Estudiantes físicos de posgrado, según categoría de beca asignada, por especialidad. I ciclo 2017</t>
  </si>
  <si>
    <t>Becas de Asistencia Socioeconómica y Estímulo y beneficios complementarios</t>
  </si>
  <si>
    <t>Cuadro VE14</t>
  </si>
  <si>
    <t>Estudiantes físicos de primer ingreso con beca de Asistencia Socioeconómica, según sede,  por categoría.  I ciclo 2017  (Ver Gráfico VE7)</t>
  </si>
  <si>
    <t>Cuadro VE15</t>
  </si>
  <si>
    <t>Estudiantes físicos con beca permanente Socioeconómica o por actividad universitaria, según sede, por categoría.  I ciclo 2017.  (Ver Gráfico VE8)</t>
  </si>
  <si>
    <t>Cuadro VE16</t>
  </si>
  <si>
    <t>Estudiantes físicos con beca vigente de Asistencia Socioeconómica, según sede por categoría.  I  ciclo 2017  (Ver Gráfico VE8)</t>
  </si>
  <si>
    <t>Cuadro VE17</t>
  </si>
  <si>
    <t>Estudiantes físicos con beca permanente de Asistencia Socioeconómica y Estímulo, según sede, por categoría.  I ciclo 2017  (Ver Gráfico VE9)</t>
  </si>
  <si>
    <t>Cuadro VE18</t>
  </si>
  <si>
    <t>Estudiantes físicos con beca vigente de Asistencia Socioeconómica y Estímulo, según sede por categoría.  I ciclo 2017  (Ver Gráfico VE9)</t>
  </si>
  <si>
    <t>Cuadro VE19</t>
  </si>
  <si>
    <t>Estudiantes físicos con monto base de ayuda económica, reubicación geográfica, transporte, programa de residencias o excelencia académica, según sede.  I ciclo 2017</t>
  </si>
  <si>
    <t>Cuadro VE20</t>
  </si>
  <si>
    <t>Estudiantes físicos becados con servicio de almuerzo asignado según beca vigente y tipo de beneficiado.  Sede Rodrigo Facio I ciclo 2017</t>
  </si>
  <si>
    <t>Cuadro VE21</t>
  </si>
  <si>
    <t>Estudiantes físicos beneficiados con préstamo de libros, según beca vigente por sede. I ciclo 2017.</t>
  </si>
  <si>
    <t>Cuadro VE22</t>
  </si>
  <si>
    <t>Estudiantes físicos becados, ubicados en el programa de residencias, según sede.  I ciclo 2017.</t>
  </si>
  <si>
    <t>Cuadro VE23</t>
  </si>
  <si>
    <t>Número de personas atendidas en consultas y otros servicios brindados por la Oficina de Salud, según tipo de servicio. 2017</t>
  </si>
  <si>
    <t>Cuadro VE24</t>
  </si>
  <si>
    <t>Número de participantes en diferentes programas ofrecidos por la Oficina de Salud, según tipo de programa.   2017</t>
  </si>
  <si>
    <t>Cuadro VE25</t>
  </si>
  <si>
    <t>Número de participantes en el Programa de Promoción de la Salud ofrecida por la Oficina de Salud, según tipo de actividad.  2017.</t>
  </si>
  <si>
    <t>Cuadro VE26</t>
  </si>
  <si>
    <t>Número de participantes en los Programas Deportivos, Recreativos y Artísticos, según tipo de actividad.  2017 (Ver Gráfico VE10)</t>
  </si>
  <si>
    <t>Cuadro VE-1  Distribución de Plazas en el Programa de Vida Estudiantil, por programa y subprograma.  2017</t>
  </si>
  <si>
    <r>
      <t xml:space="preserve">  Vida Estudiantil (San Ramón) </t>
    </r>
    <r>
      <rPr>
        <vertAlign val="superscript"/>
        <sz val="10"/>
        <color indexed="8"/>
        <rFont val="Arial"/>
        <family val="2"/>
      </rPr>
      <t>2/</t>
    </r>
  </si>
  <si>
    <r>
      <t xml:space="preserve">  Vida Estudiantil (Turrialba)  </t>
    </r>
    <r>
      <rPr>
        <vertAlign val="superscript"/>
        <sz val="10"/>
        <color indexed="8"/>
        <rFont val="Arial"/>
        <family val="2"/>
      </rPr>
      <t>3/</t>
    </r>
  </si>
  <si>
    <t xml:space="preserve">Apoyo </t>
  </si>
  <si>
    <r>
      <t xml:space="preserve">Total </t>
    </r>
    <r>
      <rPr>
        <vertAlign val="superscript"/>
        <sz val="10"/>
        <rFont val="Arial"/>
        <family val="2"/>
      </rPr>
      <t>2/</t>
    </r>
  </si>
  <si>
    <t xml:space="preserve">Hombre </t>
  </si>
  <si>
    <t xml:space="preserve">                                            Género</t>
  </si>
  <si>
    <t xml:space="preserve">  Facultad de Ciencias Económicas</t>
  </si>
  <si>
    <t xml:space="preserve">   Geografia</t>
  </si>
  <si>
    <t xml:space="preserve">   Tecnología en Salud</t>
  </si>
  <si>
    <t xml:space="preserve">Sedes Regionales </t>
  </si>
  <si>
    <t>1/ Corresponde al total de estudiantes becados de la Universidad para el I ciclo 2017.</t>
  </si>
  <si>
    <t>2/ La distribución vertical es con respecto al total de la Universidad y la horizontal es con respecto al total de la Unidad.</t>
  </si>
  <si>
    <t>Fuente: Oficina de Becas y Atención Socioeconómica.</t>
  </si>
  <si>
    <t xml:space="preserve">                Oficina de Planificación Universitaria.</t>
  </si>
  <si>
    <t>Especialidad                    Sexo</t>
  </si>
  <si>
    <r>
      <t xml:space="preserve">Total </t>
    </r>
    <r>
      <rPr>
        <vertAlign val="superscript"/>
        <sz val="10"/>
        <rFont val="Arial"/>
        <family val="2"/>
      </rPr>
      <t xml:space="preserve"> </t>
    </r>
    <r>
      <rPr>
        <sz val="10"/>
        <rFont val="Arial"/>
        <family val="2"/>
      </rPr>
      <t>2/</t>
    </r>
  </si>
  <si>
    <t xml:space="preserve">  Administración y Dirección de Empresas</t>
  </si>
  <si>
    <t xml:space="preserve">  Ciencias Agrícolas y Recursos Naturales</t>
  </si>
  <si>
    <t xml:space="preserve">  Ciencias del Movimiento Humano y Recreación</t>
  </si>
  <si>
    <t xml:space="preserve">  Desarrollo Sostenible</t>
  </si>
  <si>
    <t xml:space="preserve">  Enseñanza del Castellano</t>
  </si>
  <si>
    <t xml:space="preserve">  Estudios Tropicales</t>
  </si>
  <si>
    <t xml:space="preserve">  Gestión Integrada Áreas Costeras</t>
  </si>
  <si>
    <t xml:space="preserve">  Microbiología, Parasitología, Inmonología y Química Clínica</t>
  </si>
  <si>
    <t xml:space="preserve">  Planificación Curricular</t>
  </si>
  <si>
    <t>Cuadro VE4:   Estudiantes físicos 1/ de pregrado y grado con beca socioeconómica, según edad, por unidad. I ciclo 2017</t>
  </si>
  <si>
    <t xml:space="preserve">Unidades                    </t>
  </si>
  <si>
    <t xml:space="preserve">            Total 2/</t>
  </si>
  <si>
    <t>Menor o igual a 20</t>
  </si>
  <si>
    <t xml:space="preserve"> De 21 a 25 años</t>
  </si>
  <si>
    <t>De 26 a 30 años</t>
  </si>
  <si>
    <t>De 31 a 35 años</t>
  </si>
  <si>
    <t>Más de 35 años</t>
  </si>
  <si>
    <t xml:space="preserve">                                    Edad</t>
  </si>
  <si>
    <t xml:space="preserve">   Economía y Agronegocios</t>
  </si>
  <si>
    <t xml:space="preserve">   Tecnología de  Alimentos</t>
  </si>
  <si>
    <t xml:space="preserve">   Sede Regional del Pacífico </t>
  </si>
  <si>
    <t xml:space="preserve">           Total 2/</t>
  </si>
  <si>
    <t xml:space="preserve">  De 21 a 25 años</t>
  </si>
  <si>
    <t xml:space="preserve">    De 26 a 30 años</t>
  </si>
  <si>
    <t xml:space="preserve">   De 31 a 35 años</t>
  </si>
  <si>
    <t xml:space="preserve"> Más de 35 años</t>
  </si>
  <si>
    <t xml:space="preserve">                                         Edad</t>
  </si>
  <si>
    <r>
      <t>Cuadro VE6:   Estudiantes físicos 1/ becados de pregrado y grado,</t>
    </r>
    <r>
      <rPr>
        <vertAlign val="superscript"/>
        <sz val="10"/>
        <rFont val="Arial"/>
        <family val="2"/>
      </rPr>
      <t xml:space="preserve"> </t>
    </r>
    <r>
      <rPr>
        <sz val="11"/>
        <color theme="1"/>
        <rFont val="Calibri"/>
        <family val="2"/>
        <scheme val="minor"/>
      </rPr>
      <t>según estado civil, por unidad. I ciclo 2017</t>
    </r>
  </si>
  <si>
    <t>Unidades                   Estado</t>
  </si>
  <si>
    <t>Soltero</t>
  </si>
  <si>
    <t>Casado</t>
  </si>
  <si>
    <r>
      <t>Otros</t>
    </r>
    <r>
      <rPr>
        <vertAlign val="superscript"/>
        <sz val="10"/>
        <rFont val="Arial"/>
        <family val="2"/>
      </rPr>
      <t xml:space="preserve"> 3/</t>
    </r>
  </si>
  <si>
    <t xml:space="preserve">                                            Civil</t>
  </si>
  <si>
    <t>2/  La distribución vertical es con respecto al total de la Universidad y la horizontal es con respecto al total de la Unidad.</t>
  </si>
  <si>
    <r>
      <rPr>
        <sz val="10"/>
        <rFont val="Arial"/>
        <family val="2"/>
      </rPr>
      <t>3/</t>
    </r>
    <r>
      <rPr>
        <vertAlign val="superscript"/>
        <sz val="10"/>
        <rFont val="Arial"/>
        <family val="2"/>
      </rPr>
      <t xml:space="preserve"> </t>
    </r>
    <r>
      <rPr>
        <sz val="11"/>
        <color theme="1"/>
        <rFont val="Calibri"/>
        <family val="2"/>
        <scheme val="minor"/>
      </rPr>
      <t xml:space="preserve"> Incluye las categorías de divorciado, separado, viudo, unión libre y no responde.</t>
    </r>
  </si>
  <si>
    <t>Fuente:  Oficina de Becas y Atención Socioeconómica.</t>
  </si>
  <si>
    <t>Cuadro VE7:   Estudiantes físicos 1/ becados de posgrado, según estado civil, por especialidad. I ciclo  2017</t>
  </si>
  <si>
    <t xml:space="preserve">  Especialidad              Estado</t>
  </si>
  <si>
    <t>Total 2/</t>
  </si>
  <si>
    <t>Otros 3/</t>
  </si>
  <si>
    <t xml:space="preserve">                                              Civil</t>
  </si>
  <si>
    <t xml:space="preserve">            %</t>
  </si>
  <si>
    <t xml:space="preserve">          %</t>
  </si>
  <si>
    <t xml:space="preserve">  Estudios tropicales </t>
  </si>
  <si>
    <t xml:space="preserve">  Geografia</t>
  </si>
  <si>
    <t>Fuente:  Oficina de Becas y  Atención Socioeconómica.</t>
  </si>
  <si>
    <t>Cuadro VE8:    Estudiantes físicos 1/  becados de pregrado y grado, según nacionalidad, por unidad. I ciclo  2017</t>
  </si>
  <si>
    <t>Costarricense</t>
  </si>
  <si>
    <t>Centroamérica y Panamá</t>
  </si>
  <si>
    <t xml:space="preserve">Otra  </t>
  </si>
  <si>
    <t xml:space="preserve">                                        Nacionalidad</t>
  </si>
  <si>
    <t xml:space="preserve">   Enfermeria</t>
  </si>
  <si>
    <t>Cuadro VE9:  Estudiantes físicos 1/ becados de posgrado, según nacionalidad, por especialidad. I ciclo 2017</t>
  </si>
  <si>
    <t xml:space="preserve">             Total 2/</t>
  </si>
  <si>
    <t xml:space="preserve">Otra </t>
  </si>
  <si>
    <t>1/ Corresponde al total de estudiantes becados de la Universidad para el I ciclo 2016.</t>
  </si>
  <si>
    <t>Cuadro VE10:  Estudiantes físicos 1/ becados de pregrado y grado, según número de miembros del grupo familiar, por unidad. I ciclo  2017</t>
  </si>
  <si>
    <t xml:space="preserve"> Unidades           Número de</t>
  </si>
  <si>
    <t>De 1 a menos de 6</t>
  </si>
  <si>
    <t xml:space="preserve">De 6 y más </t>
  </si>
  <si>
    <t xml:space="preserve">                                Miembros</t>
  </si>
  <si>
    <t xml:space="preserve">         abs.</t>
  </si>
  <si>
    <t>2/ La distribución vertical es con respecto al total de la Universidad y el horizontal es con respecto al total de la Unidad.</t>
  </si>
  <si>
    <t>Cuadro VE11:    Estudiantes físicos becados de posgrado según número de miembros del grupo familiar, por especialidad.</t>
  </si>
  <si>
    <t xml:space="preserve">                         I ciclo 2017.</t>
  </si>
  <si>
    <t>Especialidad         Número de</t>
  </si>
  <si>
    <r>
      <t xml:space="preserve"> Total </t>
    </r>
    <r>
      <rPr>
        <vertAlign val="superscript"/>
        <sz val="10"/>
        <rFont val="Arial"/>
        <family val="2"/>
      </rPr>
      <t>1/</t>
    </r>
  </si>
  <si>
    <t>De 6 a menos de 10</t>
  </si>
  <si>
    <t xml:space="preserve">                                     Miembros</t>
  </si>
  <si>
    <t xml:space="preserve"> %</t>
  </si>
  <si>
    <t xml:space="preserve">Sistema de Estudios de Posgrado  </t>
  </si>
  <si>
    <t>F:\PLANI\PANORAMA\ESTAD95\ESTUD\BECA-AS2,XLS</t>
  </si>
  <si>
    <t>Cuadro VE12:   Estudiantes físicos becados de pregrado y grado según categoría de beca vigente socioeconómica asignada, por unidad. I ciclo 2017</t>
  </si>
  <si>
    <t>Unidades           Categoría de beca</t>
  </si>
  <si>
    <t xml:space="preserve">                               asignada</t>
  </si>
  <si>
    <t>F:\PLANI\PANORAMA\ESTAD97\VID-EST\BECA-AS2,XLS</t>
  </si>
  <si>
    <t>Cuadro VE13:   Estudiantes físicos 1/  becados de posgrado según categoría de beca socioeconómica asignada, por especialidad. I ciclo 2017</t>
  </si>
  <si>
    <t>Especialidad        Categoría  de beca</t>
  </si>
  <si>
    <t xml:space="preserve">                                      asignada</t>
  </si>
  <si>
    <t xml:space="preserve">  Cs del Movimi Humano y Recreación</t>
  </si>
  <si>
    <t xml:space="preserve">  Salud Públilca</t>
  </si>
  <si>
    <t xml:space="preserve">Categoría        </t>
  </si>
  <si>
    <t xml:space="preserve">Total </t>
  </si>
  <si>
    <t>Occidente</t>
  </si>
  <si>
    <t>Atlántico</t>
  </si>
  <si>
    <t>Guanacaste</t>
  </si>
  <si>
    <t>Caribe</t>
  </si>
  <si>
    <t>Pacífico</t>
  </si>
  <si>
    <t>Alajuela</t>
  </si>
  <si>
    <t xml:space="preserve"> de Beca   </t>
  </si>
  <si>
    <t xml:space="preserve">    beca por primera vez, los que actualizan información o reingresan al sistema de becas.</t>
  </si>
  <si>
    <r>
      <t xml:space="preserve">2/ </t>
    </r>
    <r>
      <rPr>
        <sz val="11"/>
        <color theme="1"/>
        <rFont val="Calibri"/>
        <family val="2"/>
        <scheme val="minor"/>
      </rPr>
      <t xml:space="preserve"> El número de becas y su categoría respectiva, corresponden a las becas asignadas por el modelo matemático de asignación de becas.</t>
    </r>
  </si>
  <si>
    <t>Nota: Un total de 335  estudiantes que no califican para beca por condición socioeconómica.</t>
  </si>
  <si>
    <t>Cuadro VE15:   Estudiantes físicos con beca permanente socioeconómica o por actividad universitaria, según sede, por categoría. I ciclo 2017</t>
  </si>
  <si>
    <t>% por Sede</t>
  </si>
  <si>
    <t>Cuadro VE16:   Estudiantes físicos con beca vigente socioeconómica, según sede, por categoría. I ciclo 2017</t>
  </si>
  <si>
    <t xml:space="preserve">Matrícula y </t>
  </si>
  <si>
    <t>1/  Los datos de matrícula fueron suministrados por la Oficina de Registro e Información 15/01/18</t>
  </si>
  <si>
    <t>Cuadro VE17:   Estudiantes físicos con beca permanente socioeconómica o por actividades universitarias, según sede, por categoría. I ciclo 2017</t>
  </si>
  <si>
    <t>Cuadro VE18:   Estudiantes físicos con beca vigente socioeconómica o por actividades universitarias, según sede, por categoría. I ciclo 2017</t>
  </si>
  <si>
    <t>1/ Los datos de matrícula fueron suministrados por la Oficina de Registro e Información el 15/01/18</t>
  </si>
  <si>
    <t xml:space="preserve">Cuadro VE19: Estudiantes físicos becarios 4 o 5 que reciben montos por ayuda económica, reubicación geográfica, programa de residencias, </t>
  </si>
  <si>
    <t xml:space="preserve">                      transporte, excelencia académica por promedio ponderado, según sede. Universidad de Costa Rica. I ciclo 2017</t>
  </si>
  <si>
    <t>Estudiantes con monto en</t>
  </si>
  <si>
    <t>Sede</t>
  </si>
  <si>
    <t xml:space="preserve">Gastos de </t>
  </si>
  <si>
    <t>Reubicación</t>
  </si>
  <si>
    <t>Programa de</t>
  </si>
  <si>
    <t>Pobreza</t>
  </si>
  <si>
    <t>Geográfica</t>
  </si>
  <si>
    <t>Transporte</t>
  </si>
  <si>
    <t>Residencias</t>
  </si>
  <si>
    <t>Académica</t>
  </si>
  <si>
    <t>Extrema</t>
  </si>
  <si>
    <t>1/  Para cada rubro se toma el mes que presentó la mayor cantidad de estudiantes beneficiarios.</t>
  </si>
  <si>
    <t xml:space="preserve">Occidente </t>
  </si>
  <si>
    <t>Horario</t>
  </si>
  <si>
    <t>Exclusión</t>
  </si>
  <si>
    <t>Notas:   Para cada rubro se toma el mes que representó la mayor cantidad de estudiantes beneficiarios.</t>
  </si>
  <si>
    <t>1/ Del 1 de febrero al 4 de marzo, se beneficiaron del servicio de alimentación: 169 estudiantes de Medicina y Odontología, 65 estudiantes de Microbiología, Farmacia y Medicina 6o año.</t>
  </si>
  <si>
    <t xml:space="preserve">1/ A esos estudiantes en el momento de realizar el trámite de préstamo de libros contaban con beca socioeconómica mayor a 2, sin embargo, a la hora de </t>
  </si>
  <si>
    <t>realizar las estadísticas, esa beca fue rebajada por Rendimiento  Académico.</t>
  </si>
  <si>
    <t xml:space="preserve">Cuadro VE22:  Estudiantes físicos becados, ubicados en </t>
  </si>
  <si>
    <t xml:space="preserve">                        el Programa de Residencias, según Sede.</t>
  </si>
  <si>
    <t xml:space="preserve">                        I ciclo 2017</t>
  </si>
  <si>
    <t>Total de Estudiantes</t>
  </si>
  <si>
    <r>
      <t xml:space="preserve">Rodrigo Facio </t>
    </r>
    <r>
      <rPr>
        <vertAlign val="superscript"/>
        <sz val="10"/>
        <rFont val="Arial"/>
        <family val="2"/>
      </rPr>
      <t>1/</t>
    </r>
  </si>
  <si>
    <t xml:space="preserve">Pacífico </t>
  </si>
  <si>
    <t>1/ Se incluyen 48 estudiantes del Recinto de Golfito.</t>
  </si>
  <si>
    <t xml:space="preserve">                         Oficina de Bienestar y Salud, según tipo de servicio.  2017</t>
  </si>
  <si>
    <t xml:space="preserve">           Tipo  de</t>
  </si>
  <si>
    <t xml:space="preserve">Número de </t>
  </si>
  <si>
    <t xml:space="preserve">           Servicio</t>
  </si>
  <si>
    <t xml:space="preserve">personas atendidas </t>
  </si>
  <si>
    <t xml:space="preserve">        abs.</t>
  </si>
  <si>
    <t xml:space="preserve">         %       </t>
  </si>
  <si>
    <t>Total de Personas atendidas</t>
  </si>
  <si>
    <t>Total de Consultas</t>
  </si>
  <si>
    <t>Medicina General</t>
  </si>
  <si>
    <t>Medicina Especializada (Ginecología)</t>
  </si>
  <si>
    <t>Medicina Especializada (Psiquiatria)</t>
  </si>
  <si>
    <t>Consejería en torno al análisis de VIH/sida</t>
  </si>
  <si>
    <t>Servicio de Enfermería</t>
  </si>
  <si>
    <t>Consulta Odontología</t>
  </si>
  <si>
    <t>Personas atendidas en el Laboratorio Clínico (universitarios)</t>
  </si>
  <si>
    <t>Personas atendidas en el Laboratorio Clínico Proyecto del INS</t>
  </si>
  <si>
    <t>Servicio de laboratorio al Proyecto de Atención  Integral de Salud PAIS</t>
  </si>
  <si>
    <t>Otros servicios brindados</t>
  </si>
  <si>
    <t>Procedimientos efectuados en Odontología</t>
  </si>
  <si>
    <t>Procedimientos efectuados en Enfermería</t>
  </si>
  <si>
    <t>Análisis de laboratorio a población de PAIS</t>
  </si>
  <si>
    <t>Nota: Un usuario puede acceder a más de un servicio.</t>
  </si>
  <si>
    <t>Fuente: Vicerrectoría de Vida Estudiantil, Oficina de Bienenstar y Salud</t>
  </si>
  <si>
    <t>Cuadro VE24:  Número de participantes en diferentes programas y actividades ofrecidos por la Oficina de</t>
  </si>
  <si>
    <t xml:space="preserve">                       Bienestar y Salud, según tipo de programa y actividad.  2017</t>
  </si>
  <si>
    <t xml:space="preserve">            Programas       </t>
  </si>
  <si>
    <t xml:space="preserve">                              y</t>
  </si>
  <si>
    <r>
      <t xml:space="preserve">participantes </t>
    </r>
    <r>
      <rPr>
        <vertAlign val="superscript"/>
        <sz val="10"/>
        <rFont val="Arial"/>
        <family val="2"/>
      </rPr>
      <t xml:space="preserve"> </t>
    </r>
  </si>
  <si>
    <t xml:space="preserve">                                   Actividades</t>
  </si>
  <si>
    <t>Total de participantes</t>
  </si>
  <si>
    <t>Programas</t>
  </si>
  <si>
    <t>Programa de Detección del Cáncer Cérvico Uterino y de mama</t>
  </si>
  <si>
    <t>Asesoría farmacéutica en consumo de medicamentos</t>
  </si>
  <si>
    <t>Actividades</t>
  </si>
  <si>
    <t>Elaborar Mapas de Riesgos, Planes de Emergencia, Simulacros de Emergencia</t>
  </si>
  <si>
    <t>Elaboración y apoyo de Planes de Emerg. y Seguridad en eventos masivos de la U.</t>
  </si>
  <si>
    <t xml:space="preserve">Capacitación, autorización y control para la venta y distribución de alimentos en actividades masivas </t>
  </si>
  <si>
    <t>Permisos sanitarios de funcionamiento para los servicios e instalaciones de la OBS</t>
  </si>
  <si>
    <t>Estudios de puestos de trabajo</t>
  </si>
  <si>
    <t>Capacitación y entrenamiento para las Brigadas de Emergencia y Puestos de Mando</t>
  </si>
  <si>
    <t xml:space="preserve">Actividades Semana  Salud Ocupacional y Ambiental Exposiciones, Charlas, Talleres, Prácticas, Simulacros ect. </t>
  </si>
  <si>
    <t>Capacitación en prevención de lesiones musculo esqueleticas (funcionarios)</t>
  </si>
  <si>
    <t>Taller de prevención y control de inicios de fuego (funcionarios)</t>
  </si>
  <si>
    <t>Capacitación en actualización o desarrollo de planes de emergencia (funcionarios)</t>
  </si>
  <si>
    <t>Asesorías a trabajadores en materia de salud ocupacional (funcionarios)</t>
  </si>
  <si>
    <t>Formación de brigadas de estudiantes (FEUCR)</t>
  </si>
  <si>
    <t>Capacitación en respuesta de atención de emergencias Residencias Estudiantiles</t>
  </si>
  <si>
    <t>Moronado</t>
  </si>
  <si>
    <t>2 hoas de natacion</t>
  </si>
  <si>
    <t>Fuente: Vicerrectoría de Vida Estudiantil, Oficina de Salud.</t>
  </si>
  <si>
    <t xml:space="preserve">                      de Bienestar y Salud, según tipo de actividad.  2017</t>
  </si>
  <si>
    <t xml:space="preserve">            Actividad</t>
  </si>
  <si>
    <t>participantes</t>
  </si>
  <si>
    <t>Talleres y convivios en temática de Género y relaciones interpersonales</t>
  </si>
  <si>
    <t>Divulgación de los mensajes relacionados con salud en espacios laborales</t>
  </si>
  <si>
    <t>Capacitación a los enlases OBS</t>
  </si>
  <si>
    <t>Inducción al nuevo trabajador</t>
  </si>
  <si>
    <t>Tres convivios para primer ingreso</t>
  </si>
  <si>
    <t>Jornada de salud para estudiantes de TCU en Sede Rodrigo Facio</t>
  </si>
  <si>
    <t>Jornada de salud para estudiantes de TCU en Sede del Atlántico</t>
  </si>
  <si>
    <t>Taller Manejo de Alimentos Residencias</t>
  </si>
  <si>
    <t>Taller alimentación con sentido Escuela de Farmacia</t>
  </si>
  <si>
    <t xml:space="preserve">Proyecto grupal para el abordaje de la ansiedad </t>
  </si>
  <si>
    <t>Curso de parto</t>
  </si>
  <si>
    <t>Interracciones en Redes Sociales PROMEDIO MENSUAL</t>
  </si>
  <si>
    <t>Seminarios de Realidad Nacional I y II</t>
  </si>
  <si>
    <t>Fuente: Vicerrectoría de Vida Estudiantil, Oficina de Bienestar y Salud.</t>
  </si>
  <si>
    <t>Cuadro VE26.  Número  de  participantes  en los  Programas  Deportivos, Recreativos  y</t>
  </si>
  <si>
    <t xml:space="preserve">                         Artísticos, según tipo de actividad.  2017</t>
  </si>
  <si>
    <t xml:space="preserve"> Área de Recreación</t>
  </si>
  <si>
    <r>
      <t xml:space="preserve">Programas Recreativos  </t>
    </r>
    <r>
      <rPr>
        <vertAlign val="superscript"/>
        <sz val="10"/>
        <rFont val="Arial"/>
        <family val="2"/>
      </rPr>
      <t>1/</t>
    </r>
  </si>
  <si>
    <t>Actividades Físicas Intercampus</t>
  </si>
  <si>
    <t>Programa torneos internos estudiantiles</t>
  </si>
  <si>
    <t xml:space="preserve">Área de Deporte de Representación </t>
  </si>
  <si>
    <r>
      <t xml:space="preserve">Programas deportivos </t>
    </r>
    <r>
      <rPr>
        <vertAlign val="superscript"/>
        <sz val="10"/>
        <rFont val="Arial"/>
        <family val="2"/>
      </rPr>
      <t>2/</t>
    </r>
  </si>
  <si>
    <t>VI edición de los Juegos Deportivos Universitarios (JUDUCA)</t>
  </si>
  <si>
    <t>Programa de Formación de Talentos y Ligas Menores</t>
  </si>
  <si>
    <r>
      <t>Área de Actividades Artísticas</t>
    </r>
    <r>
      <rPr>
        <b/>
        <vertAlign val="superscript"/>
        <sz val="10"/>
        <rFont val="Arial"/>
        <family val="2"/>
      </rPr>
      <t xml:space="preserve"> </t>
    </r>
  </si>
  <si>
    <r>
      <t xml:space="preserve">Programas Artisticos </t>
    </r>
    <r>
      <rPr>
        <vertAlign val="superscript"/>
        <sz val="10"/>
        <rFont val="Arial"/>
        <family val="2"/>
      </rPr>
      <t>3/</t>
    </r>
  </si>
  <si>
    <t xml:space="preserve">IX Festival Interuniversitario Centroamericano de Cultura y Arte </t>
  </si>
  <si>
    <t>Presentaciones realizadas</t>
  </si>
  <si>
    <t xml:space="preserve">Talleres de intercambio e integración </t>
  </si>
  <si>
    <t>Porrismo, Tenis de mesa y Voleibol.</t>
  </si>
  <si>
    <r>
      <rPr>
        <vertAlign val="superscript"/>
        <sz val="10"/>
        <rFont val="Arial"/>
        <family val="2"/>
      </rPr>
      <t>3/</t>
    </r>
    <r>
      <rPr>
        <sz val="10"/>
        <rFont val="Arial"/>
        <family val="2"/>
      </rPr>
      <t>Arte de Mutación, Compañía Folklorica, Taller formativo musical, Baile popular, Teatro Girasol</t>
    </r>
  </si>
  <si>
    <t>Danza Contemporanea, Baile Popular y Danza Africana.</t>
  </si>
  <si>
    <t>Fuente: Vicerrectoría de Vida Estudiantil, Oficina de  Bienestar y Salud.</t>
  </si>
  <si>
    <t>MUJ</t>
  </si>
  <si>
    <t>HOM</t>
  </si>
  <si>
    <t>Sis Est posgrado</t>
  </si>
  <si>
    <t>POSG</t>
  </si>
  <si>
    <t>OTR</t>
  </si>
  <si>
    <t>CB</t>
  </si>
  <si>
    <t>AGR</t>
  </si>
  <si>
    <t>ING</t>
  </si>
  <si>
    <t>AL</t>
  </si>
  <si>
    <t>SA</t>
  </si>
  <si>
    <t>CS</t>
  </si>
  <si>
    <t>SR</t>
  </si>
  <si>
    <t xml:space="preserve">ESTUDIANTES BECADOS </t>
  </si>
  <si>
    <t>de 21 a 25 años</t>
  </si>
  <si>
    <t>de 26 a 30 años</t>
  </si>
  <si>
    <t>de 31 a 35 años</t>
  </si>
  <si>
    <t>más de 35 años</t>
  </si>
  <si>
    <t xml:space="preserve">Soltero </t>
  </si>
  <si>
    <t>de 1 a menos de 6</t>
  </si>
  <si>
    <t>de 6 y más</t>
  </si>
  <si>
    <t xml:space="preserve">Rodrigo Facio </t>
  </si>
  <si>
    <t>Beca permanente</t>
  </si>
  <si>
    <t>Beca vigente</t>
  </si>
  <si>
    <t>Recreación</t>
  </si>
  <si>
    <t>Deporte Representación</t>
  </si>
  <si>
    <t>Actividades Artistísticas</t>
  </si>
  <si>
    <t xml:space="preserve">                     I ciclo 2017.</t>
  </si>
  <si>
    <t xml:space="preserve">     al total de la Unidad.</t>
  </si>
  <si>
    <t xml:space="preserve">2/ La distribución vertical es con respecto al total de la Universidad y la horizontal es con respecto </t>
  </si>
  <si>
    <t>ADMINISTRACIÓN</t>
  </si>
  <si>
    <t>Cuadro AD1</t>
  </si>
  <si>
    <t>Distribución de plazas del Programa Administración, por programa y subprograma. 2016. (Ver Gráfico AD1).</t>
  </si>
  <si>
    <t>Cuadro AD-1  Distribución de Plazas en el Programa de Administración, por programa y subprograma.  2017</t>
  </si>
  <si>
    <t>DIRECCIÓN SUPERIOR</t>
  </si>
  <si>
    <t>Cuadro DS1</t>
  </si>
  <si>
    <t>Distribución de plazas del Programa Dirección Superior, por programa y subprograma. 2016. (Ver Gráfico DS1)</t>
  </si>
  <si>
    <t>Asuntos Internacionales</t>
  </si>
  <si>
    <t>Cuadro AI 1</t>
  </si>
  <si>
    <t xml:space="preserve">Número de profesores becados al exterior y becas cortas según monto y costo promedio por estudiante. 2016. </t>
  </si>
  <si>
    <t>Cuadro AI 2</t>
  </si>
  <si>
    <t>Número de profesores becados al exterior y becas cortas por área, según condición   2016. (Ver Gráfico AI-1)</t>
  </si>
  <si>
    <t>Cuadro DS1  Distribución de Plazas del Programa de Dirección Superior, por programa y subprograma.  2017</t>
  </si>
  <si>
    <t>Apoyo</t>
  </si>
  <si>
    <t xml:space="preserve">Cuadro AI1:   Número de profesores becados al exterior y Becas cortas, según monto y costo promedio  </t>
  </si>
  <si>
    <t xml:space="preserve">           </t>
  </si>
  <si>
    <t xml:space="preserve">                      por estudiante.  2017</t>
  </si>
  <si>
    <t>Becas</t>
  </si>
  <si>
    <t>Monto</t>
  </si>
  <si>
    <t>Costo</t>
  </si>
  <si>
    <t>Prof. Becados</t>
  </si>
  <si>
    <t>Promedio</t>
  </si>
  <si>
    <t>Total de Profesores Becados</t>
  </si>
  <si>
    <t>Becados al Exterior</t>
  </si>
  <si>
    <t>Becas Cortas</t>
  </si>
  <si>
    <t>Fuente:  Oficina de Asuntos Internacionales</t>
  </si>
  <si>
    <t>Cuadro AI2:   Número de profesores becados al exterior y Becas Cortas por área.  2017</t>
  </si>
  <si>
    <r>
      <t xml:space="preserve">Becados al Exterior </t>
    </r>
    <r>
      <rPr>
        <vertAlign val="superscript"/>
        <sz val="12"/>
        <rFont val="Arial"/>
        <family val="2"/>
      </rPr>
      <t>1/</t>
    </r>
  </si>
  <si>
    <r>
      <t xml:space="preserve">Becas Cortas </t>
    </r>
    <r>
      <rPr>
        <vertAlign val="superscript"/>
        <sz val="12"/>
        <rFont val="Arial"/>
        <family val="2"/>
      </rPr>
      <t>2/</t>
    </r>
  </si>
  <si>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</si>
  <si>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</si>
  <si>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</si>
  <si>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</si>
  <si>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</si>
  <si>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</si>
  <si>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Área  Administrativa</t>
  </si>
  <si>
    <r>
      <t>1/</t>
    </r>
    <r>
      <rPr>
        <sz val="12"/>
        <rFont val="Arial"/>
        <family val="2"/>
      </rPr>
      <t xml:space="preserve">  Becas de 4 años de duración promedio, dependiendo el programa de posgrado.</t>
    </r>
  </si>
  <si>
    <r>
      <t>2/</t>
    </r>
    <r>
      <rPr>
        <sz val="12"/>
        <rFont val="Arial"/>
        <family val="2"/>
      </rPr>
      <t xml:space="preserve">   Becas de 1 a 12 meses de duración en el exterior.</t>
    </r>
  </si>
  <si>
    <t>Fuente:  Oficina de Asuntos Internacionales.</t>
  </si>
  <si>
    <t>Becas Exterior</t>
  </si>
  <si>
    <t>Admimistrativa</t>
  </si>
  <si>
    <t>DEFINICIONES</t>
  </si>
  <si>
    <r>
      <rPr>
        <b/>
        <sz val="12"/>
        <color theme="1"/>
        <rFont val="Times New Roman"/>
        <family val="1"/>
      </rPr>
      <t>Año lectivo</t>
    </r>
    <r>
      <rPr>
        <sz val="12"/>
        <color theme="1"/>
        <rFont val="Times New Roman"/>
        <family val="1"/>
      </rPr>
      <t>: está constituido por los tres ciclos previos al mes de febrero, en el orden siguiente: III ciclo del año tras anterior (curso de verano) y el I y II ciclos del año anterior.</t>
    </r>
  </si>
  <si>
    <r>
      <rPr>
        <b/>
        <sz val="12"/>
        <color theme="1"/>
        <rFont val="Times New Roman"/>
        <family val="1"/>
      </rPr>
      <t>Beca permanente</t>
    </r>
    <r>
      <rPr>
        <sz val="12"/>
        <color theme="1"/>
        <rFont val="Times New Roman"/>
        <family val="1"/>
      </rPr>
      <t>: se refiere a la beca asignada por el programa, esta puede ser modificada luego por aplicación del rendimiento académico y por la Comisión de Becas.</t>
    </r>
  </si>
  <si>
    <r>
      <rPr>
        <b/>
        <sz val="12"/>
        <color theme="1"/>
        <rFont val="Times New Roman"/>
        <family val="1"/>
      </rPr>
      <t>Características socioeconómicas</t>
    </r>
    <r>
      <rPr>
        <sz val="12"/>
        <color theme="1"/>
        <rFont val="Times New Roman"/>
        <family val="1"/>
      </rPr>
      <t>: incluye la población estudiantil que solicitó beca, se les haya asignado o no.</t>
    </r>
  </si>
  <si>
    <r>
      <rPr>
        <b/>
        <sz val="12"/>
        <color theme="1"/>
        <rFont val="Times New Roman"/>
        <family val="1"/>
      </rPr>
      <t>Carga académica</t>
    </r>
    <r>
      <rPr>
        <sz val="12"/>
        <color theme="1"/>
        <rFont val="Times New Roman"/>
        <family val="1"/>
      </rPr>
      <t>: es el tiempo (medido en horas semanales) que cada profesor le dedica a la Universidad, en las diferentes actividades que ejecuta: docencia, investigación, acción social, docente-administrativas, comisiones institucionales y otros.</t>
    </r>
  </si>
  <si>
    <r>
      <rPr>
        <b/>
        <sz val="12"/>
        <color theme="1"/>
        <rFont val="Times New Roman"/>
        <family val="1"/>
      </rPr>
      <t>Crédito</t>
    </r>
    <r>
      <rPr>
        <sz val="12"/>
        <color theme="1"/>
        <rFont val="Times New Roman"/>
        <family val="1"/>
      </rPr>
      <t>: es una unidad valorativa del esfuerzo del estudiante, que equivale a tres horas reloj semanales de trabajo, durante 15 semanas, aplicadas a una actividad que ha sido supervisada, evaluada y aprobada por el profesor.</t>
    </r>
  </si>
  <si>
    <r>
      <rPr>
        <b/>
        <sz val="12"/>
        <color theme="1"/>
        <rFont val="Times New Roman"/>
        <family val="1"/>
      </rPr>
      <t>Investigación Básica</t>
    </r>
    <r>
      <rPr>
        <sz val="12"/>
        <color theme="1"/>
        <rFont val="Times New Roman"/>
        <family val="1"/>
      </rPr>
      <t>: actividades que tienen como propósito la búsqueda sistemática del conocimiento sobre la materia objeto de estudio y que no necesariamente producen aplicaciones prácticas de las resultados.</t>
    </r>
  </si>
  <si>
    <r>
      <rPr>
        <b/>
        <sz val="12"/>
        <color theme="1"/>
        <rFont val="Times New Roman"/>
        <family val="1"/>
      </rPr>
      <t>Logro mínimo</t>
    </r>
    <r>
      <rPr>
        <sz val="12"/>
        <color theme="1"/>
        <rFont val="Times New Roman"/>
        <family val="1"/>
      </rPr>
      <t>: se refiere al rendimiento que alcanza un estudiante que gana todos los créditos matrículados con al menos una nota de 7.</t>
    </r>
  </si>
  <si>
    <r>
      <rPr>
        <b/>
        <sz val="12"/>
        <color theme="1"/>
        <rFont val="Times New Roman"/>
        <family val="1"/>
      </rPr>
      <t>Promedio ponderado</t>
    </r>
    <r>
      <rPr>
        <sz val="12"/>
        <color theme="1"/>
        <rFont val="Times New Roman"/>
        <family val="1"/>
      </rPr>
      <t>: es la suma de los productos de la calificación final de cada curso por sus créditos, dividido por el número total de créditos de las asignaturas cursadas.</t>
    </r>
  </si>
  <si>
    <r>
      <rPr>
        <b/>
        <sz val="12"/>
        <color theme="1"/>
        <rFont val="Times New Roman"/>
        <family val="1"/>
      </rPr>
      <t>Proyecto ampliación</t>
    </r>
    <r>
      <rPr>
        <sz val="12"/>
        <color theme="1"/>
        <rFont val="Times New Roman"/>
        <family val="1"/>
      </rPr>
      <t>: proyectos en desarrollo y se toman por periodo de vigencia.</t>
    </r>
  </si>
  <si>
    <r>
      <rPr>
        <b/>
        <sz val="12"/>
        <color theme="1"/>
        <rFont val="Times New Roman"/>
        <family val="1"/>
      </rPr>
      <t xml:space="preserve">Proyecto inscrito: </t>
    </r>
    <r>
      <rPr>
        <sz val="12"/>
        <color theme="1"/>
        <rFont val="Times New Roman"/>
        <family val="1"/>
      </rPr>
      <t>propuesta de investigación registrada en la Vicerrectoría de Investigación.</t>
    </r>
  </si>
  <si>
    <r>
      <rPr>
        <b/>
        <sz val="12"/>
        <color theme="1"/>
        <rFont val="Times New Roman"/>
        <family val="1"/>
      </rPr>
      <t>Proyecto cerrado</t>
    </r>
    <r>
      <rPr>
        <sz val="12"/>
        <color theme="1"/>
        <rFont val="Times New Roman"/>
        <family val="1"/>
      </rPr>
      <t>: aquel en que su ejecución ha sido paralizada indefinidamente sin que haya alcanzado los objetivos propuestos.</t>
    </r>
  </si>
  <si>
    <r>
      <rPr>
        <b/>
        <sz val="12"/>
        <color theme="1"/>
        <rFont val="Times New Roman"/>
        <family val="1"/>
      </rPr>
      <t>Proyecto terminado</t>
    </r>
    <r>
      <rPr>
        <sz val="12"/>
        <color theme="1"/>
        <rFont val="Times New Roman"/>
        <family val="1"/>
      </rPr>
      <t>: aquel en que su ejecución ha sido terminada, alcanzando los objetivos propuestos.</t>
    </r>
  </si>
  <si>
    <r>
      <rPr>
        <b/>
        <sz val="12"/>
        <color theme="1"/>
        <rFont val="Times New Roman"/>
        <family val="1"/>
      </rPr>
      <t>Proyecto suspendido</t>
    </r>
    <r>
      <rPr>
        <sz val="12"/>
        <color theme="1"/>
        <rFont val="Times New Roman"/>
        <family val="1"/>
      </rPr>
      <t>: aquel en que su ejecución ha sido paralizada temporalmente, sin que haya alcanzado los objetivos propuestos.</t>
    </r>
  </si>
  <si>
    <r>
      <rPr>
        <b/>
        <sz val="12"/>
        <color theme="1"/>
        <rFont val="Times New Roman"/>
        <family val="1"/>
      </rPr>
      <t>Proyecto reactivado</t>
    </r>
    <r>
      <rPr>
        <sz val="12"/>
        <color theme="1"/>
        <rFont val="Times New Roman"/>
        <family val="1"/>
      </rPr>
      <t>: aquel en que su ejecución fue suspendida de manera temporal y luego reactivada nuevamente.</t>
    </r>
  </si>
  <si>
    <r>
      <rPr>
        <b/>
        <sz val="12"/>
        <color theme="1"/>
        <rFont val="Times New Roman"/>
        <family val="1"/>
      </rPr>
      <t>Proyecto nuevo en desarrollo</t>
    </r>
    <r>
      <rPr>
        <sz val="12"/>
        <color theme="1"/>
        <rFont val="Times New Roman"/>
        <family val="1"/>
      </rPr>
      <t>: aquel cuya propuesta fue aprobada por la Vicerrectoría de Investigación y se encuentra en ejecución.</t>
    </r>
  </si>
  <si>
    <r>
      <rPr>
        <b/>
        <sz val="12"/>
        <color theme="1"/>
        <rFont val="Times New Roman"/>
        <family val="1"/>
      </rPr>
      <t xml:space="preserve">Proyecto Vigente: </t>
    </r>
    <r>
      <rPr>
        <sz val="12"/>
        <color theme="1"/>
        <rFont val="Times New Roman"/>
        <family val="1"/>
      </rPr>
      <t>es aquel que estuvo en ejecución en el periodo seleccionado, además, incluye los proyectos nuevos en desarrollo.</t>
    </r>
  </si>
  <si>
    <r>
      <rPr>
        <b/>
        <sz val="12"/>
        <color theme="1"/>
        <rFont val="Times New Roman"/>
        <family val="1"/>
      </rPr>
      <t>Unidad académica</t>
    </r>
    <r>
      <rPr>
        <sz val="12"/>
        <color theme="1"/>
        <rFont val="Times New Roman"/>
        <family val="1"/>
      </rPr>
      <t>: se define por unidad académica a los centros e institutos de investigación, a las escuelas, a las facultades no divididas en escuelas y a las sedes regionales.</t>
    </r>
  </si>
  <si>
    <r>
      <rPr>
        <b/>
        <sz val="12"/>
        <color theme="1"/>
        <rFont val="Times New Roman"/>
        <family val="1"/>
      </rPr>
      <t xml:space="preserve">Beca vigente: </t>
    </r>
    <r>
      <rPr>
        <sz val="12"/>
        <color theme="1"/>
        <rFont val="Times New Roman"/>
        <family val="1"/>
      </rPr>
      <t xml:space="preserve">se refiere: a la beca que se aplica cada ciclo lectivo y se determina luego de la aplicación  de las disposiciones reglamentarias, a saber: carga académica, rendimiento académico, acuerdos de la Comisión Asesora de Becas, y es la que se utiliza para el cálculo del pago </t>
    </r>
  </si>
  <si>
    <t>de la matrícula de los estudiantes y la asignación de beneficios complementarios. Esta beca puede ser mayor, menor o igual a la beca permanente.</t>
  </si>
  <si>
    <r>
      <rPr>
        <sz val="7"/>
        <color theme="1"/>
        <rFont val="Times New Roman"/>
        <family val="1"/>
      </rPr>
      <t xml:space="preserve"> </t>
    </r>
    <r>
      <rPr>
        <b/>
        <sz val="12"/>
        <color theme="1"/>
        <rFont val="Times New Roman"/>
        <family val="1"/>
      </rPr>
      <t>Beca de asistencia</t>
    </r>
    <r>
      <rPr>
        <sz val="12"/>
        <color theme="1"/>
        <rFont val="Times New Roman"/>
        <family val="1"/>
      </rPr>
      <t xml:space="preserve">: </t>
    </r>
    <r>
      <rPr>
        <b/>
        <sz val="12"/>
        <color theme="1"/>
        <rFont val="Times New Roman"/>
        <family val="1"/>
      </rPr>
      <t>socioeconómica</t>
    </r>
    <r>
      <rPr>
        <sz val="12"/>
        <color theme="1"/>
        <rFont val="Times New Roman"/>
        <family val="1"/>
      </rPr>
      <t>: la beca de asistencia socioeconómica otorga el beneficio de la exoneración total o parcial del costo de matrícula por ciclo lectivo. Se asigna según la situación socioeconómica del estudiante y su grupo familiar. La beca once, además de la exoneración</t>
    </r>
  </si>
  <si>
    <r>
      <rPr>
        <sz val="7"/>
        <color theme="1"/>
        <rFont val="Times New Roman"/>
        <family val="1"/>
      </rPr>
      <t xml:space="preserve"> </t>
    </r>
    <r>
      <rPr>
        <sz val="12"/>
        <color theme="1"/>
        <rFont val="Times New Roman"/>
        <family val="1"/>
      </rPr>
      <t>total del pago de matrícula, otorga una ayuda económica mensual. Es un apoyo que el sistema brinda al estudiante para que culmine sus estudios en una carrera universitaria.</t>
    </r>
  </si>
  <si>
    <r>
      <rPr>
        <b/>
        <sz val="12"/>
        <color theme="1"/>
        <rFont val="Times New Roman"/>
        <family val="1"/>
      </rPr>
      <t>Beca de estímulo</t>
    </r>
    <r>
      <rPr>
        <sz val="12"/>
        <color theme="1"/>
        <rFont val="Times New Roman"/>
        <family val="1"/>
      </rPr>
      <t xml:space="preserve">: consiste en la exoneración total o parcial de los costos de matrícula y se otorga con el propósito de impulsar la excelencia académica, la participación de los estudiantes  en determinados campos de interés institucional definidos por el Consejo Universitario o en el </t>
    </r>
  </si>
  <si>
    <t>reglamento, y la participación en grupos culturales y deportivos. Se incluyen en ésta categoría las becas por excelencia académica, horas estudiante y horas asistente, funcionarios universitarios  y sus dependientes y otros convenios.</t>
  </si>
  <si>
    <r>
      <rPr>
        <b/>
        <sz val="12"/>
        <color theme="1"/>
        <rFont val="Times New Roman"/>
        <family val="1"/>
      </rPr>
      <t>Extensión Cultural:</t>
    </r>
    <r>
      <rPr>
        <sz val="12"/>
        <color theme="1"/>
        <rFont val="Times New Roman"/>
        <family val="1"/>
      </rPr>
      <t xml:space="preserve"> es la proyección y promoción del quehacer universitario en el ámbito cultural y artístico dentro y fuera de las fronteras costarricenses. Busca responder a las necesidades de la población a la cual va dirigida, enriqueciendo, protegiendo y activando sus propias</t>
    </r>
  </si>
  <si>
    <t>manifestaciones culturales.</t>
  </si>
  <si>
    <r>
      <rPr>
        <b/>
        <sz val="12"/>
        <color theme="1"/>
        <rFont val="Times New Roman"/>
        <family val="1"/>
      </rPr>
      <t xml:space="preserve">Extensión Docente: </t>
    </r>
    <r>
      <rPr>
        <sz val="12"/>
        <color theme="1"/>
        <rFont val="Times New Roman"/>
        <family val="1"/>
      </rPr>
      <t xml:space="preserve">es el proceso mediante el cual el quehacer académico de la Universidad, se traslada a la comunidad nacional, por medio de las modalidades de: difusión, actualización, capacitación y servicios especiales. La extensión docente utiliza como opciones </t>
    </r>
  </si>
  <si>
    <t>metodológicas: seminarios, talleres, cursos, planes integrados, asesorías, servicios especializados y otros, bajo la responsabilidad del docente como conductor académico.</t>
  </si>
  <si>
    <r>
      <rPr>
        <b/>
        <sz val="12"/>
        <color theme="1"/>
        <rFont val="Times New Roman"/>
        <family val="1"/>
      </rPr>
      <t>Horas Asistente</t>
    </r>
    <r>
      <rPr>
        <sz val="12"/>
        <color theme="1"/>
        <rFont val="Times New Roman"/>
        <family val="1"/>
      </rPr>
      <t>: es una categoría de beca estudiantil, en la que se designa al estudiante, para colaborar en las actividades sustantivas de la Universidad: docencia, investigación y acción social. Debe cumplir con los requisitos de ser estudiante regular, estar matrículado en</t>
    </r>
  </si>
  <si>
    <t>9 créditos en el ciclo lectivo ordinario, haber aprobado 4 años del respectivo programa de estudios y tener un rendimiento académico no inferior a 80.</t>
  </si>
  <si>
    <r>
      <rPr>
        <b/>
        <sz val="12"/>
        <color theme="1"/>
        <rFont val="Times New Roman"/>
        <family val="1"/>
      </rPr>
      <t>Horas Estudiante</t>
    </r>
    <r>
      <rPr>
        <sz val="12"/>
        <color theme="1"/>
        <rFont val="Times New Roman"/>
        <family val="1"/>
      </rPr>
      <t xml:space="preserve">: es una categoría de beca estudiantil, en la que se designa al estudiante, para colaborar en actividades propias de docencia, investigación y acción social. Debe cumplir con los requisitos de ser estudiante regular, matrículado en 9 créditos, en el ciclo lectivo en el cual se </t>
    </r>
  </si>
  <si>
    <t>designa y haber aprobado la asignatura en la que prestará colaboración, cuando se refiera a la docencia.</t>
  </si>
  <si>
    <r>
      <rPr>
        <b/>
        <sz val="12"/>
        <color theme="1"/>
        <rFont val="Times New Roman"/>
        <family val="1"/>
      </rPr>
      <t>Investigación Aplicada</t>
    </r>
    <r>
      <rPr>
        <sz val="12"/>
        <color theme="1"/>
        <rFont val="Times New Roman"/>
        <family val="1"/>
      </rPr>
      <t xml:space="preserve">: actividades cuyo propósito corresponde a la búsqueda científica del conocimiento orientados a aplicaciones prácticas. Este tipo de investigación normalmente diagnostica establece la fase evolutiva del sujeto de estudio para proponer soluciones, sean éstas </t>
    </r>
  </si>
  <si>
    <t>tratamientos o recomendaciones de manejo racional.</t>
  </si>
  <si>
    <r>
      <rPr>
        <b/>
        <sz val="12"/>
        <color theme="1"/>
        <rFont val="Times New Roman"/>
        <family val="1"/>
      </rPr>
      <t>Investigación para el Desarrollo Tecnológico</t>
    </r>
    <r>
      <rPr>
        <sz val="12"/>
        <color theme="1"/>
        <rFont val="Times New Roman"/>
        <family val="1"/>
      </rPr>
      <t xml:space="preserve">: conjunto de actividades que se llevan a cabo con el propósito de diseñar, desarrollar, innovar o mejorar prototipos, modelos o procesos de producción o materiales, especialmente aquellos de interés económico o aplicado, que </t>
    </r>
  </si>
  <si>
    <t>podrían tener resultados patentables o susceptibles al régimen de protección intelectual.</t>
  </si>
  <si>
    <r>
      <rPr>
        <b/>
        <sz val="12"/>
        <color theme="1"/>
        <rFont val="Times New Roman"/>
        <family val="1"/>
      </rPr>
      <t>Personal de Apoyo:</t>
    </r>
    <r>
      <rPr>
        <sz val="12"/>
        <color theme="1"/>
        <rFont val="Times New Roman"/>
        <family val="1"/>
      </rPr>
      <t xml:space="preserve"> es el recurso humano que coadyuva, en forma directa, con la ejecución de las funciones sustantivas de la academia. Se trata del personal fijo que asiste al profesor en las diferentes actividades requeridas en los laboratorios, en las prácticas de campo,</t>
    </r>
  </si>
  <si>
    <t>en las investigaciones, en acción social, entre otros.</t>
  </si>
  <si>
    <r>
      <rPr>
        <b/>
        <sz val="12"/>
        <color theme="1"/>
        <rFont val="Times New Roman"/>
        <family val="1"/>
      </rPr>
      <t>Trabajo Comunal Universitario</t>
    </r>
    <r>
      <rPr>
        <sz val="12"/>
        <color theme="1"/>
        <rFont val="Times New Roman"/>
        <family val="1"/>
      </rPr>
      <t>: es la actividad interdisciplinaria realizada por la Universidad de Costa Rica por medio de sus estudiantes y profesores, en íntima relación con las comunidades. Implica una interacción dinámica y crítica que contribuye a entender y resolver problemas</t>
    </r>
  </si>
  <si>
    <t>concretos de esas comunidades y de la sociedad costarricense.</t>
  </si>
  <si>
    <t>SIMBOLOGÍA</t>
  </si>
  <si>
    <t>A.S.</t>
  </si>
  <si>
    <t>AD.</t>
  </si>
  <si>
    <t>C.C.P.</t>
  </si>
  <si>
    <t>C.EL.E.Q.</t>
  </si>
  <si>
    <t>Centro de Investigación en Electroquímica y Energía Química</t>
  </si>
  <si>
    <t>C.I.A.</t>
  </si>
  <si>
    <t>Centro de Investigaciones Agronómicas</t>
  </si>
  <si>
    <t>C.I.B.C.M.</t>
  </si>
  <si>
    <t>C.I.C.A.</t>
  </si>
  <si>
    <t>C.I.C.A.P.</t>
  </si>
  <si>
    <t>C.I.C.I.MA.</t>
  </si>
  <si>
    <t>C.I.E.D.A.</t>
  </si>
  <si>
    <t>C.I.E.D.E.S.</t>
  </si>
  <si>
    <t>C.I.E.M.</t>
  </si>
  <si>
    <t>C.I.E.MIC.</t>
  </si>
  <si>
    <t>Centro de Investigaciones Espaciales</t>
  </si>
  <si>
    <t>C.I.E.T.</t>
  </si>
  <si>
    <t>C.I.GEFI.</t>
  </si>
  <si>
    <t>Centro de Investigaciones Geofísicas</t>
  </si>
  <si>
    <t>C.I.GRA.S.</t>
  </si>
  <si>
    <t>C.I.H.A.C.</t>
  </si>
  <si>
    <t>Centro de Investigaciones Históricas de América Central</t>
  </si>
  <si>
    <t>C.I.H.A.T.A.</t>
  </si>
  <si>
    <t>C.I.M.M.</t>
  </si>
  <si>
    <t>C.I.M.P.A.</t>
  </si>
  <si>
    <t>C.I.MAR.</t>
  </si>
  <si>
    <t>C.I.MO.HU</t>
  </si>
  <si>
    <t>C.I.N.A.</t>
  </si>
  <si>
    <t>C.I.PRO.C.</t>
  </si>
  <si>
    <t>C.I.PRO.NA.</t>
  </si>
  <si>
    <t>C.I.T.A.</t>
  </si>
  <si>
    <t>D.</t>
  </si>
  <si>
    <t>D.S.</t>
  </si>
  <si>
    <t>I.</t>
  </si>
  <si>
    <t>I.C.P.</t>
  </si>
  <si>
    <t>Instituto Clodomiro Picado</t>
  </si>
  <si>
    <t>I.I.A.</t>
  </si>
  <si>
    <t>Instituto de Investigaciones Agrícolas</t>
  </si>
  <si>
    <t>I.I.C.E.</t>
  </si>
  <si>
    <t>Instituto de Investigaciones en Ciencias Económicas</t>
  </si>
  <si>
    <t>Instituto de Investigaciones Filosóficas</t>
  </si>
  <si>
    <t>I.I.J.</t>
  </si>
  <si>
    <t>Instituto de Investigaciones Jurídicas</t>
  </si>
  <si>
    <t>I.I.P.</t>
  </si>
  <si>
    <t>Instituto de Investigaciones Psicológicas</t>
  </si>
  <si>
    <t>I.I.S.</t>
  </si>
  <si>
    <t>Instituto de Investigaciones Sociales</t>
  </si>
  <si>
    <t>IN.I.FAR</t>
  </si>
  <si>
    <t>Instituto de Investigaciones Farmacéuticas</t>
  </si>
  <si>
    <t xml:space="preserve">IN.I.I. </t>
  </si>
  <si>
    <t>Instituto en Investigaciones en Ingeniería</t>
  </si>
  <si>
    <t>IN.I.L.</t>
  </si>
  <si>
    <t>Instituto de Investigaciones Lingüísticas</t>
  </si>
  <si>
    <t>IN.I.SA.</t>
  </si>
  <si>
    <t>Instituto de Investigaciones en Salud</t>
  </si>
  <si>
    <t>O.D.D.</t>
  </si>
  <si>
    <t>Observatorio del Desarrollo</t>
  </si>
  <si>
    <t>O.D.I.</t>
  </si>
  <si>
    <t>Oficina de Divulgación e Información</t>
  </si>
  <si>
    <t>O.PLA.U.</t>
  </si>
  <si>
    <t>Oficina de Planificación Universitaria</t>
  </si>
  <si>
    <t>R.F.</t>
  </si>
  <si>
    <t>Recursos Financieros</t>
  </si>
  <si>
    <t>R.H.</t>
  </si>
  <si>
    <t>Recursos Humanos</t>
  </si>
  <si>
    <t>SI.B.D.I.</t>
  </si>
  <si>
    <t>V.E.</t>
  </si>
  <si>
    <r>
      <t>1/</t>
    </r>
    <r>
      <rPr>
        <sz val="10"/>
        <color theme="1"/>
        <rFont val="Arial"/>
        <family val="2"/>
      </rPr>
      <t xml:space="preserve">  Equivalentes de tiempo completo, y contemplan plazas en propiedad e interinas.</t>
    </r>
  </si>
  <si>
    <r>
      <t>4/</t>
    </r>
    <r>
      <rPr>
        <sz val="10"/>
        <rFont val="Arial"/>
        <family val="2"/>
      </rPr>
      <t xml:space="preserve"> Incluyen el Recinto de Paraíso y el de Guápiles.</t>
    </r>
  </si>
  <si>
    <t>Fuente:  Presupuesto por Programas y Actividades, Relación de Puestos 2017</t>
  </si>
  <si>
    <r>
      <t xml:space="preserve">Cuadro RH2   Distribución del personal docente </t>
    </r>
    <r>
      <rPr>
        <vertAlign val="superscript"/>
        <sz val="10"/>
        <rFont val="Arial"/>
        <family val="2"/>
      </rPr>
      <t>1/</t>
    </r>
    <r>
      <rPr>
        <sz val="10"/>
        <rFont val="Arial"/>
        <family val="2"/>
      </rPr>
      <t xml:space="preserve">, </t>
    </r>
    <r>
      <rPr>
        <sz val="10"/>
        <color theme="1"/>
        <rFont val="Arial"/>
        <family val="2"/>
      </rPr>
      <t>según tipo de nombramiento y ciclo lectivo, por unidad.   2017</t>
    </r>
  </si>
  <si>
    <r>
      <t>1/</t>
    </r>
    <r>
      <rPr>
        <sz val="10"/>
        <color theme="1"/>
        <rFont val="Arial"/>
        <family val="2"/>
      </rPr>
      <t xml:space="preserve"> Se refiere a personas físicas.</t>
    </r>
  </si>
  <si>
    <r>
      <t>2/</t>
    </r>
    <r>
      <rPr>
        <sz val="10"/>
        <color theme="1"/>
        <rFont val="Arial"/>
        <family val="2"/>
      </rPr>
      <t xml:space="preserve">  La distribución vertical  es con respecto al total de la Universidad y la horizontal es con respecto a la Unidad.</t>
    </r>
  </si>
  <si>
    <r>
      <t>1/</t>
    </r>
    <r>
      <rPr>
        <sz val="10"/>
        <color theme="1"/>
        <rFont val="Arial"/>
        <family val="2"/>
      </rPr>
      <t xml:space="preserve">  La distribución vertical  es con respecto al total de la Universidad y la horizontal con respecto a la Unidad.</t>
    </r>
  </si>
  <si>
    <t>Cuadro RH6:   Distribución del personal docente en régimen académico, según grado académico, por unidad. I ciclo 2017.</t>
  </si>
  <si>
    <r>
      <t>1/</t>
    </r>
    <r>
      <rPr>
        <sz val="10"/>
        <color theme="1"/>
        <rFont val="Arial"/>
        <family val="2"/>
      </rPr>
      <t xml:space="preserve">  La distribución  vertical es con respecto al total de la Universidad y la horizontal es con respecto al total de la Unidad.</t>
    </r>
  </si>
  <si>
    <r>
      <t xml:space="preserve">1/ </t>
    </r>
    <r>
      <rPr>
        <sz val="10"/>
        <color theme="1"/>
        <rFont val="Arial"/>
        <family val="2"/>
      </rPr>
      <t xml:space="preserve"> La distribución  vertical es con respecto al total de la Universidad y la horizontal es con respecto al total de la Unidad.</t>
    </r>
  </si>
  <si>
    <r>
      <t>1/</t>
    </r>
    <r>
      <rPr>
        <sz val="10"/>
        <color theme="1"/>
        <rFont val="Arial"/>
        <family val="2"/>
      </rPr>
      <t xml:space="preserve">  La distribución vertical es con respecto al total de la Universidad y  la horizontal es con respecto al total de la Unidad.</t>
    </r>
  </si>
  <si>
    <r>
      <t>1/</t>
    </r>
    <r>
      <rPr>
        <sz val="11"/>
        <color theme="1"/>
        <rFont val="Arial"/>
        <family val="2"/>
      </rPr>
      <t xml:space="preserve">  La tasa de distribución es con respecto al total de ingresos.</t>
    </r>
  </si>
  <si>
    <r>
      <t>2/</t>
    </r>
    <r>
      <rPr>
        <sz val="11"/>
        <color theme="1"/>
        <rFont val="Arial"/>
        <family val="2"/>
      </rPr>
      <t xml:space="preserve">  Tasa de crecimiento del año respecto al anterior.</t>
    </r>
  </si>
  <si>
    <r>
      <t xml:space="preserve">1/ </t>
    </r>
    <r>
      <rPr>
        <sz val="10"/>
        <rFont val="Arial"/>
        <family val="2"/>
      </rPr>
      <t xml:space="preserve"> Fondo Especial para la Educación Superior.  No incluye Fondos del Sistema.</t>
    </r>
  </si>
  <si>
    <t xml:space="preserve">  </t>
  </si>
  <si>
    <r>
      <t>1/</t>
    </r>
    <r>
      <rPr>
        <sz val="10"/>
        <color theme="1"/>
        <rFont val="Arial"/>
        <family val="2"/>
      </rPr>
      <t xml:space="preserve">  Equivalentes de tiempo completo y contemplan plazas en propiedad e interinas.</t>
    </r>
  </si>
  <si>
    <r>
      <t>2/  Se i</t>
    </r>
    <r>
      <rPr>
        <sz val="10"/>
        <rFont val="Arial"/>
        <family val="2"/>
      </rPr>
      <t>ncluye Recinto de Santa Cruz.</t>
    </r>
  </si>
  <si>
    <r>
      <t xml:space="preserve">Cuadro D2:  Número de Titulaciones </t>
    </r>
    <r>
      <rPr>
        <vertAlign val="superscript"/>
        <sz val="10"/>
        <rFont val="Arial"/>
        <family val="2"/>
      </rPr>
      <t>1/</t>
    </r>
    <r>
      <rPr>
        <sz val="10"/>
        <rFont val="Arial"/>
        <family val="2"/>
      </rPr>
      <t xml:space="preserve"> ofrecidas, según pregrado y grado, por unidad.  2017</t>
    </r>
  </si>
  <si>
    <t>1/ En las titulaciones se incluyen los énfasis de cada carrera cuando los tienen.</t>
  </si>
  <si>
    <r>
      <t>1/</t>
    </r>
    <r>
      <rPr>
        <sz val="10"/>
        <color theme="1"/>
        <rFont val="Arial"/>
        <family val="2"/>
      </rPr>
      <t xml:space="preserve">  La distribución vertical es con respecto al total de la Universidad y la distribución horizontal es con respecto al total de la Unidad.</t>
    </r>
  </si>
  <si>
    <r>
      <t>1/</t>
    </r>
    <r>
      <rPr>
        <sz val="10"/>
        <color theme="1"/>
        <rFont val="Arial"/>
        <family val="2"/>
      </rPr>
      <t xml:space="preserve">  La distribución vertical es con respecto al total de la Universidad, y la distribución horizontal es con respecto al total de la Unidad.</t>
    </r>
  </si>
  <si>
    <t xml:space="preserve">                   Oficina de Planificación Universitaria.</t>
  </si>
  <si>
    <t xml:space="preserve">                                         Créditos</t>
  </si>
  <si>
    <t xml:space="preserve">                                             Matriculados</t>
  </si>
  <si>
    <t>Derechos de  Incorporación y Título</t>
  </si>
  <si>
    <t>Derechos de  Matrícula  Corriente</t>
  </si>
  <si>
    <t>Derechos de  Matrícula, Cursos Especiales</t>
  </si>
  <si>
    <t>Derechos de  Matrícula, Est. de  Posgrado</t>
  </si>
  <si>
    <t>Intereses Sobre Préstamos</t>
  </si>
  <si>
    <r>
      <rPr>
        <sz val="11"/>
        <rFont val="Calibri"/>
        <family val="2"/>
        <scheme val="minor"/>
      </rPr>
      <t>Fondos Restringidos</t>
    </r>
    <r>
      <rPr>
        <sz val="10"/>
        <rFont val="Arial"/>
        <family val="2"/>
      </rPr>
      <t xml:space="preserve"> </t>
    </r>
    <r>
      <rPr>
        <vertAlign val="superscript"/>
        <sz val="10"/>
        <rFont val="Arial"/>
        <family val="2"/>
      </rPr>
      <t>3/</t>
    </r>
  </si>
  <si>
    <t>Maestría académica</t>
  </si>
  <si>
    <t>Maestría profesional</t>
  </si>
  <si>
    <r>
      <t xml:space="preserve">            Total</t>
    </r>
    <r>
      <rPr>
        <sz val="11"/>
        <rFont val="Calibri"/>
        <family val="2"/>
        <scheme val="minor"/>
      </rPr>
      <t xml:space="preserve"> 1/</t>
    </r>
  </si>
  <si>
    <r>
      <t>1/</t>
    </r>
    <r>
      <rPr>
        <b/>
        <sz val="11"/>
        <rFont val="Calibri"/>
        <family val="2"/>
        <scheme val="minor"/>
      </rPr>
      <t xml:space="preserve"> </t>
    </r>
    <r>
      <rPr>
        <sz val="11"/>
        <rFont val="Calibri"/>
        <family val="2"/>
        <scheme val="minor"/>
      </rPr>
      <t xml:space="preserve"> La distribución vertical es con respecto al total de la Universidad, y la distribución horizontal es con respecto al total de la Unidad.</t>
    </r>
  </si>
  <si>
    <r>
      <t>2/</t>
    </r>
    <r>
      <rPr>
        <b/>
        <sz val="11"/>
        <rFont val="Calibri"/>
        <family val="2"/>
        <scheme val="minor"/>
      </rPr>
      <t xml:space="preserve"> </t>
    </r>
    <r>
      <rPr>
        <sz val="11"/>
        <rFont val="Calibri"/>
        <family val="2"/>
        <scheme val="minor"/>
      </rPr>
      <t xml:space="preserve"> Corresponde a las materias que no tienen créditos, tales como: Seminarios de Graduación y las Deportivas.</t>
    </r>
  </si>
  <si>
    <t>Cuadro I-5:   Investigadores (as) participantes en los proyectos de investigación según grado y género, por área y programa.  2017</t>
  </si>
  <si>
    <t>Centros e Institutos de Investigación</t>
  </si>
  <si>
    <t>Diálogos: Revista de Historia</t>
  </si>
  <si>
    <r>
      <rPr>
        <vertAlign val="superscript"/>
        <sz val="12"/>
        <rFont val="Arial"/>
        <family val="2"/>
      </rPr>
      <t>2/</t>
    </r>
    <r>
      <rPr>
        <sz val="12"/>
        <rFont val="Arial"/>
        <family val="2"/>
      </rPr>
      <t xml:space="preserve"> Incluye Bachiller Enseñanza Media, Universitario sin Título, Preparación Equivalente a la Universitaria y no indica título.</t>
    </r>
  </si>
  <si>
    <r>
      <t xml:space="preserve">Total </t>
    </r>
    <r>
      <rPr>
        <vertAlign val="superscript"/>
        <sz val="11"/>
        <color theme="1"/>
        <rFont val="Calibri"/>
        <family val="2"/>
        <scheme val="minor"/>
      </rPr>
      <t>1/</t>
    </r>
  </si>
  <si>
    <r>
      <t>1/</t>
    </r>
    <r>
      <rPr>
        <sz val="11"/>
        <color theme="1"/>
        <rFont val="Arial"/>
        <family val="2"/>
      </rPr>
      <t xml:space="preserve">  La distribución vertical es con respecto al total de la Universidad, y la distribución horizontal es </t>
    </r>
  </si>
  <si>
    <r>
      <t xml:space="preserve">Cuadro VE2:   Estudiantes físicos becados de pregrado y grado </t>
    </r>
    <r>
      <rPr>
        <vertAlign val="superscript"/>
        <sz val="10"/>
        <rFont val="Arial"/>
        <family val="2"/>
      </rPr>
      <t>1/</t>
    </r>
    <r>
      <rPr>
        <sz val="10"/>
        <color theme="1"/>
        <rFont val="Arial"/>
        <family val="2"/>
      </rPr>
      <t>,</t>
    </r>
    <r>
      <rPr>
        <vertAlign val="superscript"/>
        <sz val="10"/>
        <rFont val="Arial"/>
        <family val="2"/>
      </rPr>
      <t xml:space="preserve"> </t>
    </r>
    <r>
      <rPr>
        <sz val="10"/>
        <color theme="1"/>
        <rFont val="Arial"/>
        <family val="2"/>
      </rPr>
      <t>según sexo, por unidad. I ciclo 2017</t>
    </r>
  </si>
  <si>
    <r>
      <t>Cuadro VE3:   Estudiantes físicos  1/ de posgrado con beca socieconómica,</t>
    </r>
    <r>
      <rPr>
        <vertAlign val="superscript"/>
        <sz val="10"/>
        <rFont val="Arial"/>
        <family val="2"/>
      </rPr>
      <t xml:space="preserve"> </t>
    </r>
    <r>
      <rPr>
        <sz val="10"/>
        <color theme="1"/>
        <rFont val="Arial"/>
        <family val="2"/>
      </rPr>
      <t>según sexo, por especialidad.</t>
    </r>
  </si>
  <si>
    <r>
      <rPr>
        <vertAlign val="superscript"/>
        <sz val="10"/>
        <rFont val="Arial"/>
        <family val="2"/>
      </rPr>
      <t>1/</t>
    </r>
    <r>
      <rPr>
        <sz val="10"/>
        <color theme="1"/>
        <rFont val="Arial"/>
        <family val="2"/>
      </rPr>
      <t xml:space="preserve"> Corresponde al total de estudiantes becados de la Universidad para el I ciclo 2017.</t>
    </r>
  </si>
  <si>
    <r>
      <t>2/</t>
    </r>
    <r>
      <rPr>
        <sz val="10"/>
        <color theme="1"/>
        <rFont val="Arial"/>
        <family val="2"/>
      </rPr>
      <t xml:space="preserve"> La distribución vertical es con respecto al total de la Universidad y la horizontal es con respecto al total de la Unidad.</t>
    </r>
  </si>
  <si>
    <r>
      <t>3/</t>
    </r>
    <r>
      <rPr>
        <sz val="10"/>
        <color theme="1"/>
        <rFont val="Arial"/>
        <family val="2"/>
      </rPr>
      <t xml:space="preserve">  Incluye las categorías de divorciado, separado, viudo , unión libre y no sabe o no responde.</t>
    </r>
  </si>
  <si>
    <r>
      <t xml:space="preserve">Sede Rodrigo Facio </t>
    </r>
    <r>
      <rPr>
        <b/>
        <vertAlign val="superscript"/>
        <sz val="11"/>
        <rFont val="Calibri"/>
        <family val="2"/>
        <scheme val="minor"/>
      </rPr>
      <t xml:space="preserve"> </t>
    </r>
  </si>
  <si>
    <r>
      <t xml:space="preserve">Cuadro VE14:   Estudiantes físicos de primer ingreso </t>
    </r>
    <r>
      <rPr>
        <vertAlign val="superscript"/>
        <sz val="11"/>
        <color theme="1"/>
        <rFont val="Calibri"/>
        <family val="2"/>
        <scheme val="minor"/>
      </rPr>
      <t>1/</t>
    </r>
    <r>
      <rPr>
        <sz val="11"/>
        <color theme="1"/>
        <rFont val="Calibri"/>
        <family val="2"/>
        <scheme val="minor"/>
      </rPr>
      <t xml:space="preserve"> con beca </t>
    </r>
    <r>
      <rPr>
        <vertAlign val="superscript"/>
        <sz val="11"/>
        <color theme="1"/>
        <rFont val="Calibri"/>
        <family val="2"/>
        <scheme val="minor"/>
      </rPr>
      <t>2/</t>
    </r>
    <r>
      <rPr>
        <sz val="11"/>
        <color theme="1"/>
        <rFont val="Calibri"/>
        <family val="2"/>
        <scheme val="minor"/>
      </rPr>
      <t xml:space="preserve"> socioeconómica asignada, según sede, por categoría. I ciclo 2017</t>
    </r>
  </si>
  <si>
    <r>
      <t xml:space="preserve">1/ </t>
    </r>
    <r>
      <rPr>
        <sz val="11"/>
        <color theme="1"/>
        <rFont val="Calibri"/>
        <family val="2"/>
        <scheme val="minor"/>
      </rPr>
      <t xml:space="preserve"> Las becas asignadas cada ciclo lectivo corresponden a estudiantes en su mayoría de primer ingreso (85,5), el resto (14,5%) a estudiantes regulares que solicitan</t>
    </r>
  </si>
  <si>
    <r>
      <t xml:space="preserve">% de becas </t>
    </r>
    <r>
      <rPr>
        <vertAlign val="superscript"/>
        <sz val="11"/>
        <color theme="1"/>
        <rFont val="Calibri"/>
        <family val="2"/>
        <scheme val="minor"/>
      </rPr>
      <t>1/</t>
    </r>
  </si>
  <si>
    <t>carreras</t>
  </si>
  <si>
    <t xml:space="preserve">Excelencia </t>
  </si>
  <si>
    <r>
      <t xml:space="preserve">Cuadro VE20:  Estudiantes físicos becados con servicio de almuerzo asignado mediante depósito 1/, según beca vigente, </t>
    </r>
    <r>
      <rPr>
        <sz val="11"/>
        <color theme="1"/>
        <rFont val="Calibri"/>
        <family val="2"/>
        <scheme val="minor"/>
      </rPr>
      <t>por modalidad de entrega y sede, I ciclo 2017</t>
    </r>
  </si>
  <si>
    <t>Cuadro VE21:   Estudiantes físicos  con beca vigente, beneficiados con préstamo de libros, con solicitudes aprobadas, según sede, por categoría. I ciclo 2017</t>
  </si>
  <si>
    <r>
      <t xml:space="preserve">O </t>
    </r>
    <r>
      <rPr>
        <vertAlign val="superscript"/>
        <sz val="11"/>
        <color theme="1"/>
        <rFont val="Calibri"/>
        <family val="2"/>
        <scheme val="minor"/>
      </rPr>
      <t>1/</t>
    </r>
  </si>
  <si>
    <r>
      <t xml:space="preserve">2 </t>
    </r>
    <r>
      <rPr>
        <vertAlign val="superscript"/>
        <sz val="11"/>
        <color theme="1"/>
        <rFont val="Calibri"/>
        <family val="2"/>
        <scheme val="minor"/>
      </rPr>
      <t>1/</t>
    </r>
  </si>
  <si>
    <t>Cuadro VE23:  Número de personas atendidas en consultas y otros servicios brindados por la</t>
  </si>
  <si>
    <t>Proyecto para el manejo de la obesidad "Proyecto O"</t>
  </si>
  <si>
    <t>Festival UCR Saludable 2017</t>
  </si>
  <si>
    <t>Proyecto grupal para el abordaje de la salud mental</t>
  </si>
  <si>
    <t>Cuadro D10:   Estudiantes físicos de pregrado y grado, según créditos aprobados en el año, por unidad. 2017</t>
  </si>
  <si>
    <t>Centro de Investigación y Capacitación en Administración Pública</t>
  </si>
  <si>
    <t>Centro de Investigación en Biología Celular y Molecular</t>
  </si>
  <si>
    <t>Centro de Investigación en Cs. Atómicas, Nucleares y Moleculares</t>
  </si>
  <si>
    <t>Centro de Investigación en Ciencias e Ingeniería de Materiales</t>
  </si>
  <si>
    <t>Centro de Investigación en Ciencias del Mar y Limnología</t>
  </si>
  <si>
    <t>C.I.I.C.LA.</t>
  </si>
  <si>
    <t>Centro de Investigación en Ciencias del Movimiento Humano</t>
  </si>
  <si>
    <t>Centro de Investigación en Contaminación Ambiental</t>
  </si>
  <si>
    <t>Centro de Investigación en Desarrollo Sostenible</t>
  </si>
  <si>
    <t>Centro de Investigación en Economía Agrícola y Desarrollo Agroempresarial</t>
  </si>
  <si>
    <t>Centro de Investigación en Enfermedades Tropicales</t>
  </si>
  <si>
    <t>Centro de Investigación en Estructuras Microscópicas</t>
  </si>
  <si>
    <t>Centro de Investigación en Estudios de la Mujer</t>
  </si>
  <si>
    <t>Centro de Investigación en Granos y Semillas</t>
  </si>
  <si>
    <t>Centro de Investigación en Hematología y Trastornos Afines</t>
  </si>
  <si>
    <t>Centro de Investigaciones en Identidad y Cultura Latinoamericana</t>
  </si>
  <si>
    <t>Centro de Investigación en Matemática y Meta-matemática</t>
  </si>
  <si>
    <t>Centro de Investigación en Matemáticas Puras y Aplicadas</t>
  </si>
  <si>
    <t>Centro de Investigación en Nutrición Animal</t>
  </si>
  <si>
    <t>Centro de Investigación en Productos Naturales</t>
  </si>
  <si>
    <t>Centro de Investigación en Protección de Cultivos</t>
  </si>
  <si>
    <t>Centro Nacional de Ciencia y Tecnología de Alimentos</t>
  </si>
  <si>
    <t>IN.I.F.</t>
  </si>
  <si>
    <t>IN.I.E.</t>
  </si>
  <si>
    <t>Instituto de Investigaciones en Educación</t>
  </si>
  <si>
    <t>Sistema de Bibliotecas, Documentación e Información</t>
  </si>
  <si>
    <t>C.I.T.I.C</t>
  </si>
  <si>
    <t>C.I.C.A.NU.M</t>
  </si>
  <si>
    <t>C.IN.ESPA</t>
  </si>
  <si>
    <t>Distribución del personal docente, según tipo de nombramiento, por ciclo lectivo. 2013-2017.  (Ver Gráfico RH2)</t>
  </si>
  <si>
    <t>Distribución del personal docente en régimen académico, según grado académico, por unidad I ciclo 2017.  (Ver Gráfico RH4)</t>
  </si>
  <si>
    <t>Distribución del personal docente en régimen académico, según grado académico, por unidad II ciclo 2017.  (Ver Gráfico RH4)</t>
  </si>
  <si>
    <t>Distribución del personal docente en propiedad, según jornada, por unidad. II ciclo   2017. (Ver Gráfico RH6)</t>
  </si>
  <si>
    <t>Distribución del personal docente en propiedad, según jornada, por unidad I ciclo  2017.  (Ver Gráfico RH6)</t>
  </si>
  <si>
    <t>Distribución del personal docente interino, según jornada, por unidad. I ciclo   2017. (Ver Gráfico RH7)</t>
  </si>
  <si>
    <t>Distribución del personal docente interino, según jornada, por unidad. II ciclo   2017. (Ver Gráfico RH7)</t>
  </si>
  <si>
    <t xml:space="preserve">  Oficina de Recursos Humanos</t>
  </si>
  <si>
    <t>Cuadro D17   Títulos otorgados de pregrado y grado, según género, por unidad.  2017</t>
  </si>
  <si>
    <t xml:space="preserve">   C.C.P.</t>
  </si>
  <si>
    <t xml:space="preserve">   IN.I.FAR</t>
  </si>
  <si>
    <t xml:space="preserve">   IN.I.L.</t>
  </si>
  <si>
    <t xml:space="preserve">   LA.NA.M.M.E.</t>
  </si>
  <si>
    <t>Cuadro I-7   Número de  libros publicados, según clasificación por modalidad.  2017</t>
  </si>
  <si>
    <r>
      <t xml:space="preserve">1/ </t>
    </r>
    <r>
      <rPr>
        <sz val="12"/>
        <rFont val="Arial"/>
        <family val="2"/>
      </rPr>
      <t xml:space="preserve"> Incluye servicios como: información general y colección e inscripción de usuarios, así como usuarios atendidos en préstamos de libros</t>
    </r>
  </si>
  <si>
    <t xml:space="preserve">    compacto, en cinta). Adémas incluye artículos electrónicos.</t>
  </si>
  <si>
    <r>
      <rPr>
        <vertAlign val="superscript"/>
        <sz val="10"/>
        <rFont val="Arial"/>
        <family val="2"/>
      </rPr>
      <t>1/</t>
    </r>
    <r>
      <rPr>
        <sz val="10"/>
        <rFont val="Arial"/>
        <family val="2"/>
        <charset val="1"/>
      </rPr>
      <t xml:space="preserve"> Incluye material de Urna, Braille, Manuscritos y una colección de la Oficina de Orientación de OCCI.</t>
    </r>
  </si>
  <si>
    <r>
      <t>2/</t>
    </r>
    <r>
      <rPr>
        <sz val="10"/>
        <rFont val="Arial"/>
        <family val="2"/>
      </rPr>
      <t xml:space="preserve">  Incluye préstamo de libros, trabajos finales de graduación y otros a sala, domilicio, departamento, becas e interbibliotecarios.</t>
    </r>
  </si>
  <si>
    <t>Número de responsables y colaboradores que participan en los proyectos de Trabajo Comunal Universitario, distribuido según categoría, por grado.  2017</t>
  </si>
  <si>
    <r>
      <t xml:space="preserve">Plazas  </t>
    </r>
    <r>
      <rPr>
        <vertAlign val="superscript"/>
        <sz val="11"/>
        <color theme="1"/>
        <rFont val="Calibri"/>
        <family val="2"/>
        <scheme val="minor"/>
      </rPr>
      <t>1/</t>
    </r>
  </si>
  <si>
    <r>
      <t xml:space="preserve">2/  </t>
    </r>
    <r>
      <rPr>
        <sz val="11"/>
        <color theme="1"/>
        <rFont val="Calibri"/>
        <family val="2"/>
        <scheme val="minor"/>
      </rPr>
      <t>Incluyen el Recinto de Tacares Grecia.</t>
    </r>
  </si>
  <si>
    <r>
      <t xml:space="preserve">3/  </t>
    </r>
    <r>
      <rPr>
        <sz val="11"/>
        <color theme="1"/>
        <rFont val="Calibri"/>
        <family val="2"/>
        <scheme val="minor"/>
      </rPr>
      <t>Incluyen el Recinto de Santa Cruz.</t>
    </r>
  </si>
  <si>
    <r>
      <t>4/</t>
    </r>
    <r>
      <rPr>
        <sz val="11"/>
        <color theme="1"/>
        <rFont val="Calibri"/>
        <family val="2"/>
        <scheme val="minor"/>
      </rPr>
      <t xml:space="preserve"> Incluyen el Recinto de Paraíso y el de Guápiles.</t>
    </r>
  </si>
  <si>
    <r>
      <t>1/</t>
    </r>
    <r>
      <rPr>
        <sz val="11"/>
        <color theme="1"/>
        <rFont val="Calibri"/>
        <family val="2"/>
        <scheme val="minor"/>
      </rPr>
      <t xml:space="preserve">  Equivalentes de tiempo completo y contemplan plazas en propiedad e interinas.</t>
    </r>
  </si>
  <si>
    <r>
      <t xml:space="preserve">Otros </t>
    </r>
    <r>
      <rPr>
        <vertAlign val="superscript"/>
        <sz val="11"/>
        <color theme="1"/>
        <rFont val="Calibri"/>
        <family val="2"/>
        <scheme val="minor"/>
      </rPr>
      <t>2/</t>
    </r>
  </si>
  <si>
    <r>
      <t xml:space="preserve">Total </t>
    </r>
    <r>
      <rPr>
        <vertAlign val="superscript"/>
        <sz val="11"/>
        <rFont val="Calibri"/>
        <family val="2"/>
        <scheme val="minor"/>
      </rPr>
      <t>1/</t>
    </r>
  </si>
  <si>
    <r>
      <t xml:space="preserve">1/ </t>
    </r>
    <r>
      <rPr>
        <sz val="11"/>
        <rFont val="Calibri"/>
        <family val="2"/>
        <scheme val="minor"/>
      </rPr>
      <t xml:space="preserve"> La distribución vertical es con respecto al total de la Universidad y la horizontal es con respecto al total de la Unidad.</t>
    </r>
  </si>
  <si>
    <r>
      <rPr>
        <vertAlign val="superscript"/>
        <sz val="11"/>
        <rFont val="Calibri"/>
        <family val="2"/>
        <scheme val="minor"/>
      </rPr>
      <t>2/</t>
    </r>
    <r>
      <rPr>
        <sz val="11"/>
        <rFont val="Calibri"/>
        <family val="2"/>
        <scheme val="minor"/>
      </rPr>
      <t xml:space="preserve"> Incluye Bachiller Enseñanza Media, Universitario sin Titulo, Preparación Equivalente a la Universitaria y no indica titulo.</t>
    </r>
  </si>
  <si>
    <t>Cuadro AS4   Número de proyectos de Trabajo Comunal Universitario, por sede y área. 2017</t>
  </si>
  <si>
    <t>Cuadro AS5 : Número de profesores que participaron en los proyectos de Trabajo Comunal Universitario, distribuidos según categoría,</t>
  </si>
  <si>
    <t>Cuadro VE5:   Estudiantes físicos1/ de posgrado con beca socieconómica, según edad, por especialidad. I ciclo  2017</t>
  </si>
  <si>
    <t>Servicio de Psicología</t>
  </si>
  <si>
    <t xml:space="preserve">Consulta de Nutrición </t>
  </si>
  <si>
    <t>Atención Integral y Promoción de la Salud Oral a estud. becados 4 y 5</t>
  </si>
  <si>
    <t>Personas atendidas en el Laboratorio Clínico, otros proyectos y comunidad en general</t>
  </si>
  <si>
    <t>Servicio de atención extrahospitalaria de emergencias médicas</t>
  </si>
  <si>
    <t>Análisis de laboratorio a comunidad universitaria</t>
  </si>
  <si>
    <t xml:space="preserve">Análisis de laboratorio por venta de servicios, otros proy y comunidad general </t>
  </si>
  <si>
    <t>Análisis de laboratorio a  la población del INS</t>
  </si>
  <si>
    <t>Afiliaciones al Seguro Social Estudiantil</t>
  </si>
  <si>
    <t>Apoyo técnico y capacitación a Comités de Salud Ocupacional</t>
  </si>
  <si>
    <t>Estudios técnicos (Puesto de Trabajo, ergonómicos, condciones y ambiente etc)</t>
  </si>
  <si>
    <t xml:space="preserve">Extintores Recarga y Mantenimiento, prueba hidrostática, asignación, instalación y señalización </t>
  </si>
  <si>
    <t>Coordinación de actividades varias en salud ambiental y seguridad alimentaria</t>
  </si>
  <si>
    <t>Capacitación en prevención y control de inicios de incendios</t>
  </si>
  <si>
    <t>Procesos de reubicación o readaptación de puestos (funcionarios)</t>
  </si>
  <si>
    <t xml:space="preserve">Cuadro VE25:  Número de participantes en el Área de Promoción de la Salud, de la Oficina </t>
  </si>
  <si>
    <t>Convivio con estudiantes de primer ingreso de Residencias  Estudiantiles y Sedes Regionales</t>
  </si>
  <si>
    <t>Alimentación saludable, Escuela de Ingeniería</t>
  </si>
  <si>
    <t>Actividad Física</t>
  </si>
  <si>
    <t>Otras Actividades Día del ambiente, Festival saludable UCR, Día Internacional del Deporte Universitario</t>
  </si>
  <si>
    <t>Torneos Universitarios:Atletismo, Natación, Balonmano y Fútbol</t>
  </si>
  <si>
    <t>Juegos Mundiales Universitarios, Taipei 2017</t>
  </si>
  <si>
    <t>Espectáculos en teatros nacionales y espacios universitarios</t>
  </si>
  <si>
    <t>Jornadas artísticas y espacios de frecuencia expresiva en el Campus</t>
  </si>
  <si>
    <t xml:space="preserve">Investigaciones Artísticas </t>
  </si>
  <si>
    <r>
      <rPr>
        <vertAlign val="superscript"/>
        <sz val="10"/>
        <rFont val="Arial"/>
        <family val="2"/>
      </rPr>
      <t xml:space="preserve">1/  </t>
    </r>
    <r>
      <rPr>
        <sz val="10"/>
        <rFont val="Arial"/>
        <family val="2"/>
      </rPr>
      <t xml:space="preserve">Los  programas  recreativos  son  Montañismo, Kung Fu,  Defensa  Personal,  Gimnasio </t>
    </r>
  </si>
  <si>
    <t xml:space="preserve"> Universitario  (pesas,  aeróbicos,  spinning,  otros),  Tenis de campo, Terapia Acuática, Yoga, </t>
  </si>
  <si>
    <t>Jiu-Jitsu, acondicionamiento físico Tercera  Edad, Natación, Arquería, Aikido y Rugby.</t>
  </si>
  <si>
    <r>
      <rPr>
        <vertAlign val="superscript"/>
        <sz val="10"/>
        <rFont val="Arial"/>
        <family val="2"/>
      </rPr>
      <t>2/</t>
    </r>
    <r>
      <rPr>
        <sz val="10"/>
        <rFont val="Arial"/>
        <family val="2"/>
      </rPr>
      <t xml:space="preserve"> Ajedrez, Atlétismo, Baloncesto, Balonmano, Esgrima, Fútbol, Futbol sala, Karate do, Natación,</t>
    </r>
  </si>
  <si>
    <r>
      <t xml:space="preserve">Plazas  </t>
    </r>
    <r>
      <rPr>
        <vertAlign val="superscript"/>
        <sz val="10"/>
        <color theme="1"/>
        <rFont val="Calibri"/>
        <family val="2"/>
        <scheme val="minor"/>
      </rPr>
      <t>1/</t>
    </r>
  </si>
  <si>
    <r>
      <t xml:space="preserve">  Administración (San Ramón)  </t>
    </r>
    <r>
      <rPr>
        <vertAlign val="superscript"/>
        <sz val="10"/>
        <color theme="1"/>
        <rFont val="Calibri"/>
        <family val="2"/>
        <scheme val="minor"/>
      </rPr>
      <t>2/</t>
    </r>
  </si>
  <si>
    <r>
      <t xml:space="preserve">  Administración (Guanacaste) </t>
    </r>
    <r>
      <rPr>
        <vertAlign val="superscript"/>
        <sz val="10"/>
        <color theme="1"/>
        <rFont val="Calibri"/>
        <family val="2"/>
        <scheme val="minor"/>
      </rPr>
      <t xml:space="preserve"> 3/</t>
    </r>
  </si>
  <si>
    <r>
      <t xml:space="preserve">  Administración (Turrialba)   </t>
    </r>
    <r>
      <rPr>
        <vertAlign val="superscript"/>
        <sz val="10"/>
        <color theme="1"/>
        <rFont val="Calibri"/>
        <family val="2"/>
        <scheme val="minor"/>
      </rPr>
      <t>4/</t>
    </r>
  </si>
  <si>
    <r>
      <t>1/</t>
    </r>
    <r>
      <rPr>
        <sz val="10"/>
        <color theme="1"/>
        <rFont val="Calibri"/>
        <family val="2"/>
        <scheme val="minor"/>
      </rPr>
      <t xml:space="preserve">  Equivalentes de tiempo completo, y contemplan plazas en propiedad e interinas.</t>
    </r>
  </si>
  <si>
    <r>
      <t xml:space="preserve">2/  </t>
    </r>
    <r>
      <rPr>
        <sz val="10"/>
        <color theme="1"/>
        <rFont val="Calibri"/>
        <family val="2"/>
        <scheme val="minor"/>
      </rPr>
      <t>Incluyen el Recinto de Tacares Grecia.</t>
    </r>
  </si>
  <si>
    <r>
      <t xml:space="preserve">3/  </t>
    </r>
    <r>
      <rPr>
        <sz val="10"/>
        <color theme="1"/>
        <rFont val="Calibri"/>
        <family val="2"/>
        <scheme val="minor"/>
      </rPr>
      <t>Incluyen el Recinto de Santa Cruz.</t>
    </r>
  </si>
  <si>
    <r>
      <t>4/</t>
    </r>
    <r>
      <rPr>
        <sz val="10"/>
        <color theme="1"/>
        <rFont val="Calibri"/>
        <family val="2"/>
        <scheme val="minor"/>
      </rPr>
      <t xml:space="preserve"> Incluyen el Recinto de Paraiso y el de Guapiles.</t>
    </r>
  </si>
  <si>
    <t>PRODUS</t>
  </si>
  <si>
    <t xml:space="preserve">LANMME </t>
  </si>
  <si>
    <t>Laboratorio Nacional de Materiales y Modelos Estructurales</t>
  </si>
  <si>
    <t>Programa de Investigación en Desarrollo Urbano Sostenible</t>
  </si>
  <si>
    <t xml:space="preserve">   Observatorio del Desarrollo</t>
  </si>
  <si>
    <t>Cuadro D3:  Número de titulaciones ofrecidas, según posgrado, por área.  2017</t>
  </si>
  <si>
    <t>Centro de Investigaciones en Tecnologías de la Información y Comunicación</t>
  </si>
  <si>
    <t xml:space="preserve">Estudiantes de pregrado y grado, según materias matriculadas en el año, por unidad. 2017.  </t>
  </si>
  <si>
    <t xml:space="preserve">Estudiantes físicos de posgrado, según materias matriculadas en el año, por especialidad. 2017.  </t>
  </si>
  <si>
    <t xml:space="preserve">Estudiantes físicos de pregrado y grado, según materias aprobadas en el año, por unidad. 2017.  </t>
  </si>
  <si>
    <t xml:space="preserve">Estudiantes físicos de posgrado, según materias aprobadas en el año, por especialidad. 2017. </t>
  </si>
  <si>
    <t xml:space="preserve">Estudiantes físicos de pregrado y grado, según créditos matriculados en el año, por  unidad. 2017.  </t>
  </si>
  <si>
    <t xml:space="preserve">Estudiantes físicos de posgrado, según créditos matriculados en el año, por especialidad 2017.  </t>
  </si>
  <si>
    <t xml:space="preserve">Estudiantes físicos de pregrado y grado, según créditos aprobados en el año, por unidad. 2017.  </t>
  </si>
  <si>
    <t xml:space="preserve">Estudiantes físicos de posgrado, según créditos aprobados, en el año, por especialidad. 2017. </t>
  </si>
  <si>
    <t>Títulos otorgados a graduados de pregrado y grado, según grado académico obtenido, por unidad. 2017.  (Ver Gráfico D4)</t>
  </si>
  <si>
    <t>Títulos otorgados a graduados de pregrado y grado, según genero, por unidad. 2017.  (Ver Gráfico D5 y D5.1)</t>
  </si>
  <si>
    <t>Títulos otorgados a graduados, según gener, por especialidad de posgrado. 2017..  (Ver Gráfico D6 y D6.1)</t>
  </si>
  <si>
    <t>Títulos otorgados a graduados de pregrado, grado y posgrado, según género, por área y sede  2017.  (Ver Gráfico D7)</t>
  </si>
  <si>
    <t xml:space="preserve">                                 Matriculadas </t>
  </si>
  <si>
    <r>
      <t xml:space="preserve">  Acción Social (San Ramón) </t>
    </r>
    <r>
      <rPr>
        <vertAlign val="superscript"/>
        <sz val="11"/>
        <color indexed="8"/>
        <rFont val="Calibri"/>
        <family val="2"/>
        <scheme val="minor"/>
      </rPr>
      <t>2/</t>
    </r>
  </si>
  <si>
    <r>
      <t xml:space="preserve">  Acción Social (Guanacaste) </t>
    </r>
    <r>
      <rPr>
        <vertAlign val="superscript"/>
        <sz val="11"/>
        <color indexed="8"/>
        <rFont val="Calibri"/>
        <family val="2"/>
        <scheme val="minor"/>
      </rPr>
      <t>3/</t>
    </r>
  </si>
  <si>
    <r>
      <t xml:space="preserve">  Acción Social (Turrialba)  </t>
    </r>
    <r>
      <rPr>
        <vertAlign val="superscript"/>
        <sz val="11"/>
        <color indexed="8"/>
        <rFont val="Calibri"/>
        <family val="2"/>
        <scheme val="minor"/>
      </rPr>
      <t>4/</t>
    </r>
  </si>
  <si>
    <t>Número de estudiantes matriculados en el Programa Integral para la persona Adulta y Adulta Mayor, distribuidos según escolaridad, por ciclo lectivo. 2017. .  (Ver Gráfico AS5)</t>
  </si>
  <si>
    <t>Reanimación Cardiopulmonar</t>
  </si>
  <si>
    <t>Las categorias no son comparables, puesto que se puede dar que un estudiante que no apruebe todas las materias que matricula.</t>
  </si>
  <si>
    <t xml:space="preserve">Nota: Para el calculo de las materias aprobadas no se incluyen aquellas con nota sin equivalencia numérica como es el caso de calificación con letras </t>
  </si>
  <si>
    <t xml:space="preserve">Nota: Para el calculo de las materias aprobadas no se incluyen aquellas con nota sin equivalencia numérica como es el caso de calificación con letras, </t>
  </si>
  <si>
    <t>Además las categorias no son comparables, puesto que se puede dar que un estudiante que no apruebe todas las materias que matricula.</t>
  </si>
  <si>
    <r>
      <t>1/</t>
    </r>
    <r>
      <rPr>
        <sz val="10"/>
        <rFont val="Arial"/>
        <family val="2"/>
      </rPr>
      <t xml:space="preserve">  Incluye 2.252.439 libros electrónicos, 1.200.000 tesis contenidas en la Base de Datos Dissertation Abstracts.</t>
    </r>
  </si>
</sst>
</file>

<file path=xl/styles.xml><?xml version="1.0" encoding="utf-8"?>
<styleSheet xmlns="http://schemas.openxmlformats.org/spreadsheetml/2006/main">
  <numFmts count="9">
    <numFmt numFmtId="164" formatCode="#\ ##0"/>
    <numFmt numFmtId="165" formatCode="_([$₡-140A]* #,##0.00_);_([$₡-140A]* \(#,##0.00\);_([$₡-140A]* &quot;-&quot;??_);_(@_)"/>
    <numFmt numFmtId="166" formatCode="#,##0.000"/>
    <numFmt numFmtId="167" formatCode="###0"/>
    <numFmt numFmtId="168" formatCode="#,###;\(#,###\)"/>
    <numFmt numFmtId="169" formatCode="#"/>
    <numFmt numFmtId="170" formatCode="#,##0.0"/>
    <numFmt numFmtId="171" formatCode="0.0"/>
    <numFmt numFmtId="172" formatCode="_-* #,##0.00\ [$€]_-;\-* #,##0.00\ [$€]_-;_-* &quot;-&quot;??\ [$€]_-;_-@_-"/>
  </numFmts>
  <fonts count="76">
    <font>
      <sz val="11"/>
      <color theme="1"/>
      <name val="Calibri"/>
      <family val="2"/>
      <scheme val="minor"/>
    </font>
    <font>
      <sz val="10"/>
      <name val="Arial"/>
      <family val="2"/>
    </font>
    <font>
      <b/>
      <sz val="10"/>
      <name val="Arial"/>
      <family val="2"/>
    </font>
    <font>
      <b/>
      <vertAlign val="superscript"/>
      <sz val="10"/>
      <name val="Arial"/>
      <family val="2"/>
    </font>
    <font>
      <sz val="10"/>
      <color indexed="8"/>
      <name val="Arial"/>
      <family val="2"/>
    </font>
    <font>
      <sz val="10"/>
      <color indexed="8"/>
      <name val="Times New Roman"/>
      <family val="1"/>
    </font>
    <font>
      <vertAlign val="superscript"/>
      <sz val="10"/>
      <name val="Arial"/>
      <family val="2"/>
    </font>
    <font>
      <sz val="12"/>
      <name val="Times New Roman"/>
      <family val="1"/>
    </font>
    <font>
      <b/>
      <sz val="12"/>
      <color theme="1"/>
      <name val="Times New Roman"/>
      <family val="1"/>
    </font>
    <font>
      <sz val="10"/>
      <color theme="1"/>
      <name val="Times New Roman"/>
      <family val="1"/>
    </font>
    <font>
      <sz val="12"/>
      <color theme="1"/>
      <name val="Times New Roman"/>
      <family val="1"/>
    </font>
    <font>
      <sz val="18"/>
      <color rgb="FF000000"/>
      <name val="Times New Roman"/>
      <family val="1"/>
    </font>
    <font>
      <sz val="18"/>
      <name val="Times New Roman"/>
      <family val="1"/>
    </font>
    <font>
      <sz val="11"/>
      <name val="Times New Roman"/>
      <family val="1"/>
    </font>
    <font>
      <sz val="9"/>
      <name val="Arial"/>
      <family val="2"/>
    </font>
    <font>
      <sz val="11"/>
      <color theme="1"/>
      <name val="Calibri"/>
      <family val="2"/>
      <scheme val="minor"/>
    </font>
    <font>
      <vertAlign val="superscript"/>
      <sz val="10"/>
      <color indexed="8"/>
      <name val="Arial"/>
      <family val="2"/>
    </font>
    <font>
      <b/>
      <sz val="10"/>
      <color indexed="8"/>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1"/>
      <color indexed="81"/>
      <name val="Tahoma"/>
      <family val="2"/>
    </font>
    <font>
      <sz val="10"/>
      <color indexed="81"/>
      <name val="Tahoma"/>
      <family val="2"/>
    </font>
    <font>
      <b/>
      <sz val="11"/>
      <color indexed="81"/>
      <name val="Tahoma"/>
      <family val="2"/>
    </font>
    <font>
      <sz val="11"/>
      <name val="Arial"/>
      <family val="2"/>
    </font>
    <font>
      <sz val="11"/>
      <color indexed="8"/>
      <name val="Arial"/>
      <family val="2"/>
    </font>
    <font>
      <vertAlign val="superscript"/>
      <sz val="11"/>
      <name val="Arial"/>
      <family val="2"/>
    </font>
    <font>
      <b/>
      <sz val="11"/>
      <name val="Arial"/>
      <family val="2"/>
    </font>
    <font>
      <b/>
      <sz val="11"/>
      <color indexed="8"/>
      <name val="Arial"/>
      <family val="2"/>
    </font>
    <font>
      <sz val="10"/>
      <color rgb="FF000000"/>
      <name val="Arial"/>
      <family val="2"/>
    </font>
    <font>
      <sz val="9"/>
      <color rgb="FF000000"/>
      <name val="Arial"/>
      <family val="2"/>
    </font>
    <font>
      <sz val="9"/>
      <color indexed="8"/>
      <name val="Arial"/>
      <family val="2"/>
    </font>
    <font>
      <sz val="12"/>
      <name val="Arial"/>
      <family val="2"/>
    </font>
    <font>
      <vertAlign val="superscript"/>
      <sz val="12"/>
      <name val="Arial"/>
      <family val="2"/>
    </font>
    <font>
      <b/>
      <sz val="12"/>
      <name val="Arial"/>
      <family val="2"/>
    </font>
    <font>
      <sz val="18"/>
      <color indexed="8"/>
      <name val="Times New Roman"/>
      <family val="1"/>
    </font>
    <font>
      <sz val="10"/>
      <color theme="1"/>
      <name val="Arial"/>
      <family val="2"/>
    </font>
    <font>
      <vertAlign val="superscript"/>
      <sz val="10"/>
      <color theme="1"/>
      <name val="Arial"/>
      <family val="2"/>
    </font>
    <font>
      <sz val="16"/>
      <color indexed="8"/>
      <name val="Arial"/>
      <family val="2"/>
    </font>
    <font>
      <sz val="16"/>
      <name val="Arial"/>
      <family val="2"/>
    </font>
    <font>
      <sz val="8"/>
      <name val="Arial"/>
      <family val="2"/>
    </font>
    <font>
      <b/>
      <sz val="10"/>
      <name val="Arial"/>
      <family val="2"/>
    </font>
    <font>
      <sz val="6"/>
      <name val="Arial"/>
      <family val="2"/>
    </font>
    <font>
      <sz val="10"/>
      <name val="Arial"/>
      <family val="2"/>
      <charset val="1"/>
    </font>
    <font>
      <sz val="10"/>
      <color indexed="8"/>
      <name val="Arial"/>
      <family val="2"/>
      <charset val="1"/>
    </font>
    <font>
      <sz val="10"/>
      <name val="Times New Roman"/>
      <family val="1"/>
    </font>
    <font>
      <sz val="10"/>
      <color indexed="10"/>
      <name val="Arial"/>
      <family val="2"/>
    </font>
    <font>
      <sz val="10"/>
      <name val="MS Sans Serif"/>
      <family val="2"/>
    </font>
    <font>
      <i/>
      <sz val="11"/>
      <color rgb="FF7F7F7F"/>
      <name val="Calibri"/>
      <family val="2"/>
      <scheme val="minor"/>
    </font>
    <font>
      <sz val="10"/>
      <color rgb="FF000000"/>
      <name val="Arial"/>
      <family val="2"/>
      <charset val="1"/>
    </font>
    <font>
      <i/>
      <sz val="10"/>
      <color rgb="FF000000"/>
      <name val="Arial"/>
      <family val="2"/>
      <charset val="1"/>
    </font>
    <font>
      <b/>
      <sz val="8"/>
      <name val="Arial"/>
      <family val="2"/>
    </font>
    <font>
      <sz val="10"/>
      <name val="Arial"/>
      <family val="2"/>
    </font>
    <font>
      <sz val="10"/>
      <color rgb="FFFF0000"/>
      <name val="Arial"/>
      <family val="2"/>
    </font>
    <font>
      <b/>
      <sz val="14"/>
      <color theme="1"/>
      <name val="Times New Roman"/>
      <family val="1"/>
    </font>
    <font>
      <sz val="7"/>
      <color theme="1"/>
      <name val="Times New Roman"/>
      <family val="1"/>
    </font>
    <font>
      <sz val="11"/>
      <color theme="1"/>
      <name val="Arial"/>
      <family val="2"/>
    </font>
    <font>
      <vertAlign val="superscript"/>
      <sz val="11"/>
      <color theme="1"/>
      <name val="Calibri"/>
      <family val="2"/>
      <scheme val="minor"/>
    </font>
    <font>
      <sz val="11"/>
      <name val="Calibri"/>
      <family val="2"/>
      <scheme val="minor"/>
    </font>
    <font>
      <b/>
      <sz val="11"/>
      <name val="Calibri"/>
      <family val="2"/>
      <scheme val="minor"/>
    </font>
    <font>
      <vertAlign val="superscript"/>
      <sz val="11"/>
      <name val="Calibri"/>
      <family val="2"/>
      <scheme val="minor"/>
    </font>
    <font>
      <sz val="11"/>
      <color indexed="8"/>
      <name val="Calibri"/>
      <family val="2"/>
      <scheme val="minor"/>
    </font>
    <font>
      <b/>
      <sz val="11"/>
      <color indexed="8"/>
      <name val="Calibri"/>
      <family val="2"/>
      <scheme val="minor"/>
    </font>
    <font>
      <sz val="11"/>
      <color rgb="FF000000"/>
      <name val="Calibri"/>
      <family val="2"/>
      <scheme val="minor"/>
    </font>
    <font>
      <sz val="12"/>
      <color theme="1"/>
      <name val="Arial"/>
      <family val="2"/>
    </font>
    <font>
      <b/>
      <vertAlign val="superscript"/>
      <sz val="11"/>
      <name val="Calibri"/>
      <family val="2"/>
      <scheme val="minor"/>
    </font>
    <font>
      <b/>
      <sz val="11"/>
      <color rgb="FF000000"/>
      <name val="Calibri"/>
      <family val="2"/>
      <scheme val="minor"/>
    </font>
    <font>
      <i/>
      <sz val="11"/>
      <name val="Arial"/>
      <family val="2"/>
    </font>
    <font>
      <sz val="10"/>
      <name val="Calibri"/>
      <family val="2"/>
      <scheme val="minor"/>
    </font>
    <font>
      <b/>
      <sz val="10"/>
      <name val="Calibri"/>
      <family val="2"/>
      <scheme val="minor"/>
    </font>
    <font>
      <sz val="10"/>
      <color indexed="8"/>
      <name val="Calibri"/>
      <family val="2"/>
      <scheme val="minor"/>
    </font>
    <font>
      <vertAlign val="superscript"/>
      <sz val="10"/>
      <name val="Calibri"/>
      <family val="2"/>
      <scheme val="minor"/>
    </font>
    <font>
      <sz val="10"/>
      <color theme="1"/>
      <name val="Calibri"/>
      <family val="2"/>
      <scheme val="minor"/>
    </font>
    <font>
      <vertAlign val="superscript"/>
      <sz val="10"/>
      <color theme="1"/>
      <name val="Calibri"/>
      <family val="2"/>
      <scheme val="minor"/>
    </font>
    <font>
      <vertAlign val="superscript"/>
      <sz val="11"/>
      <color indexed="8"/>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16">
    <border>
      <left/>
      <right/>
      <top/>
      <bottom/>
      <diagonal/>
    </border>
    <border>
      <left/>
      <right/>
      <top style="medium">
        <color indexed="64"/>
      </top>
      <bottom/>
      <diagonal/>
    </border>
    <border>
      <left/>
      <right/>
      <top/>
      <bottom style="thin">
        <color indexed="64"/>
      </bottom>
      <diagonal/>
    </border>
    <border>
      <left/>
      <right/>
      <top style="thin">
        <color indexed="64"/>
      </top>
      <bottom style="dashed">
        <color indexed="64"/>
      </bottom>
      <diagonal/>
    </border>
    <border>
      <left/>
      <right/>
      <top style="dashed">
        <color indexed="64"/>
      </top>
      <bottom/>
      <diagonal/>
    </border>
    <border>
      <left/>
      <right/>
      <top/>
      <bottom style="medium">
        <color indexed="64"/>
      </bottom>
      <diagonal/>
    </border>
    <border>
      <left/>
      <right/>
      <top/>
      <bottom style="double">
        <color indexed="64"/>
      </bottom>
      <diagonal/>
    </border>
    <border>
      <left/>
      <right/>
      <top style="double">
        <color indexed="64"/>
      </top>
      <bottom style="dotted">
        <color indexed="64"/>
      </bottom>
      <diagonal/>
    </border>
    <border>
      <left/>
      <right/>
      <top style="dotted">
        <color indexed="64"/>
      </top>
      <bottom/>
      <diagonal/>
    </border>
    <border>
      <left/>
      <right/>
      <top/>
      <bottom style="dashed">
        <color indexed="64"/>
      </bottom>
      <diagonal/>
    </border>
    <border>
      <left/>
      <right/>
      <top/>
      <bottom style="dotted">
        <color indexed="64"/>
      </bottom>
      <diagonal/>
    </border>
    <border>
      <left style="thin">
        <color indexed="64"/>
      </left>
      <right/>
      <top/>
      <bottom/>
      <diagonal/>
    </border>
    <border>
      <left style="thin">
        <color indexed="64"/>
      </left>
      <right/>
      <top/>
      <bottom style="medium">
        <color indexed="64"/>
      </bottom>
      <diagonal/>
    </border>
    <border>
      <left/>
      <right/>
      <top style="dotted">
        <color indexed="64"/>
      </top>
      <bottom style="dashed">
        <color indexed="64"/>
      </bottom>
      <diagonal/>
    </border>
    <border>
      <left/>
      <right/>
      <top style="dotted">
        <color indexed="64"/>
      </top>
      <bottom style="dotted">
        <color indexed="64"/>
      </bottom>
      <diagonal/>
    </border>
    <border>
      <left/>
      <right/>
      <top style="thin">
        <color indexed="64"/>
      </top>
      <bottom/>
      <diagonal/>
    </border>
  </borders>
  <cellStyleXfs count="22">
    <xf numFmtId="0" fontId="0"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49" fillId="0" borderId="0" applyNumberFormat="0" applyFill="0" applyBorder="0" applyAlignment="0" applyProtection="0"/>
    <xf numFmtId="0" fontId="1" fillId="0" borderId="0"/>
    <xf numFmtId="172" fontId="1" fillId="0" borderId="0" applyFont="0" applyFill="0" applyBorder="0" applyAlignment="0" applyProtection="0"/>
  </cellStyleXfs>
  <cellXfs count="1342">
    <xf numFmtId="0" fontId="0" fillId="0" borderId="0" xfId="0"/>
    <xf numFmtId="0" fontId="0" fillId="0" borderId="0" xfId="0" applyFill="1"/>
    <xf numFmtId="4" fontId="0" fillId="0" borderId="0" xfId="0" applyNumberFormat="1" applyFill="1"/>
    <xf numFmtId="4" fontId="0" fillId="0" borderId="0" xfId="0" applyNumberFormat="1" applyBorder="1"/>
    <xf numFmtId="0" fontId="1" fillId="0" borderId="0" xfId="0" applyFont="1" applyFill="1"/>
    <xf numFmtId="0" fontId="0" fillId="0" borderId="1" xfId="0" applyFill="1" applyBorder="1"/>
    <xf numFmtId="0" fontId="0" fillId="0" borderId="1" xfId="0" applyBorder="1"/>
    <xf numFmtId="4" fontId="0" fillId="0" borderId="1" xfId="0" applyNumberFormat="1" applyFill="1" applyBorder="1"/>
    <xf numFmtId="4" fontId="2" fillId="0" borderId="0" xfId="0" applyNumberFormat="1" applyFont="1" applyBorder="1"/>
    <xf numFmtId="0" fontId="2" fillId="0" borderId="0" xfId="0" applyFont="1" applyFill="1"/>
    <xf numFmtId="4" fontId="2" fillId="0" borderId="0" xfId="0" applyNumberFormat="1" applyFont="1" applyFill="1" applyBorder="1" applyAlignment="1">
      <alignment horizontal="right"/>
    </xf>
    <xf numFmtId="4" fontId="2" fillId="0" borderId="4" xfId="0" applyNumberFormat="1" applyFont="1" applyFill="1" applyBorder="1" applyAlignment="1">
      <alignment horizontal="center"/>
    </xf>
    <xf numFmtId="0" fontId="2" fillId="0" borderId="4" xfId="0" applyFont="1" applyFill="1" applyBorder="1" applyAlignment="1">
      <alignment horizontal="center"/>
    </xf>
    <xf numFmtId="4" fontId="2" fillId="0" borderId="0" xfId="0" applyNumberFormat="1" applyFont="1" applyBorder="1" applyAlignment="1">
      <alignment horizontal="center"/>
    </xf>
    <xf numFmtId="0" fontId="0" fillId="0" borderId="5" xfId="0" applyFill="1" applyBorder="1"/>
    <xf numFmtId="0" fontId="0" fillId="0" borderId="5" xfId="0" applyBorder="1"/>
    <xf numFmtId="4" fontId="0" fillId="0" borderId="5" xfId="0" applyNumberFormat="1" applyFill="1" applyBorder="1"/>
    <xf numFmtId="2" fontId="0" fillId="0" borderId="0" xfId="0" applyNumberFormat="1" applyFill="1"/>
    <xf numFmtId="4" fontId="1" fillId="0" borderId="0" xfId="0" applyNumberFormat="1" applyFont="1" applyFill="1"/>
    <xf numFmtId="0" fontId="4" fillId="0" borderId="0" xfId="0" applyFont="1" applyFill="1" applyBorder="1" applyAlignment="1" applyProtection="1">
      <alignment horizontal="left"/>
      <protection locked="0"/>
    </xf>
    <xf numFmtId="0" fontId="5" fillId="0" borderId="0" xfId="0" applyFont="1" applyFill="1" applyBorder="1" applyAlignment="1" applyProtection="1">
      <alignment horizontal="left"/>
      <protection locked="0"/>
    </xf>
    <xf numFmtId="4" fontId="0" fillId="0" borderId="0" xfId="0" applyNumberFormat="1" applyBorder="1" applyAlignment="1"/>
    <xf numFmtId="0" fontId="6" fillId="0" borderId="0" xfId="0" applyFont="1" applyFill="1"/>
    <xf numFmtId="0" fontId="7" fillId="0" borderId="0" xfId="0" applyFont="1" applyFill="1" applyAlignment="1">
      <alignment horizontal="justify"/>
    </xf>
    <xf numFmtId="0" fontId="0" fillId="0" borderId="0" xfId="0" applyAlignment="1">
      <alignment horizontal="center"/>
    </xf>
    <xf numFmtId="0" fontId="9" fillId="0" borderId="0" xfId="0" applyFont="1"/>
    <xf numFmtId="0" fontId="8" fillId="0" borderId="0" xfId="0" applyFont="1"/>
    <xf numFmtId="0" fontId="10" fillId="0" borderId="0" xfId="0" applyFont="1" applyAlignment="1">
      <alignment vertical="top" wrapText="1"/>
    </xf>
    <xf numFmtId="0" fontId="8" fillId="0" borderId="0" xfId="0" applyFont="1" applyAlignment="1">
      <alignment horizontal="left"/>
    </xf>
    <xf numFmtId="0" fontId="10" fillId="0" borderId="0" xfId="0" applyFont="1" applyAlignment="1">
      <alignment vertical="top"/>
    </xf>
    <xf numFmtId="0" fontId="10" fillId="0" borderId="0" xfId="0" applyFont="1" applyAlignment="1">
      <alignment horizontal="center" vertical="top"/>
    </xf>
    <xf numFmtId="4" fontId="0" fillId="0" borderId="0" xfId="0" applyNumberFormat="1"/>
    <xf numFmtId="0" fontId="11" fillId="0" borderId="0" xfId="0" applyFont="1" applyAlignment="1">
      <alignment horizontal="center" vertical="center" readingOrder="1"/>
    </xf>
    <xf numFmtId="0" fontId="12" fillId="0" borderId="0" xfId="0" applyFont="1" applyAlignment="1">
      <alignment horizontal="center" vertical="center"/>
    </xf>
    <xf numFmtId="0" fontId="13" fillId="0" borderId="0" xfId="0" applyFont="1"/>
    <xf numFmtId="0" fontId="12" fillId="0" borderId="0" xfId="0" applyFont="1"/>
    <xf numFmtId="0" fontId="0" fillId="0" borderId="0" xfId="0" applyBorder="1"/>
    <xf numFmtId="164" fontId="0" fillId="0" borderId="0" xfId="0" applyNumberFormat="1" applyBorder="1"/>
    <xf numFmtId="2" fontId="0" fillId="0" borderId="1" xfId="0" applyNumberFormat="1" applyBorder="1"/>
    <xf numFmtId="0" fontId="1" fillId="0" borderId="0" xfId="0" applyFont="1" applyAlignment="1">
      <alignment horizontal="center"/>
    </xf>
    <xf numFmtId="164" fontId="0" fillId="0" borderId="0" xfId="0" applyNumberFormat="1" applyAlignment="1">
      <alignment horizontal="center"/>
    </xf>
    <xf numFmtId="164" fontId="0" fillId="0" borderId="0" xfId="0" applyNumberFormat="1"/>
    <xf numFmtId="0" fontId="1" fillId="0" borderId="0" xfId="0" applyFont="1"/>
    <xf numFmtId="2" fontId="0" fillId="0" borderId="0" xfId="0" applyNumberFormat="1"/>
    <xf numFmtId="0" fontId="1" fillId="0" borderId="0" xfId="0" applyFont="1" applyAlignment="1">
      <alignment horizontal="right"/>
    </xf>
    <xf numFmtId="0" fontId="0" fillId="0" borderId="0" xfId="0" applyAlignment="1">
      <alignment horizontal="right"/>
    </xf>
    <xf numFmtId="3" fontId="0" fillId="0" borderId="0" xfId="0" applyNumberFormat="1"/>
    <xf numFmtId="3" fontId="0" fillId="0" borderId="0" xfId="0" applyNumberFormat="1" applyFill="1"/>
    <xf numFmtId="16" fontId="0" fillId="0" borderId="0" xfId="0" applyNumberFormat="1"/>
    <xf numFmtId="4" fontId="0" fillId="0" borderId="0" xfId="0" applyNumberFormat="1" applyAlignment="1">
      <alignment horizontal="center"/>
    </xf>
    <xf numFmtId="164" fontId="0" fillId="0" borderId="0" xfId="0" applyNumberFormat="1" applyFill="1"/>
    <xf numFmtId="164" fontId="0" fillId="0" borderId="1" xfId="0" applyNumberFormat="1" applyFill="1" applyBorder="1"/>
    <xf numFmtId="164" fontId="0" fillId="0" borderId="1" xfId="0" applyNumberFormat="1" applyBorder="1"/>
    <xf numFmtId="2" fontId="0" fillId="0" borderId="0" xfId="0" applyNumberFormat="1" applyBorder="1"/>
    <xf numFmtId="164" fontId="0" fillId="0" borderId="8" xfId="0" applyNumberFormat="1" applyFill="1" applyBorder="1" applyAlignment="1">
      <alignment horizontal="center"/>
    </xf>
    <xf numFmtId="164" fontId="0" fillId="0" borderId="8" xfId="0" applyNumberFormat="1" applyBorder="1" applyAlignment="1">
      <alignment horizontal="center"/>
    </xf>
    <xf numFmtId="2" fontId="0" fillId="0" borderId="8" xfId="0" applyNumberFormat="1" applyBorder="1" applyAlignment="1">
      <alignment horizontal="center"/>
    </xf>
    <xf numFmtId="2" fontId="0" fillId="0" borderId="0" xfId="0" applyNumberFormat="1" applyBorder="1" applyAlignment="1">
      <alignment horizontal="center"/>
    </xf>
    <xf numFmtId="164" fontId="0" fillId="0" borderId="5" xfId="0" applyNumberFormat="1" applyFill="1" applyBorder="1"/>
    <xf numFmtId="164" fontId="0" fillId="0" borderId="5" xfId="0" applyNumberFormat="1" applyBorder="1"/>
    <xf numFmtId="2" fontId="0" fillId="0" borderId="5" xfId="0" applyNumberFormat="1" applyBorder="1"/>
    <xf numFmtId="164" fontId="0" fillId="0" borderId="0" xfId="0" applyNumberFormat="1" applyFill="1" applyBorder="1"/>
    <xf numFmtId="2" fontId="0" fillId="0" borderId="0" xfId="0" applyNumberFormat="1" applyFill="1" applyBorder="1"/>
    <xf numFmtId="0" fontId="2" fillId="0" borderId="0" xfId="0" applyFont="1"/>
    <xf numFmtId="0" fontId="0" fillId="0" borderId="0" xfId="0" applyFill="1" applyBorder="1"/>
    <xf numFmtId="164" fontId="1" fillId="0" borderId="0" xfId="0" applyNumberFormat="1" applyFont="1" applyFill="1"/>
    <xf numFmtId="0" fontId="6" fillId="0" borderId="0" xfId="0" applyFont="1" applyBorder="1"/>
    <xf numFmtId="1" fontId="0" fillId="0" borderId="0" xfId="0" applyNumberFormat="1" applyFill="1" applyBorder="1"/>
    <xf numFmtId="4" fontId="0" fillId="0" borderId="1" xfId="0" applyNumberFormat="1" applyBorder="1"/>
    <xf numFmtId="0" fontId="0" fillId="0" borderId="0" xfId="0" applyBorder="1" applyAlignment="1">
      <alignment horizontal="center"/>
    </xf>
    <xf numFmtId="164" fontId="0" fillId="0" borderId="10" xfId="0" applyNumberFormat="1" applyBorder="1" applyAlignment="1">
      <alignment horizontal="center"/>
    </xf>
    <xf numFmtId="2" fontId="0" fillId="0" borderId="10" xfId="0" applyNumberFormat="1" applyBorder="1" applyAlignment="1">
      <alignment horizontal="center"/>
    </xf>
    <xf numFmtId="2" fontId="0" fillId="0" borderId="10" xfId="0" applyNumberFormat="1" applyBorder="1"/>
    <xf numFmtId="164" fontId="0" fillId="0" borderId="4" xfId="0" applyNumberFormat="1" applyBorder="1" applyAlignment="1">
      <alignment horizontal="center"/>
    </xf>
    <xf numFmtId="2" fontId="0" fillId="0" borderId="4" xfId="0" applyNumberFormat="1" applyBorder="1" applyAlignment="1">
      <alignment horizontal="center"/>
    </xf>
    <xf numFmtId="164" fontId="0" fillId="0" borderId="0" xfId="0" applyNumberFormat="1" applyBorder="1" applyAlignment="1">
      <alignment horizontal="center"/>
    </xf>
    <xf numFmtId="2" fontId="0" fillId="0" borderId="0" xfId="0" applyNumberFormat="1" applyAlignment="1">
      <alignment horizontal="center"/>
    </xf>
    <xf numFmtId="4" fontId="0" fillId="0" borderId="5" xfId="0" applyNumberFormat="1" applyBorder="1"/>
    <xf numFmtId="0" fontId="1" fillId="0" borderId="0" xfId="0" applyFont="1" applyFill="1" applyAlignment="1">
      <alignment horizontal="center"/>
    </xf>
    <xf numFmtId="0" fontId="0" fillId="0" borderId="0" xfId="0" applyFill="1" applyAlignment="1">
      <alignment horizontal="center"/>
    </xf>
    <xf numFmtId="164" fontId="0" fillId="0" borderId="0" xfId="0" applyNumberFormat="1" applyFill="1" applyAlignment="1">
      <alignment horizontal="center"/>
    </xf>
    <xf numFmtId="4" fontId="0" fillId="0" borderId="0" xfId="0" applyNumberFormat="1" applyFill="1" applyAlignment="1">
      <alignment horizontal="center"/>
    </xf>
    <xf numFmtId="2" fontId="0" fillId="0" borderId="0" xfId="0" applyNumberFormat="1" applyFill="1" applyAlignment="1">
      <alignment horizontal="center"/>
    </xf>
    <xf numFmtId="1" fontId="0" fillId="0" borderId="0" xfId="0" applyNumberFormat="1" applyFill="1"/>
    <xf numFmtId="1" fontId="0" fillId="0" borderId="1" xfId="0" applyNumberFormat="1" applyFill="1" applyBorder="1"/>
    <xf numFmtId="164" fontId="2" fillId="0" borderId="1" xfId="0" applyNumberFormat="1" applyFont="1" applyBorder="1"/>
    <xf numFmtId="2" fontId="2" fillId="0" borderId="1" xfId="0" applyNumberFormat="1" applyFont="1" applyBorder="1"/>
    <xf numFmtId="0" fontId="2" fillId="0" borderId="1" xfId="0" applyFont="1" applyBorder="1"/>
    <xf numFmtId="1" fontId="0" fillId="0" borderId="8" xfId="0" applyNumberFormat="1" applyFill="1" applyBorder="1" applyAlignment="1">
      <alignment horizontal="center"/>
    </xf>
    <xf numFmtId="1" fontId="0" fillId="0" borderId="5" xfId="0" applyNumberFormat="1" applyFill="1" applyBorder="1"/>
    <xf numFmtId="0" fontId="2" fillId="0" borderId="0" xfId="0" applyFont="1" applyBorder="1"/>
    <xf numFmtId="1" fontId="0" fillId="0" borderId="0" xfId="0" applyNumberFormat="1"/>
    <xf numFmtId="1" fontId="0" fillId="0" borderId="0" xfId="0" applyNumberFormat="1" applyBorder="1"/>
    <xf numFmtId="164" fontId="1" fillId="0" borderId="0" xfId="0" applyNumberFormat="1" applyFont="1"/>
    <xf numFmtId="2" fontId="1" fillId="0" borderId="0" xfId="0" applyNumberFormat="1" applyFont="1"/>
    <xf numFmtId="0" fontId="1" fillId="0" borderId="0" xfId="0" applyFont="1" applyBorder="1"/>
    <xf numFmtId="2" fontId="2" fillId="0" borderId="0" xfId="0" applyNumberFormat="1" applyFont="1" applyBorder="1"/>
    <xf numFmtId="0" fontId="1" fillId="0" borderId="0" xfId="0" applyFont="1" applyFill="1" applyBorder="1"/>
    <xf numFmtId="4" fontId="0" fillId="0" borderId="0" xfId="0" applyNumberFormat="1" applyFill="1" applyBorder="1"/>
    <xf numFmtId="4" fontId="0" fillId="0" borderId="8" xfId="0" applyNumberFormat="1" applyBorder="1" applyAlignment="1">
      <alignment horizontal="center"/>
    </xf>
    <xf numFmtId="4" fontId="2" fillId="0" borderId="0" xfId="0" applyNumberFormat="1" applyFont="1" applyAlignment="1">
      <alignment horizontal="center"/>
    </xf>
    <xf numFmtId="4" fontId="4" fillId="0" borderId="0" xfId="0" applyNumberFormat="1" applyFont="1"/>
    <xf numFmtId="0" fontId="14" fillId="0" borderId="0" xfId="0" applyFont="1"/>
    <xf numFmtId="0" fontId="0" fillId="0" borderId="0" xfId="0" applyAlignment="1">
      <alignment horizontal="left"/>
    </xf>
    <xf numFmtId="4" fontId="0" fillId="0" borderId="0" xfId="0" applyNumberFormat="1" applyAlignment="1">
      <alignment horizontal="left"/>
    </xf>
    <xf numFmtId="0" fontId="0" fillId="0" borderId="5" xfId="0" applyBorder="1" applyAlignment="1">
      <alignment horizontal="center"/>
    </xf>
    <xf numFmtId="0" fontId="4" fillId="0" borderId="0" xfId="0" applyFont="1" applyFill="1"/>
    <xf numFmtId="0" fontId="4" fillId="0" borderId="0" xfId="0" applyFont="1" applyFill="1" applyBorder="1"/>
    <xf numFmtId="0" fontId="4" fillId="0" borderId="0" xfId="0" applyFont="1" applyFill="1" applyAlignment="1" applyProtection="1">
      <alignment horizontal="right"/>
      <protection locked="0"/>
    </xf>
    <xf numFmtId="0" fontId="4" fillId="0" borderId="2" xfId="0" applyFont="1" applyFill="1" applyBorder="1" applyAlignment="1" applyProtection="1">
      <alignment horizontal="left"/>
      <protection locked="0"/>
    </xf>
    <xf numFmtId="4" fontId="4" fillId="0" borderId="2" xfId="0" applyNumberFormat="1" applyFont="1" applyFill="1" applyBorder="1"/>
    <xf numFmtId="0" fontId="1" fillId="0" borderId="2" xfId="0" applyFont="1" applyFill="1" applyBorder="1"/>
    <xf numFmtId="0" fontId="4" fillId="0" borderId="11" xfId="0" applyFont="1" applyFill="1" applyBorder="1" applyAlignment="1">
      <alignment horizontal="center"/>
    </xf>
    <xf numFmtId="0" fontId="4" fillId="0" borderId="0" xfId="0" applyFont="1" applyFill="1" applyBorder="1" applyAlignment="1">
      <alignment horizontal="center"/>
    </xf>
    <xf numFmtId="4" fontId="5" fillId="0" borderId="0" xfId="0" applyNumberFormat="1" applyFont="1" applyFill="1" applyBorder="1" applyAlignment="1">
      <alignment horizontal="center"/>
    </xf>
    <xf numFmtId="0" fontId="1" fillId="0" borderId="0" xfId="0" applyFont="1" applyFill="1" applyBorder="1" applyAlignment="1">
      <alignment horizontal="center"/>
    </xf>
    <xf numFmtId="0" fontId="4" fillId="0" borderId="0" xfId="0" applyFont="1" applyFill="1" applyBorder="1" applyAlignment="1">
      <alignment horizontal="left"/>
    </xf>
    <xf numFmtId="4" fontId="4" fillId="0" borderId="0" xfId="0" applyNumberFormat="1" applyFont="1" applyFill="1" applyBorder="1" applyAlignment="1" applyProtection="1">
      <alignment horizontal="center"/>
      <protection locked="0"/>
    </xf>
    <xf numFmtId="49" fontId="4" fillId="0" borderId="11" xfId="0" applyNumberFormat="1" applyFont="1" applyFill="1" applyBorder="1" applyAlignment="1">
      <alignment horizontal="center"/>
    </xf>
    <xf numFmtId="49" fontId="4" fillId="0" borderId="0" xfId="0" applyNumberFormat="1" applyFont="1" applyFill="1" applyBorder="1" applyAlignment="1">
      <alignment horizontal="left"/>
    </xf>
    <xf numFmtId="0" fontId="5" fillId="0" borderId="0" xfId="0" applyNumberFormat="1" applyFont="1" applyFill="1" applyBorder="1" applyAlignment="1">
      <alignment horizontal="center"/>
    </xf>
    <xf numFmtId="49" fontId="4" fillId="0" borderId="8" xfId="0" applyNumberFormat="1" applyFont="1" applyFill="1" applyBorder="1" applyAlignment="1" applyProtection="1">
      <alignment horizontal="center"/>
      <protection locked="0"/>
    </xf>
    <xf numFmtId="1" fontId="4" fillId="2" borderId="0" xfId="0" applyNumberFormat="1" applyFont="1" applyFill="1" applyBorder="1" applyAlignment="1" applyProtection="1">
      <alignment horizontal="center"/>
      <protection locked="0"/>
    </xf>
    <xf numFmtId="49" fontId="1" fillId="0" borderId="0" xfId="0" applyNumberFormat="1" applyFont="1" applyFill="1" applyAlignment="1">
      <alignment horizontal="center"/>
    </xf>
    <xf numFmtId="0" fontId="4" fillId="0" borderId="12" xfId="0"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4" fontId="4" fillId="0" borderId="2" xfId="0" applyNumberFormat="1" applyFont="1" applyFill="1" applyBorder="1" applyAlignment="1" applyProtection="1">
      <alignment horizontal="center"/>
      <protection locked="0"/>
    </xf>
    <xf numFmtId="165" fontId="1" fillId="0" borderId="2" xfId="0" applyNumberFormat="1" applyFont="1" applyFill="1" applyBorder="1" applyAlignment="1">
      <alignment horizontal="center"/>
    </xf>
    <xf numFmtId="165" fontId="1" fillId="2" borderId="2" xfId="0" applyNumberFormat="1" applyFont="1" applyFill="1" applyBorder="1" applyAlignment="1">
      <alignment horizontal="center"/>
    </xf>
    <xf numFmtId="0" fontId="1" fillId="0" borderId="2" xfId="0" applyFont="1" applyFill="1" applyBorder="1" applyAlignment="1">
      <alignment horizontal="center"/>
    </xf>
    <xf numFmtId="0" fontId="4" fillId="0" borderId="11" xfId="0" applyFont="1" applyFill="1" applyBorder="1"/>
    <xf numFmtId="4" fontId="17" fillId="0" borderId="0" xfId="0" applyNumberFormat="1" applyFont="1" applyFill="1" applyBorder="1" applyProtection="1">
      <protection locked="0"/>
    </xf>
    <xf numFmtId="4" fontId="5" fillId="2" borderId="0" xfId="0" applyNumberFormat="1" applyFont="1" applyFill="1" applyBorder="1" applyAlignment="1">
      <alignment horizontal="center"/>
    </xf>
    <xf numFmtId="0" fontId="17" fillId="0" borderId="11" xfId="0" applyFont="1" applyFill="1" applyBorder="1" applyAlignment="1" applyProtection="1">
      <alignment horizontal="right"/>
      <protection locked="0"/>
    </xf>
    <xf numFmtId="0" fontId="17" fillId="0" borderId="0" xfId="0" applyFont="1" applyBorder="1"/>
    <xf numFmtId="10" fontId="17" fillId="0" borderId="0" xfId="0" applyNumberFormat="1" applyFont="1" applyFill="1" applyBorder="1" applyProtection="1">
      <protection locked="0"/>
    </xf>
    <xf numFmtId="4" fontId="17" fillId="2" borderId="0" xfId="0" applyNumberFormat="1" applyFont="1" applyFill="1" applyBorder="1" applyProtection="1">
      <protection locked="0"/>
    </xf>
    <xf numFmtId="0" fontId="7" fillId="0" borderId="0" xfId="0" applyFont="1" applyBorder="1"/>
    <xf numFmtId="4" fontId="4" fillId="0" borderId="0" xfId="0" applyNumberFormat="1" applyFont="1" applyFill="1" applyBorder="1"/>
    <xf numFmtId="0" fontId="4" fillId="0" borderId="11" xfId="0" applyFont="1" applyFill="1" applyBorder="1" applyAlignment="1" applyProtection="1">
      <alignment horizontal="right"/>
      <protection locked="0"/>
    </xf>
    <xf numFmtId="0" fontId="17" fillId="0" borderId="0" xfId="0" applyFont="1" applyBorder="1" applyAlignment="1">
      <alignment wrapText="1"/>
    </xf>
    <xf numFmtId="0" fontId="17" fillId="0" borderId="0" xfId="0" applyFont="1" applyBorder="1" applyAlignment="1">
      <alignment horizontal="left" wrapText="1"/>
    </xf>
    <xf numFmtId="0" fontId="4" fillId="0" borderId="0" xfId="0" applyFont="1" applyBorder="1"/>
    <xf numFmtId="4" fontId="4" fillId="0" borderId="0" xfId="0" applyNumberFormat="1" applyFont="1" applyFill="1" applyBorder="1" applyProtection="1">
      <protection locked="0"/>
    </xf>
    <xf numFmtId="0" fontId="17" fillId="0" borderId="0" xfId="0" applyFont="1" applyBorder="1" applyAlignment="1">
      <alignment wrapText="1" shrinkToFit="1"/>
    </xf>
    <xf numFmtId="0" fontId="17" fillId="0" borderId="0" xfId="0" applyFont="1" applyFill="1" applyBorder="1"/>
    <xf numFmtId="4" fontId="17" fillId="0" borderId="0" xfId="0" applyNumberFormat="1" applyFont="1" applyFill="1" applyBorder="1"/>
    <xf numFmtId="4" fontId="1" fillId="0" borderId="0" xfId="0" applyNumberFormat="1" applyFont="1" applyFill="1" applyBorder="1" applyProtection="1">
      <protection locked="0"/>
    </xf>
    <xf numFmtId="4" fontId="4" fillId="2" borderId="0" xfId="0" applyNumberFormat="1" applyFont="1" applyFill="1" applyBorder="1" applyProtection="1">
      <protection locked="0"/>
    </xf>
    <xf numFmtId="0" fontId="1" fillId="0" borderId="11" xfId="0" applyFont="1" applyFill="1" applyBorder="1"/>
    <xf numFmtId="10" fontId="17" fillId="0" borderId="0" xfId="0" applyNumberFormat="1" applyFont="1" applyFill="1" applyBorder="1" applyAlignment="1" applyProtection="1">
      <protection locked="0"/>
    </xf>
    <xf numFmtId="0" fontId="17" fillId="0" borderId="11" xfId="0" applyFont="1" applyFill="1" applyBorder="1"/>
    <xf numFmtId="4" fontId="17" fillId="2" borderId="0" xfId="0" applyNumberFormat="1" applyFont="1" applyFill="1" applyBorder="1"/>
    <xf numFmtId="0" fontId="2" fillId="0" borderId="0" xfId="0" applyFont="1" applyFill="1" applyBorder="1"/>
    <xf numFmtId="4" fontId="4" fillId="2" borderId="0" xfId="0" applyNumberFormat="1" applyFont="1" applyFill="1" applyBorder="1"/>
    <xf numFmtId="0" fontId="4" fillId="0" borderId="11" xfId="0" applyFont="1" applyFill="1" applyBorder="1" applyAlignment="1">
      <alignment horizontal="right"/>
    </xf>
    <xf numFmtId="4" fontId="1" fillId="0" borderId="0" xfId="0" applyNumberFormat="1" applyFont="1" applyFill="1" applyBorder="1"/>
    <xf numFmtId="0" fontId="4" fillId="0" borderId="11" xfId="0" applyFont="1" applyFill="1" applyBorder="1" applyAlignment="1" applyProtection="1">
      <alignment horizontal="center"/>
      <protection locked="0"/>
    </xf>
    <xf numFmtId="4" fontId="17" fillId="0" borderId="0" xfId="0" applyNumberFormat="1" applyFont="1" applyFill="1" applyBorder="1" applyAlignment="1" applyProtection="1">
      <alignment horizontal="right"/>
      <protection locked="0"/>
    </xf>
    <xf numFmtId="4" fontId="17" fillId="2" borderId="0" xfId="0" applyNumberFormat="1" applyFont="1" applyFill="1" applyBorder="1" applyAlignment="1" applyProtection="1">
      <alignment horizontal="right"/>
      <protection locked="0"/>
    </xf>
    <xf numFmtId="0" fontId="4" fillId="0" borderId="0" xfId="0" applyFont="1" applyBorder="1" applyAlignment="1">
      <alignment horizontal="center"/>
    </xf>
    <xf numFmtId="0" fontId="4" fillId="0" borderId="12" xfId="0" applyFont="1" applyFill="1" applyBorder="1" applyAlignment="1" applyProtection="1">
      <alignment horizontal="fill"/>
      <protection locked="0"/>
    </xf>
    <xf numFmtId="0" fontId="4" fillId="0" borderId="5" xfId="0" applyFont="1" applyFill="1" applyBorder="1" applyAlignment="1" applyProtection="1">
      <alignment horizontal="fill"/>
      <protection locked="0"/>
    </xf>
    <xf numFmtId="0" fontId="4" fillId="0" borderId="5" xfId="0" applyFont="1" applyFill="1" applyBorder="1"/>
    <xf numFmtId="0" fontId="1" fillId="2" borderId="5" xfId="0" applyFont="1" applyFill="1" applyBorder="1"/>
    <xf numFmtId="0" fontId="1" fillId="0" borderId="5" xfId="0" applyFont="1" applyFill="1" applyBorder="1"/>
    <xf numFmtId="0" fontId="4" fillId="0" borderId="0" xfId="0" applyFont="1" applyFill="1" applyBorder="1" applyAlignment="1" applyProtection="1">
      <alignment horizontal="fill"/>
      <protection locked="0"/>
    </xf>
    <xf numFmtId="0" fontId="1" fillId="2" borderId="0" xfId="0" applyFont="1" applyFill="1"/>
    <xf numFmtId="4" fontId="4" fillId="0" borderId="0" xfId="0" applyNumberFormat="1" applyFont="1" applyFill="1"/>
    <xf numFmtId="4" fontId="2" fillId="0" borderId="3" xfId="0" applyNumberFormat="1" applyFont="1" applyFill="1" applyBorder="1" applyAlignment="1">
      <alignment horizontal="center"/>
    </xf>
    <xf numFmtId="4" fontId="2" fillId="0" borderId="0" xfId="0" applyNumberFormat="1" applyFont="1" applyFill="1"/>
    <xf numFmtId="4" fontId="2" fillId="0" borderId="0" xfId="0" applyNumberFormat="1" applyFont="1" applyFill="1" applyBorder="1"/>
    <xf numFmtId="4" fontId="0" fillId="0" borderId="5" xfId="0" applyNumberFormat="1" applyBorder="1" applyAlignment="1">
      <alignment horizontal="right"/>
    </xf>
    <xf numFmtId="4" fontId="0" fillId="0" borderId="0" xfId="0" applyNumberFormat="1" applyAlignment="1">
      <alignment horizontal="right"/>
    </xf>
    <xf numFmtId="49" fontId="0" fillId="0" borderId="0" xfId="0" applyNumberFormat="1" applyBorder="1" applyAlignment="1">
      <alignment horizontal="center"/>
    </xf>
    <xf numFmtId="49" fontId="0" fillId="0" borderId="8" xfId="0" applyNumberFormat="1" applyBorder="1" applyAlignment="1">
      <alignment horizontal="center"/>
    </xf>
    <xf numFmtId="4" fontId="0" fillId="0" borderId="0" xfId="0" applyNumberFormat="1" applyBorder="1" applyAlignment="1">
      <alignment horizontal="right"/>
    </xf>
    <xf numFmtId="4" fontId="1" fillId="0" borderId="0" xfId="0" applyNumberFormat="1" applyFont="1" applyFill="1" applyBorder="1" applyAlignment="1">
      <alignment horizontal="center"/>
    </xf>
    <xf numFmtId="4" fontId="1" fillId="0" borderId="0" xfId="0" applyNumberFormat="1" applyFont="1" applyFill="1" applyBorder="1" applyAlignment="1">
      <alignment horizontal="right"/>
    </xf>
    <xf numFmtId="4" fontId="1" fillId="0" borderId="0" xfId="0" applyNumberFormat="1" applyFont="1" applyFill="1" applyAlignment="1">
      <alignment horizontal="right"/>
    </xf>
    <xf numFmtId="0" fontId="1" fillId="0" borderId="0" xfId="0" applyFont="1" applyAlignment="1">
      <alignment horizontal="left"/>
    </xf>
    <xf numFmtId="4" fontId="0" fillId="0" borderId="5" xfId="0" applyNumberFormat="1" applyFill="1" applyBorder="1" applyAlignment="1">
      <alignment horizontal="right"/>
    </xf>
    <xf numFmtId="4" fontId="1" fillId="0" borderId="0" xfId="0" applyNumberFormat="1" applyFont="1"/>
    <xf numFmtId="4" fontId="0" fillId="0" borderId="0" xfId="0" applyNumberFormat="1" applyFill="1" applyAlignment="1">
      <alignment horizontal="right"/>
    </xf>
    <xf numFmtId="4" fontId="0" fillId="0" borderId="1" xfId="0" applyNumberFormat="1" applyFill="1" applyBorder="1" applyAlignment="1">
      <alignment horizontal="right"/>
    </xf>
    <xf numFmtId="4" fontId="0" fillId="0" borderId="0" xfId="0" applyNumberFormat="1" applyFill="1" applyBorder="1" applyAlignment="1">
      <alignment horizontal="center"/>
    </xf>
    <xf numFmtId="4" fontId="0" fillId="0" borderId="8" xfId="0" applyNumberFormat="1" applyFill="1" applyBorder="1" applyAlignment="1">
      <alignment horizontal="right"/>
    </xf>
    <xf numFmtId="4" fontId="0" fillId="0" borderId="4" xfId="0" applyNumberFormat="1" applyFill="1" applyBorder="1" applyAlignment="1">
      <alignment horizontal="center"/>
    </xf>
    <xf numFmtId="4" fontId="0" fillId="0" borderId="0" xfId="0" applyNumberFormat="1" applyFill="1" applyBorder="1" applyAlignment="1">
      <alignment horizontal="right"/>
    </xf>
    <xf numFmtId="0" fontId="0" fillId="0" borderId="0" xfId="0" applyFill="1" applyAlignment="1">
      <alignment horizontal="left"/>
    </xf>
    <xf numFmtId="4" fontId="1" fillId="0" borderId="0" xfId="0" applyNumberFormat="1" applyFont="1" applyAlignment="1"/>
    <xf numFmtId="4" fontId="0" fillId="0" borderId="1" xfId="0" applyNumberFormat="1" applyBorder="1" applyAlignment="1">
      <alignment horizontal="right"/>
    </xf>
    <xf numFmtId="49" fontId="0" fillId="0" borderId="0" xfId="0" applyNumberFormat="1" applyBorder="1" applyAlignment="1">
      <alignment horizontal="right"/>
    </xf>
    <xf numFmtId="0" fontId="10" fillId="0" borderId="0" xfId="0" applyFont="1" applyAlignment="1">
      <alignment horizontal="left" vertical="top"/>
    </xf>
    <xf numFmtId="4" fontId="0" fillId="0" borderId="0" xfId="0" applyNumberFormat="1" applyAlignment="1">
      <alignment horizontal="right" vertical="top"/>
    </xf>
    <xf numFmtId="4" fontId="0" fillId="0" borderId="0" xfId="0" applyNumberFormat="1" applyAlignment="1">
      <alignment vertical="top"/>
    </xf>
    <xf numFmtId="0" fontId="25" fillId="0" borderId="0" xfId="0" applyFont="1" applyFill="1"/>
    <xf numFmtId="166" fontId="26" fillId="0" borderId="0" xfId="0" applyNumberFormat="1" applyFont="1" applyFill="1" applyAlignment="1">
      <alignment horizontal="center"/>
    </xf>
    <xf numFmtId="4" fontId="26" fillId="0" borderId="0" xfId="0" applyNumberFormat="1" applyFont="1" applyFill="1" applyAlignment="1">
      <alignment horizontal="center"/>
    </xf>
    <xf numFmtId="0" fontId="26" fillId="0" borderId="0" xfId="0" applyFont="1" applyFill="1" applyAlignment="1">
      <alignment horizontal="center"/>
    </xf>
    <xf numFmtId="0" fontId="26" fillId="0" borderId="1" xfId="0" applyFont="1" applyFill="1" applyBorder="1" applyAlignment="1">
      <alignment horizontal="center"/>
    </xf>
    <xf numFmtId="0" fontId="26" fillId="0" borderId="0" xfId="0" applyFont="1" applyFill="1" applyBorder="1" applyAlignment="1">
      <alignment horizontal="center"/>
    </xf>
    <xf numFmtId="4" fontId="26" fillId="0" borderId="0" xfId="0" applyNumberFormat="1" applyFont="1" applyFill="1" applyBorder="1" applyAlignment="1">
      <alignment horizontal="center"/>
    </xf>
    <xf numFmtId="0" fontId="26" fillId="0" borderId="5" xfId="0" applyFont="1" applyFill="1" applyBorder="1" applyAlignment="1">
      <alignment horizontal="center"/>
    </xf>
    <xf numFmtId="1" fontId="26" fillId="0" borderId="0" xfId="0" applyNumberFormat="1" applyFont="1" applyFill="1" applyAlignment="1">
      <alignment horizontal="center"/>
    </xf>
    <xf numFmtId="0" fontId="28" fillId="0" borderId="0" xfId="0" applyFont="1" applyFill="1"/>
    <xf numFmtId="164" fontId="25" fillId="0" borderId="0" xfId="0" applyNumberFormat="1" applyFont="1" applyFill="1" applyAlignment="1">
      <alignment horizontal="center"/>
    </xf>
    <xf numFmtId="0" fontId="25" fillId="0" borderId="5" xfId="0" applyFont="1" applyFill="1" applyBorder="1"/>
    <xf numFmtId="0" fontId="25" fillId="0" borderId="0" xfId="0" applyFont="1"/>
    <xf numFmtId="166" fontId="26" fillId="0" borderId="0" xfId="0" applyNumberFormat="1" applyFont="1" applyFill="1" applyAlignment="1">
      <alignment horizontal="right"/>
    </xf>
    <xf numFmtId="4" fontId="26" fillId="0" borderId="0" xfId="0" applyNumberFormat="1" applyFont="1" applyFill="1" applyAlignment="1">
      <alignment horizontal="right"/>
    </xf>
    <xf numFmtId="4" fontId="25" fillId="0" borderId="0" xfId="0" applyNumberFormat="1" applyFont="1" applyAlignment="1">
      <alignment horizontal="right"/>
    </xf>
    <xf numFmtId="0" fontId="26" fillId="0" borderId="0" xfId="0" applyFont="1" applyFill="1" applyAlignment="1">
      <alignment horizontal="right"/>
    </xf>
    <xf numFmtId="0" fontId="25" fillId="0" borderId="1" xfId="0" applyFont="1" applyBorder="1" applyAlignment="1">
      <alignment horizontal="left"/>
    </xf>
    <xf numFmtId="0" fontId="26" fillId="0" borderId="1" xfId="0" applyFont="1" applyFill="1" applyBorder="1" applyAlignment="1">
      <alignment horizontal="right"/>
    </xf>
    <xf numFmtId="4" fontId="26" fillId="0" borderId="1" xfId="0" applyNumberFormat="1" applyFont="1" applyFill="1" applyBorder="1" applyAlignment="1">
      <alignment horizontal="right"/>
    </xf>
    <xf numFmtId="0" fontId="25" fillId="0" borderId="0" xfId="0" applyFont="1" applyBorder="1" applyAlignment="1">
      <alignment horizontal="left"/>
    </xf>
    <xf numFmtId="0" fontId="26" fillId="0" borderId="0" xfId="0" applyFont="1" applyBorder="1" applyAlignment="1"/>
    <xf numFmtId="0" fontId="26" fillId="0" borderId="0" xfId="0" applyFont="1" applyBorder="1" applyAlignment="1">
      <alignment horizontal="center"/>
    </xf>
    <xf numFmtId="4" fontId="26" fillId="0" borderId="0" xfId="0" applyNumberFormat="1" applyFont="1" applyBorder="1" applyAlignment="1">
      <alignment horizontal="center"/>
    </xf>
    <xf numFmtId="0" fontId="25" fillId="0" borderId="5" xfId="0" applyFont="1" applyBorder="1" applyAlignment="1">
      <alignment horizontal="left"/>
    </xf>
    <xf numFmtId="0" fontId="26" fillId="0" borderId="5" xfId="0" applyFont="1" applyFill="1" applyBorder="1" applyAlignment="1">
      <alignment horizontal="right"/>
    </xf>
    <xf numFmtId="4" fontId="26" fillId="0" borderId="5" xfId="0" applyNumberFormat="1" applyFont="1" applyFill="1" applyBorder="1" applyAlignment="1">
      <alignment horizontal="right"/>
    </xf>
    <xf numFmtId="1" fontId="26" fillId="0" borderId="0" xfId="0" applyNumberFormat="1" applyFont="1" applyFill="1" applyAlignment="1">
      <alignment horizontal="right"/>
    </xf>
    <xf numFmtId="0" fontId="28" fillId="0" borderId="0" xfId="0" applyFont="1"/>
    <xf numFmtId="164" fontId="28" fillId="0" borderId="0" xfId="0" applyNumberFormat="1" applyFont="1" applyFill="1"/>
    <xf numFmtId="4" fontId="28" fillId="0" borderId="0" xfId="0" applyNumberFormat="1" applyFont="1" applyFill="1"/>
    <xf numFmtId="164" fontId="28" fillId="0" borderId="0" xfId="0" applyNumberFormat="1" applyFont="1" applyFill="1" applyAlignment="1">
      <alignment horizontal="right"/>
    </xf>
    <xf numFmtId="4" fontId="29" fillId="0" borderId="0" xfId="0" applyNumberFormat="1" applyFont="1" applyFill="1" applyAlignment="1">
      <alignment horizontal="right"/>
    </xf>
    <xf numFmtId="1" fontId="29" fillId="0" borderId="0" xfId="0" applyNumberFormat="1" applyFont="1" applyFill="1" applyAlignment="1">
      <alignment horizontal="center"/>
    </xf>
    <xf numFmtId="164" fontId="25" fillId="0" borderId="0" xfId="0" applyNumberFormat="1" applyFont="1" applyFill="1"/>
    <xf numFmtId="2" fontId="25" fillId="0" borderId="0" xfId="0" applyNumberFormat="1" applyFont="1" applyFill="1"/>
    <xf numFmtId="164" fontId="25" fillId="0" borderId="0" xfId="0" applyNumberFormat="1" applyFont="1"/>
    <xf numFmtId="2" fontId="25" fillId="0" borderId="0" xfId="0" applyNumberFormat="1" applyFont="1"/>
    <xf numFmtId="0" fontId="25" fillId="0" borderId="5" xfId="0" applyFont="1" applyBorder="1"/>
    <xf numFmtId="164" fontId="1" fillId="0" borderId="1" xfId="0" applyNumberFormat="1" applyFont="1" applyFill="1" applyBorder="1"/>
    <xf numFmtId="2" fontId="1" fillId="0" borderId="1" xfId="0" applyNumberFormat="1" applyFont="1" applyBorder="1"/>
    <xf numFmtId="0" fontId="1" fillId="0" borderId="1" xfId="0" applyFont="1" applyBorder="1"/>
    <xf numFmtId="164" fontId="1" fillId="0" borderId="1" xfId="0" applyNumberFormat="1" applyFont="1" applyBorder="1"/>
    <xf numFmtId="164" fontId="1" fillId="0" borderId="0" xfId="0" applyNumberFormat="1" applyFont="1" applyFill="1" applyBorder="1"/>
    <xf numFmtId="2" fontId="1" fillId="0" borderId="0" xfId="0" applyNumberFormat="1" applyFont="1" applyBorder="1"/>
    <xf numFmtId="2" fontId="1" fillId="0" borderId="0" xfId="0" applyNumberFormat="1" applyFont="1" applyBorder="1" applyAlignment="1">
      <alignment horizontal="center"/>
    </xf>
    <xf numFmtId="0" fontId="1" fillId="0" borderId="0" xfId="0" applyFont="1" applyBorder="1" applyAlignment="1">
      <alignment horizontal="center"/>
    </xf>
    <xf numFmtId="164" fontId="1" fillId="0" borderId="8" xfId="0" applyNumberFormat="1" applyFont="1" applyFill="1" applyBorder="1" applyAlignment="1">
      <alignment horizontal="center"/>
    </xf>
    <xf numFmtId="2" fontId="1" fillId="0" borderId="8" xfId="0" applyNumberFormat="1" applyFont="1" applyBorder="1" applyAlignment="1">
      <alignment horizontal="center"/>
    </xf>
    <xf numFmtId="164" fontId="1" fillId="0" borderId="0" xfId="0" applyNumberFormat="1" applyFont="1" applyBorder="1" applyAlignment="1">
      <alignment horizontal="center"/>
    </xf>
    <xf numFmtId="164" fontId="1" fillId="0" borderId="8" xfId="0" applyNumberFormat="1" applyFont="1" applyBorder="1" applyAlignment="1">
      <alignment horizontal="center"/>
    </xf>
    <xf numFmtId="164" fontId="1" fillId="0" borderId="5" xfId="0" applyNumberFormat="1" applyFont="1" applyFill="1" applyBorder="1"/>
    <xf numFmtId="2" fontId="1" fillId="0" borderId="5" xfId="0" applyNumberFormat="1" applyFont="1" applyBorder="1"/>
    <xf numFmtId="0" fontId="1" fillId="0" borderId="5" xfId="0" applyFont="1" applyBorder="1"/>
    <xf numFmtId="164" fontId="1" fillId="0" borderId="5" xfId="0" applyNumberFormat="1" applyFont="1" applyBorder="1"/>
    <xf numFmtId="164" fontId="1" fillId="0" borderId="0" xfId="0" applyNumberFormat="1" applyFont="1" applyBorder="1"/>
    <xf numFmtId="3" fontId="30" fillId="0" borderId="0" xfId="2" applyNumberFormat="1" applyFont="1" applyFill="1" applyBorder="1" applyAlignment="1">
      <alignment horizontal="right"/>
    </xf>
    <xf numFmtId="3" fontId="30" fillId="0" borderId="0" xfId="3" applyNumberFormat="1" applyFont="1" applyFill="1" applyBorder="1" applyAlignment="1">
      <alignment horizontal="right"/>
    </xf>
    <xf numFmtId="3" fontId="1" fillId="0" borderId="0" xfId="0" applyNumberFormat="1" applyFont="1" applyBorder="1" applyAlignment="1"/>
    <xf numFmtId="0" fontId="0" fillId="0" borderId="0" xfId="0" applyBorder="1" applyAlignment="1">
      <alignment horizontal="right"/>
    </xf>
    <xf numFmtId="0" fontId="6" fillId="0" borderId="0" xfId="0" applyFont="1"/>
    <xf numFmtId="2" fontId="1" fillId="0" borderId="0" xfId="0" applyNumberFormat="1" applyFont="1" applyFill="1"/>
    <xf numFmtId="164" fontId="0" fillId="0" borderId="0" xfId="0" applyNumberFormat="1" applyAlignment="1">
      <alignment horizontal="right"/>
    </xf>
    <xf numFmtId="2" fontId="0" fillId="0" borderId="0" xfId="0" applyNumberFormat="1" applyAlignment="1">
      <alignment horizontal="right"/>
    </xf>
    <xf numFmtId="167" fontId="30" fillId="0" borderId="0" xfId="2" applyNumberFormat="1" applyFont="1" applyFill="1" applyBorder="1" applyAlignment="1">
      <alignment horizontal="right" vertical="center"/>
    </xf>
    <xf numFmtId="167" fontId="30" fillId="0" borderId="0" xfId="3" applyNumberFormat="1" applyFont="1" applyFill="1" applyBorder="1" applyAlignment="1">
      <alignment horizontal="right" vertical="center"/>
    </xf>
    <xf numFmtId="167" fontId="30" fillId="0" borderId="0" xfId="4" applyNumberFormat="1" applyFont="1" applyFill="1" applyBorder="1" applyAlignment="1">
      <alignment horizontal="right" vertical="center"/>
    </xf>
    <xf numFmtId="167" fontId="30" fillId="0" borderId="0" xfId="5" applyNumberFormat="1" applyFont="1" applyFill="1" applyBorder="1" applyAlignment="1">
      <alignment horizontal="right" vertical="center"/>
    </xf>
    <xf numFmtId="167" fontId="30" fillId="0" borderId="0" xfId="6" applyNumberFormat="1" applyFont="1" applyFill="1" applyBorder="1" applyAlignment="1">
      <alignment horizontal="right" vertical="center"/>
    </xf>
    <xf numFmtId="167" fontId="30" fillId="0" borderId="0" xfId="7" applyNumberFormat="1" applyFont="1" applyFill="1" applyBorder="1" applyAlignment="1">
      <alignment horizontal="right" vertical="center"/>
    </xf>
    <xf numFmtId="167" fontId="30" fillId="0" borderId="0" xfId="8" applyNumberFormat="1" applyFont="1" applyFill="1" applyBorder="1" applyAlignment="1">
      <alignment horizontal="right" vertical="center"/>
    </xf>
    <xf numFmtId="167" fontId="30" fillId="0" borderId="0" xfId="9" applyNumberFormat="1" applyFont="1" applyFill="1" applyBorder="1" applyAlignment="1">
      <alignment horizontal="right" vertical="center"/>
    </xf>
    <xf numFmtId="164" fontId="0" fillId="0" borderId="0" xfId="0" applyNumberFormat="1" applyBorder="1" applyAlignment="1">
      <alignment horizontal="right"/>
    </xf>
    <xf numFmtId="0" fontId="0" fillId="0" borderId="0" xfId="0" applyFill="1" applyAlignment="1">
      <alignment horizontal="right"/>
    </xf>
    <xf numFmtId="164" fontId="0" fillId="0" borderId="0" xfId="0" applyNumberFormat="1" applyFill="1" applyAlignment="1">
      <alignment horizontal="right"/>
    </xf>
    <xf numFmtId="167" fontId="30" fillId="0" borderId="0" xfId="10" applyNumberFormat="1" applyFont="1" applyFill="1" applyBorder="1" applyAlignment="1">
      <alignment horizontal="right" vertical="center"/>
    </xf>
    <xf numFmtId="0" fontId="1" fillId="0" borderId="8" xfId="0" applyFont="1" applyBorder="1" applyAlignment="1">
      <alignment horizontal="center"/>
    </xf>
    <xf numFmtId="167" fontId="30" fillId="0" borderId="0" xfId="11" applyNumberFormat="1" applyFont="1" applyFill="1" applyBorder="1" applyAlignment="1">
      <alignment vertical="center"/>
    </xf>
    <xf numFmtId="167" fontId="30" fillId="0" borderId="0" xfId="12" applyNumberFormat="1" applyFont="1" applyFill="1" applyBorder="1" applyAlignment="1">
      <alignment horizontal="right" vertical="center"/>
    </xf>
    <xf numFmtId="0" fontId="1" fillId="0" borderId="0" xfId="0" applyFont="1" applyBorder="1" applyAlignment="1"/>
    <xf numFmtId="167" fontId="30" fillId="0" borderId="0" xfId="13" applyNumberFormat="1" applyFont="1" applyFill="1" applyBorder="1" applyAlignment="1">
      <alignment vertical="center"/>
    </xf>
    <xf numFmtId="167" fontId="4" fillId="0" borderId="0" xfId="0" applyNumberFormat="1" applyFont="1" applyBorder="1" applyAlignment="1">
      <alignment horizontal="right" vertical="top"/>
    </xf>
    <xf numFmtId="167" fontId="1" fillId="0" borderId="0" xfId="0" applyNumberFormat="1" applyFont="1" applyBorder="1" applyAlignment="1"/>
    <xf numFmtId="0" fontId="0" fillId="0" borderId="0" xfId="0" applyAlignment="1"/>
    <xf numFmtId="164" fontId="1" fillId="0" borderId="0" xfId="0" applyNumberFormat="1" applyFont="1" applyFill="1" applyAlignment="1"/>
    <xf numFmtId="2" fontId="1" fillId="0" borderId="0" xfId="0" applyNumberFormat="1" applyFont="1" applyAlignment="1"/>
    <xf numFmtId="0" fontId="1" fillId="0" borderId="0" xfId="0" applyFont="1" applyAlignment="1"/>
    <xf numFmtId="164" fontId="1" fillId="0" borderId="0" xfId="0" applyNumberFormat="1" applyFont="1" applyAlignment="1"/>
    <xf numFmtId="164" fontId="1" fillId="0" borderId="0" xfId="0" applyNumberFormat="1" applyFont="1" applyFill="1" applyBorder="1" applyAlignment="1">
      <alignment horizontal="center"/>
    </xf>
    <xf numFmtId="167" fontId="30" fillId="0" borderId="0" xfId="11" applyNumberFormat="1" applyFont="1" applyFill="1" applyBorder="1" applyAlignment="1">
      <alignment horizontal="right" vertical="center"/>
    </xf>
    <xf numFmtId="167" fontId="30" fillId="0" borderId="0" xfId="14" applyNumberFormat="1" applyFont="1" applyFill="1" applyBorder="1" applyAlignment="1">
      <alignment horizontal="right" vertical="center"/>
    </xf>
    <xf numFmtId="167" fontId="32" fillId="0" borderId="0" xfId="0" applyNumberFormat="1" applyFont="1" applyBorder="1" applyAlignment="1">
      <alignment horizontal="right" vertical="top"/>
    </xf>
    <xf numFmtId="167" fontId="0" fillId="0" borderId="0" xfId="0" applyNumberFormat="1" applyAlignment="1">
      <alignment horizontal="right"/>
    </xf>
    <xf numFmtId="167" fontId="4" fillId="0" borderId="0" xfId="15" applyNumberFormat="1" applyFont="1" applyBorder="1" applyAlignment="1">
      <alignment horizontal="right" vertical="top"/>
    </xf>
    <xf numFmtId="167" fontId="31" fillId="0" borderId="0" xfId="13" applyNumberFormat="1" applyFont="1" applyFill="1" applyBorder="1" applyAlignment="1">
      <alignment horizontal="right" vertical="center"/>
    </xf>
    <xf numFmtId="167" fontId="31" fillId="0" borderId="0" xfId="11" applyNumberFormat="1" applyFont="1" applyFill="1" applyBorder="1" applyAlignment="1">
      <alignment horizontal="right" vertical="center"/>
    </xf>
    <xf numFmtId="167" fontId="31" fillId="0" borderId="0" xfId="16" applyNumberFormat="1" applyFont="1" applyFill="1" applyBorder="1" applyAlignment="1">
      <alignment horizontal="right" vertical="center"/>
    </xf>
    <xf numFmtId="167" fontId="31" fillId="0" borderId="0" xfId="14" applyNumberFormat="1" applyFont="1" applyFill="1" applyBorder="1" applyAlignment="1">
      <alignment horizontal="right" vertical="center"/>
    </xf>
    <xf numFmtId="164" fontId="1" fillId="0" borderId="0" xfId="0" applyNumberFormat="1" applyFont="1" applyBorder="1" applyAlignment="1">
      <alignment horizontal="center"/>
    </xf>
    <xf numFmtId="164" fontId="1" fillId="0" borderId="0" xfId="0" applyNumberFormat="1" applyFont="1" applyAlignment="1">
      <alignment horizontal="right"/>
    </xf>
    <xf numFmtId="2" fontId="1" fillId="0" borderId="0" xfId="0" applyNumberFormat="1" applyFont="1" applyAlignment="1">
      <alignment horizontal="right"/>
    </xf>
    <xf numFmtId="164" fontId="1" fillId="0" borderId="0" xfId="0" applyNumberFormat="1" applyFont="1" applyFill="1" applyAlignment="1">
      <alignment horizontal="right"/>
    </xf>
    <xf numFmtId="167" fontId="30" fillId="0" borderId="0" xfId="2" applyNumberFormat="1" applyFont="1" applyFill="1" applyBorder="1" applyAlignment="1">
      <alignment horizontal="right"/>
    </xf>
    <xf numFmtId="167" fontId="30" fillId="0" borderId="0" xfId="3" applyNumberFormat="1" applyFont="1" applyFill="1" applyBorder="1" applyAlignment="1">
      <alignment horizontal="right"/>
    </xf>
    <xf numFmtId="167" fontId="30" fillId="0" borderId="0" xfId="7" applyNumberFormat="1" applyFont="1" applyFill="1" applyBorder="1" applyAlignment="1">
      <alignment horizontal="right"/>
    </xf>
    <xf numFmtId="167" fontId="30" fillId="0" borderId="0" xfId="8" applyNumberFormat="1" applyFont="1" applyFill="1" applyBorder="1" applyAlignment="1">
      <alignment horizontal="right"/>
    </xf>
    <xf numFmtId="2" fontId="1" fillId="0" borderId="5" xfId="0" applyNumberFormat="1" applyFont="1" applyBorder="1" applyAlignment="1">
      <alignment horizontal="right"/>
    </xf>
    <xf numFmtId="0" fontId="1" fillId="0" borderId="5" xfId="0" applyFont="1" applyBorder="1" applyAlignment="1">
      <alignment horizontal="right"/>
    </xf>
    <xf numFmtId="164" fontId="1" fillId="0" borderId="5" xfId="0" applyNumberFormat="1" applyFont="1" applyBorder="1" applyAlignment="1">
      <alignment horizontal="right"/>
    </xf>
    <xf numFmtId="2" fontId="0" fillId="0" borderId="5" xfId="0" applyNumberFormat="1" applyBorder="1" applyAlignment="1">
      <alignment horizontal="right"/>
    </xf>
    <xf numFmtId="164" fontId="1" fillId="0" borderId="0" xfId="0" applyNumberFormat="1" applyFont="1" applyBorder="1" applyAlignment="1">
      <alignment horizontal="left"/>
    </xf>
    <xf numFmtId="0" fontId="0" fillId="0" borderId="0" xfId="0" applyBorder="1" applyAlignment="1"/>
    <xf numFmtId="0" fontId="0" fillId="0" borderId="5" xfId="0" applyBorder="1" applyAlignment="1"/>
    <xf numFmtId="164" fontId="1" fillId="0" borderId="5" xfId="0" applyNumberFormat="1" applyFont="1" applyFill="1" applyBorder="1" applyAlignment="1"/>
    <xf numFmtId="3" fontId="30" fillId="0" borderId="0" xfId="13" applyNumberFormat="1" applyFont="1" applyFill="1" applyBorder="1" applyAlignment="1">
      <alignment horizontal="right" vertical="center"/>
    </xf>
    <xf numFmtId="3" fontId="30" fillId="0" borderId="0" xfId="11" applyNumberFormat="1" applyFont="1" applyFill="1" applyBorder="1" applyAlignment="1">
      <alignment horizontal="right" vertical="center"/>
    </xf>
    <xf numFmtId="0" fontId="1" fillId="0" borderId="0" xfId="0" applyFont="1" applyBorder="1" applyAlignment="1">
      <alignment horizontal="right"/>
    </xf>
    <xf numFmtId="0" fontId="1" fillId="0" borderId="0" xfId="0" applyFont="1" applyFill="1" applyBorder="1" applyAlignment="1">
      <alignment horizontal="right"/>
    </xf>
    <xf numFmtId="3" fontId="1" fillId="0" borderId="0" xfId="0" applyNumberFormat="1" applyFont="1" applyBorder="1"/>
    <xf numFmtId="164" fontId="1" fillId="0" borderId="0" xfId="0" applyNumberFormat="1" applyFont="1" applyFill="1" applyBorder="1" applyAlignment="1"/>
    <xf numFmtId="164" fontId="1" fillId="0" borderId="0" xfId="0" applyNumberFormat="1" applyFont="1" applyBorder="1" applyAlignment="1"/>
    <xf numFmtId="164" fontId="2" fillId="0" borderId="0" xfId="0" applyNumberFormat="1" applyFont="1" applyFill="1"/>
    <xf numFmtId="164" fontId="2" fillId="0" borderId="0" xfId="0" applyNumberFormat="1" applyFont="1"/>
    <xf numFmtId="2" fontId="2" fillId="0" borderId="0" xfId="0" applyNumberFormat="1" applyFont="1"/>
    <xf numFmtId="4" fontId="2" fillId="0" borderId="0" xfId="0" applyNumberFormat="1" applyFont="1"/>
    <xf numFmtId="1" fontId="1" fillId="0" borderId="0" xfId="0" applyNumberFormat="1" applyFont="1" applyBorder="1"/>
    <xf numFmtId="4" fontId="1" fillId="0" borderId="0" xfId="0" applyNumberFormat="1" applyFont="1" applyBorder="1"/>
    <xf numFmtId="1" fontId="17" fillId="0" borderId="0" xfId="0" applyNumberFormat="1" applyFont="1" applyFill="1"/>
    <xf numFmtId="4" fontId="17" fillId="0" borderId="0" xfId="0" applyNumberFormat="1" applyFont="1" applyFill="1"/>
    <xf numFmtId="1" fontId="4" fillId="0" borderId="0" xfId="0" applyNumberFormat="1" applyFont="1" applyFill="1"/>
    <xf numFmtId="167" fontId="30" fillId="0" borderId="0" xfId="13" applyNumberFormat="1" applyFont="1" applyFill="1" applyBorder="1" applyAlignment="1">
      <alignment horizontal="right" vertical="center"/>
    </xf>
    <xf numFmtId="167" fontId="30" fillId="0" borderId="0" xfId="16" applyNumberFormat="1" applyFont="1" applyFill="1" applyBorder="1" applyAlignment="1">
      <alignment horizontal="right" vertical="center"/>
    </xf>
    <xf numFmtId="3" fontId="30" fillId="0" borderId="0" xfId="14" applyNumberFormat="1" applyFont="1" applyFill="1" applyBorder="1" applyAlignment="1">
      <alignment horizontal="right" vertical="center"/>
    </xf>
    <xf numFmtId="3" fontId="30" fillId="0" borderId="0" xfId="14" applyNumberFormat="1" applyFont="1" applyFill="1" applyBorder="1" applyAlignment="1">
      <alignment horizontal="right"/>
    </xf>
    <xf numFmtId="3" fontId="30" fillId="0" borderId="0" xfId="11" applyNumberFormat="1" applyFont="1" applyFill="1" applyBorder="1" applyAlignment="1">
      <alignment horizontal="right"/>
    </xf>
    <xf numFmtId="3" fontId="30" fillId="0" borderId="0" xfId="17" applyNumberFormat="1" applyFont="1" applyFill="1" applyBorder="1" applyAlignment="1">
      <alignment horizontal="right"/>
    </xf>
    <xf numFmtId="164" fontId="0" fillId="0" borderId="8" xfId="0" applyNumberFormat="1" applyBorder="1"/>
    <xf numFmtId="2" fontId="0" fillId="0" borderId="8" xfId="0" applyNumberFormat="1" applyBorder="1"/>
    <xf numFmtId="3" fontId="30" fillId="0" borderId="0" xfId="16" applyNumberFormat="1" applyFont="1" applyFill="1" applyBorder="1" applyAlignment="1">
      <alignment horizontal="right" vertical="center"/>
    </xf>
    <xf numFmtId="167" fontId="30" fillId="0" borderId="0" xfId="18" applyNumberFormat="1" applyFont="1" applyFill="1" applyBorder="1" applyAlignment="1">
      <alignment horizontal="right"/>
    </xf>
    <xf numFmtId="167" fontId="30" fillId="0" borderId="0" xfId="12" applyNumberFormat="1" applyFont="1" applyFill="1" applyBorder="1" applyAlignment="1">
      <alignment horizontal="right"/>
    </xf>
    <xf numFmtId="0" fontId="33" fillId="0" borderId="0" xfId="0" applyFont="1" applyAlignment="1">
      <alignment horizontal="left"/>
    </xf>
    <xf numFmtId="0" fontId="33" fillId="0" borderId="0" xfId="0" applyFont="1" applyFill="1"/>
    <xf numFmtId="0" fontId="33" fillId="0" borderId="0" xfId="0" applyFont="1"/>
    <xf numFmtId="0" fontId="33" fillId="0" borderId="1" xfId="0" applyFont="1" applyBorder="1"/>
    <xf numFmtId="0" fontId="33" fillId="0" borderId="0" xfId="0" applyFont="1" applyBorder="1"/>
    <xf numFmtId="164" fontId="33" fillId="0" borderId="0" xfId="0" applyNumberFormat="1" applyFont="1" applyBorder="1" applyAlignment="1">
      <alignment horizontal="center"/>
    </xf>
    <xf numFmtId="164" fontId="33" fillId="0" borderId="0" xfId="0" applyNumberFormat="1" applyFont="1" applyFill="1" applyBorder="1" applyAlignment="1">
      <alignment horizontal="center"/>
    </xf>
    <xf numFmtId="4" fontId="33" fillId="0" borderId="0" xfId="0" applyNumberFormat="1" applyFont="1" applyBorder="1" applyAlignment="1">
      <alignment horizontal="center"/>
    </xf>
    <xf numFmtId="0" fontId="33" fillId="0" borderId="5" xfId="0" applyFont="1" applyBorder="1"/>
    <xf numFmtId="0" fontId="33" fillId="0" borderId="5" xfId="0" applyFont="1" applyFill="1" applyBorder="1"/>
    <xf numFmtId="0" fontId="33" fillId="0" borderId="0" xfId="0" applyFont="1" applyFill="1" applyBorder="1"/>
    <xf numFmtId="0" fontId="35" fillId="0" borderId="0" xfId="0" applyFont="1"/>
    <xf numFmtId="0" fontId="33" fillId="0" borderId="0" xfId="0" applyFont="1" applyBorder="1" applyAlignment="1">
      <alignment horizontal="left"/>
    </xf>
    <xf numFmtId="0" fontId="33" fillId="0" borderId="0" xfId="0" applyFont="1" applyAlignment="1">
      <alignment horizontal="left" indent="1"/>
    </xf>
    <xf numFmtId="164" fontId="33" fillId="0" borderId="0" xfId="0" applyNumberFormat="1" applyFont="1" applyFill="1" applyAlignment="1">
      <alignment horizontal="center"/>
    </xf>
    <xf numFmtId="164" fontId="33" fillId="0" borderId="0" xfId="0" applyNumberFormat="1" applyFont="1" applyAlignment="1">
      <alignment horizontal="center"/>
    </xf>
    <xf numFmtId="0" fontId="33" fillId="0" borderId="0" xfId="0" applyFont="1" applyAlignment="1">
      <alignment horizontal="center"/>
    </xf>
    <xf numFmtId="14" fontId="33" fillId="0" borderId="0" xfId="0" applyNumberFormat="1" applyFont="1" applyAlignment="1">
      <alignment horizontal="center"/>
    </xf>
    <xf numFmtId="164" fontId="33" fillId="0" borderId="1" xfId="0" applyNumberFormat="1" applyFont="1" applyFill="1" applyBorder="1" applyAlignment="1">
      <alignment horizontal="center"/>
    </xf>
    <xf numFmtId="164" fontId="33" fillId="0" borderId="1" xfId="0" applyNumberFormat="1" applyFont="1" applyBorder="1" applyAlignment="1">
      <alignment horizontal="center"/>
    </xf>
    <xf numFmtId="164" fontId="33" fillId="0" borderId="2" xfId="0" applyNumberFormat="1" applyFont="1" applyFill="1" applyBorder="1" applyAlignment="1">
      <alignment horizontal="left"/>
    </xf>
    <xf numFmtId="164" fontId="33" fillId="0" borderId="2" xfId="0" applyNumberFormat="1" applyFont="1" applyFill="1" applyBorder="1" applyAlignment="1">
      <alignment horizontal="center"/>
    </xf>
    <xf numFmtId="9" fontId="33" fillId="0" borderId="0" xfId="0" applyNumberFormat="1" applyFont="1" applyBorder="1" applyAlignment="1">
      <alignment horizontal="center"/>
    </xf>
    <xf numFmtId="164" fontId="33" fillId="0" borderId="5" xfId="0" applyNumberFormat="1" applyFont="1" applyFill="1" applyBorder="1" applyAlignment="1">
      <alignment horizontal="center"/>
    </xf>
    <xf numFmtId="164" fontId="33" fillId="0" borderId="5" xfId="0" applyNumberFormat="1" applyFont="1" applyBorder="1" applyAlignment="1">
      <alignment horizontal="center"/>
    </xf>
    <xf numFmtId="2" fontId="33" fillId="0" borderId="0" xfId="0" applyNumberFormat="1" applyFont="1" applyAlignment="1">
      <alignment horizontal="center"/>
    </xf>
    <xf numFmtId="2" fontId="33" fillId="0" borderId="0" xfId="0" applyNumberFormat="1" applyFont="1"/>
    <xf numFmtId="168" fontId="33" fillId="0" borderId="0" xfId="0" applyNumberFormat="1" applyFont="1" applyFill="1" applyBorder="1" applyAlignment="1">
      <alignment horizontal="center"/>
    </xf>
    <xf numFmtId="0" fontId="33" fillId="0" borderId="0" xfId="0" applyFont="1" applyBorder="1" applyAlignment="1">
      <alignment horizontal="center"/>
    </xf>
    <xf numFmtId="0" fontId="34" fillId="0" borderId="0" xfId="0" applyFont="1" applyFill="1"/>
    <xf numFmtId="1" fontId="33" fillId="0" borderId="0" xfId="0" applyNumberFormat="1" applyFont="1" applyFill="1" applyAlignment="1">
      <alignment horizontal="center"/>
    </xf>
    <xf numFmtId="4" fontId="33" fillId="0" borderId="0" xfId="0" applyNumberFormat="1" applyFont="1" applyFill="1" applyAlignment="1">
      <alignment horizontal="center"/>
    </xf>
    <xf numFmtId="0" fontId="33" fillId="0" borderId="0" xfId="0" applyFont="1" applyFill="1" applyAlignment="1">
      <alignment horizontal="center"/>
    </xf>
    <xf numFmtId="0" fontId="25" fillId="0" borderId="0" xfId="0" applyFont="1" applyFill="1" applyAlignment="1">
      <alignment horizontal="left"/>
    </xf>
    <xf numFmtId="1" fontId="25" fillId="0" borderId="0" xfId="0" applyNumberFormat="1" applyFont="1" applyFill="1" applyAlignment="1">
      <alignment horizontal="center"/>
    </xf>
    <xf numFmtId="4" fontId="25" fillId="0" borderId="0" xfId="0" applyNumberFormat="1" applyFont="1" applyFill="1" applyAlignment="1">
      <alignment horizontal="center"/>
    </xf>
    <xf numFmtId="0" fontId="25" fillId="0" borderId="0" xfId="0" applyFont="1" applyFill="1" applyAlignment="1">
      <alignment horizontal="center"/>
    </xf>
    <xf numFmtId="14" fontId="25" fillId="0" borderId="0" xfId="0" applyNumberFormat="1" applyFont="1" applyFill="1" applyAlignment="1">
      <alignment horizontal="center"/>
    </xf>
    <xf numFmtId="0" fontId="25" fillId="0" borderId="1" xfId="0" applyFont="1" applyFill="1" applyBorder="1"/>
    <xf numFmtId="1" fontId="25" fillId="0" borderId="1" xfId="0" applyNumberFormat="1" applyFont="1" applyFill="1" applyBorder="1" applyAlignment="1">
      <alignment horizontal="center"/>
    </xf>
    <xf numFmtId="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0" fontId="25" fillId="0" borderId="1" xfId="0" applyFont="1" applyFill="1" applyBorder="1" applyAlignment="1">
      <alignment horizontal="center"/>
    </xf>
    <xf numFmtId="0" fontId="25" fillId="0" borderId="0" xfId="0" applyFont="1" applyFill="1" applyBorder="1"/>
    <xf numFmtId="164" fontId="25" fillId="0" borderId="0" xfId="0" applyNumberFormat="1" applyFont="1" applyFill="1" applyBorder="1" applyAlignment="1">
      <alignment horizontal="center"/>
    </xf>
    <xf numFmtId="1" fontId="25" fillId="0" borderId="0" xfId="0" applyNumberFormat="1" applyFont="1" applyFill="1" applyBorder="1" applyAlignment="1">
      <alignment horizontal="center"/>
    </xf>
    <xf numFmtId="4" fontId="25" fillId="0" borderId="0" xfId="0" applyNumberFormat="1" applyFont="1" applyFill="1" applyBorder="1" applyAlignment="1">
      <alignment horizontal="center"/>
    </xf>
    <xf numFmtId="0" fontId="25" fillId="0" borderId="0" xfId="0" applyFont="1" applyFill="1" applyBorder="1" applyAlignment="1">
      <alignment horizontal="center"/>
    </xf>
    <xf numFmtId="1" fontId="25" fillId="0" borderId="5" xfId="0" applyNumberFormat="1" applyFont="1" applyFill="1" applyBorder="1" applyAlignment="1">
      <alignment horizontal="center"/>
    </xf>
    <xf numFmtId="4" fontId="25" fillId="0" borderId="5" xfId="0" applyNumberFormat="1" applyFont="1" applyFill="1" applyBorder="1" applyAlignment="1">
      <alignment horizontal="center"/>
    </xf>
    <xf numFmtId="164" fontId="25" fillId="0" borderId="5" xfId="0" applyNumberFormat="1" applyFont="1" applyFill="1" applyBorder="1" applyAlignment="1">
      <alignment horizontal="center"/>
    </xf>
    <xf numFmtId="1" fontId="28" fillId="0" borderId="0" xfId="0" applyNumberFormat="1" applyFont="1" applyFill="1" applyAlignment="1">
      <alignment horizontal="center"/>
    </xf>
    <xf numFmtId="4" fontId="28" fillId="0" borderId="0" xfId="0" applyNumberFormat="1" applyFont="1" applyFill="1" applyAlignment="1">
      <alignment horizontal="center"/>
    </xf>
    <xf numFmtId="164" fontId="28" fillId="0" borderId="0" xfId="0" applyNumberFormat="1" applyFont="1" applyFill="1" applyAlignment="1">
      <alignment horizontal="center"/>
    </xf>
    <xf numFmtId="0" fontId="28" fillId="0" borderId="0" xfId="0" applyFont="1" applyFill="1" applyAlignment="1">
      <alignment horizontal="center"/>
    </xf>
    <xf numFmtId="0" fontId="25" fillId="0" borderId="0" xfId="0" applyFont="1" applyBorder="1" applyAlignment="1">
      <alignment horizontal="center" vertical="top"/>
    </xf>
    <xf numFmtId="168" fontId="25" fillId="0" borderId="0" xfId="0" applyNumberFormat="1" applyFont="1" applyFill="1" applyBorder="1" applyAlignment="1">
      <alignment horizontal="center"/>
    </xf>
    <xf numFmtId="0" fontId="25" fillId="0" borderId="0" xfId="0" applyFont="1" applyBorder="1" applyAlignment="1">
      <alignment horizontal="left" vertical="top"/>
    </xf>
    <xf numFmtId="0" fontId="27" fillId="0" borderId="0" xfId="0" applyFont="1" applyFill="1"/>
    <xf numFmtId="1" fontId="33" fillId="0" borderId="0" xfId="0" applyNumberFormat="1" applyFont="1" applyAlignment="1">
      <alignment horizontal="center"/>
    </xf>
    <xf numFmtId="4" fontId="33" fillId="0" borderId="0" xfId="0" applyNumberFormat="1" applyFont="1" applyAlignment="1">
      <alignment horizontal="center"/>
    </xf>
    <xf numFmtId="1" fontId="33" fillId="0" borderId="0" xfId="0" applyNumberFormat="1" applyFont="1" applyBorder="1"/>
    <xf numFmtId="1" fontId="1" fillId="0" borderId="0" xfId="0" applyNumberFormat="1" applyFont="1" applyFill="1" applyBorder="1"/>
    <xf numFmtId="0" fontId="1" fillId="0" borderId="0" xfId="0" applyFont="1" applyFill="1" applyBorder="1" applyAlignment="1"/>
    <xf numFmtId="1" fontId="33" fillId="0" borderId="5" xfId="0" applyNumberFormat="1" applyFont="1" applyFill="1" applyBorder="1" applyAlignment="1">
      <alignment horizontal="center"/>
    </xf>
    <xf numFmtId="2" fontId="33" fillId="0" borderId="5" xfId="0" applyNumberFormat="1" applyFont="1" applyFill="1" applyBorder="1" applyAlignment="1">
      <alignment horizontal="center"/>
    </xf>
    <xf numFmtId="4" fontId="33" fillId="0" borderId="5" xfId="0" applyNumberFormat="1" applyFont="1" applyFill="1" applyBorder="1" applyAlignment="1">
      <alignment horizontal="center"/>
    </xf>
    <xf numFmtId="0" fontId="33" fillId="0" borderId="0" xfId="0" applyFont="1" applyFill="1" applyBorder="1" applyAlignment="1">
      <alignment horizontal="center"/>
    </xf>
    <xf numFmtId="0" fontId="33" fillId="0" borderId="0" xfId="0" applyFont="1" applyBorder="1" applyAlignment="1"/>
    <xf numFmtId="49" fontId="1" fillId="0" borderId="0" xfId="0" applyNumberFormat="1" applyFont="1" applyBorder="1" applyAlignment="1">
      <alignment horizontal="right"/>
    </xf>
    <xf numFmtId="0" fontId="33" fillId="0" borderId="0" xfId="0" applyFont="1" applyFill="1" applyBorder="1" applyAlignment="1">
      <alignment horizontal="left"/>
    </xf>
    <xf numFmtId="0" fontId="33" fillId="0" borderId="0" xfId="0" applyFont="1" applyFill="1" applyBorder="1" applyAlignment="1"/>
    <xf numFmtId="1" fontId="33" fillId="0" borderId="0" xfId="0" applyNumberFormat="1" applyFont="1" applyBorder="1" applyAlignment="1">
      <alignment horizontal="center"/>
    </xf>
    <xf numFmtId="4" fontId="1" fillId="0" borderId="0" xfId="0" applyNumberFormat="1" applyFont="1" applyBorder="1" applyAlignment="1">
      <alignment horizontal="center"/>
    </xf>
    <xf numFmtId="1" fontId="1" fillId="0" borderId="0" xfId="0" applyNumberFormat="1" applyFont="1" applyBorder="1" applyAlignment="1">
      <alignment horizontal="center"/>
    </xf>
    <xf numFmtId="1" fontId="1" fillId="0" borderId="0" xfId="0" applyNumberFormat="1" applyFont="1" applyFill="1" applyBorder="1" applyAlignment="1">
      <alignment horizontal="center"/>
    </xf>
    <xf numFmtId="2" fontId="1" fillId="0" borderId="0" xfId="0" applyNumberFormat="1" applyFont="1" applyFill="1" applyBorder="1"/>
    <xf numFmtId="2" fontId="1" fillId="0" borderId="0" xfId="0" applyNumberFormat="1" applyFont="1" applyFill="1" applyBorder="1" applyAlignment="1"/>
    <xf numFmtId="2" fontId="1" fillId="0" borderId="0" xfId="0" applyNumberFormat="1" applyFont="1" applyBorder="1" applyAlignment="1"/>
    <xf numFmtId="0" fontId="35" fillId="0" borderId="0" xfId="0" applyFont="1" applyFill="1"/>
    <xf numFmtId="3" fontId="33" fillId="0" borderId="0" xfId="0" applyNumberFormat="1" applyFont="1" applyFill="1" applyBorder="1" applyAlignment="1">
      <alignment horizontal="center"/>
    </xf>
    <xf numFmtId="4" fontId="33" fillId="0" borderId="0" xfId="0" applyNumberFormat="1" applyFont="1" applyFill="1" applyBorder="1" applyAlignment="1">
      <alignment horizontal="center"/>
    </xf>
    <xf numFmtId="2" fontId="33" fillId="0" borderId="0" xfId="0" applyNumberFormat="1" applyFont="1" applyFill="1" applyBorder="1" applyAlignment="1">
      <alignment horizontal="center"/>
    </xf>
    <xf numFmtId="1" fontId="33" fillId="0" borderId="0" xfId="0" applyNumberFormat="1" applyFont="1" applyFill="1" applyBorder="1"/>
    <xf numFmtId="168" fontId="33" fillId="0" borderId="0" xfId="0" applyNumberFormat="1" applyFont="1" applyFill="1" applyAlignment="1">
      <alignment horizontal="center"/>
    </xf>
    <xf numFmtId="2" fontId="33" fillId="0" borderId="0" xfId="0" applyNumberFormat="1" applyFont="1" applyBorder="1" applyAlignment="1">
      <alignment horizontal="center"/>
    </xf>
    <xf numFmtId="1" fontId="33" fillId="0" borderId="5" xfId="0" applyNumberFormat="1" applyFont="1" applyBorder="1" applyAlignment="1">
      <alignment horizontal="center"/>
    </xf>
    <xf numFmtId="4" fontId="33" fillId="0" borderId="5" xfId="0" applyNumberFormat="1" applyFont="1" applyBorder="1" applyAlignment="1">
      <alignment horizontal="center"/>
    </xf>
    <xf numFmtId="2" fontId="33" fillId="0" borderId="5" xfId="0" applyNumberFormat="1" applyFont="1" applyBorder="1" applyAlignment="1">
      <alignment horizontal="center"/>
    </xf>
    <xf numFmtId="1" fontId="1" fillId="0" borderId="0" xfId="0" applyNumberFormat="1" applyFont="1" applyAlignment="1">
      <alignment horizontal="center"/>
    </xf>
    <xf numFmtId="4" fontId="1" fillId="0" borderId="0" xfId="0" applyNumberFormat="1" applyFont="1" applyAlignment="1">
      <alignment horizontal="center"/>
    </xf>
    <xf numFmtId="164" fontId="1" fillId="0" borderId="0" xfId="0" applyNumberFormat="1" applyFont="1" applyFill="1" applyAlignment="1">
      <alignment horizontal="center"/>
    </xf>
    <xf numFmtId="0" fontId="36" fillId="0" borderId="0" xfId="0" applyFont="1" applyAlignment="1">
      <alignment horizontal="center" vertical="center" readingOrder="1"/>
    </xf>
    <xf numFmtId="9" fontId="1" fillId="0" borderId="0" xfId="1" applyFont="1"/>
    <xf numFmtId="0" fontId="1" fillId="0" borderId="0" xfId="0" applyFont="1" applyAlignment="1">
      <alignment horizontal="center" vertical="center"/>
    </xf>
    <xf numFmtId="9" fontId="0" fillId="0" borderId="0" xfId="1" applyFont="1"/>
    <xf numFmtId="164" fontId="1" fillId="0" borderId="0" xfId="0" applyNumberFormat="1" applyFont="1" applyBorder="1" applyAlignment="1">
      <alignment horizontal="center"/>
    </xf>
    <xf numFmtId="0" fontId="37" fillId="0" borderId="0" xfId="0" applyFont="1"/>
    <xf numFmtId="164" fontId="37" fillId="0" borderId="0" xfId="0" applyNumberFormat="1" applyFont="1"/>
    <xf numFmtId="2" fontId="37" fillId="0" borderId="0" xfId="0" applyNumberFormat="1" applyFont="1"/>
    <xf numFmtId="0" fontId="37" fillId="0" borderId="1" xfId="0" applyFont="1" applyBorder="1"/>
    <xf numFmtId="164" fontId="37" fillId="0" borderId="1" xfId="0" applyNumberFormat="1" applyFont="1" applyBorder="1"/>
    <xf numFmtId="2" fontId="37" fillId="0" borderId="1" xfId="0" applyNumberFormat="1" applyFont="1" applyBorder="1"/>
    <xf numFmtId="0" fontId="37" fillId="0" borderId="0" xfId="0" applyFont="1" applyBorder="1"/>
    <xf numFmtId="164" fontId="37" fillId="0" borderId="0" xfId="0" applyNumberFormat="1" applyFont="1" applyBorder="1"/>
    <xf numFmtId="2" fontId="37" fillId="0" borderId="0" xfId="0" applyNumberFormat="1" applyFont="1" applyBorder="1"/>
    <xf numFmtId="164" fontId="37" fillId="0" borderId="8" xfId="0" applyNumberFormat="1" applyFont="1" applyBorder="1" applyAlignment="1">
      <alignment horizontal="center"/>
    </xf>
    <xf numFmtId="2" fontId="37" fillId="0" borderId="8" xfId="0" applyNumberFormat="1" applyFont="1" applyBorder="1" applyAlignment="1">
      <alignment horizontal="center"/>
    </xf>
    <xf numFmtId="0" fontId="37" fillId="0" borderId="5" xfId="0" applyFont="1" applyBorder="1"/>
    <xf numFmtId="164" fontId="37" fillId="0" borderId="5" xfId="0" applyNumberFormat="1" applyFont="1" applyBorder="1"/>
    <xf numFmtId="2" fontId="37" fillId="0" borderId="5" xfId="0" applyNumberFormat="1" applyFont="1" applyBorder="1"/>
    <xf numFmtId="1" fontId="37" fillId="0" borderId="0" xfId="0" applyNumberFormat="1" applyFont="1" applyBorder="1"/>
    <xf numFmtId="164" fontId="37" fillId="0" borderId="0" xfId="0" applyNumberFormat="1" applyFont="1" applyFill="1"/>
    <xf numFmtId="2" fontId="37" fillId="0" borderId="0" xfId="0" applyNumberFormat="1" applyFont="1" applyFill="1" applyBorder="1"/>
    <xf numFmtId="1" fontId="37" fillId="0" borderId="0" xfId="0" applyNumberFormat="1" applyFont="1" applyFill="1" applyBorder="1"/>
    <xf numFmtId="164" fontId="37" fillId="0" borderId="0" xfId="0" applyNumberFormat="1" applyFont="1" applyFill="1" applyBorder="1"/>
    <xf numFmtId="0" fontId="37" fillId="0" borderId="0" xfId="0" applyFont="1" applyFill="1" applyBorder="1"/>
    <xf numFmtId="2" fontId="37" fillId="0" borderId="0" xfId="0" applyNumberFormat="1" applyFont="1" applyFill="1"/>
    <xf numFmtId="0" fontId="37" fillId="0" borderId="0" xfId="0" applyFont="1" applyFill="1"/>
    <xf numFmtId="3" fontId="37" fillId="0" borderId="0" xfId="0" applyNumberFormat="1" applyFont="1"/>
    <xf numFmtId="164" fontId="37" fillId="0" borderId="8" xfId="0" applyNumberFormat="1" applyFont="1" applyBorder="1"/>
    <xf numFmtId="2" fontId="37" fillId="0" borderId="8" xfId="0" applyNumberFormat="1" applyFont="1" applyBorder="1"/>
    <xf numFmtId="14" fontId="1" fillId="0" borderId="0" xfId="0" applyNumberFormat="1" applyFont="1"/>
    <xf numFmtId="14" fontId="1" fillId="0" borderId="0" xfId="0" applyNumberFormat="1" applyFont="1" applyAlignment="1">
      <alignment horizontal="right"/>
    </xf>
    <xf numFmtId="4" fontId="1" fillId="0" borderId="1" xfId="0" applyNumberFormat="1" applyFont="1" applyBorder="1"/>
    <xf numFmtId="164" fontId="1" fillId="0" borderId="1" xfId="0" applyNumberFormat="1" applyFont="1" applyBorder="1" applyAlignment="1">
      <alignment horizontal="right"/>
    </xf>
    <xf numFmtId="0" fontId="1" fillId="0" borderId="1" xfId="0" applyFont="1" applyFill="1" applyBorder="1"/>
    <xf numFmtId="4" fontId="1" fillId="0" borderId="5" xfId="0" applyNumberFormat="1" applyFont="1" applyBorder="1"/>
    <xf numFmtId="164" fontId="1" fillId="0" borderId="0" xfId="0" applyNumberFormat="1" applyFont="1" applyBorder="1" applyAlignment="1">
      <alignment horizontal="right"/>
    </xf>
    <xf numFmtId="164" fontId="2" fillId="0" borderId="0" xfId="0" applyNumberFormat="1" applyFont="1" applyAlignment="1">
      <alignment horizontal="right"/>
    </xf>
    <xf numFmtId="0" fontId="1" fillId="0" borderId="0" xfId="0" applyFont="1" applyBorder="1" applyAlignment="1">
      <alignment horizontal="right" vertical="top"/>
    </xf>
    <xf numFmtId="168" fontId="1" fillId="0" borderId="0" xfId="0" applyNumberFormat="1" applyFont="1" applyFill="1" applyBorder="1" applyAlignment="1">
      <alignment horizontal="right"/>
    </xf>
    <xf numFmtId="0" fontId="1" fillId="0" borderId="0" xfId="0" applyFont="1" applyBorder="1" applyAlignment="1">
      <alignment horizontal="left"/>
    </xf>
    <xf numFmtId="0" fontId="1" fillId="0" borderId="0" xfId="0" applyFont="1" applyBorder="1" applyAlignment="1">
      <alignment horizontal="left" vertical="top"/>
    </xf>
    <xf numFmtId="169" fontId="1" fillId="0" borderId="0" xfId="0" applyNumberFormat="1" applyFont="1" applyFill="1" applyBorder="1" applyAlignment="1">
      <alignment horizontal="right"/>
    </xf>
    <xf numFmtId="0" fontId="1" fillId="0" borderId="0" xfId="0" applyFont="1" applyAlignment="1">
      <alignment horizontal="left" indent="1"/>
    </xf>
    <xf numFmtId="168" fontId="1" fillId="0" borderId="0" xfId="0" applyNumberFormat="1" applyFont="1" applyBorder="1" applyAlignment="1">
      <alignment horizontal="right" vertical="top"/>
    </xf>
    <xf numFmtId="3" fontId="1" fillId="0" borderId="0" xfId="0" applyNumberFormat="1" applyFont="1"/>
    <xf numFmtId="0" fontId="8" fillId="0" borderId="0" xfId="0" applyFont="1" applyAlignment="1"/>
    <xf numFmtId="0" fontId="9" fillId="0" borderId="0" xfId="0" applyFont="1" applyAlignment="1"/>
    <xf numFmtId="4" fontId="2" fillId="0" borderId="3" xfId="0" applyNumberFormat="1" applyFont="1" applyFill="1" applyBorder="1" applyAlignment="1">
      <alignment horizontal="left"/>
    </xf>
    <xf numFmtId="4" fontId="0" fillId="0" borderId="0" xfId="0" applyNumberFormat="1" applyAlignment="1">
      <alignment horizontal="center" vertical="center"/>
    </xf>
    <xf numFmtId="0" fontId="17" fillId="0" borderId="0" xfId="0" applyFont="1" applyFill="1" applyAlignment="1">
      <alignment horizontal="center"/>
    </xf>
    <xf numFmtId="1" fontId="17" fillId="0" borderId="0" xfId="0" applyNumberFormat="1" applyFont="1" applyFill="1" applyAlignment="1">
      <alignment horizontal="center"/>
    </xf>
    <xf numFmtId="0" fontId="2" fillId="0" borderId="0" xfId="0" applyFont="1" applyFill="1" applyAlignment="1">
      <alignment horizontal="center"/>
    </xf>
    <xf numFmtId="0" fontId="4" fillId="0" borderId="0" xfId="0" applyFont="1" applyFill="1" applyAlignment="1">
      <alignment horizontal="center"/>
    </xf>
    <xf numFmtId="2" fontId="1" fillId="0" borderId="0" xfId="0" applyNumberFormat="1" applyFont="1" applyFill="1" applyAlignment="1">
      <alignment horizontal="center"/>
    </xf>
    <xf numFmtId="0" fontId="4" fillId="0" borderId="1" xfId="0" applyFont="1" applyFill="1" applyBorder="1"/>
    <xf numFmtId="2" fontId="1" fillId="0" borderId="1" xfId="0" applyNumberFormat="1" applyFont="1" applyFill="1" applyBorder="1"/>
    <xf numFmtId="0" fontId="37" fillId="0" borderId="1" xfId="0" applyFont="1" applyFill="1" applyBorder="1"/>
    <xf numFmtId="1" fontId="4" fillId="0" borderId="0" xfId="0" applyNumberFormat="1" applyFont="1" applyFill="1" applyBorder="1" applyAlignment="1">
      <alignment horizontal="center"/>
    </xf>
    <xf numFmtId="0" fontId="4" fillId="0" borderId="8" xfId="0" applyFont="1" applyFill="1" applyBorder="1" applyAlignment="1">
      <alignment horizontal="right"/>
    </xf>
    <xf numFmtId="2" fontId="1" fillId="0" borderId="8" xfId="0" applyNumberFormat="1" applyFont="1" applyFill="1" applyBorder="1" applyAlignment="1">
      <alignment horizontal="center"/>
    </xf>
    <xf numFmtId="2" fontId="1" fillId="0" borderId="0" xfId="0" applyNumberFormat="1" applyFont="1" applyFill="1" applyBorder="1" applyAlignment="1">
      <alignment horizontal="center"/>
    </xf>
    <xf numFmtId="0" fontId="1" fillId="0" borderId="8" xfId="0" applyFont="1" applyFill="1" applyBorder="1" applyAlignment="1">
      <alignment horizontal="right"/>
    </xf>
    <xf numFmtId="0" fontId="1" fillId="0" borderId="8" xfId="0" applyFont="1" applyFill="1" applyBorder="1" applyAlignment="1">
      <alignment horizontal="center"/>
    </xf>
    <xf numFmtId="0" fontId="17" fillId="0" borderId="5" xfId="0" applyFont="1" applyFill="1" applyBorder="1" applyAlignment="1">
      <alignment horizontal="center"/>
    </xf>
    <xf numFmtId="2" fontId="2" fillId="0" borderId="5" xfId="0" applyNumberFormat="1" applyFont="1" applyFill="1" applyBorder="1" applyAlignment="1">
      <alignment horizontal="center"/>
    </xf>
    <xf numFmtId="0" fontId="2" fillId="0" borderId="5" xfId="0" applyFont="1" applyFill="1" applyBorder="1" applyAlignment="1">
      <alignment horizontal="center"/>
    </xf>
    <xf numFmtId="0" fontId="2" fillId="0" borderId="5" xfId="0" applyFont="1" applyFill="1" applyBorder="1"/>
    <xf numFmtId="0" fontId="17" fillId="0" borderId="0" xfId="0" applyFont="1" applyFill="1"/>
    <xf numFmtId="2" fontId="2" fillId="0" borderId="0" xfId="0" applyNumberFormat="1" applyFont="1" applyFill="1"/>
    <xf numFmtId="2" fontId="2" fillId="0" borderId="0" xfId="0" applyNumberFormat="1" applyFont="1" applyFill="1" applyBorder="1"/>
    <xf numFmtId="3" fontId="4" fillId="0" borderId="0" xfId="0" applyNumberFormat="1" applyFont="1" applyFill="1"/>
    <xf numFmtId="1" fontId="1" fillId="0" borderId="0" xfId="0" applyNumberFormat="1" applyFont="1" applyFill="1"/>
    <xf numFmtId="3" fontId="1" fillId="0" borderId="5" xfId="0" applyNumberFormat="1" applyFont="1" applyFill="1" applyBorder="1"/>
    <xf numFmtId="0" fontId="37" fillId="0" borderId="5" xfId="0" applyFont="1" applyFill="1" applyBorder="1"/>
    <xf numFmtId="2" fontId="1" fillId="0" borderId="5" xfId="0" applyNumberFormat="1" applyFont="1" applyFill="1" applyBorder="1"/>
    <xf numFmtId="3" fontId="1" fillId="0" borderId="0" xfId="0" applyNumberFormat="1" applyFont="1" applyFill="1"/>
    <xf numFmtId="3" fontId="1" fillId="0" borderId="1" xfId="0" applyNumberFormat="1" applyFont="1" applyFill="1" applyBorder="1"/>
    <xf numFmtId="0" fontId="17" fillId="0" borderId="5" xfId="0" applyFont="1" applyFill="1" applyBorder="1" applyAlignment="1">
      <alignment horizontal="right"/>
    </xf>
    <xf numFmtId="3" fontId="37" fillId="0" borderId="0" xfId="0" applyNumberFormat="1" applyFont="1" applyFill="1"/>
    <xf numFmtId="3" fontId="30" fillId="0" borderId="0" xfId="0" applyNumberFormat="1" applyFont="1" applyAlignment="1">
      <alignment horizontal="right"/>
    </xf>
    <xf numFmtId="1" fontId="30" fillId="0" borderId="0" xfId="0" applyNumberFormat="1" applyFont="1" applyAlignment="1">
      <alignment horizontal="right"/>
    </xf>
    <xf numFmtId="0" fontId="2" fillId="0" borderId="5" xfId="0" applyFont="1" applyFill="1" applyBorder="1" applyAlignment="1">
      <alignment horizontal="right"/>
    </xf>
    <xf numFmtId="49" fontId="30" fillId="0" borderId="0" xfId="0" applyNumberFormat="1" applyFont="1" applyFill="1" applyAlignment="1"/>
    <xf numFmtId="1" fontId="4" fillId="0" borderId="0" xfId="0" applyNumberFormat="1" applyFont="1" applyFill="1" applyBorder="1"/>
    <xf numFmtId="0" fontId="33" fillId="0" borderId="0" xfId="0" applyFont="1" applyAlignment="1"/>
    <xf numFmtId="0" fontId="0" fillId="0" borderId="1" xfId="0" applyBorder="1" applyAlignment="1">
      <alignment horizontal="center"/>
    </xf>
    <xf numFmtId="49" fontId="33" fillId="0" borderId="0" xfId="0" applyNumberFormat="1" applyFont="1" applyBorder="1" applyAlignment="1">
      <alignment horizontal="center"/>
    </xf>
    <xf numFmtId="3" fontId="33" fillId="0" borderId="0" xfId="0" applyNumberFormat="1" applyFont="1" applyAlignment="1">
      <alignment horizontal="center"/>
    </xf>
    <xf numFmtId="3" fontId="0" fillId="0" borderId="0" xfId="0" applyNumberFormat="1" applyAlignment="1">
      <alignment horizontal="center"/>
    </xf>
    <xf numFmtId="1" fontId="25" fillId="0" borderId="0" xfId="0" applyNumberFormat="1" applyFont="1" applyBorder="1"/>
    <xf numFmtId="0" fontId="27" fillId="0" borderId="0" xfId="0" applyFont="1"/>
    <xf numFmtId="0" fontId="26" fillId="0" borderId="0" xfId="0" applyFont="1"/>
    <xf numFmtId="0" fontId="39" fillId="0" borderId="0" xfId="0" applyFont="1" applyFill="1" applyAlignment="1">
      <alignment horizontal="center"/>
    </xf>
    <xf numFmtId="0" fontId="40" fillId="0" borderId="0" xfId="0" applyFont="1" applyFill="1" applyAlignment="1">
      <alignment horizontal="center"/>
    </xf>
    <xf numFmtId="0" fontId="40" fillId="0" borderId="0" xfId="0" applyFont="1" applyAlignment="1">
      <alignment horizontal="center"/>
    </xf>
    <xf numFmtId="2" fontId="40" fillId="0" borderId="0" xfId="0" applyNumberFormat="1" applyFont="1" applyFill="1" applyAlignment="1">
      <alignment horizontal="center"/>
    </xf>
    <xf numFmtId="1" fontId="39" fillId="0" borderId="0" xfId="0" applyNumberFormat="1" applyFont="1" applyFill="1" applyAlignment="1">
      <alignment horizontal="center"/>
    </xf>
    <xf numFmtId="1" fontId="4" fillId="0" borderId="1" xfId="0" applyNumberFormat="1" applyFont="1" applyFill="1" applyBorder="1"/>
    <xf numFmtId="1" fontId="4" fillId="0" borderId="8" xfId="0" applyNumberFormat="1" applyFont="1" applyFill="1" applyBorder="1" applyAlignment="1">
      <alignment horizontal="right"/>
    </xf>
    <xf numFmtId="0" fontId="2" fillId="0" borderId="5" xfId="0" applyFont="1" applyBorder="1" applyAlignment="1">
      <alignment horizontal="center"/>
    </xf>
    <xf numFmtId="1" fontId="17" fillId="0" borderId="5" xfId="0" applyNumberFormat="1" applyFont="1" applyFill="1" applyBorder="1" applyAlignment="1">
      <alignment horizontal="right"/>
    </xf>
    <xf numFmtId="1" fontId="30" fillId="0" borderId="0" xfId="0" applyNumberFormat="1" applyFont="1" applyAlignment="1">
      <alignment wrapText="1"/>
    </xf>
    <xf numFmtId="1" fontId="30" fillId="0" borderId="0" xfId="0" applyNumberFormat="1" applyFont="1" applyAlignment="1"/>
    <xf numFmtId="1" fontId="30" fillId="0" borderId="0" xfId="0" applyNumberFormat="1" applyFont="1"/>
    <xf numFmtId="1" fontId="1" fillId="0" borderId="5" xfId="0" applyNumberFormat="1" applyFont="1" applyFill="1" applyBorder="1"/>
    <xf numFmtId="1" fontId="40" fillId="0" borderId="0" xfId="0" applyNumberFormat="1" applyFont="1" applyFill="1" applyAlignment="1">
      <alignment horizontal="center"/>
    </xf>
    <xf numFmtId="1" fontId="1" fillId="0" borderId="1" xfId="0" applyNumberFormat="1" applyFont="1" applyFill="1" applyBorder="1"/>
    <xf numFmtId="1" fontId="1" fillId="0" borderId="8" xfId="0" applyNumberFormat="1" applyFont="1" applyFill="1" applyBorder="1" applyAlignment="1">
      <alignment horizontal="right"/>
    </xf>
    <xf numFmtId="1" fontId="2" fillId="0" borderId="5" xfId="0" applyNumberFormat="1" applyFont="1" applyFill="1" applyBorder="1" applyAlignment="1">
      <alignment horizontal="right"/>
    </xf>
    <xf numFmtId="1" fontId="30" fillId="0" borderId="0" xfId="0" applyNumberFormat="1" applyFont="1" applyAlignment="1">
      <alignment horizontal="right" wrapText="1"/>
    </xf>
    <xf numFmtId="49" fontId="30" fillId="0" borderId="0" xfId="0" applyNumberFormat="1" applyFont="1" applyAlignment="1"/>
    <xf numFmtId="1" fontId="4" fillId="0" borderId="0" xfId="0" applyNumberFormat="1" applyFont="1" applyFill="1" applyAlignment="1">
      <alignment horizontal="center"/>
    </xf>
    <xf numFmtId="0" fontId="4" fillId="0" borderId="0" xfId="0" applyFont="1" applyFill="1" applyBorder="1" applyAlignment="1">
      <alignment horizontal="right"/>
    </xf>
    <xf numFmtId="3" fontId="17" fillId="0" borderId="0" xfId="0" applyNumberFormat="1" applyFont="1" applyFill="1"/>
    <xf numFmtId="1" fontId="37" fillId="0" borderId="0" xfId="0" applyNumberFormat="1" applyFont="1" applyFill="1"/>
    <xf numFmtId="1" fontId="37" fillId="0" borderId="0" xfId="0" applyNumberFormat="1" applyFont="1" applyAlignment="1"/>
    <xf numFmtId="1" fontId="4" fillId="0" borderId="5" xfId="0" applyNumberFormat="1" applyFont="1" applyFill="1" applyBorder="1"/>
    <xf numFmtId="49" fontId="30" fillId="0" borderId="0" xfId="0" applyNumberFormat="1" applyFont="1" applyFill="1" applyAlignment="1">
      <alignment horizontal="right"/>
    </xf>
    <xf numFmtId="3" fontId="0" fillId="0" borderId="0" xfId="0" applyNumberFormat="1" applyAlignment="1">
      <alignment vertical="center"/>
    </xf>
    <xf numFmtId="164" fontId="1" fillId="0" borderId="0" xfId="0" applyNumberFormat="1" applyFont="1" applyBorder="1" applyAlignment="1">
      <alignment horizontal="center"/>
    </xf>
    <xf numFmtId="14" fontId="0" fillId="0" borderId="0" xfId="0" applyNumberFormat="1" applyAlignment="1">
      <alignment horizontal="left"/>
    </xf>
    <xf numFmtId="0" fontId="41" fillId="0" borderId="0" xfId="0" applyFont="1"/>
    <xf numFmtId="164" fontId="41" fillId="0" borderId="0" xfId="0" applyNumberFormat="1" applyFont="1"/>
    <xf numFmtId="164" fontId="33" fillId="0" borderId="0" xfId="0" applyNumberFormat="1" applyFont="1"/>
    <xf numFmtId="164" fontId="33" fillId="0" borderId="1" xfId="0" applyNumberFormat="1" applyFont="1" applyBorder="1"/>
    <xf numFmtId="164" fontId="33" fillId="0" borderId="8" xfId="0" applyNumberFormat="1" applyFont="1" applyBorder="1" applyAlignment="1">
      <alignment horizontal="left"/>
    </xf>
    <xf numFmtId="0" fontId="33" fillId="0" borderId="8" xfId="0" applyFont="1" applyBorder="1" applyAlignment="1">
      <alignment horizontal="left"/>
    </xf>
    <xf numFmtId="164" fontId="33" fillId="0" borderId="5" xfId="0" applyNumberFormat="1" applyFont="1" applyBorder="1"/>
    <xf numFmtId="3" fontId="35" fillId="0" borderId="0" xfId="0" applyNumberFormat="1" applyFont="1"/>
    <xf numFmtId="164" fontId="35" fillId="0" borderId="0" xfId="0" applyNumberFormat="1" applyFont="1"/>
    <xf numFmtId="2" fontId="35" fillId="0" borderId="0" xfId="0" applyNumberFormat="1" applyFont="1"/>
    <xf numFmtId="3" fontId="33" fillId="0" borderId="0" xfId="0" applyNumberFormat="1" applyFont="1"/>
    <xf numFmtId="3" fontId="33" fillId="0" borderId="0" xfId="0" applyNumberFormat="1" applyFont="1" applyBorder="1"/>
    <xf numFmtId="164" fontId="33" fillId="0" borderId="0" xfId="0" applyNumberFormat="1" applyFont="1" applyBorder="1"/>
    <xf numFmtId="2" fontId="33" fillId="0" borderId="5" xfId="0" applyNumberFormat="1" applyFont="1" applyBorder="1"/>
    <xf numFmtId="0" fontId="42" fillId="0" borderId="0" xfId="0" applyFont="1"/>
    <xf numFmtId="0" fontId="0" fillId="0" borderId="0" xfId="0" applyFont="1" applyBorder="1" applyAlignment="1">
      <alignment wrapText="1"/>
    </xf>
    <xf numFmtId="3" fontId="1" fillId="0" borderId="0" xfId="0" applyNumberFormat="1" applyFont="1" applyAlignment="1">
      <alignment horizontal="right"/>
    </xf>
    <xf numFmtId="0" fontId="0" fillId="0" borderId="0" xfId="0" applyFont="1" applyBorder="1" applyAlignment="1">
      <alignment vertical="center" wrapText="1"/>
    </xf>
    <xf numFmtId="0" fontId="0" fillId="0" borderId="0" xfId="0" applyFont="1" applyAlignment="1"/>
    <xf numFmtId="0" fontId="0" fillId="0" borderId="0" xfId="0" applyFont="1" applyAlignment="1">
      <alignment vertical="center"/>
    </xf>
    <xf numFmtId="49" fontId="25" fillId="0" borderId="0" xfId="0" applyNumberFormat="1" applyFont="1" applyAlignment="1">
      <alignment horizontal="left"/>
    </xf>
    <xf numFmtId="2" fontId="25" fillId="0" borderId="0" xfId="0" applyNumberFormat="1" applyFont="1" applyFill="1" applyBorder="1" applyAlignment="1">
      <alignment horizontal="center"/>
    </xf>
    <xf numFmtId="0" fontId="35" fillId="0" borderId="0" xfId="0" applyFont="1" applyBorder="1"/>
    <xf numFmtId="2" fontId="25" fillId="0" borderId="0" xfId="0" applyNumberFormat="1" applyFont="1" applyBorder="1"/>
    <xf numFmtId="3" fontId="25" fillId="0" borderId="0" xfId="0" applyNumberFormat="1" applyFont="1"/>
    <xf numFmtId="0" fontId="34" fillId="0" borderId="0" xfId="0" applyFont="1"/>
    <xf numFmtId="0" fontId="1" fillId="0" borderId="0" xfId="0" applyFont="1" applyBorder="1" applyAlignment="1">
      <alignment horizontal="center"/>
    </xf>
    <xf numFmtId="3" fontId="0" fillId="0" borderId="0" xfId="0" applyNumberFormat="1" applyFont="1" applyFill="1" applyBorder="1" applyAlignment="1">
      <alignment horizontal="right"/>
    </xf>
    <xf numFmtId="3" fontId="0" fillId="0" borderId="0" xfId="0" applyNumberFormat="1" applyFont="1" applyBorder="1" applyAlignment="1">
      <alignment horizontal="right"/>
    </xf>
    <xf numFmtId="3" fontId="0" fillId="0" borderId="0" xfId="0" applyNumberFormat="1" applyFont="1" applyBorder="1"/>
    <xf numFmtId="3" fontId="4" fillId="0" borderId="0" xfId="0" applyNumberFormat="1" applyFont="1" applyFill="1" applyBorder="1" applyAlignment="1">
      <alignment horizontal="right" vertical="top" wrapText="1"/>
    </xf>
    <xf numFmtId="0" fontId="0" fillId="0" borderId="0" xfId="0" applyFont="1" applyAlignment="1">
      <alignment horizontal="right"/>
    </xf>
    <xf numFmtId="0" fontId="4" fillId="0" borderId="0" xfId="0" applyFont="1" applyFill="1" applyAlignment="1">
      <alignment horizontal="right"/>
    </xf>
    <xf numFmtId="3" fontId="4" fillId="0" borderId="0" xfId="0" applyNumberFormat="1" applyFont="1" applyFill="1" applyAlignment="1">
      <alignment horizontal="right"/>
    </xf>
    <xf numFmtId="0" fontId="4" fillId="0" borderId="0" xfId="0" applyFont="1" applyFill="1" applyBorder="1" applyAlignment="1">
      <alignment horizontal="right" vertical="center" wrapText="1"/>
    </xf>
    <xf numFmtId="164" fontId="43" fillId="0" borderId="0" xfId="0" applyNumberFormat="1" applyFont="1"/>
    <xf numFmtId="0" fontId="43" fillId="0" borderId="0" xfId="0" applyFont="1"/>
    <xf numFmtId="164" fontId="0" fillId="0" borderId="0" xfId="0" applyNumberFormat="1" applyBorder="1" applyAlignment="1">
      <alignment horizontal="center"/>
    </xf>
    <xf numFmtId="164" fontId="0" fillId="0" borderId="5" xfId="0" applyNumberFormat="1" applyBorder="1" applyAlignment="1">
      <alignment horizontal="center"/>
    </xf>
    <xf numFmtId="3" fontId="44" fillId="0" borderId="0" xfId="0" applyNumberFormat="1" applyFont="1" applyFill="1" applyBorder="1" applyAlignment="1">
      <alignment horizontal="right"/>
    </xf>
    <xf numFmtId="3" fontId="44" fillId="0" borderId="0" xfId="0" applyNumberFormat="1" applyFont="1" applyBorder="1" applyAlignment="1">
      <alignment horizontal="right"/>
    </xf>
    <xf numFmtId="3" fontId="44" fillId="0" borderId="0" xfId="0" applyNumberFormat="1" applyFont="1" applyBorder="1" applyAlignment="1"/>
    <xf numFmtId="166" fontId="0" fillId="0" borderId="0" xfId="0" applyNumberFormat="1"/>
    <xf numFmtId="0" fontId="1" fillId="0" borderId="0" xfId="0" applyFont="1" applyBorder="1" applyAlignment="1">
      <alignment wrapText="1"/>
    </xf>
    <xf numFmtId="3" fontId="44" fillId="0" borderId="0" xfId="0" applyNumberFormat="1" applyFont="1" applyBorder="1" applyAlignment="1" applyProtection="1">
      <alignment horizontal="right"/>
    </xf>
    <xf numFmtId="3" fontId="45" fillId="0" borderId="0" xfId="0" applyNumberFormat="1" applyFont="1" applyBorder="1" applyAlignment="1">
      <alignment horizontal="right"/>
    </xf>
    <xf numFmtId="0" fontId="44" fillId="0" borderId="0" xfId="0" applyFont="1" applyFill="1" applyBorder="1" applyAlignment="1">
      <alignment wrapText="1"/>
    </xf>
    <xf numFmtId="3" fontId="1" fillId="0" borderId="0" xfId="0" applyNumberFormat="1" applyFont="1" applyBorder="1" applyAlignment="1">
      <alignment horizontal="right"/>
    </xf>
    <xf numFmtId="0" fontId="44" fillId="0" borderId="0" xfId="0" applyFont="1" applyBorder="1" applyAlignment="1">
      <alignment wrapText="1"/>
    </xf>
    <xf numFmtId="0" fontId="44" fillId="0" borderId="0" xfId="0" applyFont="1" applyBorder="1"/>
    <xf numFmtId="3" fontId="1" fillId="0" borderId="0" xfId="0" applyNumberFormat="1" applyFont="1" applyFill="1" applyBorder="1" applyAlignment="1">
      <alignment horizontal="right"/>
    </xf>
    <xf numFmtId="0" fontId="44" fillId="0" borderId="0" xfId="0" applyFont="1" applyBorder="1" applyAlignment="1">
      <alignment vertical="top" wrapText="1"/>
    </xf>
    <xf numFmtId="3" fontId="46" fillId="0" borderId="0" xfId="0" applyNumberFormat="1" applyFont="1"/>
    <xf numFmtId="170" fontId="0" fillId="0" borderId="0" xfId="0" applyNumberFormat="1"/>
    <xf numFmtId="0" fontId="10" fillId="0" borderId="0" xfId="0" applyFont="1"/>
    <xf numFmtId="4" fontId="0" fillId="0" borderId="0" xfId="0" applyNumberFormat="1" applyAlignment="1">
      <alignment vertical="center"/>
    </xf>
    <xf numFmtId="4" fontId="33" fillId="0" borderId="0" xfId="0" applyNumberFormat="1" applyFont="1"/>
    <xf numFmtId="0" fontId="33" fillId="0" borderId="0" xfId="0" applyFont="1" applyFill="1" applyAlignment="1">
      <alignment vertical="center"/>
    </xf>
    <xf numFmtId="0" fontId="47" fillId="0" borderId="0" xfId="0" applyFont="1"/>
    <xf numFmtId="14" fontId="33" fillId="0" borderId="0" xfId="0" applyNumberFormat="1" applyFont="1"/>
    <xf numFmtId="2" fontId="33" fillId="0" borderId="0" xfId="0" applyNumberFormat="1" applyFont="1" applyBorder="1"/>
    <xf numFmtId="0" fontId="33" fillId="0" borderId="15" xfId="0" applyFont="1" applyBorder="1"/>
    <xf numFmtId="0" fontId="33" fillId="0" borderId="2" xfId="0" applyFont="1" applyBorder="1" applyAlignment="1">
      <alignment horizontal="left"/>
    </xf>
    <xf numFmtId="0" fontId="33" fillId="0" borderId="2" xfId="0" applyFont="1" applyBorder="1"/>
    <xf numFmtId="2" fontId="33" fillId="0" borderId="2" xfId="0" applyNumberFormat="1" applyFont="1" applyBorder="1"/>
    <xf numFmtId="4" fontId="33" fillId="0" borderId="0" xfId="0" applyNumberFormat="1" applyFont="1" applyBorder="1"/>
    <xf numFmtId="0" fontId="0" fillId="0" borderId="2" xfId="0" applyBorder="1"/>
    <xf numFmtId="0" fontId="34" fillId="0" borderId="0" xfId="0" applyFont="1" applyBorder="1"/>
    <xf numFmtId="0" fontId="0" fillId="0" borderId="1" xfId="0" applyBorder="1" applyAlignment="1"/>
    <xf numFmtId="164" fontId="0" fillId="0" borderId="1" xfId="0" applyNumberFormat="1" applyBorder="1" applyAlignment="1">
      <alignment horizontal="center"/>
    </xf>
    <xf numFmtId="0" fontId="2" fillId="0" borderId="0" xfId="0" applyFont="1" applyFill="1" applyAlignment="1"/>
    <xf numFmtId="0" fontId="0" fillId="0" borderId="0" xfId="0" applyFill="1" applyAlignment="1"/>
    <xf numFmtId="0" fontId="0" fillId="0" borderId="0" xfId="0" applyNumberFormat="1" applyFill="1" applyAlignment="1">
      <alignment horizontal="right"/>
    </xf>
    <xf numFmtId="2" fontId="0" fillId="0" borderId="0" xfId="0" applyNumberFormat="1" applyFill="1" applyAlignment="1">
      <alignment horizontal="right"/>
    </xf>
    <xf numFmtId="0" fontId="1" fillId="0" borderId="0" xfId="0" applyFont="1" applyFill="1" applyAlignment="1"/>
    <xf numFmtId="0" fontId="2" fillId="0" borderId="0" xfId="0" applyFont="1" applyAlignment="1"/>
    <xf numFmtId="164" fontId="0" fillId="0" borderId="1" xfId="0" applyNumberFormat="1" applyBorder="1" applyAlignment="1"/>
    <xf numFmtId="0" fontId="1" fillId="0" borderId="8" xfId="0" applyFont="1" applyBorder="1" applyAlignment="1">
      <alignment horizontal="left"/>
    </xf>
    <xf numFmtId="2" fontId="1" fillId="0" borderId="8" xfId="0" applyNumberFormat="1" applyFont="1" applyBorder="1" applyAlignment="1">
      <alignment horizontal="left"/>
    </xf>
    <xf numFmtId="2" fontId="1" fillId="0" borderId="0" xfId="0" applyNumberFormat="1" applyFont="1" applyBorder="1" applyAlignment="1">
      <alignment horizontal="left"/>
    </xf>
    <xf numFmtId="0" fontId="1" fillId="0" borderId="5" xfId="0" applyFont="1" applyBorder="1" applyAlignment="1">
      <alignment horizontal="center"/>
    </xf>
    <xf numFmtId="2" fontId="1" fillId="0" borderId="5" xfId="0" applyNumberFormat="1" applyFont="1" applyBorder="1" applyAlignment="1">
      <alignment horizontal="center"/>
    </xf>
    <xf numFmtId="2" fontId="1" fillId="0" borderId="0" xfId="0" applyNumberFormat="1" applyFont="1" applyBorder="1" applyAlignment="1">
      <alignment horizontal="right"/>
    </xf>
    <xf numFmtId="0" fontId="2" fillId="0" borderId="0" xfId="0" applyFont="1" applyBorder="1" applyAlignment="1">
      <alignment horizontal="center"/>
    </xf>
    <xf numFmtId="2" fontId="2" fillId="0" borderId="0" xfId="0" applyNumberFormat="1" applyFont="1" applyBorder="1" applyAlignment="1">
      <alignment horizontal="center"/>
    </xf>
    <xf numFmtId="0" fontId="48" fillId="0" borderId="0" xfId="0" applyFont="1"/>
    <xf numFmtId="2" fontId="48" fillId="0" borderId="0" xfId="0" applyNumberFormat="1" applyFont="1"/>
    <xf numFmtId="0" fontId="48" fillId="0" borderId="0" xfId="0" applyFont="1" applyBorder="1"/>
    <xf numFmtId="2" fontId="48" fillId="0" borderId="0" xfId="0" applyNumberFormat="1" applyFont="1" applyBorder="1"/>
    <xf numFmtId="0" fontId="46" fillId="0" borderId="0" xfId="0" applyFont="1" applyBorder="1"/>
    <xf numFmtId="2" fontId="46" fillId="0" borderId="0" xfId="0" applyNumberFormat="1" applyFont="1" applyBorder="1"/>
    <xf numFmtId="0" fontId="9" fillId="0" borderId="0" xfId="0" applyFont="1" applyAlignment="1">
      <alignment horizontal="left"/>
    </xf>
    <xf numFmtId="164" fontId="0" fillId="0" borderId="1" xfId="0" applyNumberFormat="1" applyBorder="1" applyAlignment="1">
      <alignment horizontal="right"/>
    </xf>
    <xf numFmtId="2" fontId="0" fillId="0" borderId="1" xfId="0" applyNumberFormat="1" applyBorder="1" applyAlignment="1">
      <alignment horizontal="right"/>
    </xf>
    <xf numFmtId="164" fontId="0" fillId="0" borderId="5" xfId="0" applyNumberFormat="1" applyBorder="1" applyAlignment="1">
      <alignment horizontal="right"/>
    </xf>
    <xf numFmtId="2" fontId="0" fillId="0" borderId="0" xfId="0" applyNumberFormat="1" applyBorder="1" applyAlignment="1">
      <alignment horizontal="right"/>
    </xf>
    <xf numFmtId="3" fontId="30" fillId="0" borderId="0" xfId="19" applyNumberFormat="1" applyFont="1" applyFill="1" applyBorder="1" applyAlignment="1">
      <alignment horizontal="right" vertical="center"/>
    </xf>
    <xf numFmtId="171" fontId="30" fillId="0" borderId="0" xfId="19" applyNumberFormat="1" applyFont="1" applyFill="1" applyBorder="1" applyAlignment="1">
      <alignment horizontal="right" vertical="center"/>
    </xf>
    <xf numFmtId="1" fontId="1" fillId="0" borderId="0" xfId="0" applyNumberFormat="1" applyFont="1" applyAlignment="1"/>
    <xf numFmtId="3" fontId="50" fillId="0" borderId="0" xfId="19" applyNumberFormat="1" applyFont="1" applyFill="1" applyBorder="1" applyAlignment="1">
      <alignment horizontal="right" vertical="center"/>
    </xf>
    <xf numFmtId="164" fontId="0" fillId="0" borderId="0" xfId="0" applyNumberFormat="1" applyBorder="1" applyAlignment="1"/>
    <xf numFmtId="49" fontId="1" fillId="0" borderId="0" xfId="0" applyNumberFormat="1" applyFont="1"/>
    <xf numFmtId="49" fontId="6" fillId="0" borderId="0" xfId="0" applyNumberFormat="1" applyFont="1"/>
    <xf numFmtId="164" fontId="0" fillId="0" borderId="1" xfId="0" applyNumberFormat="1" applyFill="1" applyBorder="1" applyAlignment="1">
      <alignment horizontal="center"/>
    </xf>
    <xf numFmtId="2" fontId="0" fillId="0" borderId="1" xfId="0" applyNumberFormat="1" applyBorder="1" applyAlignment="1">
      <alignment horizontal="center"/>
    </xf>
    <xf numFmtId="164" fontId="0" fillId="0" borderId="5" xfId="0" applyNumberFormat="1" applyFill="1" applyBorder="1" applyAlignment="1">
      <alignment horizontal="center"/>
    </xf>
    <xf numFmtId="2" fontId="0" fillId="0" borderId="5" xfId="0" applyNumberFormat="1" applyBorder="1" applyAlignment="1">
      <alignment horizontal="center"/>
    </xf>
    <xf numFmtId="164" fontId="0" fillId="0" borderId="0" xfId="0" applyNumberFormat="1" applyFill="1" applyBorder="1" applyAlignment="1">
      <alignment horizontal="center"/>
    </xf>
    <xf numFmtId="164" fontId="0" fillId="0" borderId="0" xfId="0" applyNumberFormat="1" applyFill="1" applyBorder="1" applyAlignment="1">
      <alignment horizontal="right"/>
    </xf>
    <xf numFmtId="164" fontId="0" fillId="0" borderId="0" xfId="0" applyNumberFormat="1" applyAlignment="1" applyProtection="1">
      <alignment horizontal="right"/>
      <protection locked="0"/>
    </xf>
    <xf numFmtId="0" fontId="0" fillId="0" borderId="0" xfId="0" applyAlignment="1">
      <alignment horizontal="left" indent="1"/>
    </xf>
    <xf numFmtId="3" fontId="51" fillId="0" borderId="0" xfId="19" applyNumberFormat="1" applyFont="1" applyFill="1" applyBorder="1" applyAlignment="1">
      <alignment horizontal="right" vertical="center"/>
    </xf>
    <xf numFmtId="49" fontId="1" fillId="0" borderId="0" xfId="20" applyNumberFormat="1" applyFont="1" applyFill="1"/>
    <xf numFmtId="0" fontId="2" fillId="0" borderId="0" xfId="0" applyFont="1" applyFill="1" applyBorder="1" applyAlignment="1">
      <alignment horizontal="right"/>
    </xf>
    <xf numFmtId="4" fontId="2" fillId="0" borderId="0" xfId="0" applyNumberFormat="1" applyFont="1" applyAlignment="1">
      <alignment horizontal="right"/>
    </xf>
    <xf numFmtId="0" fontId="2" fillId="0" borderId="0" xfId="0" applyFont="1" applyBorder="1" applyAlignment="1">
      <alignment horizontal="right"/>
    </xf>
    <xf numFmtId="2" fontId="2" fillId="0" borderId="0" xfId="0" applyNumberFormat="1" applyFont="1" applyAlignment="1">
      <alignment horizontal="right"/>
    </xf>
    <xf numFmtId="2" fontId="2" fillId="0" borderId="0" xfId="0" applyNumberFormat="1" applyFont="1" applyBorder="1" applyAlignment="1">
      <alignment horizontal="right"/>
    </xf>
    <xf numFmtId="2" fontId="2" fillId="0" borderId="0" xfId="0" applyNumberFormat="1" applyFont="1" applyAlignment="1">
      <alignment horizontal="center"/>
    </xf>
    <xf numFmtId="164" fontId="1" fillId="0" borderId="0" xfId="0" applyNumberFormat="1" applyFont="1" applyAlignment="1">
      <alignment horizontal="center"/>
    </xf>
    <xf numFmtId="2" fontId="1" fillId="0" borderId="0" xfId="0" applyNumberFormat="1" applyFont="1" applyAlignment="1">
      <alignment horizontal="center"/>
    </xf>
    <xf numFmtId="164" fontId="1" fillId="0" borderId="1" xfId="0" applyNumberFormat="1" applyFont="1" applyFill="1" applyBorder="1" applyAlignment="1">
      <alignment horizontal="right"/>
    </xf>
    <xf numFmtId="2" fontId="1" fillId="0" borderId="1" xfId="0" applyNumberFormat="1" applyFont="1" applyBorder="1" applyAlignment="1">
      <alignment horizontal="right"/>
    </xf>
    <xf numFmtId="0" fontId="1" fillId="0" borderId="1" xfId="0" applyFont="1" applyBorder="1" applyAlignment="1">
      <alignment horizontal="center"/>
    </xf>
    <xf numFmtId="164" fontId="1" fillId="0" borderId="1" xfId="0" applyNumberFormat="1" applyFont="1" applyBorder="1" applyAlignment="1">
      <alignment horizontal="center"/>
    </xf>
    <xf numFmtId="2" fontId="1" fillId="0" borderId="1" xfId="0" applyNumberFormat="1" applyFont="1" applyBorder="1" applyAlignment="1">
      <alignment horizontal="center"/>
    </xf>
    <xf numFmtId="4" fontId="0" fillId="0" borderId="1" xfId="0" applyNumberFormat="1" applyBorder="1" applyAlignment="1">
      <alignment horizontal="center"/>
    </xf>
    <xf numFmtId="0" fontId="52" fillId="0" borderId="0" xfId="0" applyFont="1"/>
    <xf numFmtId="164" fontId="1" fillId="0" borderId="8" xfId="0" applyNumberFormat="1" applyFont="1" applyFill="1" applyBorder="1" applyAlignment="1">
      <alignment horizontal="right"/>
    </xf>
    <xf numFmtId="2" fontId="1" fillId="0" borderId="8" xfId="0" applyNumberFormat="1" applyFont="1" applyBorder="1" applyAlignment="1">
      <alignment horizontal="right"/>
    </xf>
    <xf numFmtId="164" fontId="1" fillId="0" borderId="5" xfId="0" applyNumberFormat="1" applyFont="1" applyFill="1" applyBorder="1" applyAlignment="1">
      <alignment horizontal="right"/>
    </xf>
    <xf numFmtId="164" fontId="1" fillId="0" borderId="5" xfId="0" applyNumberFormat="1" applyFont="1" applyBorder="1" applyAlignment="1">
      <alignment horizontal="center"/>
    </xf>
    <xf numFmtId="4" fontId="0" fillId="0" borderId="5" xfId="0" applyNumberFormat="1" applyBorder="1" applyAlignment="1">
      <alignment horizontal="center"/>
    </xf>
    <xf numFmtId="164" fontId="1" fillId="0" borderId="0" xfId="0" applyNumberFormat="1" applyFont="1" applyFill="1" applyBorder="1" applyAlignment="1">
      <alignment horizontal="right"/>
    </xf>
    <xf numFmtId="164" fontId="2" fillId="0" borderId="0" xfId="0" applyNumberFormat="1" applyFont="1" applyFill="1" applyBorder="1" applyAlignment="1">
      <alignment horizontal="right"/>
    </xf>
    <xf numFmtId="4" fontId="2" fillId="0" borderId="0" xfId="0" applyNumberFormat="1" applyFont="1" applyBorder="1" applyAlignment="1">
      <alignment horizontal="right"/>
    </xf>
    <xf numFmtId="164" fontId="2" fillId="0" borderId="0" xfId="0" applyNumberFormat="1" applyFont="1" applyBorder="1" applyAlignment="1">
      <alignment horizontal="right"/>
    </xf>
    <xf numFmtId="0" fontId="2" fillId="0" borderId="0" xfId="0" applyFont="1" applyAlignment="1">
      <alignment horizontal="right"/>
    </xf>
    <xf numFmtId="4" fontId="1" fillId="0" borderId="0" xfId="0" applyNumberFormat="1" applyFont="1" applyAlignment="1">
      <alignment horizontal="right"/>
    </xf>
    <xf numFmtId="0" fontId="2" fillId="0" borderId="0" xfId="0" applyFont="1" applyAlignment="1">
      <alignment horizontal="center"/>
    </xf>
    <xf numFmtId="0" fontId="2" fillId="0" borderId="0" xfId="0" applyFont="1" applyAlignment="1">
      <alignment horizontal="left"/>
    </xf>
    <xf numFmtId="3" fontId="30" fillId="0" borderId="0" xfId="19" applyNumberFormat="1" applyFont="1" applyFill="1" applyBorder="1" applyAlignment="1">
      <alignment horizontal="right" vertical="center" wrapText="1"/>
    </xf>
    <xf numFmtId="0" fontId="0" fillId="0" borderId="0" xfId="0" applyAlignment="1">
      <alignment horizontal="left" indent="2"/>
    </xf>
    <xf numFmtId="164" fontId="2" fillId="0" borderId="0" xfId="0" applyNumberFormat="1" applyFont="1" applyFill="1" applyAlignment="1">
      <alignment horizontal="right"/>
    </xf>
    <xf numFmtId="4" fontId="1" fillId="0" borderId="0" xfId="0" applyNumberFormat="1" applyFont="1" applyBorder="1" applyAlignment="1">
      <alignment horizontal="right"/>
    </xf>
    <xf numFmtId="1" fontId="2" fillId="0" borderId="0" xfId="0" applyNumberFormat="1" applyFont="1" applyAlignment="1">
      <alignment horizontal="right"/>
    </xf>
    <xf numFmtId="3" fontId="1" fillId="0" borderId="0" xfId="0" applyNumberFormat="1" applyFont="1" applyFill="1" applyAlignment="1">
      <alignment horizontal="right"/>
    </xf>
    <xf numFmtId="164" fontId="2" fillId="0" borderId="0" xfId="0" applyNumberFormat="1" applyFont="1" applyFill="1" applyBorder="1" applyAlignment="1">
      <alignment horizontal="center"/>
    </xf>
    <xf numFmtId="4" fontId="2" fillId="0" borderId="0" xfId="0" applyNumberFormat="1" applyFont="1" applyFill="1" applyAlignment="1">
      <alignment horizontal="center"/>
    </xf>
    <xf numFmtId="1" fontId="2" fillId="0" borderId="0" xfId="0" applyNumberFormat="1" applyFont="1" applyAlignment="1">
      <alignment horizontal="center"/>
    </xf>
    <xf numFmtId="171" fontId="2" fillId="0" borderId="0" xfId="0" applyNumberFormat="1" applyFont="1" applyAlignment="1">
      <alignment horizontal="center"/>
    </xf>
    <xf numFmtId="3" fontId="50" fillId="0" borderId="0" xfId="19" applyNumberFormat="1" applyFont="1" applyBorder="1" applyAlignment="1" applyProtection="1">
      <alignment horizontal="right" vertical="top"/>
    </xf>
    <xf numFmtId="0" fontId="0" fillId="0" borderId="1" xfId="0" applyBorder="1" applyAlignment="1">
      <alignment horizontal="right"/>
    </xf>
    <xf numFmtId="0" fontId="1" fillId="0" borderId="0" xfId="0" applyFont="1" applyFill="1" applyAlignment="1">
      <alignment horizontal="center" vertical="center"/>
    </xf>
    <xf numFmtId="166" fontId="25" fillId="0" borderId="0" xfId="0" applyNumberFormat="1" applyFont="1"/>
    <xf numFmtId="166" fontId="25" fillId="0" borderId="5" xfId="0" applyNumberFormat="1" applyFont="1" applyBorder="1"/>
    <xf numFmtId="0" fontId="25" fillId="0" borderId="0" xfId="0" applyFont="1" applyBorder="1"/>
    <xf numFmtId="166" fontId="25" fillId="0" borderId="0" xfId="0" applyNumberFormat="1" applyFont="1" applyBorder="1"/>
    <xf numFmtId="0" fontId="25" fillId="0" borderId="4" xfId="0" applyFont="1" applyBorder="1" applyAlignment="1">
      <alignment horizontal="left"/>
    </xf>
    <xf numFmtId="0" fontId="25" fillId="0" borderId="4" xfId="0" applyFont="1" applyBorder="1"/>
    <xf numFmtId="166" fontId="25" fillId="0" borderId="4" xfId="0" applyNumberFormat="1" applyFont="1" applyBorder="1" applyAlignment="1">
      <alignment horizontal="left"/>
    </xf>
    <xf numFmtId="0" fontId="25" fillId="0" borderId="0" xfId="0" applyFont="1" applyBorder="1" applyAlignment="1">
      <alignment horizontal="right"/>
    </xf>
    <xf numFmtId="0" fontId="28" fillId="0" borderId="0" xfId="0" applyFont="1" applyBorder="1"/>
    <xf numFmtId="3" fontId="28" fillId="0" borderId="0" xfId="0" applyNumberFormat="1" applyFont="1" applyBorder="1" applyAlignment="1">
      <alignment horizontal="right"/>
    </xf>
    <xf numFmtId="4" fontId="28" fillId="0" borderId="0" xfId="0" applyNumberFormat="1" applyFont="1" applyBorder="1" applyAlignment="1">
      <alignment horizontal="right"/>
    </xf>
    <xf numFmtId="3" fontId="28" fillId="0" borderId="0" xfId="0" applyNumberFormat="1" applyFont="1" applyAlignment="1">
      <alignment horizontal="right"/>
    </xf>
    <xf numFmtId="4" fontId="28" fillId="0" borderId="0" xfId="0" applyNumberFormat="1" applyFont="1"/>
    <xf numFmtId="3" fontId="25" fillId="0" borderId="0" xfId="0" applyNumberFormat="1" applyFont="1" applyAlignment="1">
      <alignment horizontal="right"/>
    </xf>
    <xf numFmtId="4" fontId="25" fillId="0" borderId="0" xfId="0" applyNumberFormat="1" applyFont="1"/>
    <xf numFmtId="3" fontId="25" fillId="0" borderId="0" xfId="0" applyNumberFormat="1" applyFont="1" applyBorder="1" applyAlignment="1">
      <alignment horizontal="right"/>
    </xf>
    <xf numFmtId="0" fontId="25" fillId="0" borderId="0" xfId="0" applyFont="1" applyFill="1" applyAlignment="1">
      <alignment wrapText="1"/>
    </xf>
    <xf numFmtId="0" fontId="25" fillId="0" borderId="0" xfId="0" applyFont="1" applyFill="1" applyAlignment="1">
      <alignment vertical="top" wrapText="1"/>
    </xf>
    <xf numFmtId="0" fontId="26" fillId="0" borderId="0" xfId="0" applyFont="1" applyFill="1" applyBorder="1" applyAlignment="1">
      <alignment horizontal="justify" vertical="top" wrapText="1"/>
    </xf>
    <xf numFmtId="0" fontId="25" fillId="0" borderId="1" xfId="0" applyFont="1" applyBorder="1"/>
    <xf numFmtId="166" fontId="25" fillId="0" borderId="1" xfId="0" applyNumberFormat="1" applyFont="1" applyBorder="1"/>
    <xf numFmtId="2" fontId="53" fillId="0" borderId="0" xfId="0" applyNumberFormat="1" applyFont="1"/>
    <xf numFmtId="2" fontId="53" fillId="0" borderId="5" xfId="0" applyNumberFormat="1" applyFont="1" applyBorder="1"/>
    <xf numFmtId="2" fontId="53" fillId="0" borderId="0" xfId="0" applyNumberFormat="1" applyFont="1" applyBorder="1"/>
    <xf numFmtId="0" fontId="1" fillId="0" borderId="4" xfId="0" applyFont="1" applyBorder="1" applyAlignment="1">
      <alignment horizontal="left"/>
    </xf>
    <xf numFmtId="0" fontId="53" fillId="0" borderId="4" xfId="0" applyFont="1" applyBorder="1"/>
    <xf numFmtId="2" fontId="1" fillId="0" borderId="4" xfId="0" applyNumberFormat="1" applyFont="1" applyBorder="1" applyAlignment="1">
      <alignment horizontal="left"/>
    </xf>
    <xf numFmtId="0" fontId="53" fillId="0" borderId="5" xfId="0" applyFont="1" applyBorder="1"/>
    <xf numFmtId="3" fontId="2" fillId="0" borderId="0" xfId="0" applyNumberFormat="1" applyFont="1" applyBorder="1" applyAlignment="1">
      <alignment horizontal="right"/>
    </xf>
    <xf numFmtId="0" fontId="53" fillId="0" borderId="0" xfId="0" applyFont="1" applyBorder="1"/>
    <xf numFmtId="0" fontId="53" fillId="0" borderId="0" xfId="0" applyFont="1" applyBorder="1" applyAlignment="1">
      <alignment horizontal="right"/>
    </xf>
    <xf numFmtId="0" fontId="1" fillId="0" borderId="0" xfId="0" applyFont="1" applyFill="1" applyAlignment="1">
      <alignment wrapText="1"/>
    </xf>
    <xf numFmtId="0" fontId="53" fillId="0" borderId="1" xfId="0" applyFont="1" applyBorder="1"/>
    <xf numFmtId="2" fontId="53" fillId="0" borderId="1" xfId="0" applyNumberFormat="1" applyFont="1" applyBorder="1"/>
    <xf numFmtId="0" fontId="53" fillId="0" borderId="0" xfId="0" applyFont="1"/>
    <xf numFmtId="0" fontId="1" fillId="0" borderId="0" xfId="0" applyFont="1" applyAlignment="1">
      <alignment wrapText="1"/>
    </xf>
    <xf numFmtId="0" fontId="1" fillId="0" borderId="0" xfId="0" applyFont="1" applyAlignment="1">
      <alignment horizontal="justify" vertical="top" wrapText="1"/>
    </xf>
    <xf numFmtId="3" fontId="2" fillId="0" borderId="0" xfId="20" applyNumberFormat="1" applyFont="1"/>
    <xf numFmtId="2" fontId="2" fillId="0" borderId="0" xfId="20" applyNumberFormat="1" applyFont="1"/>
    <xf numFmtId="0" fontId="2" fillId="0" borderId="0" xfId="20" applyFont="1"/>
    <xf numFmtId="0" fontId="1" fillId="0" borderId="0" xfId="20"/>
    <xf numFmtId="164" fontId="2" fillId="0" borderId="0" xfId="20" applyNumberFormat="1" applyFont="1"/>
    <xf numFmtId="164" fontId="1" fillId="0" borderId="0" xfId="20" applyNumberFormat="1"/>
    <xf numFmtId="2" fontId="1" fillId="0" borderId="0" xfId="20" applyNumberFormat="1"/>
    <xf numFmtId="0" fontId="2" fillId="0" borderId="0" xfId="20" applyFont="1" applyFill="1"/>
    <xf numFmtId="0" fontId="1" fillId="0" borderId="0" xfId="20" applyFill="1"/>
    <xf numFmtId="3" fontId="1" fillId="0" borderId="0" xfId="20" applyNumberFormat="1" applyFill="1"/>
    <xf numFmtId="2" fontId="1" fillId="0" borderId="0" xfId="20" applyNumberFormat="1" applyFill="1"/>
    <xf numFmtId="164" fontId="1" fillId="0" borderId="0" xfId="20" applyNumberFormat="1" applyFont="1"/>
    <xf numFmtId="3" fontId="1" fillId="0" borderId="0" xfId="20" applyNumberFormat="1" applyFont="1" applyFill="1"/>
    <xf numFmtId="3" fontId="1" fillId="0" borderId="0" xfId="20" applyNumberFormat="1" applyFont="1"/>
    <xf numFmtId="0" fontId="1" fillId="0" borderId="0" xfId="20" applyFont="1" applyFill="1"/>
    <xf numFmtId="0" fontId="1" fillId="0" borderId="0" xfId="20" applyFont="1" applyFill="1" applyAlignment="1">
      <alignment wrapText="1"/>
    </xf>
    <xf numFmtId="3" fontId="2" fillId="0" borderId="0" xfId="20" applyNumberFormat="1" applyFont="1" applyFill="1"/>
    <xf numFmtId="0" fontId="1" fillId="0" borderId="0" xfId="20" applyFont="1"/>
    <xf numFmtId="3" fontId="1" fillId="0" borderId="0" xfId="20" applyNumberFormat="1"/>
    <xf numFmtId="164" fontId="1" fillId="0" borderId="0" xfId="20" applyNumberFormat="1" applyFont="1" applyFill="1"/>
    <xf numFmtId="0" fontId="1" fillId="0" borderId="0" xfId="20" applyFont="1" applyAlignment="1">
      <alignment wrapText="1"/>
    </xf>
    <xf numFmtId="0" fontId="54" fillId="0" borderId="5" xfId="20" applyFont="1" applyFill="1" applyBorder="1"/>
    <xf numFmtId="0" fontId="1" fillId="0" borderId="5" xfId="20" applyFill="1" applyBorder="1"/>
    <xf numFmtId="3" fontId="2" fillId="0" borderId="0" xfId="0" applyNumberFormat="1" applyFont="1"/>
    <xf numFmtId="2" fontId="2" fillId="0" borderId="0" xfId="0" applyNumberFormat="1" applyFont="1" applyAlignment="1">
      <alignment horizontal="right" vertical="center"/>
    </xf>
    <xf numFmtId="164" fontId="2" fillId="0" borderId="0" xfId="0" applyNumberFormat="1" applyFont="1" applyBorder="1" applyAlignment="1">
      <alignment horizontal="right" vertical="center"/>
    </xf>
    <xf numFmtId="164" fontId="1" fillId="0" borderId="0" xfId="0" applyNumberFormat="1" applyFont="1" applyBorder="1" applyAlignment="1">
      <alignment horizontal="right" vertical="center"/>
    </xf>
    <xf numFmtId="164" fontId="1" fillId="0" borderId="0" xfId="0" applyNumberFormat="1" applyFont="1" applyBorder="1" applyAlignment="1">
      <alignment vertical="center"/>
    </xf>
    <xf numFmtId="0" fontId="0" fillId="0" borderId="0" xfId="0" applyAlignment="1">
      <alignment vertical="center"/>
    </xf>
    <xf numFmtId="0" fontId="11" fillId="0" borderId="0" xfId="0" applyFont="1" applyAlignment="1">
      <alignment horizontal="left" vertical="center" readingOrder="1"/>
    </xf>
    <xf numFmtId="164" fontId="1" fillId="0" borderId="0" xfId="0" applyNumberFormat="1" applyFont="1" applyBorder="1" applyAlignment="1">
      <alignment horizontal="center"/>
    </xf>
    <xf numFmtId="0" fontId="4" fillId="0" borderId="0" xfId="0" applyFont="1" applyFill="1" applyBorder="1" applyAlignment="1">
      <alignment horizontal="center"/>
    </xf>
    <xf numFmtId="0" fontId="1" fillId="0" borderId="0" xfId="0" applyFont="1" applyBorder="1" applyAlignment="1">
      <alignment horizontal="center"/>
    </xf>
    <xf numFmtId="0" fontId="10" fillId="0" borderId="0" xfId="0" applyFont="1" applyAlignment="1"/>
    <xf numFmtId="164" fontId="33" fillId="0" borderId="0" xfId="0" applyNumberFormat="1" applyFont="1" applyBorder="1" applyAlignment="1">
      <alignment horizontal="left"/>
    </xf>
    <xf numFmtId="4" fontId="33" fillId="0" borderId="0" xfId="0" applyNumberFormat="1" applyFont="1" applyBorder="1" applyAlignment="1">
      <alignment horizontal="right"/>
    </xf>
    <xf numFmtId="164" fontId="33" fillId="0" borderId="0" xfId="0" applyNumberFormat="1" applyFont="1" applyBorder="1" applyAlignment="1">
      <alignment horizontal="right"/>
    </xf>
    <xf numFmtId="4" fontId="33" fillId="0" borderId="0" xfId="0" applyNumberFormat="1" applyFont="1" applyFill="1" applyAlignment="1">
      <alignment horizontal="right"/>
    </xf>
    <xf numFmtId="4" fontId="33" fillId="0" borderId="0" xfId="0" applyNumberFormat="1" applyFont="1" applyAlignment="1">
      <alignment horizontal="right"/>
    </xf>
    <xf numFmtId="0" fontId="55" fillId="0" borderId="0" xfId="0" applyFont="1" applyAlignment="1">
      <alignment horizontal="left"/>
    </xf>
    <xf numFmtId="0" fontId="10" fillId="0" borderId="0" xfId="0" applyFont="1" applyAlignment="1">
      <alignment horizontal="left"/>
    </xf>
    <xf numFmtId="0" fontId="1" fillId="0" borderId="0" xfId="0" applyFont="1" applyBorder="1" applyAlignment="1">
      <alignment horizontal="center"/>
    </xf>
    <xf numFmtId="4" fontId="37" fillId="0" borderId="0" xfId="0" applyNumberFormat="1" applyFont="1" applyFill="1"/>
    <xf numFmtId="4" fontId="37" fillId="0" borderId="0" xfId="0" applyNumberFormat="1" applyFont="1" applyBorder="1"/>
    <xf numFmtId="4" fontId="37" fillId="0" borderId="1" xfId="0" applyNumberFormat="1" applyFont="1" applyFill="1" applyBorder="1"/>
    <xf numFmtId="4" fontId="37" fillId="0" borderId="5" xfId="0" applyNumberFormat="1" applyFont="1" applyFill="1" applyBorder="1"/>
    <xf numFmtId="4" fontId="37" fillId="2" borderId="0" xfId="0" applyNumberFormat="1" applyFont="1" applyFill="1"/>
    <xf numFmtId="4" fontId="37" fillId="0" borderId="0" xfId="0" applyNumberFormat="1" applyFont="1" applyBorder="1" applyAlignment="1"/>
    <xf numFmtId="4" fontId="37" fillId="0" borderId="0" xfId="0" applyNumberFormat="1" applyFont="1" applyFill="1" applyBorder="1" applyAlignment="1"/>
    <xf numFmtId="0" fontId="1" fillId="0" borderId="0" xfId="0" applyFont="1" applyFill="1" applyAlignment="1">
      <alignment horizontal="justify"/>
    </xf>
    <xf numFmtId="164" fontId="37" fillId="0" borderId="1" xfId="0" applyNumberFormat="1" applyFont="1" applyFill="1" applyBorder="1"/>
    <xf numFmtId="2" fontId="37" fillId="0" borderId="1" xfId="0" applyNumberFormat="1" applyFont="1" applyFill="1" applyBorder="1"/>
    <xf numFmtId="164" fontId="37" fillId="0" borderId="6" xfId="0" applyNumberFormat="1" applyFont="1" applyFill="1" applyBorder="1"/>
    <xf numFmtId="2" fontId="37" fillId="0" borderId="6" xfId="0" applyNumberFormat="1" applyFont="1" applyFill="1" applyBorder="1"/>
    <xf numFmtId="0" fontId="37" fillId="0" borderId="6" xfId="0" applyFont="1" applyBorder="1"/>
    <xf numFmtId="164" fontId="37" fillId="0" borderId="6" xfId="0" applyNumberFormat="1" applyFont="1" applyBorder="1"/>
    <xf numFmtId="2" fontId="37" fillId="0" borderId="6" xfId="0" applyNumberFormat="1" applyFont="1" applyBorder="1"/>
    <xf numFmtId="49" fontId="37" fillId="0" borderId="0" xfId="0" applyNumberFormat="1" applyFont="1" applyBorder="1" applyAlignment="1">
      <alignment horizontal="left"/>
    </xf>
    <xf numFmtId="164" fontId="37" fillId="0" borderId="8" xfId="0" applyNumberFormat="1" applyFont="1" applyFill="1" applyBorder="1" applyAlignment="1">
      <alignment horizontal="center"/>
    </xf>
    <xf numFmtId="2" fontId="37" fillId="0" borderId="8" xfId="0" applyNumberFormat="1" applyFont="1" applyFill="1" applyBorder="1" applyAlignment="1">
      <alignment horizontal="center"/>
    </xf>
    <xf numFmtId="2" fontId="37" fillId="0" borderId="0" xfId="0" applyNumberFormat="1" applyFont="1" applyBorder="1" applyAlignment="1">
      <alignment horizontal="center"/>
    </xf>
    <xf numFmtId="164" fontId="37" fillId="0" borderId="5" xfId="0" applyNumberFormat="1" applyFont="1" applyFill="1" applyBorder="1"/>
    <xf numFmtId="2" fontId="37" fillId="0" borderId="5" xfId="0" applyNumberFormat="1" applyFont="1" applyFill="1" applyBorder="1"/>
    <xf numFmtId="1" fontId="37" fillId="0" borderId="1" xfId="0" applyNumberFormat="1" applyFont="1" applyFill="1" applyBorder="1"/>
    <xf numFmtId="1" fontId="37" fillId="0" borderId="8" xfId="0" applyNumberFormat="1" applyFont="1" applyFill="1" applyBorder="1" applyAlignment="1">
      <alignment horizontal="center"/>
    </xf>
    <xf numFmtId="1" fontId="37" fillId="0" borderId="5" xfId="0" applyNumberFormat="1" applyFont="1" applyFill="1" applyBorder="1"/>
    <xf numFmtId="2" fontId="37" fillId="0" borderId="0" xfId="0" applyNumberFormat="1" applyFont="1" applyFill="1" applyBorder="1" applyAlignment="1">
      <alignment horizontal="center"/>
    </xf>
    <xf numFmtId="4" fontId="37" fillId="0" borderId="0" xfId="0" applyNumberFormat="1" applyFont="1"/>
    <xf numFmtId="1" fontId="37" fillId="0" borderId="0" xfId="0" applyNumberFormat="1" applyFont="1"/>
    <xf numFmtId="1" fontId="37" fillId="0" borderId="1" xfId="0" applyNumberFormat="1" applyFont="1" applyBorder="1"/>
    <xf numFmtId="164" fontId="37" fillId="0" borderId="0" xfId="0" applyNumberFormat="1" applyFont="1" applyBorder="1" applyAlignment="1">
      <alignment horizontal="center"/>
    </xf>
    <xf numFmtId="1" fontId="37" fillId="0" borderId="8" xfId="0" applyNumberFormat="1" applyFont="1" applyBorder="1" applyAlignment="1">
      <alignment horizontal="center"/>
    </xf>
    <xf numFmtId="1" fontId="37" fillId="0" borderId="5" xfId="0" applyNumberFormat="1" applyFont="1" applyBorder="1"/>
    <xf numFmtId="164" fontId="37" fillId="2" borderId="0" xfId="0" applyNumberFormat="1" applyFont="1" applyFill="1"/>
    <xf numFmtId="4" fontId="37" fillId="0" borderId="1" xfId="0" applyNumberFormat="1" applyFont="1" applyBorder="1"/>
    <xf numFmtId="4" fontId="37" fillId="0" borderId="0" xfId="0" applyNumberFormat="1" applyFont="1" applyFill="1" applyBorder="1"/>
    <xf numFmtId="4" fontId="37" fillId="0" borderId="8" xfId="0" applyNumberFormat="1" applyFont="1" applyFill="1" applyBorder="1" applyAlignment="1">
      <alignment horizontal="center"/>
    </xf>
    <xf numFmtId="4" fontId="37" fillId="0" borderId="8" xfId="0" applyNumberFormat="1" applyFont="1" applyBorder="1" applyAlignment="1">
      <alignment horizontal="center"/>
    </xf>
    <xf numFmtId="4" fontId="37" fillId="0" borderId="5" xfId="0" applyNumberFormat="1" applyFont="1" applyBorder="1"/>
    <xf numFmtId="4" fontId="37" fillId="0" borderId="1" xfId="0" applyNumberFormat="1" applyFont="1" applyFill="1" applyBorder="1" applyAlignment="1">
      <alignment horizontal="center"/>
    </xf>
    <xf numFmtId="166" fontId="4" fillId="0" borderId="0" xfId="0" applyNumberFormat="1" applyFont="1" applyFill="1" applyAlignment="1">
      <alignment horizontal="center"/>
    </xf>
    <xf numFmtId="4" fontId="4" fillId="0" borderId="0" xfId="0" applyNumberFormat="1" applyFont="1" applyFill="1" applyAlignment="1">
      <alignment horizontal="center"/>
    </xf>
    <xf numFmtId="0" fontId="1" fillId="0" borderId="1" xfId="0" applyFont="1" applyFill="1" applyBorder="1" applyAlignment="1">
      <alignment horizontal="left"/>
    </xf>
    <xf numFmtId="0" fontId="4" fillId="0" borderId="1" xfId="0" applyFont="1" applyFill="1" applyBorder="1" applyAlignment="1">
      <alignment horizontal="center"/>
    </xf>
    <xf numFmtId="4" fontId="4" fillId="0" borderId="1" xfId="0" applyNumberFormat="1" applyFont="1" applyFill="1" applyBorder="1" applyAlignment="1">
      <alignment horizontal="center"/>
    </xf>
    <xf numFmtId="0" fontId="1" fillId="0" borderId="0" xfId="0" applyFont="1" applyFill="1" applyBorder="1" applyAlignment="1">
      <alignment horizontal="left"/>
    </xf>
    <xf numFmtId="0" fontId="4" fillId="0" borderId="0" xfId="0" applyFont="1" applyFill="1" applyBorder="1" applyAlignment="1"/>
    <xf numFmtId="4" fontId="4" fillId="0" borderId="0" xfId="0" applyNumberFormat="1" applyFont="1" applyFill="1" applyBorder="1" applyAlignment="1">
      <alignment horizontal="center"/>
    </xf>
    <xf numFmtId="0" fontId="1" fillId="0" borderId="5" xfId="0" applyFont="1" applyFill="1" applyBorder="1" applyAlignment="1">
      <alignment horizontal="left"/>
    </xf>
    <xf numFmtId="0" fontId="4" fillId="0" borderId="5" xfId="0" applyFont="1" applyFill="1" applyBorder="1" applyAlignment="1">
      <alignment horizontal="center"/>
    </xf>
    <xf numFmtId="4" fontId="4" fillId="0" borderId="5" xfId="0" applyNumberFormat="1" applyFont="1" applyFill="1" applyBorder="1" applyAlignment="1">
      <alignment horizontal="center"/>
    </xf>
    <xf numFmtId="1" fontId="37" fillId="0" borderId="0" xfId="0" applyNumberFormat="1" applyFont="1" applyAlignment="1">
      <alignment horizontal="center"/>
    </xf>
    <xf numFmtId="0" fontId="37" fillId="0" borderId="0" xfId="0" applyFont="1" applyBorder="1" applyAlignment="1">
      <alignment horizontal="right"/>
    </xf>
    <xf numFmtId="167" fontId="37" fillId="0" borderId="0" xfId="0" applyNumberFormat="1" applyFont="1" applyBorder="1"/>
    <xf numFmtId="164" fontId="37" fillId="0" borderId="0" xfId="0" applyNumberFormat="1" applyFont="1" applyAlignment="1">
      <alignment horizontal="right"/>
    </xf>
    <xf numFmtId="2" fontId="37" fillId="0" borderId="0" xfId="0" applyNumberFormat="1" applyFont="1" applyAlignment="1">
      <alignment horizontal="right"/>
    </xf>
    <xf numFmtId="0" fontId="37" fillId="0" borderId="0" xfId="0" applyFont="1" applyAlignment="1">
      <alignment horizontal="right"/>
    </xf>
    <xf numFmtId="0" fontId="37" fillId="0" borderId="0" xfId="0" applyFont="1" applyFill="1" applyAlignment="1">
      <alignment horizontal="left"/>
    </xf>
    <xf numFmtId="0" fontId="37" fillId="0" borderId="0" xfId="0" applyFont="1" applyAlignment="1">
      <alignment horizontal="left"/>
    </xf>
    <xf numFmtId="164" fontId="37" fillId="0" borderId="0" xfId="0" applyNumberFormat="1" applyFont="1" applyBorder="1" applyAlignment="1">
      <alignment horizontal="right"/>
    </xf>
    <xf numFmtId="0" fontId="37" fillId="0" borderId="0" xfId="0" applyFont="1" applyFill="1" applyAlignment="1">
      <alignment horizontal="right"/>
    </xf>
    <xf numFmtId="164" fontId="37" fillId="0" borderId="0" xfId="0" applyNumberFormat="1" applyFont="1" applyFill="1" applyAlignment="1">
      <alignment horizontal="right"/>
    </xf>
    <xf numFmtId="0" fontId="25" fillId="0" borderId="0" xfId="0" applyFont="1" applyBorder="1" applyAlignment="1">
      <alignment horizontal="center"/>
    </xf>
    <xf numFmtId="164" fontId="1" fillId="0" borderId="0" xfId="0" applyNumberFormat="1" applyFont="1" applyBorder="1" applyAlignment="1">
      <alignment horizontal="center"/>
    </xf>
    <xf numFmtId="0" fontId="1" fillId="0" borderId="0" xfId="0" applyFont="1" applyBorder="1" applyAlignment="1">
      <alignment horizontal="center"/>
    </xf>
    <xf numFmtId="0" fontId="0" fillId="0" borderId="0" xfId="0" applyFont="1"/>
    <xf numFmtId="0" fontId="0" fillId="0" borderId="5" xfId="0" applyFont="1" applyBorder="1"/>
    <xf numFmtId="0" fontId="0" fillId="0" borderId="0" xfId="0" applyFont="1" applyBorder="1"/>
    <xf numFmtId="0" fontId="0" fillId="0" borderId="1" xfId="0" applyFont="1" applyBorder="1"/>
    <xf numFmtId="0" fontId="0" fillId="0" borderId="0" xfId="0" applyFont="1" applyAlignment="1">
      <alignment horizontal="left"/>
    </xf>
    <xf numFmtId="0" fontId="0" fillId="0" borderId="0" xfId="0" applyFont="1" applyFill="1"/>
    <xf numFmtId="0" fontId="25" fillId="0" borderId="0" xfId="0" applyFont="1" applyAlignment="1">
      <alignment horizontal="left"/>
    </xf>
    <xf numFmtId="0" fontId="59" fillId="0" borderId="0" xfId="0" applyFont="1"/>
    <xf numFmtId="0" fontId="59" fillId="0" borderId="0" xfId="0" applyFont="1" applyFill="1"/>
    <xf numFmtId="164" fontId="59" fillId="0" borderId="0" xfId="0" applyNumberFormat="1" applyFont="1" applyFill="1"/>
    <xf numFmtId="164" fontId="59" fillId="0" borderId="0" xfId="0" applyNumberFormat="1" applyFont="1" applyFill="1" applyBorder="1"/>
    <xf numFmtId="164" fontId="59" fillId="0" borderId="0" xfId="0" applyNumberFormat="1" applyFont="1"/>
    <xf numFmtId="164" fontId="59" fillId="0" borderId="0" xfId="0" applyNumberFormat="1" applyFont="1" applyBorder="1"/>
    <xf numFmtId="164" fontId="59" fillId="0" borderId="0" xfId="0" applyNumberFormat="1" applyFont="1" applyFill="1" applyAlignment="1"/>
    <xf numFmtId="164" fontId="59" fillId="0" borderId="0" xfId="0" applyNumberFormat="1" applyFont="1" applyFill="1" applyBorder="1" applyAlignment="1"/>
    <xf numFmtId="164" fontId="59" fillId="0" borderId="0" xfId="0" applyNumberFormat="1" applyFont="1" applyAlignment="1"/>
    <xf numFmtId="164" fontId="59" fillId="0" borderId="0" xfId="0" applyNumberFormat="1" applyFont="1" applyBorder="1" applyAlignment="1"/>
    <xf numFmtId="164" fontId="60" fillId="0" borderId="0" xfId="0" applyNumberFormat="1" applyFont="1" applyFill="1"/>
    <xf numFmtId="164" fontId="60" fillId="0" borderId="0" xfId="0" applyNumberFormat="1" applyFont="1"/>
    <xf numFmtId="2" fontId="60" fillId="0" borderId="0" xfId="0" applyNumberFormat="1" applyFont="1"/>
    <xf numFmtId="0" fontId="60" fillId="0" borderId="0" xfId="0" applyFont="1"/>
    <xf numFmtId="1" fontId="60" fillId="0" borderId="0" xfId="0" applyNumberFormat="1" applyFont="1"/>
    <xf numFmtId="4" fontId="60" fillId="0" borderId="0" xfId="0" applyNumberFormat="1" applyFont="1"/>
    <xf numFmtId="0" fontId="59" fillId="0" borderId="1" xfId="0" applyFont="1" applyBorder="1"/>
    <xf numFmtId="164" fontId="60" fillId="0" borderId="1" xfId="0" applyNumberFormat="1" applyFont="1" applyFill="1" applyBorder="1"/>
    <xf numFmtId="164" fontId="60" fillId="0" borderId="1" xfId="0" applyNumberFormat="1" applyFont="1" applyBorder="1"/>
    <xf numFmtId="2" fontId="60" fillId="0" borderId="1" xfId="0" applyNumberFormat="1" applyFont="1" applyBorder="1"/>
    <xf numFmtId="0" fontId="60" fillId="0" borderId="1" xfId="0" applyFont="1" applyBorder="1"/>
    <xf numFmtId="1" fontId="60" fillId="0" borderId="1" xfId="0" applyNumberFormat="1" applyFont="1" applyBorder="1"/>
    <xf numFmtId="4" fontId="60" fillId="0" borderId="1" xfId="0" applyNumberFormat="1" applyFont="1" applyBorder="1"/>
    <xf numFmtId="0" fontId="59" fillId="0" borderId="0" xfId="0" applyFont="1" applyBorder="1"/>
    <xf numFmtId="164" fontId="60" fillId="0" borderId="0" xfId="0" applyNumberFormat="1" applyFont="1" applyFill="1" applyBorder="1"/>
    <xf numFmtId="164" fontId="60" fillId="0" borderId="0" xfId="0" applyNumberFormat="1" applyFont="1" applyBorder="1"/>
    <xf numFmtId="2" fontId="60" fillId="0" borderId="0" xfId="0" applyNumberFormat="1" applyFont="1" applyBorder="1"/>
    <xf numFmtId="0" fontId="60" fillId="0" borderId="0" xfId="0" applyFont="1" applyBorder="1"/>
    <xf numFmtId="1" fontId="59" fillId="0" borderId="0" xfId="0" applyNumberFormat="1" applyFont="1" applyBorder="1"/>
    <xf numFmtId="4" fontId="59" fillId="0" borderId="0" xfId="0" applyNumberFormat="1" applyFont="1" applyBorder="1"/>
    <xf numFmtId="4" fontId="61" fillId="0" borderId="0" xfId="0" applyNumberFormat="1" applyFont="1" applyBorder="1"/>
    <xf numFmtId="0" fontId="61" fillId="0" borderId="0" xfId="0" applyFont="1" applyBorder="1"/>
    <xf numFmtId="0" fontId="61" fillId="0" borderId="0" xfId="0" applyFont="1"/>
    <xf numFmtId="164" fontId="62" fillId="0" borderId="0" xfId="0" applyNumberFormat="1" applyFont="1" applyFill="1" applyBorder="1"/>
    <xf numFmtId="164" fontId="62" fillId="0" borderId="0" xfId="0" applyNumberFormat="1" applyFont="1" applyBorder="1"/>
    <xf numFmtId="2" fontId="62" fillId="0" borderId="0" xfId="0" applyNumberFormat="1" applyFont="1" applyBorder="1"/>
    <xf numFmtId="0" fontId="62" fillId="0" borderId="0" xfId="0" applyFont="1" applyBorder="1"/>
    <xf numFmtId="1" fontId="59" fillId="0" borderId="10" xfId="0" applyNumberFormat="1" applyFont="1" applyBorder="1"/>
    <xf numFmtId="4" fontId="59" fillId="0" borderId="10" xfId="0" applyNumberFormat="1" applyFont="1" applyBorder="1"/>
    <xf numFmtId="164" fontId="62" fillId="0" borderId="8" xfId="0" applyNumberFormat="1" applyFont="1" applyFill="1" applyBorder="1" applyAlignment="1">
      <alignment horizontal="center"/>
    </xf>
    <xf numFmtId="164" fontId="62" fillId="0" borderId="8" xfId="0" applyNumberFormat="1" applyFont="1" applyBorder="1" applyAlignment="1">
      <alignment horizontal="center"/>
    </xf>
    <xf numFmtId="2" fontId="62" fillId="0" borderId="8" xfId="0" applyNumberFormat="1" applyFont="1" applyBorder="1" applyAlignment="1">
      <alignment horizontal="center"/>
    </xf>
    <xf numFmtId="4" fontId="61" fillId="0" borderId="8" xfId="0" applyNumberFormat="1" applyFont="1" applyBorder="1" applyAlignment="1">
      <alignment horizontal="center"/>
    </xf>
    <xf numFmtId="0" fontId="59" fillId="0" borderId="5" xfId="0" applyFont="1" applyBorder="1"/>
    <xf numFmtId="164" fontId="62" fillId="0" borderId="5" xfId="0" applyNumberFormat="1" applyFont="1" applyFill="1" applyBorder="1"/>
    <xf numFmtId="164" fontId="62" fillId="0" borderId="5" xfId="0" applyNumberFormat="1" applyFont="1" applyBorder="1"/>
    <xf numFmtId="2" fontId="62" fillId="0" borderId="5" xfId="0" applyNumberFormat="1" applyFont="1" applyBorder="1"/>
    <xf numFmtId="0" fontId="62" fillId="0" borderId="5" xfId="0" applyFont="1" applyBorder="1"/>
    <xf numFmtId="1" fontId="61" fillId="0" borderId="5" xfId="0" applyNumberFormat="1" applyFont="1" applyBorder="1"/>
    <xf numFmtId="4" fontId="61" fillId="0" borderId="5" xfId="0" applyNumberFormat="1" applyFont="1" applyBorder="1"/>
    <xf numFmtId="0" fontId="61" fillId="0" borderId="5" xfId="0" applyFont="1" applyBorder="1"/>
    <xf numFmtId="2" fontId="61" fillId="0" borderId="5" xfId="0" applyNumberFormat="1" applyFont="1" applyBorder="1"/>
    <xf numFmtId="1" fontId="60" fillId="0" borderId="0" xfId="0" applyNumberFormat="1" applyFont="1" applyBorder="1"/>
    <xf numFmtId="4" fontId="60" fillId="0" borderId="0" xfId="0" applyNumberFormat="1" applyFont="1" applyBorder="1"/>
    <xf numFmtId="1" fontId="63" fillId="0" borderId="0" xfId="0" applyNumberFormat="1" applyFont="1" applyFill="1"/>
    <xf numFmtId="4" fontId="63" fillId="0" borderId="0" xfId="0" applyNumberFormat="1" applyFont="1" applyFill="1"/>
    <xf numFmtId="164" fontId="63" fillId="0" borderId="0" xfId="0" applyNumberFormat="1" applyFont="1" applyFill="1"/>
    <xf numFmtId="164" fontId="62" fillId="0" borderId="0" xfId="0" applyNumberFormat="1" applyFont="1" applyFill="1"/>
    <xf numFmtId="164" fontId="62" fillId="0" borderId="0" xfId="0" applyNumberFormat="1" applyFont="1"/>
    <xf numFmtId="2" fontId="62" fillId="0" borderId="0" xfId="0" applyNumberFormat="1" applyFont="1"/>
    <xf numFmtId="0" fontId="62" fillId="0" borderId="0" xfId="0" applyFont="1"/>
    <xf numFmtId="1" fontId="62" fillId="0" borderId="0" xfId="0" applyNumberFormat="1" applyFont="1" applyFill="1"/>
    <xf numFmtId="4" fontId="62" fillId="0" borderId="0" xfId="0" applyNumberFormat="1" applyFont="1" applyFill="1"/>
    <xf numFmtId="164" fontId="63" fillId="0" borderId="0" xfId="0" applyNumberFormat="1" applyFont="1"/>
    <xf numFmtId="2" fontId="63" fillId="0" borderId="0" xfId="0" applyNumberFormat="1" applyFont="1"/>
    <xf numFmtId="0" fontId="63" fillId="0" borderId="0" xfId="0" applyFont="1"/>
    <xf numFmtId="167" fontId="64" fillId="0" borderId="0" xfId="13" applyNumberFormat="1" applyFont="1" applyFill="1" applyBorder="1" applyAlignment="1">
      <alignment horizontal="right" vertical="center"/>
    </xf>
    <xf numFmtId="167" fontId="64" fillId="0" borderId="0" xfId="11" applyNumberFormat="1" applyFont="1" applyFill="1" applyBorder="1" applyAlignment="1">
      <alignment horizontal="right" vertical="center"/>
    </xf>
    <xf numFmtId="1" fontId="62" fillId="0" borderId="0" xfId="0" applyNumberFormat="1" applyFont="1"/>
    <xf numFmtId="4" fontId="62" fillId="0" borderId="0" xfId="0" applyNumberFormat="1" applyFont="1"/>
    <xf numFmtId="3" fontId="63" fillId="0" borderId="0" xfId="0" applyNumberFormat="1" applyFont="1"/>
    <xf numFmtId="167" fontId="64" fillId="0" borderId="0" xfId="16" applyNumberFormat="1" applyFont="1" applyFill="1" applyBorder="1" applyAlignment="1">
      <alignment horizontal="right" vertical="center"/>
    </xf>
    <xf numFmtId="167" fontId="64" fillId="0" borderId="0" xfId="14" applyNumberFormat="1" applyFont="1" applyFill="1" applyBorder="1" applyAlignment="1">
      <alignment horizontal="right" vertical="center"/>
    </xf>
    <xf numFmtId="4" fontId="62" fillId="0" borderId="0" xfId="0" applyNumberFormat="1" applyFont="1" applyBorder="1"/>
    <xf numFmtId="167" fontId="62" fillId="0" borderId="0" xfId="0" applyNumberFormat="1" applyFont="1" applyBorder="1" applyAlignment="1">
      <alignment horizontal="right" vertical="top"/>
    </xf>
    <xf numFmtId="167" fontId="63" fillId="0" borderId="0" xfId="0" applyNumberFormat="1" applyFont="1" applyBorder="1" applyAlignment="1">
      <alignment horizontal="right" vertical="top"/>
    </xf>
    <xf numFmtId="1" fontId="62" fillId="0" borderId="0" xfId="0" applyNumberFormat="1" applyFont="1" applyBorder="1" applyAlignment="1">
      <alignment horizontal="right" vertical="top"/>
    </xf>
    <xf numFmtId="1" fontId="63" fillId="0" borderId="0" xfId="0" applyNumberFormat="1" applyFont="1" applyBorder="1" applyAlignment="1">
      <alignment horizontal="right" vertical="top"/>
    </xf>
    <xf numFmtId="0" fontId="59" fillId="0" borderId="0" xfId="0" applyFont="1" applyBorder="1" applyAlignment="1">
      <alignment horizontal="center"/>
    </xf>
    <xf numFmtId="1" fontId="62" fillId="0" borderId="5" xfId="0" applyNumberFormat="1" applyFont="1" applyBorder="1"/>
    <xf numFmtId="4" fontId="62" fillId="0" borderId="5" xfId="0" applyNumberFormat="1" applyFont="1" applyBorder="1"/>
    <xf numFmtId="0" fontId="59" fillId="0" borderId="0" xfId="0" applyFont="1" applyAlignment="1"/>
    <xf numFmtId="164" fontId="62" fillId="0" borderId="0" xfId="0" applyNumberFormat="1" applyFont="1" applyFill="1" applyAlignment="1"/>
    <xf numFmtId="164" fontId="62" fillId="0" borderId="0" xfId="0" applyNumberFormat="1" applyFont="1" applyAlignment="1"/>
    <xf numFmtId="2" fontId="62" fillId="0" borderId="0" xfId="0" applyNumberFormat="1" applyFont="1" applyAlignment="1"/>
    <xf numFmtId="0" fontId="62" fillId="0" borderId="0" xfId="0" applyFont="1" applyAlignment="1"/>
    <xf numFmtId="1" fontId="62" fillId="0" borderId="0" xfId="0" applyNumberFormat="1" applyFont="1" applyAlignment="1"/>
    <xf numFmtId="4" fontId="62" fillId="0" borderId="0" xfId="0" applyNumberFormat="1" applyFont="1" applyAlignment="1"/>
    <xf numFmtId="164" fontId="0" fillId="0" borderId="0" xfId="0" applyNumberFormat="1" applyFont="1"/>
    <xf numFmtId="2" fontId="0" fillId="0" borderId="0" xfId="0" applyNumberFormat="1" applyFont="1"/>
    <xf numFmtId="0" fontId="57" fillId="0" borderId="0" xfId="0" applyFont="1"/>
    <xf numFmtId="164" fontId="57" fillId="0" borderId="0" xfId="0" applyNumberFormat="1" applyFont="1"/>
    <xf numFmtId="2" fontId="57" fillId="0" borderId="0" xfId="0" applyNumberFormat="1" applyFont="1"/>
    <xf numFmtId="0" fontId="10" fillId="0" borderId="0" xfId="0" applyFont="1" applyAlignment="1">
      <alignment horizontal="left" vertical="top" wrapText="1"/>
    </xf>
    <xf numFmtId="4" fontId="57" fillId="0" borderId="0" xfId="0" applyNumberFormat="1" applyFont="1"/>
    <xf numFmtId="0" fontId="57" fillId="0" borderId="0" xfId="0" applyFont="1" applyBorder="1"/>
    <xf numFmtId="0" fontId="65" fillId="0" borderId="0" xfId="0" applyFont="1"/>
    <xf numFmtId="4" fontId="65" fillId="0" borderId="0" xfId="0" applyNumberFormat="1" applyFont="1"/>
    <xf numFmtId="0" fontId="65" fillId="0" borderId="0" xfId="0" applyFont="1" applyBorder="1"/>
    <xf numFmtId="0" fontId="65" fillId="0" borderId="2" xfId="0" applyFont="1" applyBorder="1"/>
    <xf numFmtId="0" fontId="0" fillId="0" borderId="0" xfId="0" applyFont="1" applyAlignment="1">
      <alignment horizontal="center"/>
    </xf>
    <xf numFmtId="164" fontId="0" fillId="0" borderId="0" xfId="0" applyNumberFormat="1" applyFont="1" applyAlignment="1">
      <alignment horizontal="center"/>
    </xf>
    <xf numFmtId="164" fontId="0" fillId="0" borderId="1" xfId="0" applyNumberFormat="1" applyFont="1" applyBorder="1" applyAlignment="1">
      <alignment horizontal="center"/>
    </xf>
    <xf numFmtId="0" fontId="0" fillId="0" borderId="1" xfId="0" applyFont="1" applyBorder="1" applyAlignment="1">
      <alignment horizontal="center"/>
    </xf>
    <xf numFmtId="164" fontId="0" fillId="0" borderId="5" xfId="0" applyNumberFormat="1" applyFont="1" applyBorder="1" applyAlignment="1">
      <alignment horizontal="center"/>
    </xf>
    <xf numFmtId="0" fontId="0" fillId="0" borderId="5" xfId="0" applyFont="1" applyBorder="1" applyAlignment="1">
      <alignment horizontal="center"/>
    </xf>
    <xf numFmtId="164" fontId="0" fillId="0" borderId="0" xfId="0" applyNumberFormat="1" applyFont="1" applyBorder="1" applyAlignment="1">
      <alignment horizontal="center"/>
    </xf>
    <xf numFmtId="0" fontId="0" fillId="0" borderId="0" xfId="0" applyFont="1" applyBorder="1" applyAlignment="1">
      <alignment horizontal="center"/>
    </xf>
    <xf numFmtId="164" fontId="0" fillId="0" borderId="0" xfId="0" applyNumberFormat="1" applyFont="1" applyFill="1" applyAlignment="1">
      <alignment horizontal="center"/>
    </xf>
    <xf numFmtId="0" fontId="0" fillId="0" borderId="0" xfId="0" applyFont="1" applyFill="1" applyAlignment="1">
      <alignment horizontal="center"/>
    </xf>
    <xf numFmtId="2" fontId="0" fillId="0" borderId="0" xfId="0" applyNumberFormat="1" applyFont="1" applyAlignment="1">
      <alignment horizontal="center"/>
    </xf>
    <xf numFmtId="0" fontId="57" fillId="0" borderId="0" xfId="0" applyFont="1" applyAlignment="1">
      <alignment horizontal="center"/>
    </xf>
    <xf numFmtId="0" fontId="57" fillId="0" borderId="0" xfId="0" applyFont="1" applyAlignment="1"/>
    <xf numFmtId="164" fontId="57" fillId="0" borderId="0" xfId="0" applyNumberFormat="1" applyFont="1" applyAlignment="1">
      <alignment horizontal="center"/>
    </xf>
    <xf numFmtId="0" fontId="57" fillId="0" borderId="1" xfId="0" applyFont="1" applyBorder="1" applyAlignment="1"/>
    <xf numFmtId="164" fontId="57" fillId="0" borderId="1" xfId="0" applyNumberFormat="1" applyFont="1" applyBorder="1" applyAlignment="1">
      <alignment horizontal="center"/>
    </xf>
    <xf numFmtId="0" fontId="57" fillId="0" borderId="1" xfId="0" applyFont="1" applyBorder="1" applyAlignment="1">
      <alignment horizontal="center"/>
    </xf>
    <xf numFmtId="0" fontId="57" fillId="0" borderId="5" xfId="0" applyFont="1" applyBorder="1" applyAlignment="1"/>
    <xf numFmtId="164" fontId="57" fillId="0" borderId="5" xfId="0" applyNumberFormat="1" applyFont="1" applyBorder="1" applyAlignment="1">
      <alignment horizontal="center"/>
    </xf>
    <xf numFmtId="0" fontId="57" fillId="0" borderId="5" xfId="0" applyFont="1" applyBorder="1" applyAlignment="1">
      <alignment horizontal="center"/>
    </xf>
    <xf numFmtId="0" fontId="57" fillId="0" borderId="0" xfId="0" applyFont="1" applyBorder="1" applyAlignment="1"/>
    <xf numFmtId="164" fontId="57" fillId="0" borderId="0" xfId="0" applyNumberFormat="1" applyFont="1" applyBorder="1" applyAlignment="1">
      <alignment horizontal="center"/>
    </xf>
    <xf numFmtId="0" fontId="57" fillId="0" borderId="0" xfId="0" applyFont="1" applyBorder="1" applyAlignment="1">
      <alignment horizontal="center"/>
    </xf>
    <xf numFmtId="0" fontId="57" fillId="0" borderId="0" xfId="0" applyFont="1" applyFill="1" applyAlignment="1"/>
    <xf numFmtId="0" fontId="57" fillId="0" borderId="0" xfId="0" applyNumberFormat="1" applyFont="1" applyFill="1" applyAlignment="1">
      <alignment horizontal="center"/>
    </xf>
    <xf numFmtId="2" fontId="57" fillId="0" borderId="0" xfId="0" applyNumberFormat="1" applyFont="1" applyFill="1" applyAlignment="1">
      <alignment horizontal="center"/>
    </xf>
    <xf numFmtId="164" fontId="57" fillId="0" borderId="0" xfId="0" applyNumberFormat="1" applyFont="1" applyFill="1" applyAlignment="1">
      <alignment horizontal="center"/>
    </xf>
    <xf numFmtId="0" fontId="57" fillId="0" borderId="0" xfId="0" applyFont="1" applyFill="1" applyAlignment="1">
      <alignment horizontal="center"/>
    </xf>
    <xf numFmtId="2" fontId="57" fillId="0" borderId="0" xfId="0" applyNumberFormat="1" applyFont="1" applyAlignment="1">
      <alignment horizontal="center"/>
    </xf>
    <xf numFmtId="164" fontId="57" fillId="0" borderId="1" xfId="0" applyNumberFormat="1" applyFont="1" applyBorder="1" applyAlignment="1"/>
    <xf numFmtId="0" fontId="25" fillId="0" borderId="0" xfId="0" applyFont="1" applyAlignment="1"/>
    <xf numFmtId="0" fontId="25" fillId="0" borderId="0" xfId="0" applyFont="1" applyAlignment="1">
      <alignment horizontal="center"/>
    </xf>
    <xf numFmtId="0" fontId="25" fillId="0" borderId="0" xfId="0" applyFont="1" applyBorder="1" applyAlignment="1"/>
    <xf numFmtId="164" fontId="25" fillId="0" borderId="0" xfId="0" applyNumberFormat="1" applyFont="1" applyBorder="1" applyAlignment="1">
      <alignment horizontal="center"/>
    </xf>
    <xf numFmtId="0" fontId="28" fillId="0" borderId="0" xfId="0" applyFont="1" applyFill="1" applyAlignment="1"/>
    <xf numFmtId="0" fontId="25" fillId="0" borderId="0" xfId="0" applyFont="1" applyFill="1" applyAlignment="1"/>
    <xf numFmtId="0" fontId="25" fillId="0" borderId="0" xfId="0" applyFont="1" applyFill="1" applyBorder="1" applyAlignment="1"/>
    <xf numFmtId="0" fontId="28" fillId="0" borderId="0" xfId="0" applyFont="1" applyAlignment="1"/>
    <xf numFmtId="164" fontId="0" fillId="0" borderId="1" xfId="0" applyNumberFormat="1" applyFont="1" applyBorder="1"/>
    <xf numFmtId="2" fontId="0" fillId="0" borderId="1" xfId="0" applyNumberFormat="1" applyFont="1" applyBorder="1"/>
    <xf numFmtId="2" fontId="0" fillId="0" borderId="0" xfId="0" applyNumberFormat="1" applyFont="1" applyBorder="1" applyAlignment="1">
      <alignment horizontal="center"/>
    </xf>
    <xf numFmtId="164" fontId="0" fillId="0" borderId="5" xfId="0" applyNumberFormat="1" applyFont="1" applyBorder="1"/>
    <xf numFmtId="2" fontId="0" fillId="0" borderId="5" xfId="0" applyNumberFormat="1" applyFont="1" applyBorder="1"/>
    <xf numFmtId="164" fontId="0" fillId="0" borderId="0" xfId="0" applyNumberFormat="1" applyFont="1" applyBorder="1"/>
    <xf numFmtId="4" fontId="0" fillId="0" borderId="0" xfId="0" applyNumberFormat="1" applyFont="1" applyBorder="1"/>
    <xf numFmtId="2" fontId="0" fillId="0" borderId="0" xfId="0" applyNumberFormat="1" applyFont="1" applyBorder="1"/>
    <xf numFmtId="2" fontId="0" fillId="0" borderId="0" xfId="0" applyNumberFormat="1" applyFont="1" applyAlignment="1">
      <alignment horizontal="right"/>
    </xf>
    <xf numFmtId="164" fontId="0" fillId="0" borderId="0" xfId="0" applyNumberFormat="1" applyFont="1" applyAlignment="1">
      <alignment horizontal="right"/>
    </xf>
    <xf numFmtId="0" fontId="57" fillId="0" borderId="1" xfId="0" applyFont="1" applyBorder="1"/>
    <xf numFmtId="164" fontId="57" fillId="0" borderId="1" xfId="0" applyNumberFormat="1" applyFont="1" applyBorder="1"/>
    <xf numFmtId="4" fontId="57" fillId="0" borderId="1" xfId="0" applyNumberFormat="1" applyFont="1" applyBorder="1"/>
    <xf numFmtId="2" fontId="57" fillId="0" borderId="1" xfId="0" applyNumberFormat="1" applyFont="1" applyBorder="1"/>
    <xf numFmtId="164" fontId="57" fillId="0" borderId="4" xfId="0" applyNumberFormat="1" applyFont="1" applyBorder="1" applyAlignment="1">
      <alignment horizontal="center"/>
    </xf>
    <xf numFmtId="2" fontId="57" fillId="0" borderId="4" xfId="0" applyNumberFormat="1" applyFont="1" applyBorder="1" applyAlignment="1">
      <alignment horizontal="center"/>
    </xf>
    <xf numFmtId="2" fontId="57" fillId="0" borderId="0" xfId="0" applyNumberFormat="1" applyFont="1" applyBorder="1" applyAlignment="1">
      <alignment horizontal="center"/>
    </xf>
    <xf numFmtId="0" fontId="57" fillId="0" borderId="5" xfId="0" applyFont="1" applyBorder="1"/>
    <xf numFmtId="164" fontId="57" fillId="0" borderId="5" xfId="0" applyNumberFormat="1" applyFont="1" applyBorder="1"/>
    <xf numFmtId="4" fontId="57" fillId="0" borderId="5" xfId="0" applyNumberFormat="1" applyFont="1" applyBorder="1"/>
    <xf numFmtId="2" fontId="57" fillId="0" borderId="5" xfId="0" applyNumberFormat="1" applyFont="1" applyBorder="1"/>
    <xf numFmtId="164" fontId="57" fillId="0" borderId="0" xfId="0" applyNumberFormat="1" applyFont="1" applyBorder="1"/>
    <xf numFmtId="4" fontId="57" fillId="0" borderId="0" xfId="0" applyNumberFormat="1" applyFont="1" applyBorder="1"/>
    <xf numFmtId="2" fontId="57" fillId="0" borderId="0" xfId="0" applyNumberFormat="1" applyFont="1" applyBorder="1"/>
    <xf numFmtId="2" fontId="57" fillId="0" borderId="0" xfId="0" applyNumberFormat="1" applyFont="1" applyAlignment="1">
      <alignment horizontal="right"/>
    </xf>
    <xf numFmtId="164" fontId="57" fillId="0" borderId="0" xfId="0" applyNumberFormat="1" applyFont="1" applyAlignment="1">
      <alignment horizontal="right"/>
    </xf>
    <xf numFmtId="0" fontId="57" fillId="0" borderId="0" xfId="0" applyFont="1" applyAlignment="1">
      <alignment horizontal="right"/>
    </xf>
    <xf numFmtId="4" fontId="57" fillId="0" borderId="0" xfId="0" applyNumberFormat="1" applyFont="1" applyAlignment="1">
      <alignment horizontal="right"/>
    </xf>
    <xf numFmtId="164" fontId="37" fillId="0" borderId="1" xfId="0" applyNumberFormat="1" applyFont="1" applyBorder="1" applyAlignment="1">
      <alignment horizontal="right"/>
    </xf>
    <xf numFmtId="2" fontId="37" fillId="0" borderId="1" xfId="0" applyNumberFormat="1" applyFont="1" applyBorder="1" applyAlignment="1">
      <alignment horizontal="right"/>
    </xf>
    <xf numFmtId="164" fontId="37" fillId="0" borderId="8" xfId="0" applyNumberFormat="1" applyFont="1" applyBorder="1" applyAlignment="1">
      <alignment horizontal="right"/>
    </xf>
    <xf numFmtId="164" fontId="37" fillId="0" borderId="5" xfId="0" applyNumberFormat="1" applyFont="1" applyBorder="1" applyAlignment="1">
      <alignment horizontal="right"/>
    </xf>
    <xf numFmtId="2" fontId="37" fillId="0" borderId="5" xfId="0" applyNumberFormat="1" applyFont="1" applyBorder="1" applyAlignment="1">
      <alignment horizontal="right"/>
    </xf>
    <xf numFmtId="2" fontId="37" fillId="0" borderId="0" xfId="0" applyNumberFormat="1" applyFont="1" applyBorder="1" applyAlignment="1">
      <alignment horizontal="right"/>
    </xf>
    <xf numFmtId="1" fontId="30" fillId="0" borderId="0" xfId="19" applyNumberFormat="1" applyFont="1" applyFill="1" applyBorder="1" applyAlignment="1">
      <alignment horizontal="right" vertical="center"/>
    </xf>
    <xf numFmtId="164" fontId="37" fillId="0" borderId="8" xfId="0" applyNumberFormat="1" applyFont="1" applyFill="1" applyBorder="1" applyAlignment="1">
      <alignment horizontal="right"/>
    </xf>
    <xf numFmtId="4" fontId="37" fillId="0" borderId="0" xfId="0" applyNumberFormat="1" applyFont="1" applyAlignment="1">
      <alignment horizontal="right"/>
    </xf>
    <xf numFmtId="2" fontId="0" fillId="0" borderId="8" xfId="0" applyNumberFormat="1" applyFont="1" applyBorder="1" applyAlignment="1">
      <alignment horizontal="center"/>
    </xf>
    <xf numFmtId="2" fontId="0" fillId="0" borderId="0" xfId="0" applyNumberFormat="1" applyFont="1" applyBorder="1" applyAlignment="1">
      <alignment horizontal="right"/>
    </xf>
    <xf numFmtId="2" fontId="59" fillId="0" borderId="0" xfId="0" applyNumberFormat="1" applyFont="1"/>
    <xf numFmtId="2" fontId="59" fillId="0" borderId="0" xfId="0" applyNumberFormat="1" applyFont="1" applyFill="1"/>
    <xf numFmtId="164" fontId="59" fillId="0" borderId="1" xfId="0" applyNumberFormat="1" applyFont="1" applyFill="1" applyBorder="1"/>
    <xf numFmtId="2" fontId="59" fillId="0" borderId="1" xfId="0" applyNumberFormat="1" applyFont="1" applyBorder="1"/>
    <xf numFmtId="164" fontId="59" fillId="0" borderId="1" xfId="0" applyNumberFormat="1" applyFont="1" applyBorder="1"/>
    <xf numFmtId="2" fontId="59" fillId="0" borderId="0" xfId="0" applyNumberFormat="1" applyFont="1" applyBorder="1"/>
    <xf numFmtId="164" fontId="59" fillId="0" borderId="8" xfId="0" applyNumberFormat="1" applyFont="1" applyFill="1" applyBorder="1" applyAlignment="1">
      <alignment horizontal="center"/>
    </xf>
    <xf numFmtId="2" fontId="59" fillId="0" borderId="8" xfId="0" applyNumberFormat="1" applyFont="1" applyBorder="1" applyAlignment="1">
      <alignment horizontal="center"/>
    </xf>
    <xf numFmtId="164" fontId="59" fillId="0" borderId="8" xfId="0" applyNumberFormat="1" applyFont="1" applyBorder="1" applyAlignment="1">
      <alignment horizontal="center"/>
    </xf>
    <xf numFmtId="164" fontId="59" fillId="0" borderId="5" xfId="0" applyNumberFormat="1" applyFont="1" applyFill="1" applyBorder="1"/>
    <xf numFmtId="2" fontId="59" fillId="0" borderId="5" xfId="0" applyNumberFormat="1" applyFont="1" applyBorder="1"/>
    <xf numFmtId="164" fontId="59" fillId="0" borderId="5" xfId="0" applyNumberFormat="1" applyFont="1" applyBorder="1"/>
    <xf numFmtId="164" fontId="59" fillId="0" borderId="0" xfId="0" applyNumberFormat="1" applyFont="1" applyBorder="1" applyAlignment="1">
      <alignment horizontal="right"/>
    </xf>
    <xf numFmtId="2" fontId="59" fillId="0" borderId="0" xfId="0" applyNumberFormat="1" applyFont="1" applyBorder="1" applyAlignment="1">
      <alignment horizontal="right"/>
    </xf>
    <xf numFmtId="0" fontId="59" fillId="0" borderId="0" xfId="0" applyFont="1" applyBorder="1" applyAlignment="1">
      <alignment horizontal="right"/>
    </xf>
    <xf numFmtId="0" fontId="59" fillId="0" borderId="0" xfId="0" applyFont="1" applyAlignment="1">
      <alignment horizontal="right"/>
    </xf>
    <xf numFmtId="3" fontId="64" fillId="0" borderId="0" xfId="19" applyNumberFormat="1" applyFont="1" applyFill="1" applyBorder="1" applyAlignment="1">
      <alignment horizontal="right" vertical="center"/>
    </xf>
    <xf numFmtId="3" fontId="59" fillId="0" borderId="0" xfId="0" applyNumberFormat="1" applyFont="1" applyFill="1"/>
    <xf numFmtId="164" fontId="59" fillId="0" borderId="0" xfId="0" applyNumberFormat="1" applyFont="1" applyAlignment="1">
      <alignment horizontal="right"/>
    </xf>
    <xf numFmtId="2" fontId="59" fillId="0" borderId="0" xfId="0" applyNumberFormat="1" applyFont="1" applyAlignment="1">
      <alignment horizontal="right"/>
    </xf>
    <xf numFmtId="0" fontId="37" fillId="0" borderId="0" xfId="0" applyFont="1" applyBorder="1" applyAlignment="1"/>
    <xf numFmtId="164" fontId="37" fillId="0" borderId="0" xfId="0" applyNumberFormat="1" applyFont="1" applyBorder="1" applyAlignment="1"/>
    <xf numFmtId="0" fontId="37" fillId="0" borderId="5" xfId="0" applyFont="1" applyBorder="1" applyAlignment="1">
      <alignment horizontal="right"/>
    </xf>
    <xf numFmtId="49" fontId="37" fillId="0" borderId="0" xfId="0" applyNumberFormat="1" applyFont="1"/>
    <xf numFmtId="0" fontId="37" fillId="0" borderId="0" xfId="0" applyFont="1" applyFill="1" applyAlignment="1">
      <alignment horizontal="center"/>
    </xf>
    <xf numFmtId="2" fontId="37" fillId="0" borderId="0" xfId="0" applyNumberFormat="1" applyFont="1" applyAlignment="1">
      <alignment horizontal="center"/>
    </xf>
    <xf numFmtId="0" fontId="37" fillId="0" borderId="0" xfId="0" applyFont="1" applyAlignment="1">
      <alignment horizontal="center"/>
    </xf>
    <xf numFmtId="164" fontId="37" fillId="0" borderId="0" xfId="0" applyNumberFormat="1" applyFont="1" applyAlignment="1">
      <alignment horizontal="center"/>
    </xf>
    <xf numFmtId="0" fontId="37" fillId="0" borderId="1" xfId="0" applyFont="1" applyFill="1" applyBorder="1" applyAlignment="1">
      <alignment horizontal="center"/>
    </xf>
    <xf numFmtId="2" fontId="37" fillId="0" borderId="1" xfId="0" applyNumberFormat="1" applyFont="1" applyBorder="1" applyAlignment="1">
      <alignment horizontal="center"/>
    </xf>
    <xf numFmtId="0" fontId="37" fillId="0" borderId="1" xfId="0" applyFont="1" applyBorder="1" applyAlignment="1">
      <alignment horizontal="center"/>
    </xf>
    <xf numFmtId="164" fontId="37" fillId="0" borderId="1" xfId="0" applyNumberFormat="1" applyFont="1" applyBorder="1" applyAlignment="1">
      <alignment horizontal="center"/>
    </xf>
    <xf numFmtId="0" fontId="37" fillId="0" borderId="0" xfId="0" applyFont="1" applyBorder="1" applyAlignment="1">
      <alignment horizontal="center"/>
    </xf>
    <xf numFmtId="0" fontId="37" fillId="0" borderId="8" xfId="0" applyFont="1" applyFill="1" applyBorder="1" applyAlignment="1">
      <alignment horizontal="center"/>
    </xf>
    <xf numFmtId="0" fontId="37" fillId="0" borderId="5" xfId="0" applyFont="1" applyFill="1" applyBorder="1" applyAlignment="1">
      <alignment horizontal="center"/>
    </xf>
    <xf numFmtId="2" fontId="37" fillId="0" borderId="5" xfId="0" applyNumberFormat="1" applyFont="1" applyBorder="1" applyAlignment="1">
      <alignment horizontal="center"/>
    </xf>
    <xf numFmtId="0" fontId="37" fillId="0" borderId="5" xfId="0" applyFont="1" applyBorder="1" applyAlignment="1">
      <alignment horizontal="center"/>
    </xf>
    <xf numFmtId="164" fontId="37" fillId="0" borderId="5" xfId="0" applyNumberFormat="1" applyFont="1" applyBorder="1" applyAlignment="1">
      <alignment horizontal="center"/>
    </xf>
    <xf numFmtId="0" fontId="37" fillId="0" borderId="0" xfId="0" applyFont="1" applyFill="1" applyBorder="1" applyAlignment="1">
      <alignment horizontal="center"/>
    </xf>
    <xf numFmtId="164" fontId="37" fillId="0" borderId="0" xfId="0" applyNumberFormat="1" applyFont="1" applyFill="1" applyAlignment="1">
      <alignment horizontal="center"/>
    </xf>
    <xf numFmtId="164" fontId="0" fillId="0" borderId="0" xfId="0" applyNumberFormat="1" applyFont="1" applyFill="1" applyAlignment="1">
      <alignment horizontal="right"/>
    </xf>
    <xf numFmtId="0" fontId="0" fillId="0" borderId="0" xfId="0" applyFont="1" applyFill="1" applyAlignment="1">
      <alignment horizontal="right"/>
    </xf>
    <xf numFmtId="164" fontId="0" fillId="0" borderId="0" xfId="0" applyNumberFormat="1" applyFont="1" applyFill="1" applyBorder="1" applyAlignment="1">
      <alignment horizontal="right"/>
    </xf>
    <xf numFmtId="2" fontId="0" fillId="0" borderId="0" xfId="0" applyNumberFormat="1" applyFont="1" applyFill="1" applyAlignment="1">
      <alignment horizontal="right"/>
    </xf>
    <xf numFmtId="164" fontId="0" fillId="0" borderId="1" xfId="0" applyNumberFormat="1" applyFont="1" applyFill="1" applyBorder="1" applyAlignment="1">
      <alignment horizontal="right"/>
    </xf>
    <xf numFmtId="2" fontId="0" fillId="0" borderId="1" xfId="0" applyNumberFormat="1" applyFont="1" applyFill="1" applyBorder="1" applyAlignment="1">
      <alignment horizontal="right"/>
    </xf>
    <xf numFmtId="2" fontId="0" fillId="0" borderId="1" xfId="0" applyNumberFormat="1" applyFont="1" applyBorder="1" applyAlignment="1">
      <alignment horizontal="right"/>
    </xf>
    <xf numFmtId="164" fontId="0" fillId="0" borderId="8" xfId="0" applyNumberFormat="1" applyFont="1" applyFill="1" applyBorder="1" applyAlignment="1">
      <alignment horizontal="left"/>
    </xf>
    <xf numFmtId="2" fontId="0" fillId="0" borderId="8" xfId="0" applyNumberFormat="1" applyFont="1" applyFill="1" applyBorder="1" applyAlignment="1">
      <alignment horizontal="left"/>
    </xf>
    <xf numFmtId="2" fontId="0" fillId="0" borderId="8" xfId="0" applyNumberFormat="1" applyFont="1" applyBorder="1" applyAlignment="1">
      <alignment horizontal="left"/>
    </xf>
    <xf numFmtId="164" fontId="0" fillId="0" borderId="5" xfId="0" applyNumberFormat="1" applyFont="1" applyFill="1" applyBorder="1" applyAlignment="1">
      <alignment horizontal="right"/>
    </xf>
    <xf numFmtId="2" fontId="0" fillId="0" borderId="5" xfId="0" applyNumberFormat="1" applyFont="1" applyFill="1" applyBorder="1" applyAlignment="1">
      <alignment horizontal="right"/>
    </xf>
    <xf numFmtId="2" fontId="0" fillId="0" borderId="5" xfId="0" applyNumberFormat="1" applyFont="1" applyBorder="1" applyAlignment="1">
      <alignment horizontal="right"/>
    </xf>
    <xf numFmtId="2" fontId="0" fillId="0" borderId="0" xfId="0" applyNumberFormat="1" applyFont="1" applyFill="1" applyBorder="1" applyAlignment="1">
      <alignment horizontal="right"/>
    </xf>
    <xf numFmtId="0" fontId="0" fillId="0" borderId="0" xfId="0" applyFont="1" applyAlignment="1">
      <alignment horizontal="right" indent="1"/>
    </xf>
    <xf numFmtId="0" fontId="0" fillId="0" borderId="0" xfId="0" applyFont="1" applyAlignment="1">
      <alignment horizontal="left" indent="1"/>
    </xf>
    <xf numFmtId="0" fontId="0" fillId="0" borderId="0" xfId="0" applyFont="1" applyAlignment="1">
      <alignment horizontal="right" indent="2"/>
    </xf>
    <xf numFmtId="0" fontId="0" fillId="0" borderId="0" xfId="0" applyFont="1" applyAlignment="1">
      <alignment horizontal="left" indent="2"/>
    </xf>
    <xf numFmtId="0" fontId="0" fillId="0" borderId="0" xfId="0" applyFont="1" applyBorder="1" applyAlignment="1">
      <alignment horizontal="right" indent="2"/>
    </xf>
    <xf numFmtId="0" fontId="0" fillId="0" borderId="5" xfId="0" applyFont="1" applyBorder="1" applyAlignment="1">
      <alignment horizontal="left" indent="2"/>
    </xf>
    <xf numFmtId="0" fontId="0" fillId="0" borderId="0" xfId="0" applyFont="1" applyBorder="1" applyAlignment="1">
      <alignment horizontal="left" indent="2"/>
    </xf>
    <xf numFmtId="164" fontId="59" fillId="0" borderId="1" xfId="0" applyNumberFormat="1" applyFont="1" applyBorder="1" applyAlignment="1">
      <alignment horizontal="right"/>
    </xf>
    <xf numFmtId="2" fontId="59" fillId="0" borderId="1" xfId="0" applyNumberFormat="1" applyFont="1" applyBorder="1" applyAlignment="1">
      <alignment horizontal="right"/>
    </xf>
    <xf numFmtId="164" fontId="59" fillId="0" borderId="8" xfId="0" applyNumberFormat="1" applyFont="1" applyBorder="1" applyAlignment="1">
      <alignment horizontal="left"/>
    </xf>
    <xf numFmtId="2" fontId="59" fillId="0" borderId="8" xfId="0" applyNumberFormat="1" applyFont="1" applyBorder="1" applyAlignment="1">
      <alignment horizontal="left"/>
    </xf>
    <xf numFmtId="164" fontId="59" fillId="0" borderId="5" xfId="0" applyNumberFormat="1" applyFont="1" applyBorder="1" applyAlignment="1">
      <alignment horizontal="right"/>
    </xf>
    <xf numFmtId="2" fontId="59" fillId="0" borderId="5" xfId="0" applyNumberFormat="1" applyFont="1" applyBorder="1" applyAlignment="1">
      <alignment horizontal="right"/>
    </xf>
    <xf numFmtId="2" fontId="60" fillId="0" borderId="0" xfId="0" applyNumberFormat="1" applyFont="1" applyFill="1" applyAlignment="1">
      <alignment horizontal="right"/>
    </xf>
    <xf numFmtId="0" fontId="60" fillId="0" borderId="0" xfId="0" applyFont="1" applyAlignment="1">
      <alignment horizontal="center"/>
    </xf>
    <xf numFmtId="2" fontId="60" fillId="0" borderId="0" xfId="0" applyNumberFormat="1" applyFont="1" applyAlignment="1">
      <alignment horizontal="right"/>
    </xf>
    <xf numFmtId="2" fontId="59" fillId="0" borderId="0" xfId="0" applyNumberFormat="1" applyFont="1" applyFill="1" applyAlignment="1">
      <alignment horizontal="right"/>
    </xf>
    <xf numFmtId="164" fontId="60" fillId="0" borderId="0" xfId="0" applyNumberFormat="1" applyFont="1" applyAlignment="1">
      <alignment horizontal="right"/>
    </xf>
    <xf numFmtId="164" fontId="59" fillId="0" borderId="0" xfId="0" applyNumberFormat="1" applyFont="1" applyFill="1" applyAlignment="1">
      <alignment horizontal="right"/>
    </xf>
    <xf numFmtId="164" fontId="60" fillId="0" borderId="0" xfId="0" applyNumberFormat="1" applyFont="1" applyFill="1" applyAlignment="1">
      <alignment horizontal="right"/>
    </xf>
    <xf numFmtId="0" fontId="60" fillId="0" borderId="0" xfId="0" applyFont="1" applyAlignment="1">
      <alignment horizontal="right"/>
    </xf>
    <xf numFmtId="0" fontId="59" fillId="0" borderId="0" xfId="0" applyFont="1" applyAlignment="1">
      <alignment horizontal="right" indent="1"/>
    </xf>
    <xf numFmtId="3" fontId="64" fillId="0" borderId="0" xfId="19" applyNumberFormat="1" applyFont="1" applyFill="1" applyBorder="1" applyAlignment="1">
      <alignment horizontal="right" vertical="center" wrapText="1"/>
    </xf>
    <xf numFmtId="1" fontId="64" fillId="0" borderId="0" xfId="19" applyNumberFormat="1" applyFont="1" applyFill="1" applyBorder="1" applyAlignment="1">
      <alignment horizontal="right" vertical="center"/>
    </xf>
    <xf numFmtId="0" fontId="59" fillId="0" borderId="0" xfId="0" applyFont="1" applyAlignment="1">
      <alignment horizontal="left" indent="1"/>
    </xf>
    <xf numFmtId="2" fontId="59" fillId="0" borderId="0" xfId="0" applyNumberFormat="1" applyFont="1" applyFill="1" applyBorder="1" applyAlignment="1">
      <alignment horizontal="right"/>
    </xf>
    <xf numFmtId="2" fontId="59" fillId="0" borderId="5" xfId="0" applyNumberFormat="1" applyFont="1" applyFill="1" applyBorder="1" applyAlignment="1">
      <alignment horizontal="right"/>
    </xf>
    <xf numFmtId="0" fontId="59" fillId="0" borderId="5" xfId="0" applyFont="1" applyBorder="1" applyAlignment="1">
      <alignment horizontal="left" indent="2"/>
    </xf>
    <xf numFmtId="2" fontId="60" fillId="0" borderId="5" xfId="0" applyNumberFormat="1" applyFont="1" applyBorder="1"/>
    <xf numFmtId="0" fontId="59" fillId="0" borderId="0" xfId="0" applyFont="1" applyBorder="1" applyAlignment="1">
      <alignment horizontal="left" indent="2"/>
    </xf>
    <xf numFmtId="0" fontId="0" fillId="0" borderId="0" xfId="0" applyFont="1" applyFill="1" applyBorder="1" applyAlignment="1">
      <alignment horizontal="center"/>
    </xf>
    <xf numFmtId="0" fontId="0" fillId="0" borderId="1" xfId="0" applyFont="1" applyFill="1" applyBorder="1" applyAlignment="1">
      <alignment horizontal="center"/>
    </xf>
    <xf numFmtId="2" fontId="0" fillId="0" borderId="1" xfId="0" applyNumberFormat="1" applyFont="1" applyBorder="1" applyAlignment="1">
      <alignment horizontal="center"/>
    </xf>
    <xf numFmtId="0" fontId="0" fillId="0" borderId="8" xfId="0" applyFont="1" applyFill="1" applyBorder="1" applyAlignment="1">
      <alignment horizontal="center"/>
    </xf>
    <xf numFmtId="0" fontId="0" fillId="0" borderId="8" xfId="0" applyFont="1" applyBorder="1" applyAlignment="1">
      <alignment horizontal="center"/>
    </xf>
    <xf numFmtId="0" fontId="0" fillId="0" borderId="5" xfId="0" applyFont="1" applyFill="1" applyBorder="1" applyAlignment="1">
      <alignment horizontal="center"/>
    </xf>
    <xf numFmtId="2" fontId="0" fillId="0" borderId="5" xfId="0" applyNumberFormat="1" applyFont="1" applyBorder="1" applyAlignment="1">
      <alignment horizontal="center"/>
    </xf>
    <xf numFmtId="0" fontId="0" fillId="0" borderId="0" xfId="0" applyFont="1" applyBorder="1" applyAlignment="1">
      <alignment horizontal="right"/>
    </xf>
    <xf numFmtId="0" fontId="0" fillId="0" borderId="5" xfId="0" applyFont="1" applyBorder="1" applyAlignment="1">
      <alignment horizontal="right"/>
    </xf>
    <xf numFmtId="0" fontId="59" fillId="0" borderId="0" xfId="0" applyFont="1" applyFill="1" applyBorder="1"/>
    <xf numFmtId="4" fontId="60" fillId="0" borderId="0" xfId="0" applyNumberFormat="1" applyFont="1" applyAlignment="1">
      <alignment horizontal="right"/>
    </xf>
    <xf numFmtId="1" fontId="60" fillId="0" borderId="0" xfId="0" applyNumberFormat="1" applyFont="1" applyAlignment="1">
      <alignment horizontal="right"/>
    </xf>
    <xf numFmtId="0" fontId="59" fillId="0" borderId="0" xfId="0" applyFont="1" applyAlignment="1">
      <alignment horizontal="left"/>
    </xf>
    <xf numFmtId="0" fontId="59" fillId="0" borderId="5" xfId="0" applyFont="1" applyBorder="1" applyAlignment="1">
      <alignment horizontal="center"/>
    </xf>
    <xf numFmtId="14" fontId="0" fillId="0" borderId="0" xfId="0" applyNumberFormat="1" applyFont="1" applyAlignment="1">
      <alignment horizontal="left"/>
    </xf>
    <xf numFmtId="164" fontId="59" fillId="0" borderId="0" xfId="0" applyNumberFormat="1" applyFont="1" applyAlignment="1">
      <alignment horizontal="center"/>
    </xf>
    <xf numFmtId="2" fontId="60" fillId="0" borderId="0" xfId="0" applyNumberFormat="1" applyFont="1" applyAlignment="1">
      <alignment horizontal="center"/>
    </xf>
    <xf numFmtId="0" fontId="60" fillId="0" borderId="5" xfId="0" applyFont="1" applyBorder="1" applyAlignment="1">
      <alignment horizontal="center"/>
    </xf>
    <xf numFmtId="49" fontId="60" fillId="0" borderId="0" xfId="0" applyNumberFormat="1" applyFont="1" applyBorder="1"/>
    <xf numFmtId="49" fontId="60" fillId="0" borderId="0" xfId="0" applyNumberFormat="1" applyFont="1"/>
    <xf numFmtId="2" fontId="60" fillId="0" borderId="8" xfId="0" applyNumberFormat="1" applyFont="1" applyBorder="1" applyAlignment="1">
      <alignment horizontal="center"/>
    </xf>
    <xf numFmtId="2" fontId="60" fillId="0" borderId="0" xfId="0" applyNumberFormat="1" applyFont="1" applyBorder="1" applyAlignment="1">
      <alignment horizontal="center"/>
    </xf>
    <xf numFmtId="0" fontId="60" fillId="0" borderId="5" xfId="0" applyFont="1" applyBorder="1"/>
    <xf numFmtId="4" fontId="60" fillId="0" borderId="0" xfId="0" applyNumberFormat="1" applyFont="1" applyFill="1" applyBorder="1" applyAlignment="1">
      <alignment horizontal="right"/>
    </xf>
    <xf numFmtId="164" fontId="60" fillId="0" borderId="0" xfId="0" applyNumberFormat="1" applyFont="1" applyFill="1" applyBorder="1" applyAlignment="1">
      <alignment horizontal="right"/>
    </xf>
    <xf numFmtId="4" fontId="59" fillId="0" borderId="0" xfId="0" applyNumberFormat="1" applyFont="1" applyFill="1" applyBorder="1" applyAlignment="1">
      <alignment horizontal="right"/>
    </xf>
    <xf numFmtId="164" fontId="59" fillId="0" borderId="0" xfId="0" applyNumberFormat="1" applyFont="1" applyFill="1" applyBorder="1" applyAlignment="1">
      <alignment horizontal="right"/>
    </xf>
    <xf numFmtId="3" fontId="64" fillId="0" borderId="0" xfId="19" applyNumberFormat="1" applyFont="1" applyFill="1" applyBorder="1" applyAlignment="1">
      <alignment horizontal="right"/>
    </xf>
    <xf numFmtId="3" fontId="67" fillId="0" borderId="0" xfId="19" applyNumberFormat="1" applyFont="1" applyFill="1" applyBorder="1" applyAlignment="1">
      <alignment horizontal="right" vertical="center"/>
    </xf>
    <xf numFmtId="3" fontId="67" fillId="0" borderId="0" xfId="19" applyNumberFormat="1" applyFont="1" applyFill="1" applyBorder="1" applyAlignment="1">
      <alignment horizontal="right"/>
    </xf>
    <xf numFmtId="3" fontId="59" fillId="0" borderId="0" xfId="0" applyNumberFormat="1" applyFont="1" applyFill="1" applyAlignment="1">
      <alignment horizontal="right"/>
    </xf>
    <xf numFmtId="1" fontId="30" fillId="0" borderId="0" xfId="19" applyNumberFormat="1" applyFont="1" applyFill="1" applyBorder="1" applyAlignment="1">
      <alignment horizontal="center" vertical="center"/>
    </xf>
    <xf numFmtId="14" fontId="37" fillId="0" borderId="0" xfId="0" applyNumberFormat="1" applyFont="1" applyAlignment="1">
      <alignment horizontal="left"/>
    </xf>
    <xf numFmtId="164" fontId="37" fillId="0" borderId="1" xfId="0" applyNumberFormat="1" applyFont="1" applyFill="1" applyBorder="1" applyAlignment="1">
      <alignment horizontal="center"/>
    </xf>
    <xf numFmtId="2" fontId="37" fillId="0" borderId="1" xfId="0" applyNumberFormat="1" applyFont="1" applyFill="1" applyBorder="1" applyAlignment="1">
      <alignment horizontal="center"/>
    </xf>
    <xf numFmtId="164" fontId="37" fillId="0" borderId="0" xfId="0" applyNumberFormat="1" applyFont="1" applyFill="1" applyBorder="1" applyAlignment="1">
      <alignment horizontal="center"/>
    </xf>
    <xf numFmtId="164" fontId="37" fillId="0" borderId="5" xfId="0" applyNumberFormat="1" applyFont="1" applyFill="1" applyBorder="1" applyAlignment="1">
      <alignment horizontal="center"/>
    </xf>
    <xf numFmtId="2" fontId="37" fillId="0" borderId="5" xfId="0" applyNumberFormat="1" applyFont="1" applyFill="1" applyBorder="1" applyAlignment="1">
      <alignment horizontal="center"/>
    </xf>
    <xf numFmtId="171" fontId="37" fillId="0" borderId="0" xfId="0" applyNumberFormat="1" applyFont="1" applyFill="1" applyAlignment="1">
      <alignment horizontal="center"/>
    </xf>
    <xf numFmtId="2" fontId="37" fillId="0" borderId="0" xfId="0" applyNumberFormat="1" applyFont="1" applyFill="1" applyAlignment="1">
      <alignment horizontal="center"/>
    </xf>
    <xf numFmtId="167" fontId="4" fillId="0" borderId="0" xfId="0" applyNumberFormat="1" applyFont="1" applyBorder="1" applyAlignment="1">
      <alignment horizontal="center" vertical="top"/>
    </xf>
    <xf numFmtId="0" fontId="4" fillId="0" borderId="0" xfId="0" applyFont="1" applyBorder="1" applyAlignment="1">
      <alignment horizontal="center" vertical="top" wrapText="1"/>
    </xf>
    <xf numFmtId="171" fontId="37" fillId="0" borderId="0" xfId="0" applyNumberFormat="1" applyFont="1" applyAlignment="1">
      <alignment horizontal="center"/>
    </xf>
    <xf numFmtId="164" fontId="0" fillId="0" borderId="0" xfId="0" applyNumberFormat="1" applyFont="1" applyFill="1"/>
    <xf numFmtId="2" fontId="0" fillId="0" borderId="0" xfId="0" applyNumberFormat="1" applyFont="1" applyFill="1"/>
    <xf numFmtId="164" fontId="0" fillId="0" borderId="8" xfId="0" applyNumberFormat="1" applyFont="1" applyBorder="1" applyAlignment="1">
      <alignment horizontal="center"/>
    </xf>
    <xf numFmtId="164" fontId="0" fillId="0" borderId="0" xfId="0" applyNumberFormat="1" applyFont="1" applyBorder="1" applyAlignment="1">
      <alignment horizontal="right"/>
    </xf>
    <xf numFmtId="164" fontId="60" fillId="0" borderId="0" xfId="0" applyNumberFormat="1" applyFont="1" applyBorder="1" applyAlignment="1">
      <alignment horizontal="right"/>
    </xf>
    <xf numFmtId="0" fontId="59" fillId="0" borderId="0" xfId="0" applyFont="1" applyAlignment="1">
      <alignment horizontal="center"/>
    </xf>
    <xf numFmtId="3" fontId="64" fillId="0" borderId="0" xfId="19" applyNumberFormat="1" applyFont="1" applyBorder="1" applyAlignment="1">
      <alignment horizontal="right" vertical="center"/>
    </xf>
    <xf numFmtId="0" fontId="61" fillId="0" borderId="0" xfId="0" applyFont="1" applyFill="1"/>
    <xf numFmtId="0" fontId="60" fillId="0" borderId="0" xfId="19" applyNumberFormat="1" applyFont="1" applyBorder="1" applyAlignment="1">
      <alignment vertical="center"/>
    </xf>
    <xf numFmtId="164" fontId="0" fillId="0" borderId="0" xfId="0" applyNumberFormat="1" applyFont="1" applyFill="1" applyBorder="1"/>
    <xf numFmtId="2" fontId="0" fillId="0" borderId="0" xfId="0" applyNumberFormat="1" applyFont="1" applyFill="1" applyBorder="1"/>
    <xf numFmtId="0" fontId="0" fillId="0" borderId="0" xfId="0" applyFont="1" applyFill="1" applyBorder="1"/>
    <xf numFmtId="164" fontId="0" fillId="0" borderId="1" xfId="0" applyNumberFormat="1" applyFont="1" applyFill="1" applyBorder="1"/>
    <xf numFmtId="3" fontId="64" fillId="0" borderId="0" xfId="19" applyNumberFormat="1" applyFont="1" applyBorder="1" applyAlignment="1" applyProtection="1">
      <alignment horizontal="right" vertical="center"/>
    </xf>
    <xf numFmtId="3" fontId="59" fillId="0" borderId="0" xfId="19" applyNumberFormat="1" applyFont="1" applyBorder="1" applyAlignment="1">
      <alignment horizontal="right"/>
    </xf>
    <xf numFmtId="3" fontId="59" fillId="0" borderId="0" xfId="0" applyNumberFormat="1" applyFont="1" applyFill="1" applyBorder="1" applyAlignment="1">
      <alignment horizontal="right"/>
    </xf>
    <xf numFmtId="3" fontId="59" fillId="0" borderId="0" xfId="0" applyNumberFormat="1" applyFont="1" applyBorder="1" applyAlignment="1">
      <alignment horizontal="right"/>
    </xf>
    <xf numFmtId="0" fontId="67" fillId="0" borderId="0" xfId="19" applyNumberFormat="1" applyFont="1" applyBorder="1" applyAlignment="1"/>
    <xf numFmtId="0" fontId="59" fillId="0" borderId="0" xfId="19" applyNumberFormat="1" applyFont="1" applyBorder="1" applyAlignment="1">
      <alignment horizontal="center"/>
    </xf>
    <xf numFmtId="164" fontId="0" fillId="0" borderId="8" xfId="0" applyNumberFormat="1" applyFont="1" applyFill="1" applyBorder="1" applyAlignment="1">
      <alignment horizontal="center"/>
    </xf>
    <xf numFmtId="164" fontId="0" fillId="0" borderId="5" xfId="0" applyNumberFormat="1" applyFont="1" applyFill="1" applyBorder="1"/>
    <xf numFmtId="3" fontId="0" fillId="0" borderId="0" xfId="0" applyNumberFormat="1" applyFont="1"/>
    <xf numFmtId="3" fontId="64" fillId="0" borderId="0" xfId="19" applyNumberFormat="1" applyFont="1" applyBorder="1" applyAlignment="1">
      <alignment horizontal="right" vertical="top"/>
    </xf>
    <xf numFmtId="3" fontId="30" fillId="0" borderId="0" xfId="19" applyNumberFormat="1" applyFont="1" applyBorder="1" applyAlignment="1">
      <alignment horizontal="right" wrapText="1"/>
    </xf>
    <xf numFmtId="172" fontId="59" fillId="0" borderId="0" xfId="21" applyFont="1"/>
    <xf numFmtId="3" fontId="64" fillId="0" borderId="0" xfId="19" applyNumberFormat="1" applyFont="1" applyAlignment="1">
      <alignment horizontal="right"/>
    </xf>
    <xf numFmtId="3" fontId="64" fillId="0" borderId="0" xfId="19" applyNumberFormat="1" applyFont="1" applyBorder="1" applyAlignment="1">
      <alignment horizontal="right"/>
    </xf>
    <xf numFmtId="1" fontId="30" fillId="0" borderId="0" xfId="19" applyNumberFormat="1" applyFont="1" applyBorder="1" applyAlignment="1">
      <alignment horizontal="right" vertical="center"/>
    </xf>
    <xf numFmtId="0" fontId="30" fillId="0" borderId="0" xfId="19" applyNumberFormat="1" applyFont="1" applyBorder="1" applyAlignment="1">
      <alignment horizontal="left" vertical="top" wrapText="1"/>
    </xf>
    <xf numFmtId="1" fontId="30" fillId="0" borderId="0" xfId="19" applyNumberFormat="1" applyFont="1" applyBorder="1" applyAlignment="1">
      <alignment horizontal="center" vertical="center"/>
    </xf>
    <xf numFmtId="0" fontId="1" fillId="0" borderId="0" xfId="0" applyFont="1" applyFill="1" applyBorder="1" applyAlignment="1">
      <alignment horizontal="center" vertical="center" wrapText="1"/>
    </xf>
    <xf numFmtId="0" fontId="28" fillId="0" borderId="0" xfId="0" applyFont="1" applyBorder="1" applyAlignment="1">
      <alignment horizontal="center"/>
    </xf>
    <xf numFmtId="0" fontId="68" fillId="0" borderId="0" xfId="0" applyFont="1" applyAlignment="1">
      <alignment horizontal="centerContinuous"/>
    </xf>
    <xf numFmtId="4" fontId="2" fillId="0" borderId="3" xfId="0" applyNumberFormat="1" applyFont="1" applyFill="1" applyBorder="1" applyAlignment="1">
      <alignment horizontal="center"/>
    </xf>
    <xf numFmtId="3" fontId="37" fillId="0" borderId="0" xfId="0" applyNumberFormat="1" applyFont="1" applyBorder="1" applyAlignment="1">
      <alignment horizontal="right"/>
    </xf>
    <xf numFmtId="3" fontId="37" fillId="0" borderId="0" xfId="0" applyNumberFormat="1" applyFont="1" applyFill="1" applyBorder="1" applyAlignment="1">
      <alignment horizontal="right" vertical="top" wrapText="1"/>
    </xf>
    <xf numFmtId="3" fontId="37" fillId="0" borderId="0" xfId="0" applyNumberFormat="1" applyFont="1" applyFill="1" applyBorder="1" applyAlignment="1">
      <alignment horizontal="right"/>
    </xf>
    <xf numFmtId="3" fontId="37" fillId="0" borderId="0" xfId="0" applyNumberFormat="1" applyFont="1" applyAlignment="1">
      <alignment horizontal="right"/>
    </xf>
    <xf numFmtId="0" fontId="37" fillId="0" borderId="0" xfId="0" applyFont="1" applyFill="1" applyBorder="1" applyAlignment="1">
      <alignment horizontal="right" vertical="top" wrapText="1"/>
    </xf>
    <xf numFmtId="0" fontId="37" fillId="0" borderId="0" xfId="0" applyFont="1" applyFill="1" applyBorder="1" applyAlignment="1">
      <alignment horizontal="right" vertical="center" wrapText="1"/>
    </xf>
    <xf numFmtId="3" fontId="1" fillId="0" borderId="0" xfId="0" applyNumberFormat="1" applyFont="1" applyBorder="1" applyAlignment="1">
      <alignment horizontal="center"/>
    </xf>
    <xf numFmtId="0" fontId="1" fillId="0" borderId="0" xfId="0" applyFont="1" applyFill="1" applyBorder="1" applyAlignment="1">
      <alignment vertical="center" wrapText="1"/>
    </xf>
    <xf numFmtId="4" fontId="0" fillId="0" borderId="0" xfId="0" applyNumberFormat="1" applyFont="1" applyFill="1"/>
    <xf numFmtId="0" fontId="0" fillId="0" borderId="1" xfId="0" applyFont="1" applyFill="1" applyBorder="1"/>
    <xf numFmtId="4" fontId="0" fillId="0" borderId="1" xfId="0" applyNumberFormat="1" applyFont="1" applyFill="1" applyBorder="1"/>
    <xf numFmtId="0" fontId="0" fillId="0" borderId="5" xfId="0" applyFont="1" applyFill="1" applyBorder="1"/>
    <xf numFmtId="4" fontId="0" fillId="0" borderId="5" xfId="0" applyNumberFormat="1" applyFont="1" applyFill="1" applyBorder="1"/>
    <xf numFmtId="4" fontId="0" fillId="0" borderId="0" xfId="0" applyNumberFormat="1" applyFont="1" applyBorder="1" applyAlignment="1"/>
    <xf numFmtId="0" fontId="60" fillId="0" borderId="0" xfId="0" applyFont="1" applyFill="1"/>
    <xf numFmtId="4" fontId="60" fillId="0" borderId="3" xfId="0" applyNumberFormat="1" applyFont="1" applyFill="1" applyBorder="1" applyAlignment="1">
      <alignment horizontal="left"/>
    </xf>
    <xf numFmtId="4" fontId="60" fillId="0" borderId="3" xfId="0" applyNumberFormat="1" applyFont="1" applyFill="1" applyBorder="1" applyAlignment="1">
      <alignment horizontal="center"/>
    </xf>
    <xf numFmtId="4" fontId="60" fillId="0" borderId="4" xfId="0" applyNumberFormat="1" applyFont="1" applyFill="1" applyBorder="1" applyAlignment="1">
      <alignment horizontal="center"/>
    </xf>
    <xf numFmtId="0" fontId="60" fillId="0" borderId="4" xfId="0" applyFont="1" applyFill="1" applyBorder="1" applyAlignment="1">
      <alignment horizontal="center"/>
    </xf>
    <xf numFmtId="4" fontId="60" fillId="0" borderId="0" xfId="0" applyNumberFormat="1" applyFont="1" applyBorder="1" applyAlignment="1">
      <alignment horizontal="center"/>
    </xf>
    <xf numFmtId="0" fontId="62" fillId="0" borderId="0" xfId="0" applyFont="1" applyFill="1" applyBorder="1" applyAlignment="1" applyProtection="1">
      <alignment horizontal="left"/>
      <protection locked="0"/>
    </xf>
    <xf numFmtId="4" fontId="59" fillId="0" borderId="0" xfId="0" applyNumberFormat="1" applyFont="1" applyFill="1"/>
    <xf numFmtId="0" fontId="59" fillId="0" borderId="0" xfId="0" applyFont="1" applyFill="1" applyAlignment="1">
      <alignment horizontal="justify"/>
    </xf>
    <xf numFmtId="4" fontId="0" fillId="0" borderId="0" xfId="0" applyNumberFormat="1" applyFont="1"/>
    <xf numFmtId="0" fontId="0" fillId="0" borderId="2" xfId="0" applyFont="1" applyBorder="1"/>
    <xf numFmtId="14" fontId="59" fillId="0" borderId="0" xfId="0" applyNumberFormat="1" applyFont="1"/>
    <xf numFmtId="0" fontId="59" fillId="0" borderId="15" xfId="0" applyFont="1" applyBorder="1"/>
    <xf numFmtId="0" fontId="59" fillId="0" borderId="0" xfId="0" applyFont="1" applyBorder="1" applyAlignment="1">
      <alignment horizontal="left"/>
    </xf>
    <xf numFmtId="49" fontId="59" fillId="0" borderId="0" xfId="0" applyNumberFormat="1" applyFont="1" applyBorder="1" applyAlignment="1">
      <alignment horizontal="center"/>
    </xf>
    <xf numFmtId="0" fontId="59" fillId="0" borderId="2" xfId="0" applyFont="1" applyBorder="1" applyAlignment="1">
      <alignment horizontal="left"/>
    </xf>
    <xf numFmtId="0" fontId="59" fillId="0" borderId="2" xfId="0" applyFont="1" applyBorder="1"/>
    <xf numFmtId="2" fontId="59" fillId="0" borderId="2" xfId="0" applyNumberFormat="1" applyFont="1" applyBorder="1"/>
    <xf numFmtId="3" fontId="59" fillId="0" borderId="0" xfId="0" applyNumberFormat="1" applyFont="1" applyBorder="1"/>
    <xf numFmtId="0" fontId="59" fillId="0" borderId="0" xfId="0" applyFont="1" applyFill="1" applyBorder="1" applyAlignment="1">
      <alignment horizontal="left"/>
    </xf>
    <xf numFmtId="0" fontId="59" fillId="0" borderId="0" xfId="0" applyFont="1" applyAlignment="1">
      <alignment vertical="top"/>
    </xf>
    <xf numFmtId="0" fontId="37" fillId="0" borderId="0" xfId="0" applyFont="1" applyAlignment="1"/>
    <xf numFmtId="0" fontId="1" fillId="0" borderId="4" xfId="0" applyFont="1" applyBorder="1"/>
    <xf numFmtId="0" fontId="69" fillId="0" borderId="0" xfId="0" applyFont="1" applyFill="1"/>
    <xf numFmtId="4" fontId="70" fillId="0" borderId="0" xfId="0" applyNumberFormat="1" applyFont="1" applyBorder="1"/>
    <xf numFmtId="0" fontId="70" fillId="0" borderId="0" xfId="0" applyFont="1" applyFill="1"/>
    <xf numFmtId="4" fontId="70" fillId="0" borderId="3" xfId="0" applyNumberFormat="1" applyFont="1" applyFill="1" applyBorder="1" applyAlignment="1">
      <alignment horizontal="left"/>
    </xf>
    <xf numFmtId="4" fontId="70" fillId="0" borderId="3" xfId="0" applyNumberFormat="1" applyFont="1" applyFill="1" applyBorder="1" applyAlignment="1">
      <alignment horizontal="center"/>
    </xf>
    <xf numFmtId="4" fontId="70" fillId="0" borderId="0" xfId="0" applyNumberFormat="1" applyFont="1" applyFill="1" applyBorder="1" applyAlignment="1">
      <alignment horizontal="right"/>
    </xf>
    <xf numFmtId="4" fontId="70" fillId="0" borderId="4" xfId="0" applyNumberFormat="1" applyFont="1" applyFill="1" applyBorder="1" applyAlignment="1">
      <alignment horizontal="center"/>
    </xf>
    <xf numFmtId="0" fontId="70" fillId="0" borderId="4" xfId="0" applyFont="1" applyFill="1" applyBorder="1" applyAlignment="1">
      <alignment horizontal="center"/>
    </xf>
    <xf numFmtId="4" fontId="70" fillId="0" borderId="0" xfId="0" applyNumberFormat="1" applyFont="1" applyBorder="1" applyAlignment="1">
      <alignment horizontal="center"/>
    </xf>
    <xf numFmtId="0" fontId="71" fillId="0" borderId="0" xfId="0" applyFont="1" applyFill="1" applyBorder="1" applyAlignment="1" applyProtection="1">
      <alignment horizontal="left"/>
      <protection locked="0"/>
    </xf>
    <xf numFmtId="0" fontId="72" fillId="0" borderId="0" xfId="0" applyFont="1" applyFill="1"/>
    <xf numFmtId="0" fontId="73" fillId="0" borderId="0" xfId="0" applyFont="1" applyFill="1"/>
    <xf numFmtId="0" fontId="73" fillId="0" borderId="0" xfId="0" applyFont="1"/>
    <xf numFmtId="4" fontId="73" fillId="0" borderId="0" xfId="0" applyNumberFormat="1" applyFont="1" applyFill="1"/>
    <xf numFmtId="4" fontId="73" fillId="0" borderId="0" xfId="0" applyNumberFormat="1" applyFont="1" applyBorder="1"/>
    <xf numFmtId="0" fontId="73" fillId="0" borderId="1" xfId="0" applyFont="1" applyFill="1" applyBorder="1"/>
    <xf numFmtId="0" fontId="73" fillId="0" borderId="1" xfId="0" applyFont="1" applyBorder="1"/>
    <xf numFmtId="4" fontId="73" fillId="0" borderId="1" xfId="0" applyNumberFormat="1" applyFont="1" applyFill="1" applyBorder="1"/>
    <xf numFmtId="0" fontId="73" fillId="0" borderId="5" xfId="0" applyFont="1" applyFill="1" applyBorder="1"/>
    <xf numFmtId="0" fontId="73" fillId="0" borderId="5" xfId="0" applyFont="1" applyBorder="1"/>
    <xf numFmtId="4" fontId="73" fillId="0" borderId="5" xfId="0" applyNumberFormat="1" applyFont="1" applyFill="1" applyBorder="1"/>
    <xf numFmtId="2" fontId="73" fillId="0" borderId="0" xfId="0" applyNumberFormat="1" applyFont="1" applyFill="1"/>
    <xf numFmtId="4" fontId="73" fillId="0" borderId="0" xfId="0" applyNumberFormat="1" applyFont="1" applyBorder="1" applyAlignment="1"/>
    <xf numFmtId="0" fontId="69" fillId="0" borderId="0" xfId="0" applyFont="1" applyFill="1" applyAlignment="1">
      <alignment horizontal="justify"/>
    </xf>
    <xf numFmtId="0" fontId="10" fillId="0" borderId="0" xfId="0" applyFont="1" applyAlignment="1">
      <alignment horizontal="left" vertical="top" wrapText="1"/>
    </xf>
    <xf numFmtId="4" fontId="1" fillId="0" borderId="0" xfId="0" applyNumberFormat="1" applyFont="1" applyFill="1" applyBorder="1" applyAlignment="1">
      <alignment vertical="center" wrapText="1"/>
    </xf>
    <xf numFmtId="4" fontId="63" fillId="0" borderId="0" xfId="0" applyNumberFormat="1" applyFont="1" applyBorder="1"/>
    <xf numFmtId="0" fontId="10" fillId="0" borderId="0" xfId="0" applyFont="1" applyFill="1" applyAlignment="1">
      <alignment horizontal="left"/>
    </xf>
    <xf numFmtId="0" fontId="2" fillId="0" borderId="2" xfId="0" applyFont="1" applyFill="1" applyBorder="1" applyAlignment="1">
      <alignment horizontal="center"/>
    </xf>
    <xf numFmtId="0" fontId="2" fillId="0" borderId="3" xfId="0" applyFont="1" applyFill="1" applyBorder="1" applyAlignment="1">
      <alignment horizontal="center"/>
    </xf>
    <xf numFmtId="4" fontId="2" fillId="0" borderId="3" xfId="0" applyNumberFormat="1" applyFont="1" applyFill="1" applyBorder="1" applyAlignment="1">
      <alignment horizontal="center"/>
    </xf>
    <xf numFmtId="164" fontId="37" fillId="0" borderId="7" xfId="0" applyNumberFormat="1" applyFont="1" applyFill="1" applyBorder="1" applyAlignment="1">
      <alignment horizontal="center"/>
    </xf>
    <xf numFmtId="164" fontId="37" fillId="0" borderId="7" xfId="0" applyNumberFormat="1" applyFont="1" applyBorder="1" applyAlignment="1">
      <alignment horizontal="center"/>
    </xf>
    <xf numFmtId="49" fontId="37" fillId="0" borderId="7" xfId="0" applyNumberFormat="1" applyFont="1" applyBorder="1" applyAlignment="1">
      <alignment horizontal="center"/>
    </xf>
    <xf numFmtId="164" fontId="0" fillId="0" borderId="9" xfId="0" applyNumberFormat="1" applyBorder="1" applyAlignment="1">
      <alignment horizontal="center"/>
    </xf>
    <xf numFmtId="1" fontId="37" fillId="0" borderId="10" xfId="0" applyNumberFormat="1" applyFont="1" applyFill="1" applyBorder="1" applyAlignment="1">
      <alignment horizontal="left"/>
    </xf>
    <xf numFmtId="0" fontId="37" fillId="0" borderId="10" xfId="0" applyFont="1" applyFill="1" applyBorder="1" applyAlignment="1"/>
    <xf numFmtId="164" fontId="37" fillId="0" borderId="10" xfId="0" applyNumberFormat="1" applyFont="1" applyBorder="1" applyAlignment="1">
      <alignment horizontal="center"/>
    </xf>
    <xf numFmtId="0" fontId="37" fillId="0" borderId="9" xfId="0" applyFont="1" applyBorder="1" applyAlignment="1">
      <alignment horizontal="center"/>
    </xf>
    <xf numFmtId="164" fontId="1" fillId="0" borderId="10" xfId="0" applyNumberFormat="1" applyFont="1" applyBorder="1" applyAlignment="1">
      <alignment horizontal="center"/>
    </xf>
    <xf numFmtId="1" fontId="0" fillId="0" borderId="10" xfId="0" applyNumberFormat="1" applyBorder="1" applyAlignment="1">
      <alignment horizontal="center"/>
    </xf>
    <xf numFmtId="164" fontId="0" fillId="0" borderId="10" xfId="0" applyNumberFormat="1" applyBorder="1" applyAlignment="1">
      <alignment horizontal="center"/>
    </xf>
    <xf numFmtId="1" fontId="37" fillId="0" borderId="10" xfId="0" applyNumberFormat="1" applyFont="1" applyBorder="1" applyAlignment="1">
      <alignment horizontal="center"/>
    </xf>
    <xf numFmtId="4" fontId="37" fillId="0" borderId="10" xfId="0" applyNumberFormat="1" applyFont="1" applyFill="1" applyBorder="1" applyAlignment="1">
      <alignment horizontal="center"/>
    </xf>
    <xf numFmtId="4" fontId="37" fillId="0" borderId="10" xfId="0" applyNumberFormat="1" applyFont="1" applyBorder="1" applyAlignment="1">
      <alignment horizontal="center"/>
    </xf>
    <xf numFmtId="0" fontId="0" fillId="0" borderId="10" xfId="0" applyBorder="1" applyAlignment="1">
      <alignment horizontal="center"/>
    </xf>
    <xf numFmtId="49" fontId="4" fillId="0" borderId="10" xfId="0" applyNumberFormat="1" applyFont="1" applyFill="1" applyBorder="1" applyAlignment="1" applyProtection="1">
      <alignment horizontal="center"/>
      <protection locked="0"/>
    </xf>
    <xf numFmtId="49" fontId="0" fillId="0" borderId="0" xfId="0" applyNumberFormat="1" applyBorder="1" applyAlignment="1">
      <alignment horizontal="center"/>
    </xf>
    <xf numFmtId="4" fontId="0" fillId="0" borderId="8" xfId="0" applyNumberFormat="1" applyFill="1" applyBorder="1" applyAlignment="1">
      <alignment horizontal="center"/>
    </xf>
    <xf numFmtId="4" fontId="0" fillId="0" borderId="0" xfId="0" applyNumberFormat="1" applyFill="1" applyBorder="1" applyAlignment="1">
      <alignment horizontal="center"/>
    </xf>
    <xf numFmtId="4" fontId="0" fillId="0" borderId="13" xfId="0" applyNumberFormat="1" applyFill="1" applyBorder="1" applyAlignment="1">
      <alignment horizontal="center"/>
    </xf>
    <xf numFmtId="49" fontId="1" fillId="0" borderId="0" xfId="0" applyNumberFormat="1" applyFont="1" applyBorder="1" applyAlignment="1">
      <alignment horizontal="center"/>
    </xf>
    <xf numFmtId="0" fontId="1" fillId="0" borderId="10" xfId="0" applyFont="1" applyFill="1" applyBorder="1" applyAlignment="1">
      <alignment horizontal="center"/>
    </xf>
    <xf numFmtId="0" fontId="4" fillId="0" borderId="10" xfId="0" applyFont="1" applyFill="1" applyBorder="1" applyAlignment="1">
      <alignment horizontal="center"/>
    </xf>
    <xf numFmtId="0" fontId="4" fillId="0" borderId="10" xfId="0" applyFont="1" applyBorder="1" applyAlignment="1">
      <alignment horizontal="center"/>
    </xf>
    <xf numFmtId="4" fontId="4" fillId="0" borderId="10" xfId="0" applyNumberFormat="1" applyFont="1" applyBorder="1" applyAlignment="1">
      <alignment horizontal="center"/>
    </xf>
    <xf numFmtId="0" fontId="25" fillId="0" borderId="10" xfId="0" applyFont="1" applyBorder="1" applyAlignment="1">
      <alignment horizontal="center"/>
    </xf>
    <xf numFmtId="0" fontId="26" fillId="0" borderId="10" xfId="0" applyFont="1" applyBorder="1" applyAlignment="1">
      <alignment horizontal="center"/>
    </xf>
    <xf numFmtId="2" fontId="1" fillId="0" borderId="10" xfId="0" applyNumberFormat="1" applyFont="1" applyBorder="1" applyAlignment="1">
      <alignment horizontal="center"/>
    </xf>
    <xf numFmtId="0" fontId="1" fillId="0" borderId="10" xfId="0" applyFont="1" applyBorder="1" applyAlignment="1">
      <alignment horizontal="center"/>
    </xf>
    <xf numFmtId="164" fontId="1" fillId="0" borderId="10" xfId="0" applyNumberFormat="1" applyFont="1" applyFill="1" applyBorder="1" applyAlignment="1">
      <alignment horizontal="center"/>
    </xf>
    <xf numFmtId="164" fontId="1" fillId="0" borderId="0" xfId="0" applyNumberFormat="1" applyFont="1" applyBorder="1" applyAlignment="1">
      <alignment horizontal="center"/>
    </xf>
    <xf numFmtId="1" fontId="59" fillId="0" borderId="10" xfId="0" applyNumberFormat="1" applyFont="1" applyBorder="1" applyAlignment="1">
      <alignment horizontal="center"/>
    </xf>
    <xf numFmtId="164" fontId="33" fillId="0" borderId="2" xfId="0" applyNumberFormat="1" applyFont="1" applyBorder="1" applyAlignment="1">
      <alignment horizontal="center"/>
    </xf>
    <xf numFmtId="1" fontId="25" fillId="0" borderId="10" xfId="0" applyNumberFormat="1" applyFont="1" applyFill="1" applyBorder="1" applyAlignment="1">
      <alignment horizontal="center"/>
    </xf>
    <xf numFmtId="0" fontId="33" fillId="0" borderId="2" xfId="0" applyFont="1" applyFill="1" applyBorder="1" applyAlignment="1">
      <alignment horizontal="center"/>
    </xf>
    <xf numFmtId="0" fontId="33" fillId="0" borderId="9" xfId="0" applyFont="1" applyFill="1" applyBorder="1" applyAlignment="1">
      <alignment horizontal="center"/>
    </xf>
    <xf numFmtId="0" fontId="10" fillId="0" borderId="0" xfId="0" applyFont="1" applyAlignment="1">
      <alignment horizontal="left" vertical="top" wrapText="1"/>
    </xf>
    <xf numFmtId="0" fontId="37" fillId="0" borderId="10" xfId="0" applyFont="1" applyFill="1" applyBorder="1" applyAlignment="1">
      <alignment horizontal="center"/>
    </xf>
    <xf numFmtId="1" fontId="4" fillId="0" borderId="10" xfId="0" applyNumberFormat="1" applyFont="1" applyFill="1" applyBorder="1" applyAlignment="1">
      <alignment horizontal="center"/>
    </xf>
    <xf numFmtId="1" fontId="1" fillId="0" borderId="10" xfId="0" applyNumberFormat="1" applyFont="1" applyFill="1" applyBorder="1" applyAlignment="1">
      <alignment horizontal="center"/>
    </xf>
    <xf numFmtId="0" fontId="4" fillId="0" borderId="2" xfId="0" applyFont="1" applyFill="1" applyBorder="1" applyAlignment="1">
      <alignment horizontal="center"/>
    </xf>
    <xf numFmtId="2" fontId="1" fillId="0" borderId="10" xfId="0" applyNumberFormat="1" applyFont="1" applyFill="1" applyBorder="1" applyAlignment="1">
      <alignment horizontal="center"/>
    </xf>
    <xf numFmtId="0" fontId="4" fillId="0" borderId="0" xfId="0" applyFont="1" applyFill="1" applyBorder="1" applyAlignment="1">
      <alignment horizontal="center"/>
    </xf>
    <xf numFmtId="164" fontId="33" fillId="0" borderId="10" xfId="0" applyNumberFormat="1" applyFont="1" applyBorder="1" applyAlignment="1">
      <alignment horizontal="center"/>
    </xf>
    <xf numFmtId="0" fontId="1" fillId="0" borderId="14"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wrapText="1"/>
    </xf>
    <xf numFmtId="0" fontId="1" fillId="3" borderId="0" xfId="0" applyFont="1" applyFill="1" applyBorder="1" applyAlignment="1">
      <alignment horizontal="left" vertical="center"/>
    </xf>
    <xf numFmtId="0" fontId="1" fillId="3" borderId="0" xfId="0" applyFont="1" applyFill="1" applyBorder="1" applyAlignment="1">
      <alignment horizontal="left" vertical="center" wrapText="1"/>
    </xf>
    <xf numFmtId="164" fontId="0" fillId="0" borderId="0" xfId="0" applyNumberFormat="1" applyBorder="1" applyAlignment="1">
      <alignment horizontal="center"/>
    </xf>
    <xf numFmtId="0" fontId="60" fillId="0" borderId="2" xfId="0" applyFont="1" applyFill="1" applyBorder="1" applyAlignment="1">
      <alignment horizontal="center"/>
    </xf>
    <xf numFmtId="0" fontId="60" fillId="0" borderId="3" xfId="0" applyFont="1" applyFill="1" applyBorder="1" applyAlignment="1">
      <alignment horizontal="center"/>
    </xf>
    <xf numFmtId="0" fontId="33" fillId="0" borderId="10" xfId="0" applyNumberFormat="1" applyFont="1" applyBorder="1" applyAlignment="1">
      <alignment horizontal="center"/>
    </xf>
    <xf numFmtId="49" fontId="33" fillId="0" borderId="10" xfId="0" applyNumberFormat="1" applyFont="1" applyBorder="1" applyAlignment="1">
      <alignment horizontal="center"/>
    </xf>
    <xf numFmtId="0" fontId="59" fillId="0" borderId="9" xfId="0" applyFont="1" applyBorder="1" applyAlignment="1">
      <alignment horizontal="center"/>
    </xf>
    <xf numFmtId="164" fontId="1" fillId="0" borderId="2" xfId="0" applyNumberFormat="1" applyFont="1" applyBorder="1" applyAlignment="1">
      <alignment horizontal="center"/>
    </xf>
    <xf numFmtId="0" fontId="33" fillId="0" borderId="9" xfId="0" applyFont="1" applyBorder="1" applyAlignment="1">
      <alignment horizontal="center"/>
    </xf>
    <xf numFmtId="164" fontId="25" fillId="0" borderId="2" xfId="0" applyNumberFormat="1" applyFont="1" applyBorder="1" applyAlignment="1">
      <alignment horizontal="center"/>
    </xf>
    <xf numFmtId="164" fontId="25" fillId="0" borderId="9" xfId="0" applyNumberFormat="1" applyFont="1" applyBorder="1" applyAlignment="1">
      <alignment horizontal="center"/>
    </xf>
    <xf numFmtId="164" fontId="57" fillId="0" borderId="9" xfId="0" applyNumberFormat="1" applyFont="1" applyBorder="1" applyAlignment="1">
      <alignment horizontal="center"/>
    </xf>
    <xf numFmtId="164" fontId="25" fillId="0" borderId="10" xfId="0" applyNumberFormat="1" applyFont="1" applyBorder="1" applyAlignment="1">
      <alignment horizontal="center"/>
    </xf>
    <xf numFmtId="164" fontId="37" fillId="0" borderId="10" xfId="0" applyNumberFormat="1" applyFont="1" applyFill="1" applyBorder="1" applyAlignment="1">
      <alignment horizontal="center"/>
    </xf>
    <xf numFmtId="164" fontId="59" fillId="0" borderId="10" xfId="0" applyNumberFormat="1" applyFont="1" applyBorder="1" applyAlignment="1">
      <alignment horizontal="center"/>
    </xf>
    <xf numFmtId="164" fontId="0" fillId="0" borderId="10" xfId="0" applyNumberFormat="1" applyFont="1" applyBorder="1" applyAlignment="1">
      <alignment horizontal="center"/>
    </xf>
    <xf numFmtId="164" fontId="37" fillId="0" borderId="10" xfId="0" applyNumberFormat="1" applyFont="1" applyBorder="1" applyAlignment="1">
      <alignment horizontal="left"/>
    </xf>
    <xf numFmtId="0" fontId="37" fillId="0" borderId="10" xfId="0" applyFont="1" applyBorder="1" applyAlignment="1"/>
    <xf numFmtId="164" fontId="37" fillId="0" borderId="10" xfId="0" applyNumberFormat="1" applyFont="1" applyBorder="1" applyAlignment="1"/>
    <xf numFmtId="164" fontId="0" fillId="0" borderId="10" xfId="0" applyNumberFormat="1" applyFill="1" applyBorder="1" applyAlignment="1">
      <alignment horizontal="center"/>
    </xf>
    <xf numFmtId="0" fontId="37" fillId="0" borderId="10" xfId="0" applyFont="1" applyBorder="1" applyAlignment="1">
      <alignment horizontal="center"/>
    </xf>
    <xf numFmtId="3" fontId="1" fillId="0" borderId="10" xfId="0" applyNumberFormat="1" applyFont="1" applyBorder="1" applyAlignment="1">
      <alignment horizontal="center"/>
    </xf>
    <xf numFmtId="0" fontId="59" fillId="0" borderId="10" xfId="0" applyFont="1" applyBorder="1" applyAlignment="1">
      <alignment horizontal="center"/>
    </xf>
    <xf numFmtId="0" fontId="0" fillId="0" borderId="10" xfId="0" applyFont="1" applyBorder="1" applyAlignment="1">
      <alignment horizontal="center"/>
    </xf>
    <xf numFmtId="2" fontId="59" fillId="0" borderId="10" xfId="0" applyNumberFormat="1" applyFont="1" applyBorder="1" applyAlignment="1">
      <alignment horizontal="center"/>
    </xf>
    <xf numFmtId="164" fontId="37" fillId="0" borderId="2" xfId="0" applyNumberFormat="1" applyFont="1" applyBorder="1" applyAlignment="1">
      <alignment horizontal="center"/>
    </xf>
    <xf numFmtId="164" fontId="37" fillId="0" borderId="0" xfId="0" applyNumberFormat="1" applyFont="1" applyBorder="1" applyAlignment="1">
      <alignment horizontal="center"/>
    </xf>
    <xf numFmtId="164" fontId="59" fillId="0" borderId="0" xfId="0" applyNumberFormat="1" applyFont="1" applyAlignment="1">
      <alignment horizontal="left" wrapText="1"/>
    </xf>
    <xf numFmtId="0" fontId="1" fillId="0" borderId="0" xfId="19" applyNumberFormat="1" applyFont="1" applyBorder="1" applyAlignment="1">
      <alignment horizontal="left" vertical="center" wrapText="1"/>
    </xf>
    <xf numFmtId="0" fontId="25" fillId="0" borderId="0" xfId="0" applyFont="1" applyBorder="1" applyAlignment="1">
      <alignment horizontal="center"/>
    </xf>
    <xf numFmtId="0" fontId="25" fillId="0" borderId="9" xfId="0" applyFont="1" applyBorder="1" applyAlignment="1">
      <alignment horizontal="center"/>
    </xf>
    <xf numFmtId="0" fontId="0" fillId="0" borderId="9" xfId="0" applyBorder="1" applyAlignment="1">
      <alignment horizontal="center"/>
    </xf>
    <xf numFmtId="0" fontId="70" fillId="0" borderId="2" xfId="0" applyFont="1" applyFill="1" applyBorder="1" applyAlignment="1">
      <alignment horizontal="center"/>
    </xf>
    <xf numFmtId="0" fontId="70" fillId="0" borderId="3" xfId="0" applyFont="1" applyFill="1" applyBorder="1" applyAlignment="1">
      <alignment horizontal="center"/>
    </xf>
  </cellXfs>
  <cellStyles count="22">
    <cellStyle name="Euro" xfId="21"/>
    <cellStyle name="Normal" xfId="0" builtinId="0"/>
    <cellStyle name="Normal 2" xfId="20"/>
    <cellStyle name="Normal_D8,1" xfId="15"/>
    <cellStyle name="Porcentual" xfId="1" builtinId="5"/>
    <cellStyle name="style1459790871708" xfId="10"/>
    <cellStyle name="style1459790871858" xfId="5"/>
    <cellStyle name="style1459954280664" xfId="17"/>
    <cellStyle name="style1488388455725" xfId="9"/>
    <cellStyle name="style1488388455790" xfId="6"/>
    <cellStyle name="style1488388455857" xfId="4"/>
    <cellStyle name="style1488389756850" xfId="18"/>
    <cellStyle name="style1488389756878" xfId="12"/>
    <cellStyle name="style1522860076426" xfId="7"/>
    <cellStyle name="style1522860076459" xfId="8"/>
    <cellStyle name="style1522860076525" xfId="2"/>
    <cellStyle name="style1522860076557" xfId="3"/>
    <cellStyle name="style1522862456160" xfId="16"/>
    <cellStyle name="style1522862456190" xfId="14"/>
    <cellStyle name="style1522862456255" xfId="13"/>
    <cellStyle name="style1522862456294" xfId="11"/>
    <cellStyle name="Texto explicativo" xfId="19" builtinId="5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12.xml"/><Relationship Id="rId159" Type="http://schemas.openxmlformats.org/officeDocument/2006/relationships/externalLink" Target="externalLinks/externalLink17.xml"/><Relationship Id="rId175" Type="http://schemas.openxmlformats.org/officeDocument/2006/relationships/externalLink" Target="externalLinks/externalLink33.xml"/><Relationship Id="rId170"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2.xml"/><Relationship Id="rId14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8.xml"/><Relationship Id="rId165" Type="http://schemas.openxmlformats.org/officeDocument/2006/relationships/externalLink" Target="externalLinks/externalLink23.xml"/><Relationship Id="rId181" Type="http://schemas.openxmlformats.org/officeDocument/2006/relationships/externalLink" Target="externalLinks/externalLink39.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8.xml"/><Relationship Id="rId155" Type="http://schemas.openxmlformats.org/officeDocument/2006/relationships/externalLink" Target="externalLinks/externalLink13.xml"/><Relationship Id="rId171" Type="http://schemas.openxmlformats.org/officeDocument/2006/relationships/externalLink" Target="externalLinks/externalLink29.xml"/><Relationship Id="rId176"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3.xml"/><Relationship Id="rId161" Type="http://schemas.openxmlformats.org/officeDocument/2006/relationships/externalLink" Target="externalLinks/externalLink19.xml"/><Relationship Id="rId166" Type="http://schemas.openxmlformats.org/officeDocument/2006/relationships/externalLink" Target="externalLinks/externalLink24.xml"/><Relationship Id="rId182" Type="http://schemas.openxmlformats.org/officeDocument/2006/relationships/externalLink" Target="externalLinks/externalLink40.xml"/><Relationship Id="rId18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9.xml"/><Relationship Id="rId156" Type="http://schemas.openxmlformats.org/officeDocument/2006/relationships/externalLink" Target="externalLinks/externalLink14.xml"/><Relationship Id="rId177" Type="http://schemas.openxmlformats.org/officeDocument/2006/relationships/externalLink" Target="externalLinks/externalLink35.xml"/><Relationship Id="rId172" Type="http://schemas.openxmlformats.org/officeDocument/2006/relationships/externalLink" Target="externalLinks/externalLink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4.xml"/><Relationship Id="rId167"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0.xml"/><Relationship Id="rId183"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5.xml"/><Relationship Id="rId178" Type="http://schemas.openxmlformats.org/officeDocument/2006/relationships/externalLink" Target="externalLinks/externalLink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0.xml"/><Relationship Id="rId173"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5.xml"/><Relationship Id="rId168"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21.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1.xml"/><Relationship Id="rId174" Type="http://schemas.openxmlformats.org/officeDocument/2006/relationships/externalLink" Target="externalLinks/externalLink32.xml"/><Relationship Id="rId179" Type="http://schemas.openxmlformats.org/officeDocument/2006/relationships/externalLink" Target="externalLinks/externalLink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xml"/><Relationship Id="rId148" Type="http://schemas.openxmlformats.org/officeDocument/2006/relationships/externalLink" Target="externalLinks/externalLink6.xml"/><Relationship Id="rId164" Type="http://schemas.openxmlformats.org/officeDocument/2006/relationships/externalLink" Target="externalLinks/externalLink22.xml"/><Relationship Id="rId169" Type="http://schemas.openxmlformats.org/officeDocument/2006/relationships/externalLink" Target="externalLinks/externalLink27.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7299275003212009"/>
          <c:y val="4.2696389706504898E-2"/>
        </c:manualLayout>
      </c:layout>
    </c:title>
    <c:view3D>
      <c:rotX val="75"/>
      <c:perspective val="0"/>
    </c:view3D>
    <c:plotArea>
      <c:layout>
        <c:manualLayout>
          <c:layoutTarget val="inner"/>
          <c:xMode val="edge"/>
          <c:yMode val="edge"/>
          <c:x val="0.31917318796689093"/>
          <c:y val="0.21927488623670471"/>
          <c:w val="0.42436680799515736"/>
          <c:h val="0.70893213819970613"/>
        </c:manualLayout>
      </c:layout>
      <c:pie3DChart>
        <c:varyColors val="1"/>
        <c:ser>
          <c:idx val="3"/>
          <c:order val="0"/>
          <c:dPt>
            <c:idx val="0"/>
            <c:spPr>
              <a:solidFill>
                <a:schemeClr val="accent2">
                  <a:lumMod val="20000"/>
                  <a:lumOff val="80000"/>
                </a:schemeClr>
              </a:solidFill>
            </c:spPr>
          </c:dPt>
          <c:dPt>
            <c:idx val="1"/>
            <c:spPr>
              <a:solidFill>
                <a:schemeClr val="accent3">
                  <a:lumMod val="20000"/>
                  <a:lumOff val="80000"/>
                </a:schemeClr>
              </a:solidFill>
            </c:spPr>
          </c:dPt>
          <c:dPt>
            <c:idx val="2"/>
            <c:spPr>
              <a:solidFill>
                <a:schemeClr val="bg2">
                  <a:lumMod val="90000"/>
                </a:schemeClr>
              </a:solidFill>
            </c:spPr>
          </c:dPt>
          <c:dLbls>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([1]GRH1!$A$1,[1]GRH1!$B$1,[1]GRH1!$C$1)</c:f>
              <c:strCache>
                <c:ptCount val="3"/>
                <c:pt idx="0">
                  <c:v>Docente</c:v>
                </c:pt>
                <c:pt idx="1">
                  <c:v>Administración </c:v>
                </c:pt>
                <c:pt idx="2">
                  <c:v>De Apoyo</c:v>
                </c:pt>
              </c:strCache>
            </c:strRef>
          </c:cat>
          <c:val>
            <c:numRef>
              <c:f>([1]GRH1!$A$2,[1]GRH1!$B$2,[1]GRH1!$C$2)</c:f>
              <c:numCache>
                <c:formatCode>General</c:formatCode>
                <c:ptCount val="3"/>
                <c:pt idx="0">
                  <c:v>46.83</c:v>
                </c:pt>
                <c:pt idx="1">
                  <c:v>40.700000000000003</c:v>
                </c:pt>
                <c:pt idx="2">
                  <c:v>12.46</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7299267815927103"/>
          <c:y val="4.2696326457292003E-2"/>
        </c:manualLayout>
      </c:layout>
    </c:title>
    <c:view3D>
      <c:rotX val="75"/>
      <c:perspective val="0"/>
    </c:view3D>
    <c:plotArea>
      <c:layout>
        <c:manualLayout>
          <c:layoutTarget val="inner"/>
          <c:xMode val="edge"/>
          <c:yMode val="edge"/>
          <c:x val="0.29860284995932446"/>
          <c:y val="0.20913545502629757"/>
          <c:w val="0.43745704998656382"/>
          <c:h val="0.7342806103609677"/>
        </c:manualLayout>
      </c:layout>
      <c:pie3DChart>
        <c:varyColors val="1"/>
        <c:ser>
          <c:idx val="3"/>
          <c:order val="0"/>
          <c:dPt>
            <c:idx val="0"/>
            <c:explosion val="11"/>
            <c:spPr>
              <a:solidFill>
                <a:srgbClr val="F0D2FC"/>
              </a:solidFill>
            </c:spPr>
          </c:dPt>
          <c:dPt>
            <c:idx val="1"/>
            <c:spPr>
              <a:solidFill>
                <a:srgbClr val="D6DAFA"/>
              </a:solidFill>
            </c:spPr>
          </c:dPt>
          <c:dPt>
            <c:idx val="2"/>
            <c:spPr>
              <a:solidFill>
                <a:schemeClr val="accent4">
                  <a:lumMod val="40000"/>
                  <a:lumOff val="60000"/>
                </a:schemeClr>
              </a:solidFill>
            </c:spPr>
          </c:dPt>
          <c:dLbls>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([10]GD1!$B$3,[10]GD1!$C$3,[10]GD1!$D$3)</c:f>
              <c:strCache>
                <c:ptCount val="3"/>
                <c:pt idx="0">
                  <c:v>Docente</c:v>
                </c:pt>
                <c:pt idx="1">
                  <c:v>Administración </c:v>
                </c:pt>
                <c:pt idx="2">
                  <c:v>De Apoyo</c:v>
                </c:pt>
              </c:strCache>
            </c:strRef>
          </c:cat>
          <c:val>
            <c:numRef>
              <c:f>([10]GD1!$B$4,[10]GD1!$C$4,[10]GD1!$D$4)</c:f>
              <c:numCache>
                <c:formatCode>General</c:formatCode>
                <c:ptCount val="3"/>
                <c:pt idx="0">
                  <c:v>78.22</c:v>
                </c:pt>
                <c:pt idx="1">
                  <c:v>14.51</c:v>
                </c:pt>
                <c:pt idx="2">
                  <c:v>7.27</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5627969205799134"/>
          <c:y val="4.2696462942132606E-2"/>
        </c:manualLayout>
      </c:layout>
    </c:title>
    <c:view3D>
      <c:rotX val="75"/>
      <c:perspective val="0"/>
    </c:view3D>
    <c:plotArea>
      <c:layout>
        <c:manualLayout>
          <c:layoutTarget val="inner"/>
          <c:xMode val="edge"/>
          <c:yMode val="edge"/>
          <c:x val="0.3191731186804993"/>
          <c:y val="0.2319732033495813"/>
          <c:w val="0.42436680799515708"/>
          <c:h val="0.70893213819970613"/>
        </c:manualLayout>
      </c:layout>
      <c:pie3DChart>
        <c:varyColors val="1"/>
        <c:ser>
          <c:idx val="3"/>
          <c:order val="0"/>
          <c:dPt>
            <c:idx val="0"/>
            <c:spPr>
              <a:solidFill>
                <a:srgbClr val="FFFF99"/>
              </a:solidFill>
            </c:spPr>
          </c:dPt>
          <c:dPt>
            <c:idx val="1"/>
            <c:spPr>
              <a:solidFill>
                <a:srgbClr val="85E040"/>
              </a:solidFill>
            </c:spPr>
          </c:dPt>
          <c:dPt>
            <c:idx val="2"/>
            <c:spPr>
              <a:solidFill>
                <a:srgbClr val="FEE4B4"/>
              </a:solidFill>
            </c:spPr>
          </c:dPt>
          <c:dLbls>
            <c:numFmt formatCode="#,##0.00" sourceLinked="0"/>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('[11]GD-2'!$B$2,'[11]GD-2'!$C$2,'[11]GD-2'!$D$2)</c:f>
              <c:strCache>
                <c:ptCount val="3"/>
                <c:pt idx="0">
                  <c:v>Bachiller</c:v>
                </c:pt>
                <c:pt idx="1">
                  <c:v>Licenciado</c:v>
                </c:pt>
                <c:pt idx="2">
                  <c:v>Diplomado</c:v>
                </c:pt>
              </c:strCache>
            </c:strRef>
          </c:cat>
          <c:val>
            <c:numRef>
              <c:f>('[11]GD-2'!$B$3,'[11]GD-2'!$C$3,'[11]GD-2'!$D$3)</c:f>
              <c:numCache>
                <c:formatCode>General</c:formatCode>
                <c:ptCount val="3"/>
                <c:pt idx="0">
                  <c:v>52.35</c:v>
                </c:pt>
                <c:pt idx="1">
                  <c:v>42.94</c:v>
                </c:pt>
                <c:pt idx="2">
                  <c:v>4.71</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5627969205799134"/>
          <c:y val="4.2696526052114513E-2"/>
        </c:manualLayout>
      </c:layout>
    </c:title>
    <c:view3D>
      <c:rotX val="75"/>
      <c:perspective val="0"/>
    </c:view3D>
    <c:plotArea>
      <c:layout>
        <c:manualLayout>
          <c:layoutTarget val="inner"/>
          <c:xMode val="edge"/>
          <c:yMode val="edge"/>
          <c:x val="0.3191731186804993"/>
          <c:y val="0.2319732033495813"/>
          <c:w val="0.42436680799515708"/>
          <c:h val="0.70893213819970613"/>
        </c:manualLayout>
      </c:layout>
      <c:pie3DChart>
        <c:varyColors val="1"/>
        <c:ser>
          <c:idx val="0"/>
          <c:order val="0"/>
          <c:dPt>
            <c:idx val="0"/>
            <c:spPr>
              <a:solidFill>
                <a:schemeClr val="accent1">
                  <a:lumMod val="20000"/>
                  <a:lumOff val="80000"/>
                </a:schemeClr>
              </a:solidFill>
            </c:spPr>
          </c:dPt>
          <c:dPt>
            <c:idx val="1"/>
            <c:spPr>
              <a:solidFill>
                <a:schemeClr val="accent6">
                  <a:lumMod val="20000"/>
                  <a:lumOff val="80000"/>
                </a:schemeClr>
              </a:solidFill>
            </c:spPr>
          </c:dPt>
          <c:dPt>
            <c:idx val="2"/>
            <c:spPr>
              <a:solidFill>
                <a:srgbClr val="FFFFCC"/>
              </a:solidFill>
            </c:spPr>
          </c:dPt>
          <c:dPt>
            <c:idx val="3"/>
            <c:spPr>
              <a:solidFill>
                <a:schemeClr val="accent3">
                  <a:lumMod val="40000"/>
                  <a:lumOff val="60000"/>
                </a:schemeClr>
              </a:solidFill>
            </c:spPr>
          </c:dPt>
          <c:dLbls>
            <c:numFmt formatCode="#,##0.00" sourceLinked="0"/>
            <c:spPr>
              <a:noFill/>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[12]GD3!$B$2:$E$2</c:f>
              <c:strCache>
                <c:ptCount val="4"/>
                <c:pt idx="0">
                  <c:v>Maestria Profesional</c:v>
                </c:pt>
                <c:pt idx="1">
                  <c:v>Maestria Acádemica</c:v>
                </c:pt>
                <c:pt idx="2">
                  <c:v>Especialidades</c:v>
                </c:pt>
                <c:pt idx="3">
                  <c:v>Doctorado</c:v>
                </c:pt>
              </c:strCache>
            </c:strRef>
          </c:cat>
          <c:val>
            <c:numRef>
              <c:f>[12]GD3!$B$3:$E$3</c:f>
              <c:numCache>
                <c:formatCode>General</c:formatCode>
                <c:ptCount val="4"/>
                <c:pt idx="0">
                  <c:v>34.880000000000003</c:v>
                </c:pt>
                <c:pt idx="1">
                  <c:v>31.4</c:v>
                </c:pt>
                <c:pt idx="2">
                  <c:v>29.46</c:v>
                </c:pt>
                <c:pt idx="3">
                  <c:v>4.26</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
</a:t>
            </a:r>
          </a:p>
        </c:rich>
      </c:tx>
      <c:layout>
        <c:manualLayout>
          <c:xMode val="edge"/>
          <c:yMode val="edge"/>
          <c:x val="0.24699467734131061"/>
          <c:y val="4.2696389706504898E-2"/>
        </c:manualLayout>
      </c:layout>
      <c:spPr>
        <a:noFill/>
        <a:ln w="25400">
          <a:noFill/>
        </a:ln>
      </c:spPr>
    </c:title>
    <c:view3D>
      <c:rotX val="75"/>
      <c:perspective val="0"/>
    </c:view3D>
    <c:plotArea>
      <c:layout>
        <c:manualLayout>
          <c:layoutTarget val="inner"/>
          <c:xMode val="edge"/>
          <c:yMode val="edge"/>
          <c:x val="0.30057713497109928"/>
          <c:y val="0.24721129858767807"/>
          <c:w val="0.44668196810126781"/>
          <c:h val="0.74702742157230362"/>
        </c:manualLayout>
      </c:layout>
      <c:pie3DChart>
        <c:varyColors val="1"/>
        <c:ser>
          <c:idx val="3"/>
          <c:order val="0"/>
          <c:dPt>
            <c:idx val="0"/>
            <c:spPr>
              <a:solidFill>
                <a:schemeClr val="tx2">
                  <a:lumMod val="20000"/>
                  <a:lumOff val="80000"/>
                </a:schemeClr>
              </a:solidFill>
            </c:spPr>
          </c:dPt>
          <c:dPt>
            <c:idx val="1"/>
            <c:spPr>
              <a:solidFill>
                <a:schemeClr val="accent2">
                  <a:lumMod val="20000"/>
                  <a:lumOff val="80000"/>
                </a:schemeClr>
              </a:solidFill>
            </c:spPr>
          </c:dPt>
          <c:dPt>
            <c:idx val="2"/>
            <c:spPr>
              <a:solidFill>
                <a:schemeClr val="accent4">
                  <a:lumMod val="60000"/>
                  <a:lumOff val="40000"/>
                </a:schemeClr>
              </a:solidFill>
            </c:spPr>
          </c:dPt>
          <c:dLbls>
            <c:dLbl>
              <c:idx val="0"/>
              <c:tx>
                <c:rich>
                  <a:bodyPr/>
                  <a:lstStyle/>
                  <a:p>
                    <a:r>
                      <a:rPr lang="es-ES"/>
                      <a:t>Bachiller 59,93 </a:t>
                    </a:r>
                  </a:p>
                </c:rich>
              </c:tx>
              <c:dLblPos val="outEnd"/>
            </c:dLbl>
            <c:dLbl>
              <c:idx val="1"/>
              <c:tx>
                <c:rich>
                  <a:bodyPr/>
                  <a:lstStyle/>
                  <a:p>
                    <a:r>
                      <a:rPr lang="es-ES"/>
                      <a:t>Licenciado 34,78 </a:t>
                    </a:r>
                  </a:p>
                </c:rich>
              </c:tx>
              <c:dLblPos val="outEnd"/>
            </c:dLbl>
            <c:dLbl>
              <c:idx val="2"/>
              <c:tx>
                <c:rich>
                  <a:bodyPr/>
                  <a:lstStyle/>
                  <a:p>
                    <a:r>
                      <a:rPr lang="es-ES"/>
                      <a:t>Diplomado 6,01 </a:t>
                    </a:r>
                  </a:p>
                </c:rich>
              </c:tx>
              <c:dLblPos val="outEnd"/>
            </c:dLbl>
            <c:numFmt formatCode="#,##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howPercent val="1"/>
            <c:separator> </c:separator>
            <c:showLeaderLines val="1"/>
          </c:dLbls>
          <c:cat>
            <c:strRef>
              <c:f>[13]GD6!$B$4:$D$4</c:f>
              <c:strCache>
                <c:ptCount val="3"/>
                <c:pt idx="0">
                  <c:v>Bachiller</c:v>
                </c:pt>
                <c:pt idx="1">
                  <c:v>Licenciado</c:v>
                </c:pt>
                <c:pt idx="2">
                  <c:v>Diplomado</c:v>
                </c:pt>
              </c:strCache>
            </c:strRef>
          </c:cat>
          <c:val>
            <c:numRef>
              <c:f>[13]GD6!$B$5:$D$5</c:f>
              <c:numCache>
                <c:formatCode>General</c:formatCode>
                <c:ptCount val="3"/>
                <c:pt idx="0">
                  <c:v>59.93</c:v>
                </c:pt>
                <c:pt idx="1">
                  <c:v>34.049999999999997</c:v>
                </c:pt>
                <c:pt idx="2">
                  <c:v>6.01</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absoluta de los títulos otorgados en pregrado y grado en la U.C.R., por área</a:t>
            </a:r>
          </a:p>
        </c:rich>
      </c:tx>
      <c:layout>
        <c:manualLayout>
          <c:xMode val="edge"/>
          <c:yMode val="edge"/>
          <c:x val="0.16359148052551584"/>
          <c:y val="8.3840405365996601E-2"/>
        </c:manualLayout>
      </c:layout>
      <c:overlay val="1"/>
      <c:spPr>
        <a:noFill/>
        <a:ln w="25400">
          <a:noFill/>
        </a:ln>
      </c:spPr>
    </c:title>
    <c:plotArea>
      <c:layout>
        <c:manualLayout>
          <c:layoutTarget val="inner"/>
          <c:xMode val="edge"/>
          <c:yMode val="edge"/>
          <c:x val="0.11341632088520059"/>
          <c:y val="0.22743055555555555"/>
          <c:w val="0.85477178423236511"/>
          <c:h val="0.65972222222222265"/>
        </c:manualLayout>
      </c:layout>
      <c:barChart>
        <c:barDir val="bar"/>
        <c:grouping val="stacked"/>
        <c:ser>
          <c:idx val="1"/>
          <c:order val="0"/>
          <c:spPr>
            <a:solidFill>
              <a:srgbClr val="9999FF"/>
            </a:solidFill>
          </c:spPr>
          <c:dLbls>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ES"/>
              </a:p>
            </c:txPr>
            <c:dLblPos val="inEnd"/>
            <c:showVal val="1"/>
          </c:dLbls>
          <c:cat>
            <c:strRef>
              <c:f>([14]GD7!$B$2,[14]GD7!$B$3,[14]GD7!$B$4,[14]GD7!$B$5,[14]GD7!$B$6,[14]GD7!$B$7,[14]GD7!$B$8)</c:f>
              <c:strCache>
                <c:ptCount val="7"/>
                <c:pt idx="0">
                  <c:v>Area de Ciencias Básicas</c:v>
                </c:pt>
                <c:pt idx="1">
                  <c:v>Cs. Agroalimentarias</c:v>
                </c:pt>
                <c:pt idx="2">
                  <c:v>Area de Artes y Letras</c:v>
                </c:pt>
                <c:pt idx="3">
                  <c:v>Área de Ingeniería y Arquitectura</c:v>
                </c:pt>
                <c:pt idx="4">
                  <c:v>Area de Salud</c:v>
                </c:pt>
                <c:pt idx="5">
                  <c:v>Sedes Regionales</c:v>
                </c:pt>
                <c:pt idx="6">
                  <c:v>Area de Ciencias Sociales</c:v>
                </c:pt>
              </c:strCache>
            </c:strRef>
          </c:cat>
          <c:val>
            <c:numRef>
              <c:f>([14]GD7!$C$2,[14]GD7!$C$3,[14]GD7!$C$4,[14]GD7!$C$5,[14]GD7!$C$6,[14]GD7!$C$7,[14]GD7!$C$8)</c:f>
              <c:numCache>
                <c:formatCode>General</c:formatCode>
                <c:ptCount val="7"/>
                <c:pt idx="0">
                  <c:v>152</c:v>
                </c:pt>
                <c:pt idx="1">
                  <c:v>203</c:v>
                </c:pt>
                <c:pt idx="2">
                  <c:v>296</c:v>
                </c:pt>
                <c:pt idx="3">
                  <c:v>584</c:v>
                </c:pt>
                <c:pt idx="4">
                  <c:v>690</c:v>
                </c:pt>
                <c:pt idx="5">
                  <c:v>1343</c:v>
                </c:pt>
                <c:pt idx="6">
                  <c:v>2680</c:v>
                </c:pt>
              </c:numCache>
            </c:numRef>
          </c:val>
        </c:ser>
        <c:gapWidth val="87"/>
        <c:overlap val="100"/>
        <c:axId val="266833920"/>
        <c:axId val="266835456"/>
      </c:barChart>
      <c:catAx>
        <c:axId val="266833920"/>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6835456"/>
        <c:crosses val="autoZero"/>
        <c:auto val="1"/>
        <c:lblAlgn val="ctr"/>
        <c:lblOffset val="100"/>
      </c:catAx>
      <c:valAx>
        <c:axId val="266835456"/>
        <c:scaling>
          <c:orientation val="minMax"/>
          <c:max val="2800"/>
        </c:scaling>
        <c:axPos val="b"/>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6833920"/>
        <c:crosses val="autoZero"/>
        <c:crossBetween val="between"/>
        <c:majorUnit val="200"/>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absoluta de los títulos otorgados en pregrado y grado, por área y género en la U.C.R.</a:t>
            </a:r>
          </a:p>
        </c:rich>
      </c:tx>
      <c:layout>
        <c:manualLayout>
          <c:xMode val="edge"/>
          <c:yMode val="edge"/>
          <c:x val="0.16359148052551584"/>
          <c:y val="8.3840481811523995E-2"/>
        </c:manualLayout>
      </c:layout>
      <c:overlay val="1"/>
      <c:spPr>
        <a:noFill/>
        <a:ln w="25400">
          <a:noFill/>
        </a:ln>
      </c:spPr>
    </c:title>
    <c:plotArea>
      <c:layout>
        <c:manualLayout>
          <c:layoutTarget val="inner"/>
          <c:xMode val="edge"/>
          <c:yMode val="edge"/>
          <c:x val="0.14753342554172533"/>
          <c:y val="0.21490467937608321"/>
          <c:w val="0.82342093130474869"/>
          <c:h val="0.65337954939341725"/>
        </c:manualLayout>
      </c:layout>
      <c:barChart>
        <c:barDir val="bar"/>
        <c:grouping val="clustered"/>
        <c:ser>
          <c:idx val="0"/>
          <c:order val="0"/>
          <c:tx>
            <c:strRef>
              <c:f>'[15]GD7.1'!$D$2</c:f>
              <c:strCache>
                <c:ptCount val="1"/>
                <c:pt idx="0">
                  <c:v>Masculino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dLblPos val="inEnd"/>
            <c:showVal val="1"/>
          </c:dLbls>
          <c:cat>
            <c:strRef>
              <c:f>('[15]GD7.1'!$B$3,'[15]GD7.1'!$B$4,'[15]GD7.1'!$B$5,'[15]GD7.1'!$B$6,'[15]GD7.1'!$B$7,'[15]GD7.1'!$B$8,'[15]GD7.1'!$B$9)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'[15]GD7.1'!$D$3:$D$9</c:f>
              <c:numCache>
                <c:formatCode>General</c:formatCode>
                <c:ptCount val="7"/>
                <c:pt idx="0">
                  <c:v>97</c:v>
                </c:pt>
                <c:pt idx="1">
                  <c:v>100</c:v>
                </c:pt>
                <c:pt idx="2">
                  <c:v>420</c:v>
                </c:pt>
                <c:pt idx="3">
                  <c:v>110</c:v>
                </c:pt>
                <c:pt idx="4">
                  <c:v>232</c:v>
                </c:pt>
                <c:pt idx="5">
                  <c:v>842</c:v>
                </c:pt>
                <c:pt idx="6">
                  <c:v>993</c:v>
                </c:pt>
              </c:numCache>
            </c:numRef>
          </c:val>
        </c:ser>
        <c:ser>
          <c:idx val="2"/>
          <c:order val="1"/>
          <c:tx>
            <c:strRef>
              <c:f>'[15]GD7.1'!$C$2</c:f>
              <c:strCache>
                <c:ptCount val="1"/>
                <c:pt idx="0">
                  <c:v>Femenino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dLblPos val="inEnd"/>
            <c:showVal val="1"/>
          </c:dLbls>
          <c:cat>
            <c:strRef>
              <c:f>('[15]GD7.1'!$B$3,'[15]GD7.1'!$B$4,'[15]GD7.1'!$B$5,'[15]GD7.1'!$B$6,'[15]GD7.1'!$B$7,'[15]GD7.1'!$B$8,'[15]GD7.1'!$B$9)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'[15]GD7.1'!$C$3:$C$9</c:f>
              <c:numCache>
                <c:formatCode>General</c:formatCode>
                <c:ptCount val="7"/>
                <c:pt idx="0">
                  <c:v>55</c:v>
                </c:pt>
                <c:pt idx="1">
                  <c:v>103</c:v>
                </c:pt>
                <c:pt idx="2">
                  <c:v>164</c:v>
                </c:pt>
                <c:pt idx="3">
                  <c:v>186</c:v>
                </c:pt>
                <c:pt idx="4">
                  <c:v>458</c:v>
                </c:pt>
                <c:pt idx="5">
                  <c:v>501</c:v>
                </c:pt>
                <c:pt idx="6">
                  <c:v>1687</c:v>
                </c:pt>
              </c:numCache>
            </c:numRef>
          </c:val>
        </c:ser>
        <c:gapWidth val="97"/>
        <c:axId val="267455104"/>
        <c:axId val="267465088"/>
      </c:barChart>
      <c:catAx>
        <c:axId val="267455104"/>
        <c:scaling>
          <c:orientation val="minMax"/>
        </c:scaling>
        <c:axPos val="l"/>
        <c:numFmt formatCode="General" sourceLinked="1"/>
        <c:tickLblPos val="nextTo"/>
        <c:txPr>
          <a:bodyPr rot="-2520000" vert="horz"/>
          <a:lstStyle/>
          <a:p>
            <a:pPr>
              <a:defRPr sz="900" b="0" i="0" u="none" strike="noStrike" baseline="0">
                <a:solidFill>
                  <a:srgbClr val="000000"/>
                </a:solidFill>
                <a:latin typeface="Times New Roman"/>
                <a:ea typeface="Times New Roman"/>
                <a:cs typeface="Times New Roman"/>
              </a:defRPr>
            </a:pPr>
            <a:endParaRPr lang="es-ES"/>
          </a:p>
        </c:txPr>
        <c:crossAx val="267465088"/>
        <c:crosses val="autoZero"/>
        <c:auto val="1"/>
        <c:lblAlgn val="ctr"/>
        <c:lblOffset val="100"/>
      </c:catAx>
      <c:valAx>
        <c:axId val="267465088"/>
        <c:scaling>
          <c:orientation val="minMax"/>
          <c:max val="1700"/>
        </c:scaling>
        <c:axPos val="b"/>
        <c:majorGridlines>
          <c:spPr>
            <a:ln>
              <a:solidFill>
                <a:schemeClr val="bg1">
                  <a:lumMod val="75000"/>
                </a:schemeClr>
              </a:solidFill>
            </a:ln>
          </c:spPr>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7455104"/>
        <c:crosses val="autoZero"/>
        <c:crossBetween val="between"/>
        <c:majorUnit val="100"/>
      </c:valAx>
      <c:spPr>
        <a:ln>
          <a:solidFill>
            <a:schemeClr val="bg1">
              <a:lumMod val="75000"/>
            </a:schemeClr>
          </a:solidFill>
        </a:ln>
      </c:spPr>
    </c:plotArea>
    <c:legend>
      <c:legendPos val="b"/>
      <c:layout>
        <c:manualLayout>
          <c:xMode val="edge"/>
          <c:yMode val="edge"/>
          <c:x val="0.74741420807876202"/>
          <c:y val="0.93941856921263933"/>
          <c:w val="0.1864526270315795"/>
          <c:h val="3.4762847018472792E-2"/>
        </c:manualLayout>
      </c:layout>
      <c:spPr>
        <a:ln>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4699462217572543"/>
          <c:y val="2.8076302962129904E-2"/>
        </c:manualLayout>
      </c:layout>
      <c:spPr>
        <a:noFill/>
        <a:ln w="25400">
          <a:noFill/>
        </a:ln>
      </c:spPr>
    </c:title>
    <c:view3D>
      <c:rotX val="80"/>
      <c:perspective val="0"/>
    </c:view3D>
    <c:plotArea>
      <c:layout>
        <c:manualLayout>
          <c:layoutTarget val="inner"/>
          <c:xMode val="edge"/>
          <c:yMode val="edge"/>
          <c:x val="0.28740076721179247"/>
          <c:y val="0.20899775028121553"/>
          <c:w val="0.43992834462125952"/>
          <c:h val="0.73627465316835694"/>
        </c:manualLayout>
      </c:layout>
      <c:pie3DChart>
        <c:varyColors val="1"/>
        <c:ser>
          <c:idx val="3"/>
          <c:order val="0"/>
          <c:dPt>
            <c:idx val="0"/>
            <c:explosion val="7"/>
            <c:spPr>
              <a:solidFill>
                <a:schemeClr val="accent3">
                  <a:lumMod val="60000"/>
                  <a:lumOff val="40000"/>
                </a:schemeClr>
              </a:solidFill>
            </c:spPr>
          </c:dPt>
          <c:dPt>
            <c:idx val="1"/>
            <c:explosion val="3"/>
            <c:spPr>
              <a:solidFill>
                <a:srgbClr val="FFFF99"/>
              </a:solidFill>
            </c:spPr>
          </c:dPt>
          <c:dPt>
            <c:idx val="2"/>
            <c:explosion val="4"/>
            <c:spPr>
              <a:solidFill>
                <a:schemeClr val="accent2">
                  <a:lumMod val="40000"/>
                  <a:lumOff val="60000"/>
                </a:schemeClr>
              </a:solidFill>
            </c:spPr>
          </c:dPt>
          <c:dPt>
            <c:idx val="3"/>
            <c:explosion val="7"/>
            <c:spPr>
              <a:solidFill>
                <a:schemeClr val="accent6">
                  <a:lumMod val="40000"/>
                  <a:lumOff val="60000"/>
                </a:schemeClr>
              </a:solidFill>
            </c:spPr>
          </c:dPt>
          <c:dLbls>
            <c:dLbl>
              <c:idx val="0"/>
              <c:layout>
                <c:manualLayout>
                  <c:x val="9.3240093240093483E-2"/>
                  <c:y val="2.0607934054611046E-2"/>
                </c:manualLayout>
              </c:layout>
              <c:dLblPos val="bestFit"/>
              <c:showCatName val="1"/>
              <c:showPercent val="1"/>
              <c:separator>
</c:separator>
            </c:dLbl>
            <c:dLbl>
              <c:idx val="1"/>
              <c:dLblPos val="outEnd"/>
              <c:showCatName val="1"/>
              <c:showPercent val="1"/>
              <c:separator>
</c:separator>
            </c:dLbl>
            <c:dLbl>
              <c:idx val="2"/>
              <c:dLblPos val="outEnd"/>
              <c:showCatName val="1"/>
              <c:showPercent val="1"/>
              <c:separator>
</c:separator>
            </c:dLbl>
            <c:dLbl>
              <c:idx val="3"/>
              <c:layout>
                <c:manualLayout>
                  <c:x val="-3.3566433566433566E-2"/>
                  <c:y val="-4.1215868109221974E-3"/>
                </c:manualLayout>
              </c:layout>
              <c:dLblPos val="bestFit"/>
              <c:showCatName val="1"/>
              <c:showPercent val="1"/>
              <c:separator>
</c:separator>
            </c:dLbl>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CatName val="1"/>
            <c:showPercent val="1"/>
            <c:separator> </c:separator>
          </c:dLbls>
          <c:cat>
            <c:strRef>
              <c:f>[16]Hoja1!$G$2:$G$5</c:f>
              <c:strCache>
                <c:ptCount val="4"/>
                <c:pt idx="0">
                  <c:v>Maestría Profesional</c:v>
                </c:pt>
                <c:pt idx="1">
                  <c:v>Especialidades</c:v>
                </c:pt>
                <c:pt idx="2">
                  <c:v>Maestría</c:v>
                </c:pt>
                <c:pt idx="3">
                  <c:v>Doctorado</c:v>
                </c:pt>
              </c:strCache>
            </c:strRef>
          </c:cat>
          <c:val>
            <c:numRef>
              <c:f>[16]Hoja1!$H$2:$H$5</c:f>
              <c:numCache>
                <c:formatCode>General</c:formatCode>
                <c:ptCount val="4"/>
                <c:pt idx="1">
                  <c:v>294</c:v>
                </c:pt>
                <c:pt idx="2">
                  <c:v>333</c:v>
                </c:pt>
                <c:pt idx="3">
                  <c:v>10</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absoluta de los títulos otorgados del Sistema de Estudios de Posgrado, por genero en la U.C.R.</a:t>
            </a:r>
          </a:p>
        </c:rich>
      </c:tx>
      <c:layout>
        <c:manualLayout>
          <c:xMode val="edge"/>
          <c:yMode val="edge"/>
          <c:x val="0.16359145649213974"/>
          <c:y val="7.6920142767621075E-2"/>
        </c:manualLayout>
      </c:layout>
      <c:overlay val="1"/>
      <c:spPr>
        <a:noFill/>
        <a:ln w="25400">
          <a:noFill/>
        </a:ln>
      </c:spPr>
    </c:title>
    <c:plotArea>
      <c:layout>
        <c:manualLayout>
          <c:layoutTarget val="inner"/>
          <c:xMode val="edge"/>
          <c:yMode val="edge"/>
          <c:x val="0.11126564673157192"/>
          <c:y val="0.24567469507488035"/>
          <c:w val="0.82985628187297156"/>
          <c:h val="0.59538644434151522"/>
        </c:manualLayout>
      </c:layout>
      <c:barChart>
        <c:barDir val="bar"/>
        <c:grouping val="clustered"/>
        <c:ser>
          <c:idx val="1"/>
          <c:order val="0"/>
          <c:tx>
            <c:strRef>
              <c:f>'[17]GD8.1'!$C$2</c:f>
              <c:strCache>
                <c:ptCount val="1"/>
                <c:pt idx="0">
                  <c:v>Femenino</c:v>
                </c:pt>
              </c:strCache>
            </c:strRef>
          </c:tx>
          <c:spPr>
            <a:solidFill>
              <a:schemeClr val="bg2">
                <a:lumMod val="50000"/>
              </a:schemeClr>
            </a:solidFill>
            <a:ln>
              <a:solidFill>
                <a:sysClr val="windowText" lastClr="000000"/>
              </a:solidFill>
            </a:ln>
          </c:spPr>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'[17]GD8.1'!$B$3:$B$5</c:f>
              <c:strCache>
                <c:ptCount val="3"/>
                <c:pt idx="0">
                  <c:v>Maestrias</c:v>
                </c:pt>
                <c:pt idx="1">
                  <c:v>Especialidades</c:v>
                </c:pt>
                <c:pt idx="2">
                  <c:v>Doctorado</c:v>
                </c:pt>
              </c:strCache>
            </c:strRef>
          </c:cat>
          <c:val>
            <c:numRef>
              <c:f>'[17]GD8.1'!$C$3:$C$5</c:f>
              <c:numCache>
                <c:formatCode>General</c:formatCode>
                <c:ptCount val="3"/>
                <c:pt idx="0">
                  <c:v>147</c:v>
                </c:pt>
                <c:pt idx="1">
                  <c:v>122</c:v>
                </c:pt>
                <c:pt idx="2">
                  <c:v>10</c:v>
                </c:pt>
              </c:numCache>
            </c:numRef>
          </c:val>
        </c:ser>
        <c:ser>
          <c:idx val="0"/>
          <c:order val="1"/>
          <c:tx>
            <c:strRef>
              <c:f>'[17]GD8.1'!$D$2</c:f>
              <c:strCache>
                <c:ptCount val="1"/>
                <c:pt idx="0">
                  <c:v>Masculino</c:v>
                </c:pt>
              </c:strCache>
            </c:strRef>
          </c:tx>
          <c:spPr>
            <a:solidFill>
              <a:schemeClr val="bg2">
                <a:lumMod val="90000"/>
              </a:schemeClr>
            </a:solidFill>
            <a:ln>
              <a:solidFill>
                <a:sysClr val="windowText" lastClr="000000"/>
              </a:solidFill>
            </a:ln>
          </c:spPr>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'[17]GD8.1'!$B$3:$B$5</c:f>
              <c:strCache>
                <c:ptCount val="3"/>
                <c:pt idx="0">
                  <c:v>Maestrias</c:v>
                </c:pt>
                <c:pt idx="1">
                  <c:v>Especialidades</c:v>
                </c:pt>
                <c:pt idx="2">
                  <c:v>Doctorado</c:v>
                </c:pt>
              </c:strCache>
            </c:strRef>
          </c:cat>
          <c:val>
            <c:numRef>
              <c:f>'[17]GD8.1'!$D$3:$D$5</c:f>
              <c:numCache>
                <c:formatCode>General</c:formatCode>
                <c:ptCount val="3"/>
                <c:pt idx="0">
                  <c:v>186</c:v>
                </c:pt>
                <c:pt idx="1">
                  <c:v>172</c:v>
                </c:pt>
                <c:pt idx="2">
                  <c:v>7</c:v>
                </c:pt>
              </c:numCache>
            </c:numRef>
          </c:val>
        </c:ser>
        <c:gapWidth val="97"/>
        <c:axId val="265750400"/>
        <c:axId val="265751936"/>
      </c:barChart>
      <c:catAx>
        <c:axId val="265750400"/>
        <c:scaling>
          <c:orientation val="minMax"/>
        </c:scaling>
        <c:axPos val="l"/>
        <c:numFmt formatCode="General" sourceLinked="1"/>
        <c:tickLblPos val="nextTo"/>
        <c:txPr>
          <a:bodyPr rot="-2940000" vert="horz"/>
          <a:lstStyle/>
          <a:p>
            <a:pPr>
              <a:defRPr sz="900" b="0" i="0" u="none" strike="noStrike" baseline="0">
                <a:solidFill>
                  <a:srgbClr val="000000"/>
                </a:solidFill>
                <a:latin typeface="Times New Roman"/>
                <a:ea typeface="Times New Roman"/>
                <a:cs typeface="Times New Roman"/>
              </a:defRPr>
            </a:pPr>
            <a:endParaRPr lang="es-ES"/>
          </a:p>
        </c:txPr>
        <c:crossAx val="265751936"/>
        <c:crosses val="autoZero"/>
        <c:auto val="1"/>
        <c:lblAlgn val="ctr"/>
        <c:lblOffset val="100"/>
      </c:catAx>
      <c:valAx>
        <c:axId val="265751936"/>
        <c:scaling>
          <c:orientation val="minMax"/>
          <c:max val="200"/>
        </c:scaling>
        <c:axPos val="b"/>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5750400"/>
        <c:crosses val="autoZero"/>
        <c:crossBetween val="between"/>
        <c:majorUnit val="20"/>
      </c:valAx>
    </c:plotArea>
    <c:legend>
      <c:legendPos val="b"/>
      <c:layout>
        <c:manualLayout>
          <c:xMode val="edge"/>
          <c:yMode val="edge"/>
          <c:x val="0.74741413234333265"/>
          <c:y val="0.93941857613819302"/>
          <c:w val="0.20342382793249594"/>
          <c:h val="3.6661671616307602E-2"/>
        </c:manualLayout>
      </c:layout>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377784835310053"/>
          <c:y val="4.2362110818437923E-2"/>
        </c:manualLayout>
      </c:layout>
      <c:spPr>
        <a:noFill/>
        <a:ln w="25400">
          <a:noFill/>
        </a:ln>
      </c:spPr>
    </c:title>
    <c:view3D>
      <c:rotX val="75"/>
      <c:rotY val="7"/>
      <c:perspective val="0"/>
    </c:view3D>
    <c:plotArea>
      <c:layout>
        <c:manualLayout>
          <c:layoutTarget val="inner"/>
          <c:xMode val="edge"/>
          <c:yMode val="edge"/>
          <c:x val="0.29858947540913439"/>
          <c:y val="0.2096241512321082"/>
          <c:w val="0.45298187735358036"/>
          <c:h val="0.76088431253785882"/>
        </c:manualLayout>
      </c:layout>
      <c:pie3DChart>
        <c:varyColors val="1"/>
        <c:ser>
          <c:idx val="3"/>
          <c:order val="0"/>
          <c:dPt>
            <c:idx val="0"/>
            <c:spPr>
              <a:solidFill>
                <a:schemeClr val="accent2">
                  <a:lumMod val="20000"/>
                  <a:lumOff val="80000"/>
                </a:schemeClr>
              </a:solidFill>
            </c:spPr>
          </c:dPt>
          <c:dPt>
            <c:idx val="1"/>
            <c:spPr>
              <a:solidFill>
                <a:schemeClr val="tx2">
                  <a:lumMod val="20000"/>
                  <a:lumOff val="80000"/>
                </a:schemeClr>
              </a:solidFill>
            </c:spPr>
          </c:dPt>
          <c:dLbls>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dLbls>
          <c:cat>
            <c:strRef>
              <c:f>[18]Hoja1!$B$2:$C$2</c:f>
              <c:strCache>
                <c:ptCount val="2"/>
                <c:pt idx="0">
                  <c:v>Femenino</c:v>
                </c:pt>
                <c:pt idx="1">
                  <c:v>Masculino</c:v>
                </c:pt>
              </c:strCache>
            </c:strRef>
          </c:cat>
          <c:val>
            <c:numRef>
              <c:f>[18]Hoja1!$B$3:$C$3</c:f>
              <c:numCache>
                <c:formatCode>General</c:formatCode>
                <c:ptCount val="2"/>
                <c:pt idx="0">
                  <c:v>57.4</c:v>
                </c:pt>
                <c:pt idx="1">
                  <c:v>42.6</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5803248719784377"/>
          <c:y val="4.2696262967129112E-2"/>
        </c:manualLayout>
      </c:layout>
    </c:title>
    <c:view3D>
      <c:rotX val="75"/>
      <c:perspective val="0"/>
    </c:view3D>
    <c:plotArea>
      <c:layout>
        <c:manualLayout>
          <c:layoutTarget val="inner"/>
          <c:xMode val="edge"/>
          <c:yMode val="edge"/>
          <c:x val="0.2986028499593244"/>
          <c:y val="0.20913545502629752"/>
          <c:w val="0.43745704998656382"/>
          <c:h val="0.7342806103609677"/>
        </c:manualLayout>
      </c:layout>
      <c:pie3DChart>
        <c:varyColors val="1"/>
        <c:ser>
          <c:idx val="3"/>
          <c:order val="0"/>
          <c:dPt>
            <c:idx val="0"/>
            <c:spPr>
              <a:solidFill>
                <a:schemeClr val="accent4">
                  <a:lumMod val="40000"/>
                  <a:lumOff val="60000"/>
                </a:schemeClr>
              </a:solidFill>
            </c:spPr>
          </c:dPt>
          <c:dPt>
            <c:idx val="1"/>
            <c:spPr>
              <a:solidFill>
                <a:schemeClr val="accent6">
                  <a:lumMod val="60000"/>
                  <a:lumOff val="40000"/>
                </a:schemeClr>
              </a:solidFill>
            </c:spPr>
          </c:dPt>
          <c:dPt>
            <c:idx val="2"/>
            <c:spPr>
              <a:solidFill>
                <a:schemeClr val="accent5">
                  <a:lumMod val="60000"/>
                  <a:lumOff val="40000"/>
                </a:schemeClr>
              </a:solidFill>
            </c:spPr>
          </c:dPt>
          <c:dLbls>
            <c:dLbl>
              <c:idx val="0"/>
              <c:dLblPos val="outEnd"/>
              <c:showVal val="1"/>
              <c:showCatName val="1"/>
              <c:separator>
</c:separator>
            </c:dLbl>
            <c:dLbl>
              <c:idx val="1"/>
              <c:dLblPos val="outEnd"/>
              <c:showVal val="1"/>
              <c:showCatName val="1"/>
              <c:separator>
</c:separator>
            </c:dLbl>
            <c:dLbl>
              <c:idx val="2"/>
              <c:dLblPos val="outEnd"/>
              <c:showVal val="1"/>
              <c:showCatName val="1"/>
              <c:separator>
</c:separator>
            </c:dLbl>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'[19]I-1'!$B$3:$D$3</c:f>
              <c:strCache>
                <c:ptCount val="3"/>
                <c:pt idx="0">
                  <c:v>De Apoyo</c:v>
                </c:pt>
                <c:pt idx="1">
                  <c:v>Docente</c:v>
                </c:pt>
                <c:pt idx="2">
                  <c:v>Administración </c:v>
                </c:pt>
              </c:strCache>
            </c:strRef>
          </c:cat>
          <c:val>
            <c:numRef>
              <c:f>'[19]I-1'!$B$4:$D$4</c:f>
              <c:numCache>
                <c:formatCode>General</c:formatCode>
                <c:ptCount val="3"/>
                <c:pt idx="0">
                  <c:v>35.299999999999997</c:v>
                </c:pt>
                <c:pt idx="1">
                  <c:v>33.450000000000003</c:v>
                </c:pt>
                <c:pt idx="2">
                  <c:v>31.24</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33" l="0.70000000000000062" r="0.70000000000000062" t="0.75000000000000233" header="0.30000000000000032" footer="0.3000000000000003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2653135391043194"/>
          <c:y val="2.0000107348544641E-2"/>
        </c:manualLayout>
      </c:layout>
    </c:title>
    <c:plotArea>
      <c:layout>
        <c:manualLayout>
          <c:layoutTarget val="inner"/>
          <c:xMode val="edge"/>
          <c:yMode val="edge"/>
          <c:x val="6.7954390947033746E-2"/>
          <c:y val="0.24704145852736356"/>
          <c:w val="0.89707293145733757"/>
          <c:h val="0.5709938257717786"/>
        </c:manualLayout>
      </c:layout>
      <c:lineChart>
        <c:grouping val="standard"/>
        <c:ser>
          <c:idx val="0"/>
          <c:order val="0"/>
          <c:tx>
            <c:strRef>
              <c:f>'[2]GRH-2'!$B$1</c:f>
              <c:strCache>
                <c:ptCount val="1"/>
                <c:pt idx="0">
                  <c:v>Propiedad</c:v>
                </c:pt>
              </c:strCache>
            </c:strRef>
          </c:tx>
          <c:dLbls>
            <c:txPr>
              <a:bodyPr/>
              <a:lstStyle/>
              <a:p>
                <a:pPr>
                  <a:defRPr sz="1000" b="0" i="0" u="none" strike="noStrike" baseline="0">
                    <a:solidFill>
                      <a:srgbClr val="000000"/>
                    </a:solidFill>
                    <a:latin typeface="Calibri"/>
                    <a:ea typeface="Calibri"/>
                    <a:cs typeface="Calibri"/>
                  </a:defRPr>
                </a:pPr>
                <a:endParaRPr lang="es-ES"/>
              </a:p>
            </c:txPr>
            <c:dLblPos val="b"/>
            <c:showVal val="1"/>
          </c:dLbls>
          <c:cat>
            <c:strRef>
              <c:f>'[2]GRH-2'!$A$2:$A$11</c:f>
              <c:strCache>
                <c:ptCount val="10"/>
                <c:pt idx="0">
                  <c:v>I ciclo 2013</c:v>
                </c:pt>
                <c:pt idx="1">
                  <c:v>II ciclo 2013</c:v>
                </c:pt>
                <c:pt idx="2">
                  <c:v>I ciclo 2014</c:v>
                </c:pt>
                <c:pt idx="3">
                  <c:v>II ciclo 2014</c:v>
                </c:pt>
                <c:pt idx="4">
                  <c:v>I ciclo 2015</c:v>
                </c:pt>
                <c:pt idx="5">
                  <c:v>II ciclo 2015</c:v>
                </c:pt>
                <c:pt idx="6">
                  <c:v>I ciclo 2016</c:v>
                </c:pt>
                <c:pt idx="7">
                  <c:v>II ciclo 2016</c:v>
                </c:pt>
                <c:pt idx="8">
                  <c:v>I ciclo 2017</c:v>
                </c:pt>
                <c:pt idx="9">
                  <c:v>II ciclo 2017</c:v>
                </c:pt>
              </c:strCache>
            </c:strRef>
          </c:cat>
          <c:val>
            <c:numRef>
              <c:f>'[2]GRH-2'!$B$2:$B$11</c:f>
              <c:numCache>
                <c:formatCode>General</c:formatCode>
                <c:ptCount val="10"/>
                <c:pt idx="0">
                  <c:v>1687</c:v>
                </c:pt>
                <c:pt idx="1">
                  <c:v>1677</c:v>
                </c:pt>
                <c:pt idx="2">
                  <c:v>1749</c:v>
                </c:pt>
                <c:pt idx="3">
                  <c:v>1730</c:v>
                </c:pt>
                <c:pt idx="4">
                  <c:v>1920</c:v>
                </c:pt>
                <c:pt idx="5">
                  <c:v>1867</c:v>
                </c:pt>
                <c:pt idx="6">
                  <c:v>1875</c:v>
                </c:pt>
                <c:pt idx="7">
                  <c:v>1877</c:v>
                </c:pt>
                <c:pt idx="8">
                  <c:v>1950</c:v>
                </c:pt>
                <c:pt idx="9">
                  <c:v>1867</c:v>
                </c:pt>
              </c:numCache>
            </c:numRef>
          </c:val>
        </c:ser>
        <c:ser>
          <c:idx val="1"/>
          <c:order val="1"/>
          <c:tx>
            <c:strRef>
              <c:f>'[2]GRH-2'!$C$1</c:f>
              <c:strCache>
                <c:ptCount val="1"/>
                <c:pt idx="0">
                  <c:v>Interino</c:v>
                </c:pt>
              </c:strCache>
            </c:strRef>
          </c:tx>
          <c:dLbls>
            <c:txPr>
              <a:bodyPr/>
              <a:lstStyle/>
              <a:p>
                <a:pPr>
                  <a:defRPr sz="1000" b="0" i="0" u="none" strike="noStrike" baseline="0">
                    <a:solidFill>
                      <a:srgbClr val="000000"/>
                    </a:solidFill>
                    <a:latin typeface="Calibri"/>
                    <a:ea typeface="Calibri"/>
                    <a:cs typeface="Calibri"/>
                  </a:defRPr>
                </a:pPr>
                <a:endParaRPr lang="es-ES"/>
              </a:p>
            </c:txPr>
            <c:dLblPos val="b"/>
            <c:showVal val="1"/>
          </c:dLbls>
          <c:cat>
            <c:strRef>
              <c:f>'[2]GRH-2'!$A$2:$A$11</c:f>
              <c:strCache>
                <c:ptCount val="10"/>
                <c:pt idx="0">
                  <c:v>I ciclo 2013</c:v>
                </c:pt>
                <c:pt idx="1">
                  <c:v>II ciclo 2013</c:v>
                </c:pt>
                <c:pt idx="2">
                  <c:v>I ciclo 2014</c:v>
                </c:pt>
                <c:pt idx="3">
                  <c:v>II ciclo 2014</c:v>
                </c:pt>
                <c:pt idx="4">
                  <c:v>I ciclo 2015</c:v>
                </c:pt>
                <c:pt idx="5">
                  <c:v>II ciclo 2015</c:v>
                </c:pt>
                <c:pt idx="6">
                  <c:v>I ciclo 2016</c:v>
                </c:pt>
                <c:pt idx="7">
                  <c:v>II ciclo 2016</c:v>
                </c:pt>
                <c:pt idx="8">
                  <c:v>I ciclo 2017</c:v>
                </c:pt>
                <c:pt idx="9">
                  <c:v>II ciclo 2017</c:v>
                </c:pt>
              </c:strCache>
            </c:strRef>
          </c:cat>
          <c:val>
            <c:numRef>
              <c:f>'[2]GRH-2'!$C$2:$C$11</c:f>
              <c:numCache>
                <c:formatCode>General</c:formatCode>
                <c:ptCount val="10"/>
                <c:pt idx="0">
                  <c:v>4380</c:v>
                </c:pt>
                <c:pt idx="1">
                  <c:v>4361</c:v>
                </c:pt>
                <c:pt idx="2">
                  <c:v>4325</c:v>
                </c:pt>
                <c:pt idx="3">
                  <c:v>4548</c:v>
                </c:pt>
                <c:pt idx="4">
                  <c:v>4132</c:v>
                </c:pt>
                <c:pt idx="5">
                  <c:v>4152</c:v>
                </c:pt>
                <c:pt idx="6">
                  <c:v>4225</c:v>
                </c:pt>
                <c:pt idx="7">
                  <c:v>4256</c:v>
                </c:pt>
                <c:pt idx="8">
                  <c:v>4350</c:v>
                </c:pt>
                <c:pt idx="9">
                  <c:v>4093</c:v>
                </c:pt>
              </c:numCache>
            </c:numRef>
          </c:val>
        </c:ser>
        <c:marker val="1"/>
        <c:axId val="258245760"/>
        <c:axId val="258247296"/>
      </c:lineChart>
      <c:catAx>
        <c:axId val="258245760"/>
        <c:scaling>
          <c:orientation val="minMax"/>
        </c:scaling>
        <c:axPos val="b"/>
        <c:numFmt formatCode="General" sourceLinked="1"/>
        <c:minorTickMark val="out"/>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58247296"/>
        <c:crossesAt val="0"/>
        <c:auto val="1"/>
        <c:lblAlgn val="ctr"/>
        <c:lblOffset val="100"/>
      </c:catAx>
      <c:valAx>
        <c:axId val="258247296"/>
        <c:scaling>
          <c:orientation val="minMax"/>
          <c:max val="5000"/>
          <c:min val="0"/>
        </c:scaling>
        <c:axPos val="l"/>
        <c:majorGridlines/>
        <c:numFmt formatCode="General" sourceLinked="0"/>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ES"/>
          </a:p>
        </c:txPr>
        <c:crossAx val="258245760"/>
        <c:crosses val="autoZero"/>
        <c:crossBetween val="between"/>
      </c:valAx>
      <c:spPr>
        <a:ln>
          <a:solidFill>
            <a:schemeClr val="tx1"/>
          </a:solidFill>
        </a:ln>
      </c:spPr>
    </c:plotArea>
    <c:legend>
      <c:legendPos val="b"/>
      <c:layout>
        <c:manualLayout>
          <c:xMode val="edge"/>
          <c:yMode val="edge"/>
          <c:x val="0.66027779494596139"/>
          <c:y val="0.93917588522293616"/>
          <c:w val="0.28425369905684938"/>
          <c:h val="4.139295471501684E-2"/>
        </c:manualLayout>
      </c:layout>
      <c:spPr>
        <a:ln w="3175" cap="rnd" cmpd="dbl">
          <a:solidFill>
            <a:schemeClr val="tx1"/>
          </a:solidFill>
        </a:ln>
      </c:spPr>
      <c:txPr>
        <a:bodyPr/>
        <a:lstStyle/>
        <a:p>
          <a:pPr>
            <a:defRPr sz="690" b="0" i="0" u="none" strike="noStrike" baseline="0">
              <a:solidFill>
                <a:srgbClr val="000000"/>
              </a:solidFill>
              <a:latin typeface="Arial"/>
              <a:ea typeface="Arial"/>
              <a:cs typeface="Arial"/>
            </a:defRPr>
          </a:pPr>
          <a:endParaRPr lang="es-E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2951582867783984"/>
          <c:y val="3.053435114503817E-2"/>
        </c:manualLayout>
      </c:layout>
      <c:spPr>
        <a:noFill/>
        <a:ln w="25400">
          <a:noFill/>
        </a:ln>
      </c:spPr>
    </c:title>
    <c:view3D>
      <c:rotX val="75"/>
      <c:perspective val="0"/>
    </c:view3D>
    <c:plotArea>
      <c:layout>
        <c:manualLayout>
          <c:layoutTarget val="inner"/>
          <c:xMode val="edge"/>
          <c:yMode val="edge"/>
          <c:x val="0.2986028499593244"/>
          <c:y val="0.21077818516960253"/>
          <c:w val="0.43737333939989709"/>
          <c:h val="0.73263789545391034"/>
        </c:manualLayout>
      </c:layout>
      <c:pie3DChart>
        <c:varyColors val="1"/>
        <c:ser>
          <c:idx val="3"/>
          <c:order val="0"/>
          <c:explosion val="3"/>
          <c:dPt>
            <c:idx val="0"/>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path path="circle">
                  <a:fillToRect l="50000" t="50000" r="50000" b="50000"/>
                </a:path>
                <a:tileRect/>
              </a:gradFill>
            </c:spPr>
          </c:dPt>
          <c:dPt>
            <c:idx val="1"/>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path path="circle">
                  <a:fillToRect l="50000" t="50000" r="50000" b="50000"/>
                </a:path>
                <a:tileRect/>
              </a:gradFill>
            </c:spPr>
          </c:dPt>
          <c:dPt>
            <c:idx val="2"/>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c:spPr>
          </c:dPt>
          <c:dPt>
            <c:idx val="3"/>
            <c:spPr>
              <a:gradFill flip="none" rotWithShape="1">
                <a:gsLst>
                  <a:gs pos="0">
                    <a:srgbClr val="0070C0">
                      <a:tint val="66000"/>
                      <a:satMod val="160000"/>
                    </a:srgbClr>
                  </a:gs>
                  <a:gs pos="50000">
                    <a:srgbClr val="0070C0">
                      <a:tint val="44500"/>
                      <a:satMod val="160000"/>
                    </a:srgbClr>
                  </a:gs>
                  <a:gs pos="100000">
                    <a:srgbClr val="0070C0">
                      <a:tint val="23500"/>
                      <a:satMod val="160000"/>
                    </a:srgbClr>
                  </a:gs>
                </a:gsLst>
                <a:lin ang="0" scaled="1"/>
                <a:tileRect/>
              </a:gradFill>
              <a:ln>
                <a:solidFill>
                  <a:schemeClr val="bg2">
                    <a:lumMod val="75000"/>
                  </a:schemeClr>
                </a:solidFill>
              </a:ln>
            </c:spPr>
          </c:dPt>
          <c:dPt>
            <c:idx val="4"/>
            <c:spPr>
              <a:solidFill>
                <a:srgbClr val="FFCC99"/>
              </a:solidFill>
            </c:spPr>
          </c:dPt>
          <c:dLbls>
            <c:numFmt formatCode="0.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ES"/>
              </a:p>
            </c:txPr>
            <c:dLblPos val="outEnd"/>
            <c:showCatName val="1"/>
            <c:showPercent val="1"/>
            <c:separator> </c:separator>
          </c:dLbls>
          <c:cat>
            <c:strRef>
              <c:f>('[20]GI-2'!$B$3,'[20]GI-2'!$C$3,'[20]GI-2'!$D$3,'[20]GI-2'!$E$3,'[20]GI-2'!$F$3)</c:f>
              <c:strCache>
                <c:ptCount val="5"/>
                <c:pt idx="0">
                  <c:v>Activos</c:v>
                </c:pt>
                <c:pt idx="1">
                  <c:v>Nuevos</c:v>
                </c:pt>
                <c:pt idx="2">
                  <c:v>Terminados</c:v>
                </c:pt>
                <c:pt idx="3">
                  <c:v>Ampliaciones</c:v>
                </c:pt>
                <c:pt idx="4">
                  <c:v>Otros</c:v>
                </c:pt>
              </c:strCache>
            </c:strRef>
          </c:cat>
          <c:val>
            <c:numRef>
              <c:f>('[20]GI-2'!$B$4,'[20]GI-2'!$C$4,'[20]GI-2'!$D$4,'[20]GI-2'!$E$4,'[20]GI-2'!$F$4)</c:f>
              <c:numCache>
                <c:formatCode>General</c:formatCode>
                <c:ptCount val="5"/>
                <c:pt idx="0">
                  <c:v>1924</c:v>
                </c:pt>
                <c:pt idx="1">
                  <c:v>578</c:v>
                </c:pt>
                <c:pt idx="2">
                  <c:v>519</c:v>
                </c:pt>
                <c:pt idx="3">
                  <c:v>636</c:v>
                </c:pt>
                <c:pt idx="4">
                  <c:v>51</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33" l="0.70000000000000062" r="0.70000000000000062" t="0.75000000000000233" header="0.30000000000000032" footer="0.30000000000000032"/>
    <c:pageSetup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5837988826815755"/>
          <c:y val="2.8901734104046239E-2"/>
        </c:manualLayout>
      </c:layout>
      <c:spPr>
        <a:noFill/>
        <a:ln w="25400">
          <a:noFill/>
        </a:ln>
      </c:spPr>
    </c:title>
    <c:view3D>
      <c:rotX val="75"/>
      <c:perspective val="0"/>
    </c:view3D>
    <c:plotArea>
      <c:layout>
        <c:manualLayout>
          <c:layoutTarget val="inner"/>
          <c:xMode val="edge"/>
          <c:yMode val="edge"/>
          <c:x val="0.29860291206615935"/>
          <c:y val="0.24517151572269683"/>
          <c:w val="0.43373260604994351"/>
          <c:h val="0.72655863962950895"/>
        </c:manualLayout>
      </c:layout>
      <c:pie3DChart>
        <c:varyColors val="1"/>
        <c:ser>
          <c:idx val="3"/>
          <c:order val="0"/>
          <c:dPt>
            <c:idx val="0"/>
            <c:spPr>
              <a:solidFill>
                <a:schemeClr val="accent4">
                  <a:lumMod val="20000"/>
                  <a:lumOff val="80000"/>
                </a:schemeClr>
              </a:solidFill>
            </c:spPr>
          </c:dPt>
          <c:dPt>
            <c:idx val="1"/>
            <c:spPr>
              <a:solidFill>
                <a:schemeClr val="accent5">
                  <a:lumMod val="20000"/>
                  <a:lumOff val="80000"/>
                </a:schemeClr>
              </a:solidFill>
            </c:spPr>
          </c:dPt>
          <c:dPt>
            <c:idx val="2"/>
            <c:spPr>
              <a:solidFill>
                <a:schemeClr val="accent6">
                  <a:lumMod val="40000"/>
                  <a:lumOff val="60000"/>
                </a:schemeClr>
              </a:solidFill>
            </c:spPr>
          </c:dPt>
          <c:dLbls>
            <c:dLbl>
              <c:idx val="1"/>
              <c:tx>
                <c:rich>
                  <a:bodyPr/>
                  <a:lstStyle/>
                  <a:p>
                    <a:r>
                      <a:rPr lang="es-CR"/>
                      <a:t>Aplicada
12%</a:t>
                    </a:r>
                  </a:p>
                </c:rich>
              </c:tx>
              <c:dLblPos val="outEnd"/>
              <c:showCatName val="1"/>
              <c:showPercent val="1"/>
              <c:separator>
</c:separator>
            </c:dLbl>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CatName val="1"/>
            <c:showPercent val="1"/>
            <c:separator>
</c:separator>
            <c:showLeaderLines val="1"/>
          </c:dLbls>
          <c:cat>
            <c:strRef>
              <c:f>('[21]GI-3'!$B$3,'[21]GI-3'!$C$3,'[21]GI-3'!$D$3)</c:f>
              <c:strCache>
                <c:ptCount val="3"/>
                <c:pt idx="0">
                  <c:v>Básica</c:v>
                </c:pt>
                <c:pt idx="1">
                  <c:v>Apliacada</c:v>
                </c:pt>
                <c:pt idx="2">
                  <c:v>Tecnológica</c:v>
                </c:pt>
              </c:strCache>
            </c:strRef>
          </c:cat>
          <c:val>
            <c:numRef>
              <c:f>('[21]GI-3'!$B$4,'[21]GI-3'!$C$4,'[21]GI-3'!$D$4)</c:f>
              <c:numCache>
                <c:formatCode>General</c:formatCode>
                <c:ptCount val="3"/>
                <c:pt idx="0">
                  <c:v>1232</c:v>
                </c:pt>
                <c:pt idx="1">
                  <c:v>179</c:v>
                </c:pt>
                <c:pt idx="2">
                  <c:v>25</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33" l="0.70000000000000062" r="0.70000000000000062" t="0.75000000000000233"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600" b="0" i="0" u="none" strike="noStrike" baseline="0">
                <a:solidFill>
                  <a:srgbClr val="000000"/>
                </a:solidFill>
                <a:latin typeface="Times New Roman"/>
                <a:ea typeface="Times New Roman"/>
                <a:cs typeface="Times New Roman"/>
              </a:defRPr>
            </a:pPr>
            <a:r>
              <a:rPr lang="es-ES"/>
              <a:t>Distribución absoluta de los Investigadores (as) que participan en los Proyectos de Investigación según grado académico y género.  </a:t>
            </a:r>
          </a:p>
        </c:rich>
      </c:tx>
      <c:layout>
        <c:manualLayout>
          <c:xMode val="edge"/>
          <c:yMode val="edge"/>
          <c:x val="0.17610271309669179"/>
          <c:y val="7.4532620595200841E-2"/>
        </c:manualLayout>
      </c:layout>
      <c:overlay val="1"/>
      <c:spPr>
        <a:noFill/>
        <a:ln w="25400">
          <a:noFill/>
        </a:ln>
      </c:spPr>
    </c:title>
    <c:plotArea>
      <c:layout>
        <c:manualLayout>
          <c:layoutTarget val="inner"/>
          <c:xMode val="edge"/>
          <c:yMode val="edge"/>
          <c:x val="9.0082389433940979E-2"/>
          <c:y val="0.21430334392785091"/>
          <c:w val="0.871620559462155"/>
          <c:h val="0.6624003769999266"/>
        </c:manualLayout>
      </c:layout>
      <c:barChart>
        <c:barDir val="bar"/>
        <c:grouping val="clustered"/>
        <c:ser>
          <c:idx val="1"/>
          <c:order val="0"/>
          <c:tx>
            <c:strRef>
              <c:f>'[22]GI-4'!$D$2</c:f>
              <c:strCache>
                <c:ptCount val="1"/>
                <c:pt idx="0">
                  <c:v>Hombre</c:v>
                </c:pt>
              </c:strCache>
            </c:strRef>
          </c:tx>
          <c:spPr>
            <a:solidFill>
              <a:schemeClr val="accent1">
                <a:lumMod val="40000"/>
                <a:lumOff val="60000"/>
              </a:schemeClr>
            </a:solidFill>
          </c:spPr>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dLblPos val="inEnd"/>
            <c:showVal val="1"/>
          </c:dLbls>
          <c:cat>
            <c:strRef>
              <c:f>'GRAFICO I-4'!$B$3:$B$6</c:f>
              <c:strCache>
                <c:ptCount val="4"/>
                <c:pt idx="0">
                  <c:v>Bachiller</c:v>
                </c:pt>
                <c:pt idx="1">
                  <c:v>Doctor</c:v>
                </c:pt>
                <c:pt idx="2">
                  <c:v>Licenciado</c:v>
                </c:pt>
                <c:pt idx="3">
                  <c:v>Máster</c:v>
                </c:pt>
              </c:strCache>
            </c:strRef>
          </c:cat>
          <c:val>
            <c:numRef>
              <c:f>'[22]GI-4'!$D$3:$D$6</c:f>
              <c:numCache>
                <c:formatCode>General</c:formatCode>
                <c:ptCount val="4"/>
                <c:pt idx="0">
                  <c:v>115</c:v>
                </c:pt>
                <c:pt idx="1">
                  <c:v>343</c:v>
                </c:pt>
                <c:pt idx="2">
                  <c:v>206</c:v>
                </c:pt>
                <c:pt idx="3">
                  <c:v>303</c:v>
                </c:pt>
              </c:numCache>
            </c:numRef>
          </c:val>
        </c:ser>
        <c:ser>
          <c:idx val="0"/>
          <c:order val="1"/>
          <c:tx>
            <c:strRef>
              <c:f>'[22]GI-4'!$C$2</c:f>
              <c:strCache>
                <c:ptCount val="1"/>
                <c:pt idx="0">
                  <c:v>Mujer</c:v>
                </c:pt>
              </c:strCache>
            </c:strRef>
          </c:tx>
          <c:spPr>
            <a:solidFill>
              <a:schemeClr val="accent2">
                <a:lumMod val="20000"/>
                <a:lumOff val="80000"/>
              </a:schemeClr>
            </a:solidFill>
          </c:spPr>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dLblPos val="inEnd"/>
            <c:showVal val="1"/>
          </c:dLbls>
          <c:cat>
            <c:strRef>
              <c:f>'GRAFICO I-4'!$B$3:$B$6</c:f>
              <c:strCache>
                <c:ptCount val="4"/>
                <c:pt idx="0">
                  <c:v>Bachiller</c:v>
                </c:pt>
                <c:pt idx="1">
                  <c:v>Doctor</c:v>
                </c:pt>
                <c:pt idx="2">
                  <c:v>Licenciado</c:v>
                </c:pt>
                <c:pt idx="3">
                  <c:v>Máster</c:v>
                </c:pt>
              </c:strCache>
            </c:strRef>
          </c:cat>
          <c:val>
            <c:numRef>
              <c:f>'[22]GI-4'!$C$3:$C$6</c:f>
              <c:numCache>
                <c:formatCode>General</c:formatCode>
                <c:ptCount val="4"/>
                <c:pt idx="0">
                  <c:v>66</c:v>
                </c:pt>
                <c:pt idx="1">
                  <c:v>178</c:v>
                </c:pt>
                <c:pt idx="2">
                  <c:v>212</c:v>
                </c:pt>
                <c:pt idx="3">
                  <c:v>365</c:v>
                </c:pt>
              </c:numCache>
            </c:numRef>
          </c:val>
        </c:ser>
        <c:gapWidth val="87"/>
        <c:axId val="268807168"/>
        <c:axId val="268817152"/>
      </c:barChart>
      <c:catAx>
        <c:axId val="268807168"/>
        <c:scaling>
          <c:orientation val="minMax"/>
        </c:scaling>
        <c:axPos val="l"/>
        <c:numFmt formatCode="General" sourceLinked="1"/>
        <c:tickLblPos val="nextTo"/>
        <c:txPr>
          <a:bodyPr rot="-2580000" vert="horz"/>
          <a:lstStyle/>
          <a:p>
            <a:pPr>
              <a:defRPr sz="900" b="0" i="0" u="none" strike="noStrike" baseline="0">
                <a:solidFill>
                  <a:srgbClr val="000000"/>
                </a:solidFill>
                <a:latin typeface="Times New Roman"/>
                <a:ea typeface="Times New Roman"/>
                <a:cs typeface="Times New Roman"/>
              </a:defRPr>
            </a:pPr>
            <a:endParaRPr lang="es-ES"/>
          </a:p>
        </c:txPr>
        <c:crossAx val="268817152"/>
        <c:crosses val="autoZero"/>
        <c:auto val="1"/>
        <c:lblAlgn val="ctr"/>
        <c:lblOffset val="100"/>
      </c:catAx>
      <c:valAx>
        <c:axId val="268817152"/>
        <c:scaling>
          <c:orientation val="minMax"/>
          <c:max val="380"/>
          <c:min val="0"/>
        </c:scaling>
        <c:axPos val="b"/>
        <c:majorGridlines>
          <c:spPr>
            <a:ln>
              <a:solidFill>
                <a:schemeClr val="bg1">
                  <a:lumMod val="65000"/>
                </a:schemeClr>
              </a:solidFill>
            </a:ln>
          </c:spPr>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8807168"/>
        <c:crosses val="autoZero"/>
        <c:crossBetween val="between"/>
        <c:majorUnit val="20"/>
      </c:valAx>
      <c:spPr>
        <a:ln>
          <a:solidFill>
            <a:schemeClr val="bg1">
              <a:lumMod val="65000"/>
            </a:schemeClr>
          </a:solidFill>
        </a:ln>
      </c:spPr>
    </c:plotArea>
    <c:legend>
      <c:legendPos val="b"/>
      <c:layout>
        <c:manualLayout>
          <c:xMode val="edge"/>
          <c:yMode val="edge"/>
          <c:x val="0.79000982497508665"/>
          <c:y val="0.93930677513478367"/>
          <c:w val="0.13610313416705291"/>
          <c:h val="3.5005519598008392E-2"/>
        </c:manualLayout>
      </c:layout>
      <c:spPr>
        <a:ln cap="rnd">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33" l="0.70000000000000062" r="0.70000000000000062" t="0.75000000000000233" header="0.30000000000000032" footer="0.30000000000000032"/>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5173855351414404"/>
          <c:y val="2.8517110266159794E-2"/>
        </c:manualLayout>
      </c:layout>
      <c:spPr>
        <a:noFill/>
        <a:ln w="25400">
          <a:noFill/>
        </a:ln>
      </c:spPr>
    </c:title>
    <c:view3D>
      <c:rotX val="75"/>
      <c:perspective val="0"/>
    </c:view3D>
    <c:plotArea>
      <c:layout>
        <c:manualLayout>
          <c:layoutTarget val="inner"/>
          <c:xMode val="edge"/>
          <c:yMode val="edge"/>
          <c:x val="0.29860284995932435"/>
          <c:y val="0.21077818516960251"/>
          <c:w val="0.43737333939989698"/>
          <c:h val="0.73263789545391023"/>
        </c:manualLayout>
      </c:layout>
      <c:pie3DChart>
        <c:varyColors val="1"/>
        <c:ser>
          <c:idx val="3"/>
          <c:order val="0"/>
          <c:explosion val="1"/>
          <c:dPt>
            <c:idx val="0"/>
            <c:spPr>
              <a:solidFill>
                <a:srgbClr val="CCCCFF"/>
              </a:solidFill>
            </c:spPr>
          </c:dPt>
          <c:dPt>
            <c:idx val="1"/>
            <c:spPr>
              <a:solidFill>
                <a:srgbClr val="CCECFF"/>
              </a:solidFill>
            </c:spPr>
          </c:dPt>
          <c:dPt>
            <c:idx val="2"/>
            <c:spPr>
              <a:solidFill>
                <a:srgbClr val="FFFFCC"/>
              </a:solidFill>
            </c:spPr>
          </c:dPt>
          <c:dPt>
            <c:idx val="3"/>
            <c:spPr>
              <a:solidFill>
                <a:srgbClr val="99FF99"/>
              </a:solidFill>
              <a:ln>
                <a:solidFill>
                  <a:schemeClr val="bg2">
                    <a:lumMod val="75000"/>
                  </a:schemeClr>
                </a:solidFill>
              </a:ln>
            </c:spPr>
          </c:dPt>
          <c:dPt>
            <c:idx val="4"/>
            <c:spPr>
              <a:solidFill>
                <a:srgbClr val="FFCC99"/>
              </a:solidFill>
            </c:spPr>
          </c:dPt>
          <c:dLbls>
            <c:dLbl>
              <c:idx val="1"/>
              <c:layout>
                <c:manualLayout>
                  <c:x val="5.5631363186694847E-3"/>
                  <c:y val="-7.6045627376425924E-3"/>
                </c:manualLayout>
              </c:layout>
              <c:tx>
                <c:rich>
                  <a:bodyPr/>
                  <a:lstStyle/>
                  <a:p>
                    <a:r>
                      <a:rPr lang="en-US"/>
                      <a:t>Referencia
20%</a:t>
                    </a:r>
                  </a:p>
                </c:rich>
              </c:tx>
              <c:dLblPos val="bestFit"/>
              <c:showCatName val="1"/>
              <c:showPercent val="1"/>
              <c:separator>
</c:separator>
            </c:dLbl>
            <c:dLbl>
              <c:idx val="2"/>
              <c:layout>
                <c:manualLayout>
                  <c:x val="1.1126564673157235E-2"/>
                  <c:y val="1.5209125475285233E-2"/>
                </c:manualLayout>
              </c:layout>
              <c:tx>
                <c:rich>
                  <a:bodyPr/>
                  <a:lstStyle/>
                  <a:p>
                    <a:r>
                      <a:rPr lang="en-US"/>
                      <a:t>Audiovisuales
23%</a:t>
                    </a:r>
                  </a:p>
                </c:rich>
              </c:tx>
              <c:dLblPos val="bestFit"/>
              <c:showCatName val="1"/>
              <c:showPercent val="1"/>
              <c:separator>
</c:separator>
            </c:dLbl>
            <c:dLbl>
              <c:idx val="3"/>
              <c:layout>
                <c:manualLayout>
                  <c:x val="1.6689554973917626E-2"/>
                  <c:y val="2.5348542458808618E-2"/>
                </c:manualLayout>
              </c:layout>
              <c:dLblPos val="bestFit"/>
              <c:showCatName val="1"/>
              <c:showPercent val="1"/>
              <c:separator>
</c:separator>
            </c:dLbl>
            <c:dLbl>
              <c:idx val="4"/>
              <c:layout>
                <c:manualLayout>
                  <c:x val="6.6448661928385513E-2"/>
                  <c:y val="-4.5371895053042434E-3"/>
                </c:manualLayout>
              </c:layout>
              <c:dLblPos val="bestFit"/>
              <c:showCatName val="1"/>
              <c:showPercent val="1"/>
              <c:separator>
</c:separator>
            </c:dLbl>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ES"/>
              </a:p>
            </c:txPr>
            <c:dLblPos val="outEnd"/>
            <c:showCatName val="1"/>
            <c:showPercent val="1"/>
            <c:separator>
</c:separator>
            <c:showLeaderLines val="1"/>
          </c:dLbls>
          <c:cat>
            <c:strRef>
              <c:f>('[23]GI-5'!$B$3,'[23]GI-5'!$C$3,'[23]GI-5'!$D$3,'[23]GI-5'!$E$3,'[23]GI-5'!$F$3)</c:f>
              <c:strCache>
                <c:ptCount val="5"/>
                <c:pt idx="0">
                  <c:v>Circulación </c:v>
                </c:pt>
                <c:pt idx="1">
                  <c:v>referencia</c:v>
                </c:pt>
                <c:pt idx="2">
                  <c:v>audiovisuales</c:v>
                </c:pt>
                <c:pt idx="3">
                  <c:v>Otros Servicios</c:v>
                </c:pt>
                <c:pt idx="4">
                  <c:v>Serv. Administrativos</c:v>
                </c:pt>
              </c:strCache>
            </c:strRef>
          </c:cat>
          <c:val>
            <c:numRef>
              <c:f>('[23]GI-5'!$B$4,'[23]GI-5'!$C$4,'[23]GI-5'!$D$4,'[23]GI-5'!$E$4,'[23]GI-5'!$F$4)</c:f>
              <c:numCache>
                <c:formatCode>General</c:formatCode>
                <c:ptCount val="5"/>
                <c:pt idx="0">
                  <c:v>202285</c:v>
                </c:pt>
                <c:pt idx="1">
                  <c:v>105815</c:v>
                </c:pt>
                <c:pt idx="2">
                  <c:v>122179</c:v>
                </c:pt>
                <c:pt idx="3">
                  <c:v>90451</c:v>
                </c:pt>
                <c:pt idx="4">
                  <c:v>17839</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180389216053884"/>
          <c:y val="3.257615525332061E-2"/>
        </c:manualLayout>
      </c:layout>
      <c:spPr>
        <a:noFill/>
        <a:ln w="25400">
          <a:noFill/>
        </a:ln>
      </c:spPr>
    </c:title>
    <c:view3D>
      <c:rotX val="75"/>
      <c:perspective val="0"/>
    </c:view3D>
    <c:plotArea>
      <c:layout>
        <c:manualLayout>
          <c:layoutTarget val="inner"/>
          <c:xMode val="edge"/>
          <c:yMode val="edge"/>
          <c:x val="0.31917318796689054"/>
          <c:y val="0.21927488623670471"/>
          <c:w val="0.42436680799515686"/>
          <c:h val="0.70893213819970613"/>
        </c:manualLayout>
      </c:layout>
      <c:pie3DChart>
        <c:varyColors val="1"/>
        <c:ser>
          <c:idx val="3"/>
          <c:order val="0"/>
          <c:dPt>
            <c:idx val="0"/>
            <c:explosion val="2"/>
            <c:spPr>
              <a:solidFill>
                <a:srgbClr val="FFCCCC"/>
              </a:solidFill>
              <a:ln>
                <a:solidFill>
                  <a:srgbClr val="FF99FF"/>
                </a:solidFill>
              </a:ln>
            </c:spPr>
          </c:dPt>
          <c:dPt>
            <c:idx val="1"/>
            <c:spPr>
              <a:solidFill>
                <a:srgbClr val="FFFF99"/>
              </a:solidFill>
            </c:spPr>
          </c:dPt>
          <c:dPt>
            <c:idx val="2"/>
            <c:spPr>
              <a:solidFill>
                <a:srgbClr val="FF9966"/>
              </a:solidFill>
            </c:spPr>
          </c:dPt>
          <c:dLbls>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CatName val="1"/>
            <c:showPercent val="1"/>
            <c:separator> </c:separator>
            <c:showLeaderLines val="1"/>
          </c:dLbls>
          <c:cat>
            <c:strRef>
              <c:f>('[24]GAS-1'!$B$3,'[24]GAS-1'!$C$3,'[24]GAS-1'!$D$3)</c:f>
              <c:strCache>
                <c:ptCount val="3"/>
                <c:pt idx="0">
                  <c:v>De Apoyo</c:v>
                </c:pt>
                <c:pt idx="1">
                  <c:v>Administración </c:v>
                </c:pt>
                <c:pt idx="2">
                  <c:v>Docente</c:v>
                </c:pt>
              </c:strCache>
            </c:strRef>
          </c:cat>
          <c:val>
            <c:numRef>
              <c:f>('[24]GAS-1'!$B$4,'[24]GAS-1'!$C$4,'[24]GAS-1'!$D$4)</c:f>
              <c:numCache>
                <c:formatCode>General</c:formatCode>
                <c:ptCount val="3"/>
                <c:pt idx="0">
                  <c:v>116.13</c:v>
                </c:pt>
                <c:pt idx="1">
                  <c:v>58</c:v>
                </c:pt>
                <c:pt idx="2">
                  <c:v>51.5</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relativa la cantidad de proyectos de Extensión Docente, por sede y área.  2013 - 2017</a:t>
            </a:r>
          </a:p>
        </c:rich>
      </c:tx>
      <c:layout>
        <c:manualLayout>
          <c:xMode val="edge"/>
          <c:yMode val="edge"/>
          <c:x val="0.20428153377379554"/>
          <c:y val="7.3147750470585096E-2"/>
        </c:manualLayout>
      </c:layout>
      <c:spPr>
        <a:noFill/>
        <a:ln w="25400">
          <a:noFill/>
        </a:ln>
      </c:spPr>
    </c:title>
    <c:view3D>
      <c:depthPercent val="100"/>
      <c:rAngAx val="1"/>
    </c:view3D>
    <c:floor>
      <c:spPr>
        <a:ln>
          <a:solidFill>
            <a:schemeClr val="tx1"/>
          </a:solidFill>
        </a:ln>
      </c:spPr>
    </c:floor>
    <c:plotArea>
      <c:layout>
        <c:manualLayout>
          <c:layoutTarget val="inner"/>
          <c:xMode val="edge"/>
          <c:yMode val="edge"/>
          <c:x val="5.9820949105499774E-2"/>
          <c:y val="0.20966183236004191"/>
          <c:w val="0.923440130328539"/>
          <c:h val="0.65047164558975812"/>
        </c:manualLayout>
      </c:layout>
      <c:bar3DChart>
        <c:barDir val="col"/>
        <c:grouping val="percentStacked"/>
        <c:ser>
          <c:idx val="3"/>
          <c:order val="0"/>
          <c:tx>
            <c:strRef>
              <c:f>[25]Hoja1!$B$3</c:f>
              <c:strCache>
                <c:ptCount val="1"/>
                <c:pt idx="0">
                  <c:v>Artes y Letras</c:v>
                </c:pt>
              </c:strCache>
            </c:strRef>
          </c:tx>
          <c:spPr>
            <a:solidFill>
              <a:srgbClr val="EADCD6"/>
            </a:solidFill>
          </c:spPr>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[25]Hoja1!$B$7:$B$11</c:f>
              <c:numCache>
                <c:formatCode>General</c:formatCode>
                <c:ptCount val="5"/>
                <c:pt idx="0">
                  <c:v>5.59</c:v>
                </c:pt>
                <c:pt idx="1">
                  <c:v>5.91</c:v>
                </c:pt>
                <c:pt idx="2">
                  <c:v>5.74</c:v>
                </c:pt>
                <c:pt idx="3">
                  <c:v>5.4</c:v>
                </c:pt>
                <c:pt idx="4">
                  <c:v>5.8695652173913047</c:v>
                </c:pt>
              </c:numCache>
            </c:numRef>
          </c:val>
        </c:ser>
        <c:ser>
          <c:idx val="2"/>
          <c:order val="1"/>
          <c:tx>
            <c:strRef>
              <c:f>[25]Hoja1!$C$3</c:f>
              <c:strCache>
                <c:ptCount val="1"/>
                <c:pt idx="0">
                  <c:v>Cs. Basicas</c:v>
                </c:pt>
              </c:strCache>
            </c:strRef>
          </c:tx>
          <c:spPr>
            <a:solidFill>
              <a:srgbClr val="C1E2A8"/>
            </a:solidFill>
          </c:spPr>
          <c:dLbls>
            <c:numFmt formatCode="#,##0.00" sourceLinked="0"/>
            <c:spPr>
              <a:solidFill>
                <a:schemeClr val="accent3">
                  <a:lumMod val="60000"/>
                  <a:lumOff val="40000"/>
                </a:schemeClr>
              </a:solidFill>
              <a:ln>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[25]Hoja1!$C$7:$C$11</c:f>
              <c:numCache>
                <c:formatCode>General</c:formatCode>
                <c:ptCount val="5"/>
                <c:pt idx="0">
                  <c:v>7.25</c:v>
                </c:pt>
                <c:pt idx="1">
                  <c:v>6.14</c:v>
                </c:pt>
                <c:pt idx="2">
                  <c:v>6.6</c:v>
                </c:pt>
                <c:pt idx="3">
                  <c:v>7.13</c:v>
                </c:pt>
                <c:pt idx="4">
                  <c:v>8.0434782608695592</c:v>
                </c:pt>
              </c:numCache>
            </c:numRef>
          </c:val>
        </c:ser>
        <c:ser>
          <c:idx val="1"/>
          <c:order val="2"/>
          <c:tx>
            <c:strRef>
              <c:f>[25]Hoja1!$D$3</c:f>
              <c:strCache>
                <c:ptCount val="1"/>
                <c:pt idx="0">
                  <c:v>Cs. Sociales</c:v>
                </c:pt>
              </c:strCache>
            </c:strRef>
          </c:tx>
          <c:spPr>
            <a:solidFill>
              <a:srgbClr val="FFFF99"/>
            </a:solidFill>
          </c:spPr>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[25]Hoja1!$D$7:$D$11</c:f>
              <c:numCache>
                <c:formatCode>General</c:formatCode>
                <c:ptCount val="5"/>
                <c:pt idx="0">
                  <c:v>27.74</c:v>
                </c:pt>
                <c:pt idx="1">
                  <c:v>27.73</c:v>
                </c:pt>
                <c:pt idx="2">
                  <c:v>27.45</c:v>
                </c:pt>
                <c:pt idx="3">
                  <c:v>27.21</c:v>
                </c:pt>
                <c:pt idx="4">
                  <c:v>27.826086956521738</c:v>
                </c:pt>
              </c:numCache>
            </c:numRef>
          </c:val>
        </c:ser>
        <c:ser>
          <c:idx val="0"/>
          <c:order val="3"/>
          <c:tx>
            <c:strRef>
              <c:f>[25]Hoja1!$E$3</c:f>
              <c:strCache>
                <c:ptCount val="1"/>
                <c:pt idx="0">
                  <c:v>Salud</c:v>
                </c:pt>
              </c:strCache>
            </c:strRef>
          </c:tx>
          <c:spPr>
            <a:solidFill>
              <a:srgbClr val="C0E2E2"/>
            </a:solidFill>
          </c:spPr>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[25]Hoja1!$E$7:$E$11</c:f>
              <c:numCache>
                <c:formatCode>General</c:formatCode>
                <c:ptCount val="5"/>
                <c:pt idx="0">
                  <c:v>17.18</c:v>
                </c:pt>
                <c:pt idx="1">
                  <c:v>19.32</c:v>
                </c:pt>
                <c:pt idx="2">
                  <c:v>18.940000000000001</c:v>
                </c:pt>
                <c:pt idx="3">
                  <c:v>17.93</c:v>
                </c:pt>
                <c:pt idx="4">
                  <c:v>16.739130434782609</c:v>
                </c:pt>
              </c:numCache>
            </c:numRef>
          </c:val>
        </c:ser>
        <c:ser>
          <c:idx val="4"/>
          <c:order val="4"/>
          <c:tx>
            <c:strRef>
              <c:f>[25]Hoja1!$F$3</c:f>
              <c:strCache>
                <c:ptCount val="1"/>
                <c:pt idx="0">
                  <c:v>Cs. Agroalimentarias</c:v>
                </c:pt>
              </c:strCache>
            </c:strRef>
          </c:tx>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[25]Hoja1!$F$7:$F$11</c:f>
              <c:numCache>
                <c:formatCode>General</c:formatCode>
                <c:ptCount val="5"/>
                <c:pt idx="0">
                  <c:v>10.35</c:v>
                </c:pt>
                <c:pt idx="1">
                  <c:v>11.59</c:v>
                </c:pt>
                <c:pt idx="2">
                  <c:v>10.85</c:v>
                </c:pt>
                <c:pt idx="3">
                  <c:v>11.45</c:v>
                </c:pt>
                <c:pt idx="4">
                  <c:v>11.739130434782609</c:v>
                </c:pt>
              </c:numCache>
            </c:numRef>
          </c:val>
        </c:ser>
        <c:ser>
          <c:idx val="5"/>
          <c:order val="5"/>
          <c:tx>
            <c:strRef>
              <c:f>[25]Hoja1!$G$3</c:f>
              <c:strCache>
                <c:ptCount val="1"/>
                <c:pt idx="0">
                  <c:v>Ing. y Arquitectura</c:v>
                </c:pt>
              </c:strCache>
            </c:strRef>
          </c:tx>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[25]Hoja1!$G$7:$G$11</c:f>
              <c:numCache>
                <c:formatCode>General</c:formatCode>
                <c:ptCount val="5"/>
                <c:pt idx="0">
                  <c:v>4.1399999999999997</c:v>
                </c:pt>
                <c:pt idx="1">
                  <c:v>5</c:v>
                </c:pt>
                <c:pt idx="2">
                  <c:v>5.74</c:v>
                </c:pt>
                <c:pt idx="3">
                  <c:v>5.83</c:v>
                </c:pt>
                <c:pt idx="4">
                  <c:v>5.6521739130434785</c:v>
                </c:pt>
              </c:numCache>
            </c:numRef>
          </c:val>
        </c:ser>
        <c:ser>
          <c:idx val="6"/>
          <c:order val="6"/>
          <c:tx>
            <c:strRef>
              <c:f>[25]Hoja1!$H$3</c:f>
              <c:strCache>
                <c:ptCount val="1"/>
                <c:pt idx="0">
                  <c:v>Otras Unidades</c:v>
                </c:pt>
              </c:strCache>
            </c:strRef>
          </c:tx>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[25]Hoja1!$H$7:$H$11</c:f>
              <c:numCache>
                <c:formatCode>General</c:formatCode>
                <c:ptCount val="5"/>
                <c:pt idx="0">
                  <c:v>6.83</c:v>
                </c:pt>
                <c:pt idx="1">
                  <c:v>4.32</c:v>
                </c:pt>
                <c:pt idx="2">
                  <c:v>4.47</c:v>
                </c:pt>
                <c:pt idx="3">
                  <c:v>4.54</c:v>
                </c:pt>
                <c:pt idx="4">
                  <c:v>3.0434782608695654</c:v>
                </c:pt>
              </c:numCache>
            </c:numRef>
          </c:val>
        </c:ser>
        <c:ser>
          <c:idx val="7"/>
          <c:order val="7"/>
          <c:tx>
            <c:strRef>
              <c:f>[25]Hoja1!$I$3</c:f>
              <c:strCache>
                <c:ptCount val="1"/>
                <c:pt idx="0">
                  <c:v>Sedes Regionales</c:v>
                </c:pt>
              </c:strCache>
            </c:strRef>
          </c:tx>
          <c:dLbls>
            <c:numFmt formatCode="#,##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[25]Hoja1!$A$7:$A$11</c:f>
              <c:numCache>
                <c:formatCode>General</c:formatCode>
                <c:ptCount val="5"/>
                <c:pt idx="0">
                  <c:v>2013</c:v>
                </c:pt>
                <c:pt idx="1">
                  <c:v>2014</c:v>
                </c:pt>
                <c:pt idx="2">
                  <c:v>2015</c:v>
                </c:pt>
                <c:pt idx="3">
                  <c:v>2016</c:v>
                </c:pt>
                <c:pt idx="4">
                  <c:v>2017</c:v>
                </c:pt>
              </c:numCache>
            </c:numRef>
          </c:cat>
          <c:val>
            <c:numRef>
              <c:f>[25]Hoja1!$I$7:$I$11</c:f>
              <c:numCache>
                <c:formatCode>General</c:formatCode>
                <c:ptCount val="5"/>
                <c:pt idx="0">
                  <c:v>20.91</c:v>
                </c:pt>
                <c:pt idx="1">
                  <c:v>20</c:v>
                </c:pt>
                <c:pt idx="2">
                  <c:v>20.21</c:v>
                </c:pt>
                <c:pt idx="3">
                  <c:v>20.52</c:v>
                </c:pt>
                <c:pt idx="4">
                  <c:v>21.086956521739133</c:v>
                </c:pt>
              </c:numCache>
            </c:numRef>
          </c:val>
        </c:ser>
        <c:shape val="box"/>
        <c:axId val="269452032"/>
        <c:axId val="269453568"/>
        <c:axId val="0"/>
      </c:bar3DChart>
      <c:catAx>
        <c:axId val="269452032"/>
        <c:scaling>
          <c:orientation val="minMax"/>
        </c:scaling>
        <c:axPos val="b"/>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9453568"/>
        <c:crosses val="autoZero"/>
        <c:auto val="1"/>
        <c:lblAlgn val="ctr"/>
        <c:lblOffset val="100"/>
      </c:catAx>
      <c:valAx>
        <c:axId val="269453568"/>
        <c:scaling>
          <c:orientation val="minMax"/>
        </c:scaling>
        <c:axPos val="l"/>
        <c:majorGridlines/>
        <c:numFmt formatCode="0%"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9452032"/>
        <c:crosses val="autoZero"/>
        <c:crossBetween val="between"/>
      </c:valAx>
      <c:spPr>
        <a:noFill/>
        <a:ln w="25400">
          <a:noFill/>
        </a:ln>
      </c:spPr>
    </c:plotArea>
    <c:legend>
      <c:legendPos val="b"/>
      <c:layout>
        <c:manualLayout>
          <c:xMode val="edge"/>
          <c:yMode val="edge"/>
          <c:x val="0.37609044152499832"/>
          <c:y val="0.91343416989072723"/>
          <c:w val="0.60858387984520756"/>
          <c:h val="6.7207253300121034E-2"/>
        </c:manualLayout>
      </c:layout>
      <c:spPr>
        <a:ln>
          <a:solidFill>
            <a:schemeClr val="tx1">
              <a:lumMod val="50000"/>
              <a:lumOff val="50000"/>
            </a:schemeClr>
          </a:solidFill>
        </a:ln>
      </c:spPr>
      <c:txPr>
        <a:bodyPr/>
        <a:lstStyle/>
        <a:p>
          <a:pPr>
            <a:defRPr sz="55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4685928964761791"/>
          <c:y val="4.2696262967129112E-2"/>
        </c:manualLayout>
      </c:layout>
    </c:title>
    <c:view3D>
      <c:rotX val="75"/>
      <c:rotY val="30"/>
      <c:perspective val="0"/>
    </c:view3D>
    <c:plotArea>
      <c:layout>
        <c:manualLayout>
          <c:layoutTarget val="inner"/>
          <c:xMode val="edge"/>
          <c:yMode val="edge"/>
          <c:x val="0.30047023533823136"/>
          <c:y val="0.23363539557555321"/>
          <c:w val="0.42243396046082482"/>
          <c:h val="0.70872167884844306"/>
        </c:manualLayout>
      </c:layout>
      <c:pie3DChart>
        <c:varyColors val="1"/>
        <c:ser>
          <c:idx val="3"/>
          <c:order val="0"/>
          <c:dPt>
            <c:idx val="0"/>
            <c:spPr>
              <a:solidFill>
                <a:srgbClr val="CCCCFF"/>
              </a:solidFill>
            </c:spPr>
          </c:dPt>
          <c:dPt>
            <c:idx val="1"/>
            <c:spPr>
              <a:solidFill>
                <a:srgbClr val="CCECFF"/>
              </a:solidFill>
            </c:spPr>
          </c:dPt>
          <c:dPt>
            <c:idx val="2"/>
            <c:spPr>
              <a:solidFill>
                <a:srgbClr val="FFFFCC"/>
              </a:solidFill>
            </c:spPr>
          </c:dPt>
          <c:dPt>
            <c:idx val="3"/>
            <c:spPr>
              <a:solidFill>
                <a:srgbClr val="99FF99"/>
              </a:solidFill>
              <a:ln>
                <a:solidFill>
                  <a:schemeClr val="bg2">
                    <a:lumMod val="75000"/>
                  </a:schemeClr>
                </a:solidFill>
              </a:ln>
            </c:spPr>
          </c:dPt>
          <c:dPt>
            <c:idx val="4"/>
            <c:spPr>
              <a:solidFill>
                <a:srgbClr val="FFCC99"/>
              </a:solidFill>
            </c:spPr>
          </c:dPt>
          <c:dLbls>
            <c:dLbl>
              <c:idx val="0"/>
              <c:layout>
                <c:manualLayout>
                  <c:x val="3.7348272642390296E-2"/>
                  <c:y val="-3.5203520352035202E-2"/>
                </c:manualLayout>
              </c:layout>
              <c:dLblPos val="bestFit"/>
              <c:showVal val="1"/>
              <c:showCatName val="1"/>
              <c:separator> </c:separator>
            </c:dLbl>
            <c:dLbl>
              <c:idx val="1"/>
              <c:layout>
                <c:manualLayout>
                  <c:x val="0"/>
                  <c:y val="1.9801980198019827E-2"/>
                </c:manualLayout>
              </c:layout>
              <c:dLblPos val="bestFit"/>
              <c:showVal val="1"/>
              <c:showCatName val="1"/>
              <c:separator> </c:separator>
            </c:dLbl>
            <c:dLbl>
              <c:idx val="2"/>
              <c:layout>
                <c:manualLayout>
                  <c:x val="-3.7348272642390296E-2"/>
                  <c:y val="6.6006600660066033E-3"/>
                </c:manualLayout>
              </c:layout>
              <c:dLblPos val="bestFit"/>
              <c:showVal val="1"/>
              <c:showCatName val="1"/>
              <c:separator> </c:separator>
            </c:dLbl>
            <c:dLbl>
              <c:idx val="3"/>
              <c:layout>
                <c:manualLayout>
                  <c:x val="-4.8552754435107412E-2"/>
                  <c:y val="-8.8008800880088178E-3"/>
                </c:manualLayout>
              </c:layout>
              <c:dLblPos val="bestFit"/>
              <c:showVal val="1"/>
              <c:showCatName val="1"/>
              <c:separator> </c:separator>
            </c:dLbl>
            <c:dLbl>
              <c:idx val="4"/>
              <c:layout>
                <c:manualLayout>
                  <c:x val="1.8674136321195159E-3"/>
                  <c:y val="-2.4202420242024181E-2"/>
                </c:manualLayout>
              </c:layout>
              <c:dLblPos val="bestFit"/>
              <c:showVal val="1"/>
              <c:showCatName val="1"/>
              <c:separator> </c:separator>
            </c:dLbl>
            <c:dLbl>
              <c:idx val="5"/>
              <c:layout>
                <c:manualLayout>
                  <c:x val="-7.4696545284779897E-3"/>
                  <c:y val="-3.5203520352035202E-2"/>
                </c:manualLayout>
              </c:layout>
              <c:dLblPos val="bestFit"/>
              <c:showVal val="1"/>
              <c:showCatName val="1"/>
              <c:separator> </c:separator>
            </c:dLbl>
            <c:dLbl>
              <c:idx val="6"/>
              <c:layout>
                <c:manualLayout>
                  <c:x val="3.9215686274509803E-2"/>
                  <c:y val="8.8008800880088178E-3"/>
                </c:manualLayout>
              </c:layout>
              <c:dLblPos val="bestFit"/>
              <c:showVal val="1"/>
              <c:showCatName val="1"/>
              <c:separator> </c:separator>
            </c:dLbl>
            <c:numFmt formatCode="#,##0.00" sourceLinked="0"/>
            <c:txPr>
              <a:bodyPr/>
              <a:lstStyle/>
              <a:p>
                <a:pPr>
                  <a:defRPr sz="9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'[26]GAS-3'!$B$3:$H$3</c:f>
              <c:strCache>
                <c:ptCount val="7"/>
                <c:pt idx="0">
                  <c:v>Cs. Socilaes</c:v>
                </c:pt>
                <c:pt idx="1">
                  <c:v>Sedes Regionales</c:v>
                </c:pt>
                <c:pt idx="2">
                  <c:v>Salud</c:v>
                </c:pt>
                <c:pt idx="3">
                  <c:v>Ing. y Arquitectura</c:v>
                </c:pt>
                <c:pt idx="4">
                  <c:v>Artes y letras</c:v>
                </c:pt>
                <c:pt idx="5">
                  <c:v>Cs. Básicas</c:v>
                </c:pt>
                <c:pt idx="6">
                  <c:v>Cs. Agroalimentarias</c:v>
                </c:pt>
              </c:strCache>
            </c:strRef>
          </c:cat>
          <c:val>
            <c:numRef>
              <c:f>'[26]GAS-3'!$B$4:$H$4</c:f>
              <c:numCache>
                <c:formatCode>General</c:formatCode>
                <c:ptCount val="7"/>
                <c:pt idx="0">
                  <c:v>31.609195402298852</c:v>
                </c:pt>
                <c:pt idx="1">
                  <c:v>27.586206896551722</c:v>
                </c:pt>
                <c:pt idx="2">
                  <c:v>14.942528735632186</c:v>
                </c:pt>
                <c:pt idx="3">
                  <c:v>8.0459770114942533</c:v>
                </c:pt>
                <c:pt idx="4">
                  <c:v>8.0459770114942533</c:v>
                </c:pt>
                <c:pt idx="5">
                  <c:v>5.1724137931034484</c:v>
                </c:pt>
                <c:pt idx="6">
                  <c:v>3.4482758620689653</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4685923928017345"/>
          <c:y val="4.2696262967129112E-2"/>
        </c:manualLayout>
      </c:layout>
    </c:title>
    <c:view3D>
      <c:rotX val="75"/>
      <c:rotY val="80"/>
      <c:perspective val="0"/>
    </c:view3D>
    <c:plotArea>
      <c:layout>
        <c:manualLayout>
          <c:layoutTarget val="inner"/>
          <c:xMode val="edge"/>
          <c:yMode val="edge"/>
          <c:x val="0.29678702455010803"/>
          <c:y val="0.23109571303587051"/>
          <c:w val="0.42243396046082482"/>
          <c:h val="0.70872167884844306"/>
        </c:manualLayout>
      </c:layout>
      <c:pie3DChart>
        <c:varyColors val="1"/>
        <c:ser>
          <c:idx val="3"/>
          <c:order val="0"/>
          <c:dPt>
            <c:idx val="0"/>
            <c:spPr>
              <a:solidFill>
                <a:srgbClr val="CCCCFF"/>
              </a:solidFill>
            </c:spPr>
          </c:dPt>
          <c:dPt>
            <c:idx val="1"/>
            <c:spPr>
              <a:solidFill>
                <a:srgbClr val="CCECFF"/>
              </a:solidFill>
            </c:spPr>
          </c:dPt>
          <c:dPt>
            <c:idx val="2"/>
            <c:spPr>
              <a:solidFill>
                <a:srgbClr val="FFFFCC"/>
              </a:solidFill>
            </c:spPr>
          </c:dPt>
          <c:dPt>
            <c:idx val="3"/>
            <c:spPr>
              <a:solidFill>
                <a:srgbClr val="99FF99"/>
              </a:solidFill>
              <a:ln>
                <a:solidFill>
                  <a:schemeClr val="bg2">
                    <a:lumMod val="75000"/>
                  </a:schemeClr>
                </a:solidFill>
              </a:ln>
            </c:spPr>
          </c:dPt>
          <c:dPt>
            <c:idx val="4"/>
            <c:spPr>
              <a:solidFill>
                <a:srgbClr val="FFCC99"/>
              </a:solidFill>
            </c:spPr>
          </c:dPt>
          <c:dLbls>
            <c:dLbl>
              <c:idx val="0"/>
              <c:layout>
                <c:manualLayout>
                  <c:x val="2.2099447513812206E-2"/>
                  <c:y val="0"/>
                </c:manualLayout>
              </c:layout>
              <c:dLblPos val="bestFit"/>
              <c:showVal val="1"/>
              <c:showCatName val="1"/>
              <c:separator> </c:separator>
            </c:dLbl>
            <c:dLbl>
              <c:idx val="1"/>
              <c:layout>
                <c:manualLayout>
                  <c:x val="-1.1049723756906087E-2"/>
                  <c:y val="0"/>
                </c:manualLayout>
              </c:layout>
              <c:dLblPos val="bestFit"/>
              <c:showVal val="1"/>
              <c:showCatName val="1"/>
              <c:separator> </c:separator>
            </c:dLbl>
            <c:dLbl>
              <c:idx val="2"/>
              <c:layout>
                <c:manualLayout>
                  <c:x val="-2.5782688766114201E-2"/>
                  <c:y val="-1.7601760176017601E-2"/>
                </c:manualLayout>
              </c:layout>
              <c:dLblPos val="bestFit"/>
              <c:showVal val="1"/>
              <c:showCatName val="1"/>
              <c:separator> </c:separator>
            </c:dLbl>
            <c:dLbl>
              <c:idx val="3"/>
              <c:layout>
                <c:manualLayout>
                  <c:x val="0"/>
                  <c:y val="-1.9801980198019827E-2"/>
                </c:manualLayout>
              </c:layout>
              <c:dLblPos val="bestFit"/>
              <c:showVal val="1"/>
              <c:showCatName val="1"/>
              <c:separator> </c:separator>
            </c:dLbl>
            <c:dLbl>
              <c:idx val="4"/>
              <c:layout>
                <c:manualLayout>
                  <c:x val="1.6574585635359147E-2"/>
                  <c:y val="-1.9801980198019827E-2"/>
                </c:manualLayout>
              </c:layout>
              <c:dLblPos val="bestFit"/>
              <c:showVal val="1"/>
              <c:showCatName val="1"/>
              <c:separator> </c:separator>
            </c:dLbl>
            <c:dLbl>
              <c:idx val="5"/>
              <c:layout>
                <c:manualLayout>
                  <c:x val="7.366482504604057E-3"/>
                  <c:y val="-1.1001100110011023E-2"/>
                </c:manualLayout>
              </c:layout>
              <c:dLblPos val="bestFit"/>
              <c:showVal val="1"/>
              <c:showCatName val="1"/>
              <c:separator> </c:separator>
            </c:dLbl>
            <c:dLbl>
              <c:idx val="6"/>
              <c:layout>
                <c:manualLayout>
                  <c:x val="2.3941068139963197E-2"/>
                  <c:y val="0"/>
                </c:manualLayout>
              </c:layout>
              <c:dLblPos val="bestFit"/>
              <c:showVal val="1"/>
              <c:showCatName val="1"/>
              <c:separator> </c:separator>
            </c:dLbl>
            <c:dLbl>
              <c:idx val="7"/>
              <c:layout>
                <c:manualLayout>
                  <c:x val="2.2099447513812206E-2"/>
                  <c:y val="2.8602860286028611E-2"/>
                </c:manualLayout>
              </c:layout>
              <c:dLblPos val="bestFit"/>
              <c:showVal val="1"/>
              <c:showCatName val="1"/>
              <c:separator> </c:separator>
            </c:dLbl>
            <c:numFmt formatCode="#,##0.00" sourceLinked="0"/>
            <c:txPr>
              <a:bodyPr/>
              <a:lstStyle/>
              <a:p>
                <a:pPr>
                  <a:defRPr sz="9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'[27]GAS-4'!$A$3:$H$3</c:f>
              <c:strCache>
                <c:ptCount val="8"/>
                <c:pt idx="0">
                  <c:v>Sedes Regionales</c:v>
                </c:pt>
                <c:pt idx="1">
                  <c:v>Artes y letras</c:v>
                </c:pt>
                <c:pt idx="2">
                  <c:v>Cs. Socilaes</c:v>
                </c:pt>
                <c:pt idx="3">
                  <c:v>Ing. y Arquitectura</c:v>
                </c:pt>
                <c:pt idx="4">
                  <c:v>Salud</c:v>
                </c:pt>
                <c:pt idx="5">
                  <c:v>Ofic. Administrativa</c:v>
                </c:pt>
                <c:pt idx="6">
                  <c:v>Cs. Básicas</c:v>
                </c:pt>
                <c:pt idx="7">
                  <c:v>Cs. Agroalimentarias</c:v>
                </c:pt>
              </c:strCache>
            </c:strRef>
          </c:cat>
          <c:val>
            <c:numRef>
              <c:f>'[27]GAS-4'!$A$4:$H$4</c:f>
              <c:numCache>
                <c:formatCode>General</c:formatCode>
                <c:ptCount val="8"/>
                <c:pt idx="0">
                  <c:v>45.528455284552841</c:v>
                </c:pt>
                <c:pt idx="1">
                  <c:v>28.455284552845526</c:v>
                </c:pt>
                <c:pt idx="2">
                  <c:v>8.1300813008130071</c:v>
                </c:pt>
                <c:pt idx="3">
                  <c:v>7.3170731707317067</c:v>
                </c:pt>
                <c:pt idx="4">
                  <c:v>4.0650406504065035</c:v>
                </c:pt>
                <c:pt idx="5">
                  <c:v>4.0650406504065035</c:v>
                </c:pt>
                <c:pt idx="6">
                  <c:v>2.4390243902439024</c:v>
                </c:pt>
                <c:pt idx="7">
                  <c:v>0.84</c:v>
                </c:pt>
              </c:numCache>
            </c:numRef>
          </c:val>
        </c:ser>
      </c:pie3DChart>
      <c:spPr>
        <a:noFill/>
        <a:ln w="25400">
          <a:noFill/>
        </a:ln>
      </c:spPr>
    </c:plotArea>
    <c:plotVisOnly val="1"/>
    <c:dispBlanksAs val="zero"/>
  </c:chart>
  <c:spPr>
    <a:solidFill>
      <a:schemeClr val="bg1"/>
    </a:solidFill>
    <a:ln cap="rnd">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7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2133019615151656"/>
          <c:y val="4.7189771003395234E-2"/>
        </c:manualLayout>
      </c:layout>
    </c:title>
    <c:plotArea>
      <c:layout>
        <c:manualLayout>
          <c:layoutTarget val="inner"/>
          <c:xMode val="edge"/>
          <c:yMode val="edge"/>
          <c:x val="9.3595489912874127E-2"/>
          <c:y val="0.24702911218666546"/>
          <c:w val="0.89707293145733757"/>
          <c:h val="0.60539791016689215"/>
        </c:manualLayout>
      </c:layout>
      <c:barChart>
        <c:barDir val="bar"/>
        <c:grouping val="clustered"/>
        <c:ser>
          <c:idx val="1"/>
          <c:order val="0"/>
          <c:tx>
            <c:strRef>
              <c:f>'[28]GAS-6'!$B$1</c:f>
              <c:strCache>
                <c:ptCount val="1"/>
                <c:pt idx="0">
                  <c:v>I ciclo</c:v>
                </c:pt>
              </c:strCache>
            </c:strRef>
          </c:tx>
          <c:spPr>
            <a:solidFill>
              <a:schemeClr val="accent1">
                <a:lumMod val="40000"/>
                <a:lumOff val="60000"/>
              </a:schemeClr>
            </a:solidFill>
            <a:ln>
              <a:solidFill>
                <a:srgbClr val="0070C0"/>
              </a:solidFill>
            </a:ln>
          </c:spPr>
          <c:cat>
            <c:strRef>
              <c:f>'[28]GAS-6'!$A$2:$A$9</c:f>
              <c:strCache>
                <c:ptCount val="8"/>
                <c:pt idx="0">
                  <c:v>  Primaria incompleta</c:v>
                </c:pt>
                <c:pt idx="1">
                  <c:v>   Primaria completa</c:v>
                </c:pt>
                <c:pt idx="2">
                  <c:v>  Secundaria incompleta</c:v>
                </c:pt>
                <c:pt idx="3">
                  <c:v>  Secundaria completa</c:v>
                </c:pt>
                <c:pt idx="4">
                  <c:v>   Parauniversitaria</c:v>
                </c:pt>
                <c:pt idx="5">
                  <c:v>   Universitaria incompleta</c:v>
                </c:pt>
                <c:pt idx="6">
                  <c:v>   Universitaria completa</c:v>
                </c:pt>
                <c:pt idx="7">
                  <c:v>   No se indica</c:v>
                </c:pt>
              </c:strCache>
            </c:strRef>
          </c:cat>
          <c:val>
            <c:numRef>
              <c:f>'[28]GAS-6'!$B$2:$B$9</c:f>
              <c:numCache>
                <c:formatCode>General</c:formatCode>
                <c:ptCount val="8"/>
                <c:pt idx="0">
                  <c:v>115</c:v>
                </c:pt>
                <c:pt idx="1">
                  <c:v>160</c:v>
                </c:pt>
                <c:pt idx="2">
                  <c:v>239</c:v>
                </c:pt>
                <c:pt idx="3">
                  <c:v>378</c:v>
                </c:pt>
                <c:pt idx="4">
                  <c:v>170</c:v>
                </c:pt>
                <c:pt idx="5">
                  <c:v>418</c:v>
                </c:pt>
                <c:pt idx="6">
                  <c:v>1147</c:v>
                </c:pt>
                <c:pt idx="7">
                  <c:v>56</c:v>
                </c:pt>
              </c:numCache>
            </c:numRef>
          </c:val>
        </c:ser>
        <c:ser>
          <c:idx val="0"/>
          <c:order val="1"/>
          <c:tx>
            <c:strRef>
              <c:f>'[28]GAS-6'!$C$1</c:f>
              <c:strCache>
                <c:ptCount val="1"/>
                <c:pt idx="0">
                  <c:v>II ciclo</c:v>
                </c:pt>
              </c:strCache>
            </c:strRef>
          </c:tx>
          <c:spPr>
            <a:solidFill>
              <a:schemeClr val="accent2">
                <a:lumMod val="40000"/>
                <a:lumOff val="60000"/>
              </a:schemeClr>
            </a:solidFill>
            <a:ln>
              <a:solidFill>
                <a:schemeClr val="accent6"/>
              </a:solidFill>
            </a:ln>
          </c:spPr>
          <c:cat>
            <c:strRef>
              <c:f>'[28]GAS-6'!$A$2:$A$9</c:f>
              <c:strCache>
                <c:ptCount val="8"/>
                <c:pt idx="0">
                  <c:v>  Primaria incompleta</c:v>
                </c:pt>
                <c:pt idx="1">
                  <c:v>   Primaria completa</c:v>
                </c:pt>
                <c:pt idx="2">
                  <c:v>  Secundaria incompleta</c:v>
                </c:pt>
                <c:pt idx="3">
                  <c:v>  Secundaria completa</c:v>
                </c:pt>
                <c:pt idx="4">
                  <c:v>   Parauniversitaria</c:v>
                </c:pt>
                <c:pt idx="5">
                  <c:v>   Universitaria incompleta</c:v>
                </c:pt>
                <c:pt idx="6">
                  <c:v>   Universitaria completa</c:v>
                </c:pt>
                <c:pt idx="7">
                  <c:v>   No se indica</c:v>
                </c:pt>
              </c:strCache>
            </c:strRef>
          </c:cat>
          <c:val>
            <c:numRef>
              <c:f>'[28]GAS-6'!$C$2:$C$9</c:f>
              <c:numCache>
                <c:formatCode>General</c:formatCode>
                <c:ptCount val="8"/>
                <c:pt idx="0">
                  <c:v>76</c:v>
                </c:pt>
                <c:pt idx="1">
                  <c:v>133</c:v>
                </c:pt>
                <c:pt idx="2">
                  <c:v>212</c:v>
                </c:pt>
                <c:pt idx="3">
                  <c:v>356</c:v>
                </c:pt>
                <c:pt idx="4">
                  <c:v>163</c:v>
                </c:pt>
                <c:pt idx="5">
                  <c:v>402</c:v>
                </c:pt>
                <c:pt idx="6">
                  <c:v>1135</c:v>
                </c:pt>
                <c:pt idx="7">
                  <c:v>39</c:v>
                </c:pt>
              </c:numCache>
            </c:numRef>
          </c:val>
        </c:ser>
        <c:axId val="270255616"/>
        <c:axId val="270257152"/>
      </c:barChart>
      <c:catAx>
        <c:axId val="270255616"/>
        <c:scaling>
          <c:orientation val="minMax"/>
        </c:scaling>
        <c:axPos val="l"/>
        <c:numFmt formatCode="General" sourceLinked="1"/>
        <c:minorTickMark val="out"/>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0257152"/>
        <c:crossesAt val="0"/>
        <c:auto val="1"/>
        <c:lblAlgn val="ctr"/>
        <c:lblOffset val="100"/>
      </c:catAx>
      <c:valAx>
        <c:axId val="270257152"/>
        <c:scaling>
          <c:orientation val="minMax"/>
        </c:scaling>
        <c:axPos val="b"/>
        <c:numFmt formatCode="General" sourceLinked="0"/>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ES"/>
          </a:p>
        </c:txPr>
        <c:crossAx val="270255616"/>
        <c:crosses val="autoZero"/>
        <c:crossBetween val="between"/>
        <c:majorUnit val="250"/>
      </c:valAx>
      <c:spPr>
        <a:ln>
          <a:solidFill>
            <a:schemeClr val="bg1">
              <a:lumMod val="85000"/>
            </a:schemeClr>
          </a:solidFill>
        </a:ln>
      </c:spPr>
    </c:plotArea>
    <c:legend>
      <c:legendPos val="b"/>
      <c:layout>
        <c:manualLayout>
          <c:xMode val="edge"/>
          <c:yMode val="edge"/>
          <c:x val="0.81585860938980526"/>
          <c:y val="0.94137956608634932"/>
          <c:w val="0.12083787603472604"/>
          <c:h val="3.3340364564521191E-2"/>
        </c:manualLayout>
      </c:layout>
      <c:spPr>
        <a:ln w="3175" cap="rnd" cmpd="dbl">
          <a:solidFill>
            <a:schemeClr val="bg1">
              <a:lumMod val="85000"/>
            </a:schemeClr>
          </a:solidFill>
        </a:ln>
      </c:spPr>
      <c:txPr>
        <a:bodyPr/>
        <a:lstStyle/>
        <a:p>
          <a:pPr>
            <a:defRPr sz="630" b="0" i="0" u="none" strike="noStrike" baseline="0">
              <a:solidFill>
                <a:srgbClr val="000000"/>
              </a:solidFill>
              <a:latin typeface="Arial"/>
              <a:ea typeface="Arial"/>
              <a:cs typeface="Arial"/>
            </a:defRPr>
          </a:pPr>
          <a:endParaRPr lang="es-E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22" l="0.70000000000000062" r="0.70000000000000062" t="0.75000000000000222" header="0.30000000000000032" footer="0.30000000000000032"/>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18038387659643"/>
          <c:y val="3.257615525332061E-2"/>
        </c:manualLayout>
      </c:layout>
    </c:title>
    <c:view3D>
      <c:rotX val="75"/>
      <c:perspective val="0"/>
    </c:view3D>
    <c:plotArea>
      <c:layout>
        <c:manualLayout>
          <c:layoutTarget val="inner"/>
          <c:xMode val="edge"/>
          <c:yMode val="edge"/>
          <c:x val="0.29682678631651677"/>
          <c:y val="0.23442639672838594"/>
          <c:w val="0.44671314828663078"/>
          <c:h val="0.74428572025088136"/>
        </c:manualLayout>
      </c:layout>
      <c:pie3DChart>
        <c:varyColors val="1"/>
        <c:ser>
          <c:idx val="3"/>
          <c:order val="0"/>
          <c:dPt>
            <c:idx val="0"/>
            <c:spPr>
              <a:solidFill>
                <a:srgbClr val="FFCCCC"/>
              </a:solidFill>
              <a:ln>
                <a:solidFill>
                  <a:srgbClr val="FF99FF"/>
                </a:solidFill>
              </a:ln>
            </c:spPr>
          </c:dPt>
          <c:dPt>
            <c:idx val="1"/>
            <c:spPr>
              <a:solidFill>
                <a:srgbClr val="FFFF99"/>
              </a:solidFill>
            </c:spPr>
          </c:dPt>
          <c:dPt>
            <c:idx val="2"/>
            <c:spPr>
              <a:solidFill>
                <a:srgbClr val="FF9966"/>
              </a:solidFill>
            </c:spPr>
          </c:dPt>
          <c:dLbls>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('[29]GVE-1'!$B$3,'[29]GVE-1'!$C$3,'[29]GVE-1'!$D$3)</c:f>
              <c:strCache>
                <c:ptCount val="3"/>
                <c:pt idx="0">
                  <c:v>Administración </c:v>
                </c:pt>
                <c:pt idx="1">
                  <c:v>Apoyo </c:v>
                </c:pt>
                <c:pt idx="2">
                  <c:v>Docente</c:v>
                </c:pt>
              </c:strCache>
            </c:strRef>
          </c:cat>
          <c:val>
            <c:numRef>
              <c:f>('[29]GVE-1'!$B$4,'[29]GVE-1'!$C$4,'[29]GVE-1'!$D$4)</c:f>
              <c:numCache>
                <c:formatCode>General</c:formatCode>
                <c:ptCount val="3"/>
                <c:pt idx="0">
                  <c:v>80.069999999999993</c:v>
                </c:pt>
                <c:pt idx="1">
                  <c:v>19.55</c:v>
                </c:pt>
                <c:pt idx="2">
                  <c:v>0.37</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relativa de los profesores en Régimen Académico.  2013 - 2017</a:t>
            </a:r>
          </a:p>
        </c:rich>
      </c:tx>
      <c:layout>
        <c:manualLayout>
          <c:xMode val="edge"/>
          <c:yMode val="edge"/>
          <c:x val="0.1893500900045279"/>
          <c:y val="7.7876123148840376E-2"/>
        </c:manualLayout>
      </c:layout>
    </c:title>
    <c:view3D>
      <c:depthPercent val="100"/>
      <c:rAngAx val="1"/>
    </c:view3D>
    <c:floor>
      <c:spPr>
        <a:ln>
          <a:solidFill>
            <a:schemeClr val="tx1"/>
          </a:solidFill>
        </a:ln>
      </c:spPr>
    </c:floor>
    <c:plotArea>
      <c:layout>
        <c:manualLayout>
          <c:layoutTarget val="inner"/>
          <c:xMode val="edge"/>
          <c:yMode val="edge"/>
          <c:x val="7.1315244079763515E-2"/>
          <c:y val="0.21263135440157099"/>
          <c:w val="0.90811439593893339"/>
          <c:h val="0.64405502874225318"/>
        </c:manualLayout>
      </c:layout>
      <c:bar3DChart>
        <c:barDir val="col"/>
        <c:grouping val="percentStacked"/>
        <c:ser>
          <c:idx val="3"/>
          <c:order val="0"/>
          <c:tx>
            <c:strRef>
              <c:f>[3]Hoja1!$B$2</c:f>
              <c:strCache>
                <c:ptCount val="1"/>
                <c:pt idx="0">
                  <c:v>Catedrático</c:v>
                </c:pt>
              </c:strCache>
            </c:strRef>
          </c:tx>
          <c:spPr>
            <a:solidFill>
              <a:schemeClr val="accent2">
                <a:lumMod val="40000"/>
                <a:lumOff val="60000"/>
              </a:schemeClr>
            </a:solidFill>
          </c:spPr>
          <c:dLbls>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[3]Hoja1!$A$3:$A$7</c:f>
              <c:numCache>
                <c:formatCode>General</c:formatCode>
                <c:ptCount val="5"/>
                <c:pt idx="0">
                  <c:v>2013</c:v>
                </c:pt>
                <c:pt idx="1">
                  <c:v>2014</c:v>
                </c:pt>
                <c:pt idx="2">
                  <c:v>2015</c:v>
                </c:pt>
                <c:pt idx="3">
                  <c:v>2016</c:v>
                </c:pt>
                <c:pt idx="4">
                  <c:v>2017</c:v>
                </c:pt>
              </c:numCache>
            </c:numRef>
          </c:cat>
          <c:val>
            <c:numRef>
              <c:f>[3]Hoja1!$B$3:$B$7</c:f>
              <c:numCache>
                <c:formatCode>General</c:formatCode>
                <c:ptCount val="5"/>
                <c:pt idx="0">
                  <c:v>24.82</c:v>
                </c:pt>
                <c:pt idx="1">
                  <c:v>25</c:v>
                </c:pt>
                <c:pt idx="2">
                  <c:v>24.78</c:v>
                </c:pt>
                <c:pt idx="3">
                  <c:v>24.89</c:v>
                </c:pt>
                <c:pt idx="4">
                  <c:v>24.82</c:v>
                </c:pt>
              </c:numCache>
            </c:numRef>
          </c:val>
        </c:ser>
        <c:ser>
          <c:idx val="2"/>
          <c:order val="1"/>
          <c:tx>
            <c:strRef>
              <c:f>[3]Hoja1!$C$2</c:f>
              <c:strCache>
                <c:ptCount val="1"/>
                <c:pt idx="0">
                  <c:v>Asociado </c:v>
                </c:pt>
              </c:strCache>
            </c:strRef>
          </c:tx>
          <c:spPr>
            <a:solidFill>
              <a:schemeClr val="accent3">
                <a:lumMod val="40000"/>
                <a:lumOff val="60000"/>
              </a:schemeClr>
            </a:solidFill>
          </c:spPr>
          <c:dLbls>
            <c:spPr>
              <a:solidFill>
                <a:schemeClr val="accent3">
                  <a:lumMod val="60000"/>
                  <a:lumOff val="40000"/>
                </a:schemeClr>
              </a:solidFill>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[3]Hoja1!$A$3:$A$7</c:f>
              <c:numCache>
                <c:formatCode>General</c:formatCode>
                <c:ptCount val="5"/>
                <c:pt idx="0">
                  <c:v>2013</c:v>
                </c:pt>
                <c:pt idx="1">
                  <c:v>2014</c:v>
                </c:pt>
                <c:pt idx="2">
                  <c:v>2015</c:v>
                </c:pt>
                <c:pt idx="3">
                  <c:v>2016</c:v>
                </c:pt>
                <c:pt idx="4">
                  <c:v>2017</c:v>
                </c:pt>
              </c:numCache>
            </c:numRef>
          </c:cat>
          <c:val>
            <c:numRef>
              <c:f>[3]Hoja1!$C$3:$C$7</c:f>
              <c:numCache>
                <c:formatCode>General</c:formatCode>
                <c:ptCount val="5"/>
                <c:pt idx="0">
                  <c:v>25.55</c:v>
                </c:pt>
                <c:pt idx="1">
                  <c:v>25.82</c:v>
                </c:pt>
                <c:pt idx="2">
                  <c:v>25.49</c:v>
                </c:pt>
                <c:pt idx="3">
                  <c:v>25.39</c:v>
                </c:pt>
                <c:pt idx="4">
                  <c:v>24.92</c:v>
                </c:pt>
              </c:numCache>
            </c:numRef>
          </c:val>
        </c:ser>
        <c:ser>
          <c:idx val="1"/>
          <c:order val="2"/>
          <c:tx>
            <c:strRef>
              <c:f>[3]Hoja1!$D$2</c:f>
              <c:strCache>
                <c:ptCount val="1"/>
                <c:pt idx="0">
                  <c:v>Adjunto</c:v>
                </c:pt>
              </c:strCache>
            </c:strRef>
          </c:tx>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2700000" scaled="1"/>
              <a:tileRect/>
            </a:gradFill>
          </c:spPr>
          <c:dLbls>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[3]Hoja1!$A$3:$A$7</c:f>
              <c:numCache>
                <c:formatCode>General</c:formatCode>
                <c:ptCount val="5"/>
                <c:pt idx="0">
                  <c:v>2013</c:v>
                </c:pt>
                <c:pt idx="1">
                  <c:v>2014</c:v>
                </c:pt>
                <c:pt idx="2">
                  <c:v>2015</c:v>
                </c:pt>
                <c:pt idx="3">
                  <c:v>2016</c:v>
                </c:pt>
                <c:pt idx="4">
                  <c:v>2017</c:v>
                </c:pt>
              </c:numCache>
            </c:numRef>
          </c:cat>
          <c:val>
            <c:numRef>
              <c:f>[3]Hoja1!$D$3:$D$7</c:f>
              <c:numCache>
                <c:formatCode>General</c:formatCode>
                <c:ptCount val="5"/>
                <c:pt idx="0">
                  <c:v>10.66</c:v>
                </c:pt>
                <c:pt idx="1">
                  <c:v>9.93</c:v>
                </c:pt>
                <c:pt idx="2">
                  <c:v>9.99</c:v>
                </c:pt>
                <c:pt idx="3">
                  <c:v>9.67</c:v>
                </c:pt>
                <c:pt idx="4">
                  <c:v>9.64</c:v>
                </c:pt>
              </c:numCache>
            </c:numRef>
          </c:val>
        </c:ser>
        <c:ser>
          <c:idx val="0"/>
          <c:order val="3"/>
          <c:tx>
            <c:strRef>
              <c:f>[3]Hoja1!$E$2</c:f>
              <c:strCache>
                <c:ptCount val="1"/>
                <c:pt idx="0">
                  <c:v>Instructor</c:v>
                </c:pt>
              </c:strCache>
            </c:strRef>
          </c:tx>
          <c:spPr>
            <a:solidFill>
              <a:schemeClr val="accent6">
                <a:lumMod val="60000"/>
                <a:lumOff val="40000"/>
              </a:schemeClr>
            </a:solidFill>
          </c:spPr>
          <c:dLbls>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[3]Hoja1!$A$3:$A$7</c:f>
              <c:numCache>
                <c:formatCode>General</c:formatCode>
                <c:ptCount val="5"/>
                <c:pt idx="0">
                  <c:v>2013</c:v>
                </c:pt>
                <c:pt idx="1">
                  <c:v>2014</c:v>
                </c:pt>
                <c:pt idx="2">
                  <c:v>2015</c:v>
                </c:pt>
                <c:pt idx="3">
                  <c:v>2016</c:v>
                </c:pt>
                <c:pt idx="4">
                  <c:v>2017</c:v>
                </c:pt>
              </c:numCache>
            </c:numRef>
          </c:cat>
          <c:val>
            <c:numRef>
              <c:f>[3]Hoja1!$E$3:$E$7</c:f>
              <c:numCache>
                <c:formatCode>General</c:formatCode>
                <c:ptCount val="5"/>
                <c:pt idx="0">
                  <c:v>38.97</c:v>
                </c:pt>
                <c:pt idx="1">
                  <c:v>39.25</c:v>
                </c:pt>
                <c:pt idx="2">
                  <c:v>39.74</c:v>
                </c:pt>
                <c:pt idx="3">
                  <c:v>40.049999999999997</c:v>
                </c:pt>
                <c:pt idx="4">
                  <c:v>40.619999999999997</c:v>
                </c:pt>
              </c:numCache>
            </c:numRef>
          </c:val>
        </c:ser>
        <c:shape val="box"/>
        <c:axId val="258195456"/>
        <c:axId val="258196992"/>
        <c:axId val="0"/>
      </c:bar3DChart>
      <c:catAx>
        <c:axId val="258195456"/>
        <c:scaling>
          <c:orientation val="minMax"/>
        </c:scaling>
        <c:axPos val="b"/>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58196992"/>
        <c:crosses val="autoZero"/>
        <c:auto val="1"/>
        <c:lblAlgn val="ctr"/>
        <c:lblOffset val="100"/>
      </c:catAx>
      <c:valAx>
        <c:axId val="25819699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58195456"/>
        <c:crosses val="autoZero"/>
        <c:crossBetween val="between"/>
      </c:valAx>
      <c:spPr>
        <a:noFill/>
        <a:ln w="25400">
          <a:noFill/>
        </a:ln>
      </c:spPr>
    </c:plotArea>
    <c:legend>
      <c:legendPos val="b"/>
      <c:layout>
        <c:manualLayout>
          <c:xMode val="edge"/>
          <c:yMode val="edge"/>
          <c:x val="0.53905401376020168"/>
          <c:y val="0.93013947161714283"/>
          <c:w val="0.25976624590930342"/>
          <c:h val="3.0207291606797401E-2"/>
        </c:manualLayout>
      </c:layout>
      <c:spPr>
        <a:ln>
          <a:solidFill>
            <a:schemeClr val="tx1">
              <a:lumMod val="50000"/>
              <a:lumOff val="50000"/>
            </a:schemeClr>
          </a:solidFill>
        </a:ln>
      </c:spPr>
      <c:txPr>
        <a:bodyPr/>
        <a:lstStyle/>
        <a:p>
          <a:pPr>
            <a:defRPr sz="53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5119363395225471"/>
          <c:y val="0.2003081664098614"/>
          <c:w val="0.81962864721485706"/>
          <c:h val="0.68053415511042559"/>
        </c:manualLayout>
      </c:layout>
      <c:barChart>
        <c:barDir val="bar"/>
        <c:grouping val="clustered"/>
        <c:ser>
          <c:idx val="1"/>
          <c:order val="0"/>
          <c:tx>
            <c:strRef>
              <c:f>[30]Hoja2!$D$2</c:f>
              <c:strCache>
                <c:ptCount val="1"/>
                <c:pt idx="0">
                  <c:v>Hombre</c:v>
                </c:pt>
              </c:strCache>
            </c:strRef>
          </c:tx>
          <c:spPr>
            <a:solidFill>
              <a:schemeClr val="accent1"/>
            </a:solidFill>
            <a:ln>
              <a:solidFill>
                <a:schemeClr val="accent1">
                  <a:lumMod val="40000"/>
                  <a:lumOff val="60000"/>
                </a:schemeClr>
              </a:solidFill>
            </a:ln>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[30]Hoja2!$B$3:$B$11</c:f>
              <c:strCache>
                <c:ptCount val="9"/>
                <c:pt idx="0">
                  <c:v>Sis Est posgrado</c:v>
                </c:pt>
                <c:pt idx="1">
                  <c:v>Otros</c:v>
                </c:pt>
                <c:pt idx="2">
                  <c:v>Cs. Básicas</c:v>
                </c:pt>
                <c:pt idx="3">
                  <c:v>Cs. Agroalimentarias</c:v>
                </c:pt>
                <c:pt idx="4">
                  <c:v>Ing. y Arquitectura</c:v>
                </c:pt>
                <c:pt idx="5">
                  <c:v>Artes y Letras </c:v>
                </c:pt>
                <c:pt idx="6">
                  <c:v>Salud</c:v>
                </c:pt>
                <c:pt idx="7">
                  <c:v>Cs. Sociales</c:v>
                </c:pt>
                <c:pt idx="8">
                  <c:v>Sedes Regionales</c:v>
                </c:pt>
              </c:strCache>
            </c:strRef>
          </c:cat>
          <c:val>
            <c:numRef>
              <c:f>[30]Hoja2!$D$3:$D$11</c:f>
              <c:numCache>
                <c:formatCode>General</c:formatCode>
                <c:ptCount val="9"/>
                <c:pt idx="0">
                  <c:v>77</c:v>
                </c:pt>
                <c:pt idx="1">
                  <c:v>341</c:v>
                </c:pt>
                <c:pt idx="2">
                  <c:v>519</c:v>
                </c:pt>
                <c:pt idx="3">
                  <c:v>342</c:v>
                </c:pt>
                <c:pt idx="4">
                  <c:v>1683</c:v>
                </c:pt>
                <c:pt idx="5">
                  <c:v>604</c:v>
                </c:pt>
                <c:pt idx="6">
                  <c:v>570</c:v>
                </c:pt>
                <c:pt idx="7">
                  <c:v>2856</c:v>
                </c:pt>
                <c:pt idx="8">
                  <c:v>3375</c:v>
                </c:pt>
              </c:numCache>
            </c:numRef>
          </c:val>
        </c:ser>
        <c:ser>
          <c:idx val="0"/>
          <c:order val="1"/>
          <c:tx>
            <c:strRef>
              <c:f>[30]Hoja2!$C$2</c:f>
              <c:strCache>
                <c:ptCount val="1"/>
                <c:pt idx="0">
                  <c:v>Mujer</c:v>
                </c:pt>
              </c:strCache>
            </c:strRef>
          </c:tx>
          <c:spPr>
            <a:solidFill>
              <a:schemeClr val="accent2">
                <a:lumMod val="40000"/>
                <a:lumOff val="60000"/>
              </a:schemeClr>
            </a:solidFill>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[30]Hoja2!$B$3:$B$11</c:f>
              <c:strCache>
                <c:ptCount val="9"/>
                <c:pt idx="0">
                  <c:v>Sis Est posgrado</c:v>
                </c:pt>
                <c:pt idx="1">
                  <c:v>Otros</c:v>
                </c:pt>
                <c:pt idx="2">
                  <c:v>Cs. Básicas</c:v>
                </c:pt>
                <c:pt idx="3">
                  <c:v>Cs. Agroalimentarias</c:v>
                </c:pt>
                <c:pt idx="4">
                  <c:v>Ing. y Arquitectura</c:v>
                </c:pt>
                <c:pt idx="5">
                  <c:v>Artes y Letras </c:v>
                </c:pt>
                <c:pt idx="6">
                  <c:v>Salud</c:v>
                </c:pt>
                <c:pt idx="7">
                  <c:v>Cs. Sociales</c:v>
                </c:pt>
                <c:pt idx="8">
                  <c:v>Sedes Regionales</c:v>
                </c:pt>
              </c:strCache>
            </c:strRef>
          </c:cat>
          <c:val>
            <c:numRef>
              <c:f>[30]Hoja2!$C$3:$C$11</c:f>
              <c:numCache>
                <c:formatCode>General</c:formatCode>
                <c:ptCount val="9"/>
                <c:pt idx="0">
                  <c:v>82</c:v>
                </c:pt>
                <c:pt idx="1">
                  <c:v>309</c:v>
                </c:pt>
                <c:pt idx="2">
                  <c:v>352</c:v>
                </c:pt>
                <c:pt idx="3">
                  <c:v>360</c:v>
                </c:pt>
                <c:pt idx="4">
                  <c:v>745</c:v>
                </c:pt>
                <c:pt idx="5">
                  <c:v>827</c:v>
                </c:pt>
                <c:pt idx="6">
                  <c:v>1308</c:v>
                </c:pt>
                <c:pt idx="7">
                  <c:v>3763</c:v>
                </c:pt>
                <c:pt idx="8">
                  <c:v>4197</c:v>
                </c:pt>
              </c:numCache>
            </c:numRef>
          </c:val>
        </c:ser>
        <c:axId val="272061568"/>
        <c:axId val="272063104"/>
      </c:barChart>
      <c:catAx>
        <c:axId val="272061568"/>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2063104"/>
        <c:crosses val="autoZero"/>
        <c:auto val="1"/>
        <c:lblAlgn val="ctr"/>
        <c:lblOffset val="100"/>
      </c:catAx>
      <c:valAx>
        <c:axId val="272063104"/>
        <c:scaling>
          <c:orientation val="minMax"/>
          <c:max val="4500"/>
        </c:scaling>
        <c:axPos val="b"/>
        <c:majorGridlines/>
        <c:numFmt formatCode="General" sourceLinked="1"/>
        <c:tickLblPos val="nextTo"/>
        <c:txPr>
          <a:bodyPr rot="0" vert="horz"/>
          <a:lstStyle/>
          <a:p>
            <a:pPr>
              <a:defRPr sz="900" b="0" i="0" u="none" strike="noStrike" baseline="0">
                <a:solidFill>
                  <a:srgbClr val="000000"/>
                </a:solidFill>
                <a:latin typeface="Times New Roman" pitchFamily="18" charset="0"/>
                <a:ea typeface="Calibri"/>
                <a:cs typeface="Times New Roman" pitchFamily="18" charset="0"/>
              </a:defRPr>
            </a:pPr>
            <a:endParaRPr lang="es-ES"/>
          </a:p>
        </c:txPr>
        <c:crossAx val="272061568"/>
        <c:crosses val="autoZero"/>
        <c:crossBetween val="between"/>
        <c:majorUnit val="500"/>
      </c:valAx>
      <c:spPr>
        <a:ln>
          <a:solidFill>
            <a:schemeClr val="tx1"/>
          </a:solidFill>
        </a:ln>
      </c:spPr>
    </c:plotArea>
    <c:legend>
      <c:legendPos val="b"/>
      <c:layout>
        <c:manualLayout>
          <c:xMode val="edge"/>
          <c:yMode val="edge"/>
          <c:x val="0.76230998976586817"/>
          <c:y val="0.95052303361925672"/>
          <c:w val="0.2039386787526892"/>
          <c:h val="3.7150309986290216E-2"/>
        </c:manualLayout>
      </c:layout>
      <c:spPr>
        <a:ln>
          <a:solidFill>
            <a:schemeClr val="bg1">
              <a:lumMod val="50000"/>
            </a:schemeClr>
          </a:solidFill>
        </a:ln>
      </c:spPr>
      <c:txPr>
        <a:bodyPr/>
        <a:lstStyle/>
        <a:p>
          <a:pPr>
            <a:defRPr sz="75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89" l="0.70000000000000062" r="0.70000000000000062" t="0.75000000000000189"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s-ES"/>
  <c:chart>
    <c:view3D>
      <c:depthPercent val="100"/>
      <c:rAngAx val="1"/>
    </c:view3D>
    <c:plotArea>
      <c:layout>
        <c:manualLayout>
          <c:layoutTarget val="inner"/>
          <c:xMode val="edge"/>
          <c:yMode val="edge"/>
          <c:x val="6.3303764244659333E-2"/>
          <c:y val="0.19964040209259618"/>
          <c:w val="0.93699478510068135"/>
          <c:h val="0.67355049595703254"/>
        </c:manualLayout>
      </c:layout>
      <c:bar3DChart>
        <c:barDir val="col"/>
        <c:grouping val="clustered"/>
        <c:ser>
          <c:idx val="0"/>
          <c:order val="0"/>
          <c:spPr>
            <a:solidFill>
              <a:schemeClr val="accent4">
                <a:lumMod val="40000"/>
                <a:lumOff val="60000"/>
              </a:schemeClr>
            </a:solidFill>
          </c:spPr>
          <c:dLbls>
            <c:dLbl>
              <c:idx val="0"/>
              <c:layout>
                <c:manualLayout>
                  <c:x val="3.3135984584205559E-3"/>
                  <c:y val="0.20765063818582641"/>
                </c:manualLayout>
              </c:layout>
              <c:showVal val="1"/>
            </c:dLbl>
            <c:dLbl>
              <c:idx val="1"/>
              <c:layout>
                <c:manualLayout>
                  <c:x val="0"/>
                  <c:y val="0.27878202701118376"/>
                </c:manualLayout>
              </c:layout>
              <c:showVal val="1"/>
            </c:dLbl>
            <c:dLbl>
              <c:idx val="2"/>
              <c:layout>
                <c:manualLayout>
                  <c:x val="1.6876308182996141E-3"/>
                  <c:y val="6.4942446997230854E-2"/>
                </c:manualLayout>
              </c:layout>
              <c:showVal val="1"/>
            </c:dLbl>
            <c:dLbl>
              <c:idx val="3"/>
              <c:layout>
                <c:manualLayout>
                  <c:x val="1.5189873417721525E-2"/>
                  <c:y val="1.6267924651597241E-2"/>
                </c:manualLayout>
              </c:layout>
              <c:showVal val="1"/>
            </c:dLbl>
            <c:dLbl>
              <c:idx val="4"/>
              <c:layout>
                <c:manualLayout>
                  <c:x val="1.0935379912953921E-2"/>
                  <c:y val="1.7467706317280621E-2"/>
                </c:manualLayout>
              </c:layout>
              <c:showVal val="1"/>
            </c:dLbl>
            <c:spPr>
              <a:effectLst/>
            </c:spPr>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'[31]GRH-6'!$B$4:$B$8</c:f>
              <c:strCache>
                <c:ptCount val="5"/>
                <c:pt idx="0">
                  <c:v>Menor o igual a 20</c:v>
                </c:pt>
                <c:pt idx="1">
                  <c:v>de 21 a 25 años</c:v>
                </c:pt>
                <c:pt idx="2">
                  <c:v>de 26 a 30 años</c:v>
                </c:pt>
                <c:pt idx="3">
                  <c:v>de 31 a 35 años</c:v>
                </c:pt>
                <c:pt idx="4">
                  <c:v>más de 35 años</c:v>
                </c:pt>
              </c:strCache>
            </c:strRef>
          </c:cat>
          <c:val>
            <c:numRef>
              <c:f>'[31]GRH-6'!$C$4:$C$8</c:f>
              <c:numCache>
                <c:formatCode>General</c:formatCode>
                <c:ptCount val="5"/>
                <c:pt idx="0">
                  <c:v>8498</c:v>
                </c:pt>
                <c:pt idx="1">
                  <c:v>11019</c:v>
                </c:pt>
                <c:pt idx="2">
                  <c:v>2239</c:v>
                </c:pt>
                <c:pt idx="3">
                  <c:v>365</c:v>
                </c:pt>
                <c:pt idx="4">
                  <c:v>189</c:v>
                </c:pt>
              </c:numCache>
            </c:numRef>
          </c:val>
        </c:ser>
        <c:shape val="box"/>
        <c:axId val="273395712"/>
        <c:axId val="273397248"/>
        <c:axId val="0"/>
      </c:bar3DChart>
      <c:catAx>
        <c:axId val="273395712"/>
        <c:scaling>
          <c:orientation val="minMax"/>
        </c:scaling>
        <c:axPos val="b"/>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73397248"/>
        <c:crosses val="autoZero"/>
        <c:auto val="1"/>
        <c:lblAlgn val="ctr"/>
        <c:lblOffset val="100"/>
      </c:catAx>
      <c:valAx>
        <c:axId val="273397248"/>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73395712"/>
        <c:crosses val="autoZero"/>
        <c:crossBetween val="between"/>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180375713247744"/>
          <c:y val="3.257615525332061E-2"/>
        </c:manualLayout>
      </c:layout>
    </c:title>
    <c:view3D>
      <c:rotX val="75"/>
      <c:perspective val="0"/>
    </c:view3D>
    <c:plotArea>
      <c:layout>
        <c:manualLayout>
          <c:layoutTarget val="inner"/>
          <c:xMode val="edge"/>
          <c:yMode val="edge"/>
          <c:x val="0.28335290917682354"/>
          <c:y val="0.20294818261353748"/>
          <c:w val="0.47012043313042862"/>
          <c:h val="0.7515972719319175"/>
        </c:manualLayout>
      </c:layout>
      <c:pie3DChart>
        <c:varyColors val="1"/>
        <c:ser>
          <c:idx val="3"/>
          <c:order val="0"/>
          <c:dPt>
            <c:idx val="0"/>
            <c:explosion val="8"/>
            <c:spPr>
              <a:solidFill>
                <a:srgbClr val="FFCCCC"/>
              </a:solidFill>
              <a:ln>
                <a:solidFill>
                  <a:srgbClr val="FF99FF"/>
                </a:solidFill>
              </a:ln>
            </c:spPr>
          </c:dPt>
          <c:dPt>
            <c:idx val="1"/>
            <c:spPr>
              <a:solidFill>
                <a:srgbClr val="FFFF99"/>
              </a:solidFill>
            </c:spPr>
          </c:dPt>
          <c:dPt>
            <c:idx val="2"/>
            <c:spPr>
              <a:solidFill>
                <a:srgbClr val="FF9966"/>
              </a:solidFill>
            </c:spPr>
          </c:dPt>
          <c:dLbls>
            <c:dLbl>
              <c:idx val="1"/>
              <c:layout>
                <c:manualLayout>
                  <c:x val="-3.9160839160839164E-2"/>
                  <c:y val="2.7952480782669586E-3"/>
                </c:manualLayout>
              </c:layout>
              <c:dLblPos val="bestFit"/>
              <c:showVal val="1"/>
              <c:showCatName val="1"/>
              <c:separator> </c:separator>
            </c:dLbl>
            <c:dLbl>
              <c:idx val="2"/>
              <c:layout>
                <c:manualLayout>
                  <c:x val="6.7132867132867133E-2"/>
                  <c:y val="-2.7952480782669586E-3"/>
                </c:manualLayout>
              </c:layout>
              <c:dLblPos val="bestFit"/>
              <c:showVal val="1"/>
              <c:showCatName val="1"/>
              <c:separator> </c:separator>
            </c:dLbl>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('[32]GVE-4'!$B$2,'[32]GVE-4'!$C$2,'[32]GVE-4'!$D$2)</c:f>
              <c:strCache>
                <c:ptCount val="3"/>
                <c:pt idx="0">
                  <c:v>Soltero </c:v>
                </c:pt>
                <c:pt idx="1">
                  <c:v>Casado</c:v>
                </c:pt>
                <c:pt idx="2">
                  <c:v>Otros</c:v>
                </c:pt>
              </c:strCache>
            </c:strRef>
          </c:cat>
          <c:val>
            <c:numRef>
              <c:f>('[32]GVE-4'!$B$3,'[32]GVE-4'!$C$3,'[32]GVE-4'!$D$3)</c:f>
              <c:numCache>
                <c:formatCode>General</c:formatCode>
                <c:ptCount val="3"/>
                <c:pt idx="0">
                  <c:v>97.39</c:v>
                </c:pt>
                <c:pt idx="1">
                  <c:v>1.26</c:v>
                </c:pt>
                <c:pt idx="2">
                  <c:v>1.36</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2016</a:t>
            </a:r>
          </a:p>
        </c:rich>
      </c:tx>
      <c:layout>
        <c:manualLayout>
          <c:xMode val="edge"/>
          <c:yMode val="edge"/>
          <c:x val="0.27485740506212947"/>
          <c:y val="4.2677165354330707E-2"/>
        </c:manualLayout>
      </c:layout>
    </c:title>
    <c:view3D>
      <c:rotX val="75"/>
      <c:perspective val="0"/>
    </c:view3D>
    <c:plotArea>
      <c:layout>
        <c:manualLayout>
          <c:layoutTarget val="inner"/>
          <c:xMode val="edge"/>
          <c:yMode val="edge"/>
          <c:x val="0.31361004349980875"/>
          <c:y val="0.24840269180189026"/>
          <c:w val="0.43179472496007931"/>
          <c:h val="0.71633316275717096"/>
        </c:manualLayout>
      </c:layout>
      <c:pie3DChart>
        <c:varyColors val="1"/>
        <c:ser>
          <c:idx val="3"/>
          <c:order val="0"/>
          <c:dPt>
            <c:idx val="0"/>
            <c:explosion val="8"/>
            <c:spPr>
              <a:solidFill>
                <a:srgbClr val="CCCCFF"/>
              </a:solidFill>
              <a:ln>
                <a:solidFill>
                  <a:srgbClr val="FF99FF"/>
                </a:solidFill>
              </a:ln>
            </c:spPr>
          </c:dPt>
          <c:dPt>
            <c:idx val="1"/>
            <c:spPr>
              <a:solidFill>
                <a:srgbClr val="FFCCFF"/>
              </a:solidFill>
            </c:spPr>
          </c:dPt>
          <c:dPt>
            <c:idx val="2"/>
            <c:spPr>
              <a:solidFill>
                <a:srgbClr val="CC66FF"/>
              </a:solidFill>
            </c:spPr>
          </c:dPt>
          <c:dLbls>
            <c:dLbl>
              <c:idx val="1"/>
              <c:layout>
                <c:manualLayout>
                  <c:x val="-3.9160839160839164E-2"/>
                  <c:y val="2.7952480782669586E-3"/>
                </c:manualLayout>
              </c:layout>
              <c:dLblPos val="bestFit"/>
              <c:showVal val="1"/>
              <c:showCatName val="1"/>
              <c:separator> </c:separator>
            </c:dLbl>
            <c:dLbl>
              <c:idx val="2"/>
              <c:layout>
                <c:manualLayout>
                  <c:x val="6.7132867132867133E-2"/>
                  <c:y val="-2.7952480782669586E-3"/>
                </c:manualLayout>
              </c:layout>
              <c:dLblPos val="bestFit"/>
              <c:showVal val="1"/>
              <c:showCatName val="1"/>
              <c:separator> </c:separator>
            </c:dLbl>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('[33]GVE-5'!$A$1,'[33]GVE-5'!$B$1,'[33]GVE-5'!$C$1)</c:f>
              <c:strCache>
                <c:ptCount val="3"/>
                <c:pt idx="0">
                  <c:v>Costarricense</c:v>
                </c:pt>
                <c:pt idx="1">
                  <c:v>Centroamérica y Panamá</c:v>
                </c:pt>
                <c:pt idx="2">
                  <c:v>Otros</c:v>
                </c:pt>
              </c:strCache>
            </c:strRef>
          </c:cat>
          <c:val>
            <c:numRef>
              <c:f>('[33]GVE-5'!$A$2,'[33]GVE-5'!$B$2,'[33]GVE-5'!$C$2)</c:f>
              <c:numCache>
                <c:formatCode>General</c:formatCode>
                <c:ptCount val="3"/>
                <c:pt idx="0">
                  <c:v>98.35</c:v>
                </c:pt>
                <c:pt idx="1">
                  <c:v>0.87</c:v>
                </c:pt>
                <c:pt idx="2">
                  <c:v>0.87</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s-ES"/>
  <c:chart>
    <c:view3D>
      <c:depthPercent val="100"/>
      <c:rAngAx val="1"/>
    </c:view3D>
    <c:floor>
      <c:spPr>
        <a:ln>
          <a:solidFill>
            <a:sysClr val="windowText" lastClr="000000"/>
          </a:solidFill>
        </a:ln>
      </c:spPr>
    </c:floor>
    <c:plotArea>
      <c:layout>
        <c:manualLayout>
          <c:layoutTarget val="inner"/>
          <c:xMode val="edge"/>
          <c:yMode val="edge"/>
          <c:x val="4.3757620848575401E-2"/>
          <c:y val="0.20190800426098329"/>
          <c:w val="0.93699478510068135"/>
          <c:h val="0.67355049595703254"/>
        </c:manualLayout>
      </c:layout>
      <c:bar3DChart>
        <c:barDir val="col"/>
        <c:grouping val="clustered"/>
        <c:ser>
          <c:idx val="0"/>
          <c:order val="0"/>
          <c:spPr>
            <a:solidFill>
              <a:schemeClr val="accent1">
                <a:lumMod val="40000"/>
                <a:lumOff val="60000"/>
              </a:schemeClr>
            </a:solidFill>
          </c:spPr>
          <c:dLbls>
            <c:dLbl>
              <c:idx val="0"/>
              <c:layout>
                <c:manualLayout>
                  <c:x val="3.3135984584205559E-3"/>
                  <c:y val="0.20765063818582641"/>
                </c:manualLayout>
              </c:layout>
              <c:showVal val="1"/>
            </c:dLbl>
            <c:dLbl>
              <c:idx val="1"/>
              <c:layout>
                <c:manualLayout>
                  <c:x val="0"/>
                  <c:y val="8.3433091236792128E-2"/>
                </c:manualLayout>
              </c:layout>
              <c:showVal val="1"/>
            </c:dLbl>
            <c:dLbl>
              <c:idx val="2"/>
              <c:layout>
                <c:manualLayout>
                  <c:x val="1.6876308182996141E-3"/>
                  <c:y val="6.4942446997230854E-2"/>
                </c:manualLayout>
              </c:layout>
              <c:showVal val="1"/>
            </c:dLbl>
            <c:dLbl>
              <c:idx val="3"/>
              <c:layout>
                <c:manualLayout>
                  <c:x val="1.5189873417721525E-2"/>
                  <c:y val="1.6267924651597241E-2"/>
                </c:manualLayout>
              </c:layout>
              <c:showVal val="1"/>
            </c:dLbl>
            <c:dLbl>
              <c:idx val="4"/>
              <c:layout>
                <c:manualLayout>
                  <c:x val="1.0935379912953921E-2"/>
                  <c:y val="1.7467706317280621E-2"/>
                </c:manualLayout>
              </c:layout>
              <c:showVal val="1"/>
            </c:dLbl>
            <c:spPr>
              <a:effectLst/>
            </c:spPr>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'[34]GRH-6'!$B$4:$B$5</c:f>
              <c:strCache>
                <c:ptCount val="2"/>
                <c:pt idx="0">
                  <c:v>de 1 a menos de 6</c:v>
                </c:pt>
                <c:pt idx="1">
                  <c:v>de 6 y más</c:v>
                </c:pt>
              </c:strCache>
            </c:strRef>
          </c:cat>
          <c:val>
            <c:numRef>
              <c:f>'[34]GRH-6'!$C$4:$C$5</c:f>
              <c:numCache>
                <c:formatCode>General</c:formatCode>
                <c:ptCount val="2"/>
                <c:pt idx="0">
                  <c:v>19609</c:v>
                </c:pt>
                <c:pt idx="1">
                  <c:v>2701</c:v>
                </c:pt>
              </c:numCache>
            </c:numRef>
          </c:val>
        </c:ser>
        <c:gapWidth val="138"/>
        <c:gapDepth val="41"/>
        <c:shape val="box"/>
        <c:axId val="273894400"/>
        <c:axId val="273900288"/>
        <c:axId val="0"/>
      </c:bar3DChart>
      <c:catAx>
        <c:axId val="273894400"/>
        <c:scaling>
          <c:orientation val="minMax"/>
        </c:scaling>
        <c:axPos val="b"/>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73900288"/>
        <c:crosses val="autoZero"/>
        <c:auto val="1"/>
        <c:lblAlgn val="ctr"/>
        <c:lblOffset val="100"/>
      </c:catAx>
      <c:valAx>
        <c:axId val="273900288"/>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73894400"/>
        <c:crosses val="autoZero"/>
        <c:crossBetween val="between"/>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600" b="0" i="0" u="none" strike="noStrike" baseline="0">
                <a:solidFill>
                  <a:srgbClr val="000000"/>
                </a:solidFill>
                <a:latin typeface="Times New Roman"/>
                <a:ea typeface="Times New Roman"/>
                <a:cs typeface="Times New Roman"/>
              </a:defRPr>
            </a:pPr>
            <a:r>
              <a:rPr lang="es-ES"/>
              <a:t>Distribución absoluta de los estudiantes físicos de primer ingreso con beca de Asistencia Socioeconómica, según Sede.  I ciclo</a:t>
            </a:r>
          </a:p>
        </c:rich>
      </c:tx>
      <c:layout>
        <c:manualLayout>
          <c:xMode val="edge"/>
          <c:yMode val="edge"/>
          <c:x val="0.16359139573572781"/>
          <c:y val="7.4581132699918673E-2"/>
        </c:manualLayout>
      </c:layout>
      <c:overlay val="1"/>
    </c:title>
    <c:plotArea>
      <c:layout>
        <c:manualLayout>
          <c:layoutTarget val="inner"/>
          <c:xMode val="edge"/>
          <c:yMode val="edge"/>
          <c:x val="0.1111111111111111"/>
          <c:y val="0.21541155866900191"/>
          <c:w val="0.85322359396433467"/>
          <c:h val="0.65849387040280472"/>
        </c:manualLayout>
      </c:layout>
      <c:barChart>
        <c:barDir val="bar"/>
        <c:grouping val="stacked"/>
        <c:ser>
          <c:idx val="1"/>
          <c:order val="0"/>
          <c:spPr>
            <a:solidFill>
              <a:srgbClr val="9999FF"/>
            </a:solidFill>
          </c:spPr>
          <c:dLbls>
            <c:dLbl>
              <c:idx val="0"/>
              <c:layout>
                <c:manualLayout>
                  <c:x val="2.5369668297635633E-3"/>
                  <c:y val="-3.1821797931583253E-3"/>
                </c:manualLayout>
              </c:layout>
              <c:dLblPos val="ctr"/>
              <c:showVal val="1"/>
            </c:dLbl>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[35]Hoja1!$B$2:$B$8</c:f>
              <c:strCache>
                <c:ptCount val="7"/>
                <c:pt idx="0">
                  <c:v>Alajuela</c:v>
                </c:pt>
                <c:pt idx="1">
                  <c:v>Pacífico</c:v>
                </c:pt>
                <c:pt idx="2">
                  <c:v>Caribe</c:v>
                </c:pt>
                <c:pt idx="3">
                  <c:v>Guanacaste</c:v>
                </c:pt>
                <c:pt idx="4">
                  <c:v>Atlántico</c:v>
                </c:pt>
                <c:pt idx="5">
                  <c:v>Occidente</c:v>
                </c:pt>
                <c:pt idx="6">
                  <c:v>Rodrigo Facio </c:v>
                </c:pt>
              </c:strCache>
            </c:strRef>
          </c:cat>
          <c:val>
            <c:numRef>
              <c:f>([35]Hoja1!$C$2,[35]Hoja1!$C$3,[35]Hoja1!$C$4,[35]Hoja1!$C$5,[35]Hoja1!$C$6,[35]Hoja1!$C$7,[35]Hoja1!$C$8)</c:f>
              <c:numCache>
                <c:formatCode>General</c:formatCode>
                <c:ptCount val="7"/>
                <c:pt idx="0">
                  <c:v>63</c:v>
                </c:pt>
                <c:pt idx="1">
                  <c:v>276</c:v>
                </c:pt>
                <c:pt idx="2">
                  <c:v>298</c:v>
                </c:pt>
                <c:pt idx="3">
                  <c:v>385</c:v>
                </c:pt>
                <c:pt idx="4">
                  <c:v>431</c:v>
                </c:pt>
                <c:pt idx="5">
                  <c:v>571</c:v>
                </c:pt>
                <c:pt idx="6">
                  <c:v>2870</c:v>
                </c:pt>
              </c:numCache>
            </c:numRef>
          </c:val>
        </c:ser>
        <c:gapWidth val="87"/>
        <c:overlap val="100"/>
        <c:axId val="274769024"/>
        <c:axId val="274770560"/>
      </c:barChart>
      <c:catAx>
        <c:axId val="274769024"/>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4770560"/>
        <c:crosses val="autoZero"/>
        <c:auto val="1"/>
        <c:lblAlgn val="ctr"/>
        <c:lblOffset val="100"/>
      </c:catAx>
      <c:valAx>
        <c:axId val="274770560"/>
        <c:scaling>
          <c:orientation val="minMax"/>
          <c:max val="3000"/>
        </c:scaling>
        <c:axPos val="b"/>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4769024"/>
        <c:crosses val="autoZero"/>
        <c:crossBetween val="between"/>
        <c:majorUnit val="200"/>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610079575596817"/>
          <c:y val="0.17563291139240544"/>
          <c:w val="0.85145888594164232"/>
          <c:h val="0.64438627540332694"/>
        </c:manualLayout>
      </c:layout>
      <c:barChart>
        <c:barDir val="bar"/>
        <c:grouping val="clustered"/>
        <c:ser>
          <c:idx val="1"/>
          <c:order val="0"/>
          <c:tx>
            <c:strRef>
              <c:f>'[36]GVE-8'!$D$1</c:f>
              <c:strCache>
                <c:ptCount val="1"/>
                <c:pt idx="0">
                  <c:v>Beca vigente</c:v>
                </c:pt>
              </c:strCache>
            </c:strRef>
          </c:tx>
          <c:spPr>
            <a:solidFill>
              <a:schemeClr val="accent1"/>
            </a:solidFill>
            <a:ln>
              <a:solidFill>
                <a:schemeClr val="accent1">
                  <a:lumMod val="40000"/>
                  <a:lumOff val="60000"/>
                </a:schemeClr>
              </a:solidFill>
            </a:ln>
          </c:spPr>
          <c:dLbls>
            <c:dLbl>
              <c:idx val="0"/>
              <c:layout>
                <c:manualLayout>
                  <c:x val="-1.4341708612683436E-3"/>
                  <c:y val="1.0270656329159125E-16"/>
                </c:manualLayout>
              </c:layout>
              <c:dLblPos val="outEnd"/>
              <c:showVal val="1"/>
            </c:dLbl>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'[36]GVE-8'!$B$2:$B$8</c:f>
              <c:strCache>
                <c:ptCount val="7"/>
                <c:pt idx="0">
                  <c:v>Alajuela</c:v>
                </c:pt>
                <c:pt idx="1">
                  <c:v>Pacífico </c:v>
                </c:pt>
                <c:pt idx="2">
                  <c:v>Caribe</c:v>
                </c:pt>
                <c:pt idx="3">
                  <c:v>Guanacaste</c:v>
                </c:pt>
                <c:pt idx="4">
                  <c:v>Atlántico</c:v>
                </c:pt>
                <c:pt idx="5">
                  <c:v>Occidente</c:v>
                </c:pt>
                <c:pt idx="6">
                  <c:v>Rodrigo Facio </c:v>
                </c:pt>
              </c:strCache>
            </c:strRef>
          </c:cat>
          <c:val>
            <c:numRef>
              <c:f>'[36]GVE-8'!$D$2:$D$8</c:f>
              <c:numCache>
                <c:formatCode>General</c:formatCode>
                <c:ptCount val="7"/>
                <c:pt idx="0">
                  <c:v>385</c:v>
                </c:pt>
                <c:pt idx="1">
                  <c:v>940</c:v>
                </c:pt>
                <c:pt idx="2">
                  <c:v>1140</c:v>
                </c:pt>
                <c:pt idx="3">
                  <c:v>1520</c:v>
                </c:pt>
                <c:pt idx="4">
                  <c:v>1555</c:v>
                </c:pt>
                <c:pt idx="5">
                  <c:v>2438</c:v>
                </c:pt>
                <c:pt idx="6">
                  <c:v>14332</c:v>
                </c:pt>
              </c:numCache>
            </c:numRef>
          </c:val>
        </c:ser>
        <c:ser>
          <c:idx val="0"/>
          <c:order val="1"/>
          <c:tx>
            <c:strRef>
              <c:f>'[36]GVE-8'!$C$1</c:f>
              <c:strCache>
                <c:ptCount val="1"/>
                <c:pt idx="0">
                  <c:v>Beca permanente</c:v>
                </c:pt>
              </c:strCache>
            </c:strRef>
          </c:tx>
          <c:spPr>
            <a:solidFill>
              <a:schemeClr val="accent2">
                <a:lumMod val="40000"/>
                <a:lumOff val="60000"/>
              </a:schemeClr>
            </a:solidFill>
          </c:spPr>
          <c:dLbls>
            <c:dLbl>
              <c:idx val="0"/>
              <c:layout>
                <c:manualLayout>
                  <c:x val="7.1875630930749452E-4"/>
                  <c:y val="0"/>
                </c:manualLayout>
              </c:layout>
              <c:dLblPos val="outEnd"/>
              <c:showVal val="1"/>
            </c:dLbl>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'[36]GVE-8'!$B$2:$B$8</c:f>
              <c:strCache>
                <c:ptCount val="7"/>
                <c:pt idx="0">
                  <c:v>Alajuela</c:v>
                </c:pt>
                <c:pt idx="1">
                  <c:v>Pacífico </c:v>
                </c:pt>
                <c:pt idx="2">
                  <c:v>Caribe</c:v>
                </c:pt>
                <c:pt idx="3">
                  <c:v>Guanacaste</c:v>
                </c:pt>
                <c:pt idx="4">
                  <c:v>Atlántico</c:v>
                </c:pt>
                <c:pt idx="5">
                  <c:v>Occidente</c:v>
                </c:pt>
                <c:pt idx="6">
                  <c:v>Rodrigo Facio </c:v>
                </c:pt>
              </c:strCache>
            </c:strRef>
          </c:cat>
          <c:val>
            <c:numRef>
              <c:f>'[36]GVE-8'!$C$2:$C$8</c:f>
              <c:numCache>
                <c:formatCode>General</c:formatCode>
                <c:ptCount val="7"/>
                <c:pt idx="0">
                  <c:v>473</c:v>
                </c:pt>
                <c:pt idx="1">
                  <c:v>1119</c:v>
                </c:pt>
                <c:pt idx="2">
                  <c:v>1330</c:v>
                </c:pt>
                <c:pt idx="3">
                  <c:v>1738</c:v>
                </c:pt>
                <c:pt idx="4">
                  <c:v>1877</c:v>
                </c:pt>
                <c:pt idx="5">
                  <c:v>2866</c:v>
                </c:pt>
                <c:pt idx="6">
                  <c:v>18781</c:v>
                </c:pt>
              </c:numCache>
            </c:numRef>
          </c:val>
        </c:ser>
        <c:axId val="276582400"/>
        <c:axId val="276583936"/>
      </c:barChart>
      <c:catAx>
        <c:axId val="276582400"/>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6583936"/>
        <c:crosses val="autoZero"/>
        <c:auto val="1"/>
        <c:lblAlgn val="ctr"/>
        <c:lblOffset val="100"/>
      </c:catAx>
      <c:valAx>
        <c:axId val="276583936"/>
        <c:scaling>
          <c:orientation val="minMax"/>
          <c:max val="19000"/>
        </c:scaling>
        <c:axPos val="b"/>
        <c:majorGridlines/>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76582400"/>
        <c:crosses val="autoZero"/>
        <c:crossBetween val="between"/>
        <c:majorUnit val="1000"/>
      </c:valAx>
      <c:spPr>
        <a:ln>
          <a:solidFill>
            <a:schemeClr val="tx1"/>
          </a:solidFill>
        </a:ln>
      </c:spPr>
    </c:plotArea>
    <c:legend>
      <c:legendPos val="b"/>
      <c:layout>
        <c:manualLayout>
          <c:xMode val="edge"/>
          <c:yMode val="edge"/>
          <c:x val="0.73047975103908014"/>
          <c:y val="0.95052310707996857"/>
          <c:w val="0.23576891747948006"/>
          <c:h val="3.7150237549420428E-2"/>
        </c:manualLayout>
      </c:layout>
      <c:spPr>
        <a:ln>
          <a:solidFill>
            <a:schemeClr val="bg1">
              <a:lumMod val="50000"/>
            </a:schemeClr>
          </a:solidFill>
        </a:ln>
      </c:spPr>
      <c:txPr>
        <a:bodyPr/>
        <a:lstStyle/>
        <a:p>
          <a:pPr>
            <a:defRPr sz="75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1037234042553212"/>
          <c:y val="0.17721518987341869"/>
          <c:w val="0.85372340425532134"/>
          <c:h val="0.67246835443038178"/>
        </c:manualLayout>
      </c:layout>
      <c:barChart>
        <c:barDir val="bar"/>
        <c:grouping val="clustered"/>
        <c:ser>
          <c:idx val="1"/>
          <c:order val="0"/>
          <c:tx>
            <c:strRef>
              <c:f>'[37]GVE-9'!$D$2</c:f>
              <c:strCache>
                <c:ptCount val="1"/>
                <c:pt idx="0">
                  <c:v>Beca permanente</c:v>
                </c:pt>
              </c:strCache>
            </c:strRef>
          </c:tx>
          <c:spPr>
            <a:solidFill>
              <a:schemeClr val="accent2">
                <a:lumMod val="40000"/>
                <a:lumOff val="60000"/>
              </a:schemeClr>
            </a:solidFill>
            <a:ln>
              <a:solidFill>
                <a:schemeClr val="accent1">
                  <a:lumMod val="40000"/>
                  <a:lumOff val="60000"/>
                </a:schemeClr>
              </a:solidFill>
            </a:ln>
          </c:spPr>
          <c:dLbls>
            <c:dLbl>
              <c:idx val="0"/>
              <c:layout>
                <c:manualLayout>
                  <c:x val="-1.4341708612683436E-3"/>
                  <c:y val="1.0270656329159125E-16"/>
                </c:manualLayout>
              </c:layout>
              <c:dLblPos val="outEnd"/>
              <c:showVal val="1"/>
            </c:dLbl>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'[37]GVE-9'!$B$3:$B$9</c:f>
              <c:strCache>
                <c:ptCount val="7"/>
                <c:pt idx="0">
                  <c:v>Alajuela</c:v>
                </c:pt>
                <c:pt idx="1">
                  <c:v>Pacífico</c:v>
                </c:pt>
                <c:pt idx="2">
                  <c:v>Caribe</c:v>
                </c:pt>
                <c:pt idx="3">
                  <c:v>Guanacaste</c:v>
                </c:pt>
                <c:pt idx="4">
                  <c:v>Atlántico</c:v>
                </c:pt>
                <c:pt idx="5">
                  <c:v>Occidente</c:v>
                </c:pt>
                <c:pt idx="6">
                  <c:v>Rodrigo Facio </c:v>
                </c:pt>
              </c:strCache>
            </c:strRef>
          </c:cat>
          <c:val>
            <c:numRef>
              <c:f>'[37]GVE-9'!$D$3:$D$9</c:f>
              <c:numCache>
                <c:formatCode>General</c:formatCode>
                <c:ptCount val="7"/>
                <c:pt idx="0">
                  <c:v>94</c:v>
                </c:pt>
                <c:pt idx="1">
                  <c:v>98</c:v>
                </c:pt>
                <c:pt idx="2">
                  <c:v>134</c:v>
                </c:pt>
                <c:pt idx="3">
                  <c:v>151</c:v>
                </c:pt>
                <c:pt idx="4">
                  <c:v>194</c:v>
                </c:pt>
                <c:pt idx="5">
                  <c:v>409</c:v>
                </c:pt>
                <c:pt idx="6">
                  <c:v>5018</c:v>
                </c:pt>
              </c:numCache>
            </c:numRef>
          </c:val>
        </c:ser>
        <c:ser>
          <c:idx val="0"/>
          <c:order val="1"/>
          <c:tx>
            <c:strRef>
              <c:f>'[37]GVE-9'!$C$2</c:f>
              <c:strCache>
                <c:ptCount val="1"/>
                <c:pt idx="0">
                  <c:v>Beca vigente</c:v>
                </c:pt>
              </c:strCache>
            </c:strRef>
          </c:tx>
          <c:spPr>
            <a:solidFill>
              <a:schemeClr val="accent6">
                <a:lumMod val="40000"/>
                <a:lumOff val="60000"/>
              </a:schemeClr>
            </a:solidFill>
          </c:spPr>
          <c:dLbls>
            <c:dLbl>
              <c:idx val="0"/>
              <c:layout>
                <c:manualLayout>
                  <c:x val="7.1875630930749452E-4"/>
                  <c:y val="0"/>
                </c:manualLayout>
              </c:layout>
              <c:dLblPos val="outEnd"/>
              <c:showVal val="1"/>
            </c:dLbl>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'[37]GVE-9'!$B$3:$B$9</c:f>
              <c:strCache>
                <c:ptCount val="7"/>
                <c:pt idx="0">
                  <c:v>Alajuela</c:v>
                </c:pt>
                <c:pt idx="1">
                  <c:v>Pacífico</c:v>
                </c:pt>
                <c:pt idx="2">
                  <c:v>Caribe</c:v>
                </c:pt>
                <c:pt idx="3">
                  <c:v>Guanacaste</c:v>
                </c:pt>
                <c:pt idx="4">
                  <c:v>Atlántico</c:v>
                </c:pt>
                <c:pt idx="5">
                  <c:v>Occidente</c:v>
                </c:pt>
                <c:pt idx="6">
                  <c:v>Rodrigo Facio </c:v>
                </c:pt>
              </c:strCache>
            </c:strRef>
          </c:cat>
          <c:val>
            <c:numRef>
              <c:f>'[37]GVE-9'!$C$3:$C$9</c:f>
              <c:numCache>
                <c:formatCode>General</c:formatCode>
                <c:ptCount val="7"/>
                <c:pt idx="0">
                  <c:v>421</c:v>
                </c:pt>
                <c:pt idx="1">
                  <c:v>981</c:v>
                </c:pt>
                <c:pt idx="2">
                  <c:v>1185</c:v>
                </c:pt>
                <c:pt idx="3">
                  <c:v>1558</c:v>
                </c:pt>
                <c:pt idx="4">
                  <c:v>1582</c:v>
                </c:pt>
                <c:pt idx="5">
                  <c:v>2552</c:v>
                </c:pt>
                <c:pt idx="6">
                  <c:v>16928</c:v>
                </c:pt>
              </c:numCache>
            </c:numRef>
          </c:val>
        </c:ser>
        <c:gapWidth val="83"/>
        <c:axId val="277150336"/>
        <c:axId val="275190144"/>
      </c:barChart>
      <c:catAx>
        <c:axId val="277150336"/>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5190144"/>
        <c:crosses val="autoZero"/>
        <c:auto val="1"/>
        <c:lblAlgn val="ctr"/>
        <c:lblOffset val="100"/>
      </c:catAx>
      <c:valAx>
        <c:axId val="275190144"/>
        <c:scaling>
          <c:orientation val="minMax"/>
          <c:max val="17000"/>
        </c:scaling>
        <c:axPos val="b"/>
        <c:majorGridlines/>
        <c:numFmt formatCode="General" sourceLinked="1"/>
        <c:tickLblPos val="low"/>
        <c:txPr>
          <a:bodyPr rot="-5400000" vert="horz"/>
          <a:lstStyle/>
          <a:p>
            <a:pPr>
              <a:defRPr sz="1000" b="0" i="0" u="none" strike="noStrike" baseline="0">
                <a:solidFill>
                  <a:srgbClr val="000000"/>
                </a:solidFill>
                <a:latin typeface="Calibri"/>
                <a:ea typeface="Calibri"/>
                <a:cs typeface="Calibri"/>
              </a:defRPr>
            </a:pPr>
            <a:endParaRPr lang="es-ES"/>
          </a:p>
        </c:txPr>
        <c:crossAx val="277150336"/>
        <c:crosses val="autoZero"/>
        <c:crossBetween val="between"/>
        <c:majorUnit val="1000"/>
      </c:valAx>
      <c:spPr>
        <a:ln>
          <a:solidFill>
            <a:schemeClr val="tx1"/>
          </a:solidFill>
        </a:ln>
      </c:spPr>
    </c:plotArea>
    <c:legend>
      <c:legendPos val="b"/>
      <c:layout>
        <c:manualLayout>
          <c:xMode val="edge"/>
          <c:yMode val="edge"/>
          <c:x val="0.73047970067571544"/>
          <c:y val="0.95052310707996857"/>
          <c:w val="0.23576897302730851"/>
          <c:h val="3.7150403667895911E-2"/>
        </c:manualLayout>
      </c:layout>
      <c:spPr>
        <a:ln>
          <a:solidFill>
            <a:schemeClr val="bg1">
              <a:lumMod val="50000"/>
            </a:schemeClr>
          </a:solidFill>
        </a:ln>
      </c:spPr>
      <c:txPr>
        <a:bodyPr/>
        <a:lstStyle/>
        <a:p>
          <a:pPr>
            <a:defRPr sz="69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7485740506212947"/>
          <c:y val="4.2677165354330707E-2"/>
        </c:manualLayout>
      </c:layout>
    </c:title>
    <c:view3D>
      <c:rotX val="75"/>
      <c:perspective val="0"/>
    </c:view3D>
    <c:plotArea>
      <c:layout>
        <c:manualLayout>
          <c:layoutTarget val="inner"/>
          <c:xMode val="edge"/>
          <c:yMode val="edge"/>
          <c:x val="0.31361004349980875"/>
          <c:y val="0.24840269180189026"/>
          <c:w val="0.43179472496007931"/>
          <c:h val="0.71633316275717096"/>
        </c:manualLayout>
      </c:layout>
      <c:pie3DChart>
        <c:varyColors val="1"/>
        <c:ser>
          <c:idx val="3"/>
          <c:order val="0"/>
          <c:dPt>
            <c:idx val="0"/>
            <c:spPr>
              <a:solidFill>
                <a:srgbClr val="99FF66"/>
              </a:solidFill>
              <a:ln>
                <a:solidFill>
                  <a:srgbClr val="FF99FF"/>
                </a:solidFill>
              </a:ln>
            </c:spPr>
          </c:dPt>
          <c:dPt>
            <c:idx val="1"/>
            <c:spPr>
              <a:solidFill>
                <a:srgbClr val="00FFCC"/>
              </a:solidFill>
            </c:spPr>
          </c:dPt>
          <c:dPt>
            <c:idx val="2"/>
            <c:spPr>
              <a:solidFill>
                <a:srgbClr val="99FFCC"/>
              </a:solidFill>
            </c:spPr>
          </c:dPt>
          <c:dLbls>
            <c:dLbl>
              <c:idx val="1"/>
              <c:layout>
                <c:manualLayout>
                  <c:x val="-3.9160839160839164E-2"/>
                  <c:y val="2.7952480782669586E-3"/>
                </c:manualLayout>
              </c:layout>
              <c:dLblPos val="bestFit"/>
              <c:showVal val="1"/>
              <c:showCatName val="1"/>
              <c:separator> </c:separator>
            </c:dLbl>
            <c:dLbl>
              <c:idx val="2"/>
              <c:layout>
                <c:manualLayout>
                  <c:x val="6.7132867132867133E-2"/>
                  <c:y val="-2.7952480782669586E-3"/>
                </c:manualLayout>
              </c:layout>
              <c:dLblPos val="bestFit"/>
              <c:showVal val="1"/>
              <c:showCatName val="1"/>
              <c:separator> </c:separator>
            </c:dLbl>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('[38]GVE-5'!$A$1,'[38]GVE-5'!$B$1,'[38]GVE-5'!$C$1)</c:f>
              <c:strCache>
                <c:ptCount val="3"/>
                <c:pt idx="0">
                  <c:v>Recreación</c:v>
                </c:pt>
                <c:pt idx="1">
                  <c:v>Deporte Representación</c:v>
                </c:pt>
                <c:pt idx="2">
                  <c:v>Actividades Artistísticas</c:v>
                </c:pt>
              </c:strCache>
            </c:strRef>
          </c:cat>
          <c:val>
            <c:numRef>
              <c:f>('[38]GVE-5'!$A$2,'[38]GVE-5'!$B$2,'[38]GVE-5'!$C$2)</c:f>
              <c:numCache>
                <c:formatCode>General</c:formatCode>
                <c:ptCount val="3"/>
                <c:pt idx="0">
                  <c:v>72.650000000000006</c:v>
                </c:pt>
                <c:pt idx="1">
                  <c:v>17.829999999999998</c:v>
                </c:pt>
                <c:pt idx="2">
                  <c:v>9.52</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11" l="0.70000000000000062" r="0.70000000000000062" t="0.75000000000000211" header="0.30000000000000032" footer="0.30000000000000032"/>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18038387659643"/>
          <c:y val="3.257615525332061E-2"/>
        </c:manualLayout>
      </c:layout>
    </c:title>
    <c:view3D>
      <c:rotX val="75"/>
      <c:perspective val="0"/>
    </c:view3D>
    <c:plotArea>
      <c:layout>
        <c:manualLayout>
          <c:layoutTarget val="inner"/>
          <c:xMode val="edge"/>
          <c:yMode val="edge"/>
          <c:x val="0.29682678631651666"/>
          <c:y val="0.17634554203451838"/>
          <c:w val="0.49326808310972436"/>
          <c:h val="0.82256859937962257"/>
        </c:manualLayout>
      </c:layout>
      <c:pie3DChart>
        <c:varyColors val="1"/>
        <c:ser>
          <c:idx val="3"/>
          <c:order val="0"/>
          <c:dPt>
            <c:idx val="0"/>
            <c:spPr>
              <a:solidFill>
                <a:srgbClr val="FFCCCC"/>
              </a:solidFill>
              <a:ln>
                <a:solidFill>
                  <a:srgbClr val="FF99FF"/>
                </a:solidFill>
              </a:ln>
            </c:spPr>
          </c:dPt>
          <c:dPt>
            <c:idx val="1"/>
            <c:explosion val="18"/>
            <c:spPr>
              <a:solidFill>
                <a:srgbClr val="FFFF99"/>
              </a:solidFill>
            </c:spPr>
          </c:dPt>
          <c:dPt>
            <c:idx val="2"/>
            <c:explosion val="34"/>
            <c:spPr>
              <a:solidFill>
                <a:srgbClr val="FF9966"/>
              </a:solidFill>
            </c:spPr>
          </c:dPt>
          <c:dLbls>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('[39]GAD-1'!$B$2,'[39]GAD-1'!$C$2,'[39]GAD-1'!$D$2)</c:f>
              <c:strCache>
                <c:ptCount val="3"/>
                <c:pt idx="0">
                  <c:v>Administración </c:v>
                </c:pt>
                <c:pt idx="1">
                  <c:v>Apoyo </c:v>
                </c:pt>
                <c:pt idx="2">
                  <c:v>Docente</c:v>
                </c:pt>
              </c:strCache>
            </c:strRef>
          </c:cat>
          <c:val>
            <c:numRef>
              <c:f>('[39]GAD-1'!$B$3,'[39]GAD-1'!$C$3,'[39]GAD-1'!$D$3)</c:f>
              <c:numCache>
                <c:formatCode>General</c:formatCode>
                <c:ptCount val="3"/>
                <c:pt idx="0">
                  <c:v>99.18</c:v>
                </c:pt>
                <c:pt idx="1">
                  <c:v>0.41</c:v>
                </c:pt>
                <c:pt idx="2">
                  <c:v>0.41</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 l="0.70000000000000062" r="0.70000000000000062" t="0.750000000000002"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relativa de personal docente en Régimen Académico, según grado académico.  </a:t>
            </a:r>
          </a:p>
        </c:rich>
      </c:tx>
      <c:layout>
        <c:manualLayout>
          <c:xMode val="edge"/>
          <c:yMode val="edge"/>
          <c:x val="0.20300750285002322"/>
          <c:y val="8.5602905320672093E-2"/>
        </c:manualLayout>
      </c:layout>
      <c:overlay val="1"/>
    </c:title>
    <c:view3D>
      <c:rotX val="10"/>
      <c:rotY val="30"/>
      <c:depthPercent val="50"/>
      <c:rAngAx val="1"/>
    </c:view3D>
    <c:floor>
      <c:spPr>
        <a:effectLst>
          <a:outerShdw blurRad="673100" dist="50800" dir="13320000" algn="ctr" rotWithShape="0">
            <a:srgbClr val="000000">
              <a:alpha val="51000"/>
            </a:srgbClr>
          </a:outerShdw>
        </a:effectLst>
      </c:spPr>
    </c:floor>
    <c:plotArea>
      <c:layout>
        <c:manualLayout>
          <c:layoutTarget val="inner"/>
          <c:xMode val="edge"/>
          <c:yMode val="edge"/>
          <c:x val="6.3359977730056471E-2"/>
          <c:y val="0.23043556500375287"/>
          <c:w val="0.93704618362098691"/>
          <c:h val="0.65998927753924652"/>
        </c:manualLayout>
      </c:layout>
      <c:bar3DChart>
        <c:barDir val="col"/>
        <c:grouping val="percentStacked"/>
        <c:ser>
          <c:idx val="0"/>
          <c:order val="0"/>
          <c:tx>
            <c:strRef>
              <c:f>'[4]GRH-4'!$B$4</c:f>
              <c:strCache>
                <c:ptCount val="1"/>
                <c:pt idx="0">
                  <c:v>Master </c:v>
                </c:pt>
              </c:strCache>
            </c:strRef>
          </c:tx>
          <c:spPr>
            <a:solidFill>
              <a:schemeClr val="accent3">
                <a:lumMod val="60000"/>
                <a:lumOff val="40000"/>
              </a:schemeClr>
            </a:solidFill>
          </c:spPr>
          <c:dLbls>
            <c:txPr>
              <a:bodyPr/>
              <a:lstStyle/>
              <a:p>
                <a:pPr>
                  <a:defRPr sz="1000" b="0" i="0" u="none" strike="noStrike" baseline="0">
                    <a:solidFill>
                      <a:srgbClr val="000000"/>
                    </a:solidFill>
                    <a:latin typeface="Calibri"/>
                    <a:ea typeface="Calibri"/>
                    <a:cs typeface="Calibri"/>
                  </a:defRPr>
                </a:pPr>
                <a:endParaRPr lang="es-ES"/>
              </a:p>
            </c:txPr>
            <c:showVal val="1"/>
          </c:dLbls>
          <c:cat>
            <c:strRef>
              <c:f>('[4]GRH-4'!$C$3,'[4]GRH-4'!$D$3)</c:f>
              <c:strCache>
                <c:ptCount val="2"/>
                <c:pt idx="0">
                  <c:v>I Ciclo</c:v>
                </c:pt>
                <c:pt idx="1">
                  <c:v>II Ciclo</c:v>
                </c:pt>
              </c:strCache>
            </c:strRef>
          </c:cat>
          <c:val>
            <c:numRef>
              <c:f>('[4]GRH-4'!$C$4,'[4]GRH-4'!$D$4)</c:f>
              <c:numCache>
                <c:formatCode>General</c:formatCode>
                <c:ptCount val="2"/>
                <c:pt idx="0">
                  <c:v>57.07</c:v>
                </c:pt>
                <c:pt idx="1">
                  <c:v>56.59</c:v>
                </c:pt>
              </c:numCache>
            </c:numRef>
          </c:val>
        </c:ser>
        <c:ser>
          <c:idx val="1"/>
          <c:order val="1"/>
          <c:tx>
            <c:strRef>
              <c:f>'[4]GRH-4'!$B$5</c:f>
              <c:strCache>
                <c:ptCount val="1"/>
                <c:pt idx="0">
                  <c:v>Licenciado</c:v>
                </c:pt>
              </c:strCache>
            </c:strRef>
          </c:tx>
          <c:spPr>
            <a:solidFill>
              <a:schemeClr val="accent3">
                <a:lumMod val="40000"/>
                <a:lumOff val="60000"/>
              </a:schemeClr>
            </a:solidFill>
          </c:spPr>
          <c:dLbls>
            <c:txPr>
              <a:bodyPr/>
              <a:lstStyle/>
              <a:p>
                <a:pPr>
                  <a:defRPr sz="1000" b="0" i="0" u="none" strike="noStrike" baseline="0">
                    <a:solidFill>
                      <a:srgbClr val="000000"/>
                    </a:solidFill>
                    <a:latin typeface="Calibri"/>
                    <a:ea typeface="Calibri"/>
                    <a:cs typeface="Calibri"/>
                  </a:defRPr>
                </a:pPr>
                <a:endParaRPr lang="es-ES"/>
              </a:p>
            </c:txPr>
            <c:showVal val="1"/>
          </c:dLbls>
          <c:cat>
            <c:strRef>
              <c:f>('[4]GRH-4'!$C$3,'[4]GRH-4'!$D$3)</c:f>
              <c:strCache>
                <c:ptCount val="2"/>
                <c:pt idx="0">
                  <c:v>I Ciclo</c:v>
                </c:pt>
                <c:pt idx="1">
                  <c:v>II Ciclo</c:v>
                </c:pt>
              </c:strCache>
            </c:strRef>
          </c:cat>
          <c:val>
            <c:numRef>
              <c:f>('[4]GRH-4'!$C$5,'[4]GRH-4'!$D$5)</c:f>
              <c:numCache>
                <c:formatCode>General</c:formatCode>
                <c:ptCount val="2"/>
                <c:pt idx="0">
                  <c:v>11.65</c:v>
                </c:pt>
                <c:pt idx="1">
                  <c:v>11.41</c:v>
                </c:pt>
              </c:numCache>
            </c:numRef>
          </c:val>
        </c:ser>
        <c:ser>
          <c:idx val="4"/>
          <c:order val="2"/>
          <c:tx>
            <c:v>Sin Información</c:v>
          </c:tx>
          <c:dLbls>
            <c:txPr>
              <a:bodyPr/>
              <a:lstStyle/>
              <a:p>
                <a:pPr>
                  <a:defRPr sz="1000" b="0" i="0" u="none" strike="noStrike" baseline="0">
                    <a:solidFill>
                      <a:srgbClr val="000000"/>
                    </a:solidFill>
                    <a:latin typeface="Calibri"/>
                    <a:ea typeface="Calibri"/>
                    <a:cs typeface="Calibri"/>
                  </a:defRPr>
                </a:pPr>
                <a:endParaRPr lang="es-ES"/>
              </a:p>
            </c:txPr>
            <c:showVal val="1"/>
          </c:dLbls>
          <c:val>
            <c:numRef>
              <c:f>'[4]GRH-4'!$C$7:$D$7</c:f>
              <c:numCache>
                <c:formatCode>General</c:formatCode>
                <c:ptCount val="2"/>
                <c:pt idx="0">
                  <c:v>0.32</c:v>
                </c:pt>
                <c:pt idx="1">
                  <c:v>0.59</c:v>
                </c:pt>
              </c:numCache>
            </c:numRef>
          </c:val>
        </c:ser>
        <c:ser>
          <c:idx val="2"/>
          <c:order val="3"/>
          <c:tx>
            <c:strRef>
              <c:f>'[4]GRH-4'!$B$6</c:f>
              <c:strCache>
                <c:ptCount val="1"/>
                <c:pt idx="0">
                  <c:v>Doctor </c:v>
                </c:pt>
              </c:strCache>
            </c:strRef>
          </c:tx>
          <c:dLbls>
            <c:txPr>
              <a:bodyPr/>
              <a:lstStyle/>
              <a:p>
                <a:pPr>
                  <a:defRPr sz="1000" b="0" i="0" u="none" strike="noStrike" baseline="0">
                    <a:solidFill>
                      <a:srgbClr val="000000"/>
                    </a:solidFill>
                    <a:latin typeface="Calibri"/>
                    <a:ea typeface="Calibri"/>
                    <a:cs typeface="Calibri"/>
                  </a:defRPr>
                </a:pPr>
                <a:endParaRPr lang="es-ES"/>
              </a:p>
            </c:txPr>
            <c:showVal val="1"/>
          </c:dLbls>
          <c:cat>
            <c:strRef>
              <c:f>('[4]GRH-4'!$C$3,'[4]GRH-4'!$D$3)</c:f>
              <c:strCache>
                <c:ptCount val="2"/>
                <c:pt idx="0">
                  <c:v>I Ciclo</c:v>
                </c:pt>
                <c:pt idx="1">
                  <c:v>II Ciclo</c:v>
                </c:pt>
              </c:strCache>
            </c:strRef>
          </c:cat>
          <c:val>
            <c:numRef>
              <c:f>('[4]GRH-4'!$C$6,'[4]GRH-4'!$D$6)</c:f>
              <c:numCache>
                <c:formatCode>General</c:formatCode>
                <c:ptCount val="2"/>
                <c:pt idx="0">
                  <c:v>30.8</c:v>
                </c:pt>
                <c:pt idx="1">
                  <c:v>31.24</c:v>
                </c:pt>
              </c:numCache>
            </c:numRef>
          </c:val>
        </c:ser>
        <c:ser>
          <c:idx val="3"/>
          <c:order val="4"/>
          <c:tx>
            <c:strRef>
              <c:f>'[4]GRH-4'!$B$8</c:f>
              <c:strCache>
                <c:ptCount val="1"/>
                <c:pt idx="0">
                  <c:v>Bachiller</c:v>
                </c:pt>
              </c:strCache>
            </c:strRef>
          </c:tx>
          <c:spPr>
            <a:solidFill>
              <a:schemeClr val="accent3">
                <a:lumMod val="20000"/>
                <a:lumOff val="80000"/>
              </a:schemeClr>
            </a:solidFill>
          </c:spPr>
          <c:dLbls>
            <c:txPr>
              <a:bodyPr/>
              <a:lstStyle/>
              <a:p>
                <a:pPr>
                  <a:defRPr sz="1000" b="0" i="0" u="none" strike="noStrike" baseline="0">
                    <a:solidFill>
                      <a:srgbClr val="000000"/>
                    </a:solidFill>
                    <a:latin typeface="Calibri"/>
                    <a:ea typeface="Calibri"/>
                    <a:cs typeface="Calibri"/>
                  </a:defRPr>
                </a:pPr>
                <a:endParaRPr lang="es-ES"/>
              </a:p>
            </c:txPr>
            <c:showVal val="1"/>
          </c:dLbls>
          <c:cat>
            <c:strRef>
              <c:f>('[4]GRH-4'!$C$3,'[4]GRH-4'!$D$3)</c:f>
              <c:strCache>
                <c:ptCount val="2"/>
                <c:pt idx="0">
                  <c:v>I Ciclo</c:v>
                </c:pt>
                <c:pt idx="1">
                  <c:v>II Ciclo</c:v>
                </c:pt>
              </c:strCache>
            </c:strRef>
          </c:cat>
          <c:val>
            <c:numRef>
              <c:f>('[4]GRH-4'!$C$8,'[4]GRH-4'!$D$8)</c:f>
              <c:numCache>
                <c:formatCode>General</c:formatCode>
                <c:ptCount val="2"/>
                <c:pt idx="0">
                  <c:v>0.16</c:v>
                </c:pt>
                <c:pt idx="1">
                  <c:v>0.16</c:v>
                </c:pt>
              </c:numCache>
            </c:numRef>
          </c:val>
        </c:ser>
        <c:shape val="box"/>
        <c:axId val="259604864"/>
        <c:axId val="259606400"/>
        <c:axId val="0"/>
      </c:bar3DChart>
      <c:catAx>
        <c:axId val="259604864"/>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59606400"/>
        <c:crosses val="autoZero"/>
        <c:auto val="1"/>
        <c:lblAlgn val="ctr"/>
        <c:lblOffset val="100"/>
      </c:catAx>
      <c:valAx>
        <c:axId val="259606400"/>
        <c:scaling>
          <c:orientation val="minMax"/>
        </c:scaling>
        <c:axPos val="l"/>
        <c:majorGridlines>
          <c:spPr>
            <a:effectLst>
              <a:outerShdw blurRad="50800" dist="50800" dir="5400000" algn="ctr" rotWithShape="0">
                <a:srgbClr val="000000">
                  <a:alpha val="64000"/>
                </a:srgbClr>
              </a:outerShdw>
            </a:effectLst>
          </c:spPr>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59604864"/>
        <c:crosses val="autoZero"/>
        <c:crossBetween val="between"/>
      </c:valAx>
      <c:spPr>
        <a:noFill/>
        <a:ln w="25400">
          <a:noFill/>
        </a:ln>
      </c:spPr>
    </c:plotArea>
    <c:legend>
      <c:legendPos val="b"/>
      <c:layout>
        <c:manualLayout>
          <c:xMode val="edge"/>
          <c:yMode val="edge"/>
          <c:x val="0.5813066359129293"/>
          <c:y val="0.94994904500170163"/>
          <c:w val="0.39162146398367237"/>
          <c:h val="3.3821997827536282E-2"/>
        </c:manualLayout>
      </c:layout>
      <c:spPr>
        <a:ln>
          <a:solidFill>
            <a:schemeClr val="tx1"/>
          </a:solidFill>
        </a:ln>
      </c:spPr>
      <c:txPr>
        <a:bodyPr/>
        <a:lstStyle/>
        <a:p>
          <a:pPr>
            <a:defRPr sz="69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2017</a:t>
            </a:r>
          </a:p>
        </c:rich>
      </c:tx>
      <c:layout>
        <c:manualLayout>
          <c:xMode val="edge"/>
          <c:yMode val="edge"/>
          <c:x val="0.26180378566885437"/>
          <c:y val="3.2576252133512791E-2"/>
        </c:manualLayout>
      </c:layout>
    </c:title>
    <c:view3D>
      <c:rotX val="75"/>
      <c:perspective val="0"/>
    </c:view3D>
    <c:plotArea>
      <c:layout>
        <c:manualLayout>
          <c:layoutTarget val="inner"/>
          <c:xMode val="edge"/>
          <c:yMode val="edge"/>
          <c:x val="0.2968268520752475"/>
          <c:y val="0.19907285434519492"/>
          <c:w val="0.44671314828663083"/>
          <c:h val="0.74428572025088124"/>
        </c:manualLayout>
      </c:layout>
      <c:pie3DChart>
        <c:varyColors val="1"/>
        <c:ser>
          <c:idx val="3"/>
          <c:order val="0"/>
          <c:dPt>
            <c:idx val="0"/>
            <c:spPr>
              <a:solidFill>
                <a:srgbClr val="FFCCCC"/>
              </a:solidFill>
              <a:ln>
                <a:solidFill>
                  <a:srgbClr val="FF99FF"/>
                </a:solidFill>
              </a:ln>
            </c:spPr>
          </c:dPt>
          <c:dPt>
            <c:idx val="1"/>
            <c:spPr>
              <a:solidFill>
                <a:srgbClr val="FFFF99"/>
              </a:solidFill>
            </c:spPr>
          </c:dPt>
          <c:dPt>
            <c:idx val="2"/>
            <c:spPr>
              <a:solidFill>
                <a:srgbClr val="FF9966"/>
              </a:solidFill>
            </c:spPr>
          </c:dPt>
          <c:dLbls>
            <c:dLbl>
              <c:idx val="1"/>
              <c:layout>
                <c:manualLayout>
                  <c:x val="-1.4680616176459759E-2"/>
                  <c:y val="8.9887640449438228E-3"/>
                </c:manualLayout>
              </c:layout>
              <c:dLblPos val="bestFit"/>
              <c:showVal val="1"/>
              <c:showCatName val="1"/>
              <c:separator> </c:separator>
            </c:dLbl>
            <c:dLbl>
              <c:idx val="2"/>
              <c:layout>
                <c:manualLayout>
                  <c:x val="8.5247004291594472E-2"/>
                  <c:y val="0"/>
                </c:manualLayout>
              </c:layout>
              <c:dLblPos val="bestFit"/>
              <c:showVal val="1"/>
              <c:showCatName val="1"/>
              <c:separator> </c:separator>
            </c:dLbl>
            <c:txPr>
              <a:bodyPr/>
              <a:lstStyle/>
              <a:p>
                <a:pPr>
                  <a:defRPr sz="1000" b="0" i="0" u="none" strike="noStrike" baseline="0">
                    <a:solidFill>
                      <a:srgbClr val="000000"/>
                    </a:solidFill>
                    <a:latin typeface="Times New Roman"/>
                    <a:ea typeface="Times New Roman"/>
                    <a:cs typeface="Times New Roman"/>
                  </a:defRPr>
                </a:pPr>
                <a:endParaRPr lang="es-ES"/>
              </a:p>
            </c:txPr>
            <c:dLblPos val="outEnd"/>
            <c:showVal val="1"/>
            <c:showCatName val="1"/>
            <c:separator> </c:separator>
            <c:showLeaderLines val="1"/>
          </c:dLbls>
          <c:cat>
            <c:strRef>
              <c:f>('[40]GDS-1'!$B$3,'[40]GDS-1'!$C$3,'[40]GDS-1'!$D$3)</c:f>
              <c:strCache>
                <c:ptCount val="3"/>
                <c:pt idx="0">
                  <c:v>Administración </c:v>
                </c:pt>
                <c:pt idx="1">
                  <c:v>Docente</c:v>
                </c:pt>
                <c:pt idx="2">
                  <c:v>Apoyo</c:v>
                </c:pt>
              </c:strCache>
            </c:strRef>
          </c:cat>
          <c:val>
            <c:numRef>
              <c:f>('[40]GDS-1'!$B$4,'[40]GDS-1'!$C$4,'[40]GDS-1'!$D$4)</c:f>
              <c:numCache>
                <c:formatCode>General</c:formatCode>
                <c:ptCount val="3"/>
                <c:pt idx="0">
                  <c:v>87.76</c:v>
                </c:pt>
                <c:pt idx="1">
                  <c:v>9.0500000000000007</c:v>
                </c:pt>
                <c:pt idx="2">
                  <c:v>3.19</c:v>
                </c:pt>
              </c:numCache>
            </c:numRef>
          </c:val>
        </c:ser>
      </c:pie3DChart>
      <c:spPr>
        <a:noFill/>
        <a:ln w="25400">
          <a:noFill/>
        </a:ln>
      </c:spPr>
    </c:plotArea>
    <c:plotVisOnly val="1"/>
    <c:dispBlanksAs val="zero"/>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ES"/>
    </a:p>
  </c:txPr>
  <c:printSettings>
    <c:headerFooter/>
    <c:pageMargins b="0.750000000000002" l="0.70000000000000062" r="0.70000000000000062" t="0.750000000000002"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0" i="0" u="none" strike="noStrike" baseline="0">
                <a:solidFill>
                  <a:srgbClr val="000000"/>
                </a:solidFill>
                <a:latin typeface="Times New Roman"/>
                <a:ea typeface="Times New Roman"/>
                <a:cs typeface="Times New Roman"/>
              </a:defRPr>
            </a:pPr>
            <a:r>
              <a:rPr lang="es-ES"/>
              <a:t>Distribución absoluta de los estudiantes graduados de pregrado y grado, por área y genero en la U.C.R</a:t>
            </a:r>
          </a:p>
        </c:rich>
      </c:tx>
      <c:layout>
        <c:manualLayout>
          <c:xMode val="edge"/>
          <c:yMode val="edge"/>
          <c:x val="0.16359149944966594"/>
          <c:y val="8.3840327463145445E-2"/>
        </c:manualLayout>
      </c:layout>
      <c:overlay val="1"/>
    </c:title>
    <c:plotArea>
      <c:layout>
        <c:manualLayout>
          <c:layoutTarget val="inner"/>
          <c:xMode val="edge"/>
          <c:yMode val="edge"/>
          <c:x val="0.15133205724974985"/>
          <c:y val="0.20335066435586366"/>
          <c:w val="0.8219644436710607"/>
          <c:h val="0.69823951382160421"/>
        </c:manualLayout>
      </c:layout>
      <c:barChart>
        <c:barDir val="bar"/>
        <c:grouping val="clustered"/>
        <c:ser>
          <c:idx val="0"/>
          <c:order val="0"/>
          <c:tx>
            <c:strRef>
              <c:f>'[41]GAS-1'!$D$1</c:f>
              <c:strCache>
                <c:ptCount val="1"/>
                <c:pt idx="0">
                  <c:v>Becas Cortas</c:v>
                </c:pt>
              </c:strCache>
            </c:strRef>
          </c:tx>
          <c:spPr>
            <a:solidFill>
              <a:schemeClr val="bg2">
                <a:lumMod val="90000"/>
              </a:schemeClr>
            </a:solidFill>
            <a:ln>
              <a:solidFill>
                <a:sysClr val="windowText" lastClr="000000"/>
              </a:solidFill>
            </a:ln>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'[41]GAS-1'!$B$2:$B$9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'[41]GAS-1'!$D$2:$D$9</c:f>
              <c:numCache>
                <c:formatCode>General</c:formatCode>
                <c:ptCount val="8"/>
                <c:pt idx="0">
                  <c:v>2</c:v>
                </c:pt>
                <c:pt idx="1">
                  <c:v>5</c:v>
                </c:pt>
                <c:pt idx="2">
                  <c:v>1</c:v>
                </c:pt>
                <c:pt idx="3">
                  <c:v>6</c:v>
                </c:pt>
                <c:pt idx="4">
                  <c:v>1</c:v>
                </c:pt>
                <c:pt idx="5">
                  <c:v>11</c:v>
                </c:pt>
                <c:pt idx="6">
                  <c:v>9</c:v>
                </c:pt>
                <c:pt idx="7">
                  <c:v>2</c:v>
                </c:pt>
              </c:numCache>
            </c:numRef>
          </c:val>
        </c:ser>
        <c:ser>
          <c:idx val="1"/>
          <c:order val="1"/>
          <c:tx>
            <c:strRef>
              <c:f>'[41]GAS-1'!$C$1</c:f>
              <c:strCache>
                <c:ptCount val="1"/>
                <c:pt idx="0">
                  <c:v>Becas Exterior</c:v>
                </c:pt>
              </c:strCache>
            </c:strRef>
          </c:tx>
          <c:spPr>
            <a:solidFill>
              <a:schemeClr val="bg2">
                <a:lumMod val="50000"/>
              </a:schemeClr>
            </a:solidFill>
            <a:ln>
              <a:solidFill>
                <a:sysClr val="windowText" lastClr="000000"/>
              </a:solidFill>
            </a:ln>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'[41]GAS-1'!$B$2:$B$9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'[41]GAS-1'!$C$2:$C$9</c:f>
              <c:numCache>
                <c:formatCode>General</c:formatCode>
                <c:ptCount val="8"/>
                <c:pt idx="0">
                  <c:v>2</c:v>
                </c:pt>
                <c:pt idx="1">
                  <c:v>19</c:v>
                </c:pt>
                <c:pt idx="2">
                  <c:v>30</c:v>
                </c:pt>
                <c:pt idx="3">
                  <c:v>37</c:v>
                </c:pt>
                <c:pt idx="4">
                  <c:v>42</c:v>
                </c:pt>
                <c:pt idx="5">
                  <c:v>45</c:v>
                </c:pt>
                <c:pt idx="6">
                  <c:v>48</c:v>
                </c:pt>
                <c:pt idx="7">
                  <c:v>48</c:v>
                </c:pt>
              </c:numCache>
            </c:numRef>
          </c:val>
        </c:ser>
        <c:gapWidth val="97"/>
        <c:axId val="278659456"/>
        <c:axId val="278660992"/>
      </c:barChart>
      <c:catAx>
        <c:axId val="278659456"/>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8660992"/>
        <c:crosses val="autoZero"/>
        <c:auto val="1"/>
        <c:lblAlgn val="ctr"/>
        <c:lblOffset val="100"/>
      </c:catAx>
      <c:valAx>
        <c:axId val="278660992"/>
        <c:scaling>
          <c:orientation val="minMax"/>
          <c:max val="50"/>
        </c:scaling>
        <c:axPos val="b"/>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78659456"/>
        <c:crosses val="autoZero"/>
        <c:crossBetween val="between"/>
        <c:majorUnit val="5"/>
      </c:valAx>
      <c:spPr>
        <a:noFill/>
        <a:ln w="25400">
          <a:noFill/>
        </a:ln>
      </c:spPr>
    </c:plotArea>
    <c:legend>
      <c:legendPos val="b"/>
      <c:layout>
        <c:manualLayout>
          <c:xMode val="edge"/>
          <c:yMode val="edge"/>
          <c:x val="0.74741417322834669"/>
          <c:y val="0.95328323763770961"/>
          <c:w val="0.21954110574887867"/>
          <c:h val="3.3001331603533364E-2"/>
        </c:manualLayout>
      </c:layout>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 l="0.70000000000000062" r="0.70000000000000062" t="0.750000000000002" header="0.30000000000000032" footer="0.3000000000000003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0" i="0" u="none" strike="noStrike" baseline="0">
                <a:solidFill>
                  <a:srgbClr val="000000"/>
                </a:solidFill>
                <a:latin typeface="Calibri"/>
                <a:ea typeface="Calibri"/>
                <a:cs typeface="Calibri"/>
              </a:defRPr>
            </a:pPr>
            <a:r>
              <a:rPr lang="es-ES" sz="1800" b="0" i="0" u="none" strike="noStrike" baseline="0">
                <a:solidFill>
                  <a:srgbClr val="000000"/>
                </a:solidFill>
                <a:latin typeface="Times New Roman"/>
                <a:cs typeface="Times New Roman"/>
              </a:rPr>
              <a:t>Distribución absoluta del personal docente interino.</a:t>
            </a:r>
          </a:p>
          <a:p>
            <a:pPr>
              <a:defRPr sz="1000" b="0" i="0" u="none" strike="noStrike" baseline="0">
                <a:solidFill>
                  <a:srgbClr val="000000"/>
                </a:solidFill>
                <a:latin typeface="Calibri"/>
                <a:ea typeface="Calibri"/>
                <a:cs typeface="Calibri"/>
              </a:defRPr>
            </a:pPr>
            <a:r>
              <a:rPr lang="es-ES" sz="1800" b="0" i="0" u="none" strike="noStrike" baseline="0">
                <a:solidFill>
                  <a:srgbClr val="000000"/>
                </a:solidFill>
                <a:latin typeface="Times New Roman"/>
                <a:cs typeface="Times New Roman"/>
              </a:rPr>
              <a:t> I ciclo y II ciclo </a:t>
            </a:r>
          </a:p>
        </c:rich>
      </c:tx>
      <c:layout>
        <c:manualLayout>
          <c:xMode val="edge"/>
          <c:yMode val="edge"/>
          <c:x val="0.1635915081660369"/>
          <c:y val="8.3840357651628644E-2"/>
        </c:manualLayout>
      </c:layout>
      <c:overlay val="1"/>
    </c:title>
    <c:plotArea>
      <c:layout>
        <c:manualLayout>
          <c:layoutTarget val="inner"/>
          <c:xMode val="edge"/>
          <c:yMode val="edge"/>
          <c:x val="0.10612518543877728"/>
          <c:y val="0.21430334392785091"/>
          <c:w val="0.85557771311194797"/>
          <c:h val="0.6624003769999266"/>
        </c:manualLayout>
      </c:layout>
      <c:barChart>
        <c:barDir val="bar"/>
        <c:grouping val="clustered"/>
        <c:ser>
          <c:idx val="0"/>
          <c:order val="0"/>
          <c:tx>
            <c:strRef>
              <c:f>[5]GRH5!$C$1</c:f>
              <c:strCache>
                <c:ptCount val="1"/>
                <c:pt idx="0">
                  <c:v>I ciclo</c:v>
                </c:pt>
              </c:strCache>
            </c:strRef>
          </c:tx>
          <c:spPr>
            <a:solidFill>
              <a:schemeClr val="tx2">
                <a:lumMod val="60000"/>
                <a:lumOff val="40000"/>
              </a:schemeClr>
            </a:solidFill>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[5]GRH5!$B$2:$B$6</c:f>
              <c:strCache>
                <c:ptCount val="5"/>
                <c:pt idx="0">
                  <c:v>Sin Información </c:v>
                </c:pt>
                <c:pt idx="1">
                  <c:v>Máster</c:v>
                </c:pt>
                <c:pt idx="2">
                  <c:v>Licenciado</c:v>
                </c:pt>
                <c:pt idx="3">
                  <c:v>Doctor</c:v>
                </c:pt>
                <c:pt idx="4">
                  <c:v>Bachiller</c:v>
                </c:pt>
              </c:strCache>
            </c:strRef>
          </c:cat>
          <c:val>
            <c:numRef>
              <c:f>[5]GRH5!$C$2:$C$6</c:f>
              <c:numCache>
                <c:formatCode>General</c:formatCode>
                <c:ptCount val="5"/>
                <c:pt idx="0">
                  <c:v>1553</c:v>
                </c:pt>
                <c:pt idx="1">
                  <c:v>1331</c:v>
                </c:pt>
                <c:pt idx="2">
                  <c:v>945</c:v>
                </c:pt>
                <c:pt idx="3">
                  <c:v>207</c:v>
                </c:pt>
                <c:pt idx="4">
                  <c:v>163</c:v>
                </c:pt>
              </c:numCache>
            </c:numRef>
          </c:val>
        </c:ser>
        <c:ser>
          <c:idx val="1"/>
          <c:order val="1"/>
          <c:tx>
            <c:strRef>
              <c:f>[5]GRH5!$D$1</c:f>
              <c:strCache>
                <c:ptCount val="1"/>
                <c:pt idx="0">
                  <c:v>II ciclo</c:v>
                </c:pt>
              </c:strCache>
            </c:strRef>
          </c:tx>
          <c:spPr>
            <a:solidFill>
              <a:schemeClr val="tx2">
                <a:lumMod val="20000"/>
                <a:lumOff val="80000"/>
              </a:schemeClr>
            </a:solidFill>
          </c:spPr>
          <c:dLbls>
            <c:txPr>
              <a:bodyPr/>
              <a:lstStyle/>
              <a:p>
                <a:pPr>
                  <a:defRPr sz="800" b="0" i="0" u="none" strike="noStrike" baseline="0">
                    <a:solidFill>
                      <a:srgbClr val="000000"/>
                    </a:solidFill>
                    <a:latin typeface="Times New Roman"/>
                    <a:ea typeface="Times New Roman"/>
                    <a:cs typeface="Times New Roman"/>
                  </a:defRPr>
                </a:pPr>
                <a:endParaRPr lang="es-ES"/>
              </a:p>
            </c:txPr>
            <c:dLblPos val="inEnd"/>
            <c:showVal val="1"/>
          </c:dLbls>
          <c:cat>
            <c:strRef>
              <c:f>[5]GRH5!$B$2:$B$6</c:f>
              <c:strCache>
                <c:ptCount val="5"/>
                <c:pt idx="0">
                  <c:v>Sin Información </c:v>
                </c:pt>
                <c:pt idx="1">
                  <c:v>Máster</c:v>
                </c:pt>
                <c:pt idx="2">
                  <c:v>Licenciado</c:v>
                </c:pt>
                <c:pt idx="3">
                  <c:v>Doctor</c:v>
                </c:pt>
                <c:pt idx="4">
                  <c:v>Bachiller</c:v>
                </c:pt>
              </c:strCache>
            </c:strRef>
          </c:cat>
          <c:val>
            <c:numRef>
              <c:f>[5]GRH5!$D$2:$D$6</c:f>
              <c:numCache>
                <c:formatCode>General</c:formatCode>
                <c:ptCount val="5"/>
                <c:pt idx="0">
                  <c:v>1357</c:v>
                </c:pt>
                <c:pt idx="1">
                  <c:v>1353</c:v>
                </c:pt>
                <c:pt idx="2">
                  <c:v>1002</c:v>
                </c:pt>
                <c:pt idx="3">
                  <c:v>240</c:v>
                </c:pt>
                <c:pt idx="4">
                  <c:v>141</c:v>
                </c:pt>
              </c:numCache>
            </c:numRef>
          </c:val>
        </c:ser>
        <c:gapWidth val="87"/>
        <c:axId val="260178304"/>
        <c:axId val="260179840"/>
      </c:barChart>
      <c:catAx>
        <c:axId val="260178304"/>
        <c:scaling>
          <c:orientation val="minMax"/>
        </c:scaling>
        <c:axPos val="l"/>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0179840"/>
        <c:crosses val="autoZero"/>
        <c:auto val="1"/>
        <c:lblAlgn val="ctr"/>
        <c:lblOffset val="100"/>
      </c:catAx>
      <c:valAx>
        <c:axId val="260179840"/>
        <c:scaling>
          <c:orientation val="minMax"/>
          <c:max val="1600"/>
        </c:scaling>
        <c:axPos val="b"/>
        <c:majorGridlines/>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0178304"/>
        <c:crosses val="autoZero"/>
        <c:crossBetween val="between"/>
        <c:majorUnit val="100"/>
      </c:valAx>
    </c:plotArea>
    <c:legend>
      <c:legendPos val="b"/>
      <c:layout>
        <c:manualLayout>
          <c:xMode val="edge"/>
          <c:yMode val="edge"/>
          <c:x val="0.79000978094896257"/>
          <c:y val="0.93930677513478367"/>
          <c:w val="0.15103966561820525"/>
          <c:h val="3.6917636604325052E-2"/>
        </c:manualLayout>
      </c:layout>
      <c:spPr>
        <a:ln cap="rnd">
          <a:solidFill>
            <a:schemeClr val="tx1"/>
          </a:solidFill>
        </a:ln>
      </c:spPr>
      <c:txPr>
        <a:bodyPr/>
        <a:lstStyle/>
        <a:p>
          <a:pPr>
            <a:defRPr sz="75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s-ES"/>
  <c:chart>
    <c:view3D>
      <c:depthPercent val="100"/>
      <c:rAngAx val="1"/>
    </c:view3D>
    <c:plotArea>
      <c:layout>
        <c:manualLayout>
          <c:layoutTarget val="inner"/>
          <c:xMode val="edge"/>
          <c:yMode val="edge"/>
          <c:x val="4.3757620848575499E-2"/>
          <c:y val="0.233333333333334"/>
          <c:w val="0.93699478510068135"/>
          <c:h val="0.60172112860892679"/>
        </c:manualLayout>
      </c:layout>
      <c:bar3DChart>
        <c:barDir val="col"/>
        <c:grouping val="clustered"/>
        <c:ser>
          <c:idx val="0"/>
          <c:order val="0"/>
          <c:tx>
            <c:strRef>
              <c:f>'[6]GRH-6'!$C$3</c:f>
              <c:strCache>
                <c:ptCount val="1"/>
                <c:pt idx="0">
                  <c:v>I Ciclo</c:v>
                </c:pt>
              </c:strCache>
            </c:strRef>
          </c:tx>
          <c:spPr>
            <a:solidFill>
              <a:srgbClr val="82DB45"/>
            </a:solidFill>
          </c:spPr>
          <c:dLbls>
            <c:dLbl>
              <c:idx val="0"/>
              <c:layout>
                <c:manualLayout>
                  <c:x val="-1.7497812773403165E-3"/>
                  <c:y val="0.10555555555555562"/>
                </c:manualLayout>
              </c:layout>
              <c:showVal val="1"/>
            </c:dLbl>
            <c:dLbl>
              <c:idx val="1"/>
              <c:layout>
                <c:manualLayout>
                  <c:x val="3.2078952839106262E-17"/>
                  <c:y val="0.20555555555555555"/>
                </c:manualLayout>
              </c:layout>
              <c:showVal val="1"/>
            </c:dLbl>
            <c:dLbl>
              <c:idx val="2"/>
              <c:layout>
                <c:manualLayout>
                  <c:x val="6.4157905678212278E-17"/>
                  <c:y val="0.18888888888888891"/>
                </c:manualLayout>
              </c:layout>
              <c:showVal val="1"/>
            </c:dLbl>
            <c:dLbl>
              <c:idx val="3"/>
              <c:layout>
                <c:manualLayout>
                  <c:x val="0"/>
                  <c:y val="0.05"/>
                </c:manualLayout>
              </c:layout>
              <c:showVal val="1"/>
            </c:dLbl>
            <c:dLbl>
              <c:idx val="4"/>
              <c:layout>
                <c:manualLayout>
                  <c:x val="0"/>
                  <c:y val="0.35000000000000031"/>
                </c:manualLayout>
              </c:layout>
              <c:showVal val="1"/>
            </c:dLbl>
            <c:spPr>
              <a:effectLst/>
            </c:spPr>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'[6]GRH-6'!$B$4:$B$8</c:f>
              <c:strCache>
                <c:ptCount val="5"/>
                <c:pt idx="0">
                  <c:v>Otras Jornadas</c:v>
                </c:pt>
                <c:pt idx="1">
                  <c:v>1/4 de tiempo</c:v>
                </c:pt>
                <c:pt idx="2">
                  <c:v>1/2 tiempo</c:v>
                </c:pt>
                <c:pt idx="3">
                  <c:v>3/4 de tiempo</c:v>
                </c:pt>
                <c:pt idx="4">
                  <c:v>Tiempo Completo</c:v>
                </c:pt>
              </c:strCache>
            </c:strRef>
          </c:cat>
          <c:val>
            <c:numRef>
              <c:f>'[6]GRH-6'!$C$4:$C$8</c:f>
              <c:numCache>
                <c:formatCode>General</c:formatCode>
                <c:ptCount val="5"/>
                <c:pt idx="0">
                  <c:v>11.58</c:v>
                </c:pt>
                <c:pt idx="1">
                  <c:v>21.72</c:v>
                </c:pt>
                <c:pt idx="2">
                  <c:v>20.92</c:v>
                </c:pt>
                <c:pt idx="3">
                  <c:v>3.31</c:v>
                </c:pt>
                <c:pt idx="4">
                  <c:v>42.48</c:v>
                </c:pt>
              </c:numCache>
            </c:numRef>
          </c:val>
        </c:ser>
        <c:ser>
          <c:idx val="1"/>
          <c:order val="1"/>
          <c:tx>
            <c:strRef>
              <c:f>'[6]GRH-6'!$D$3</c:f>
              <c:strCache>
                <c:ptCount val="1"/>
                <c:pt idx="0">
                  <c:v>II Ciclo</c:v>
                </c:pt>
              </c:strCache>
            </c:strRef>
          </c:tx>
          <c:spPr>
            <a:solidFill>
              <a:srgbClr val="FFFF99"/>
            </a:solidFill>
          </c:spPr>
          <c:dLbls>
            <c:dLbl>
              <c:idx val="0"/>
              <c:layout>
                <c:manualLayout>
                  <c:x val="0"/>
                  <c:y val="9.7222222222222224E-2"/>
                </c:manualLayout>
              </c:layout>
              <c:showVal val="1"/>
            </c:dLbl>
            <c:dLbl>
              <c:idx val="1"/>
              <c:layout>
                <c:manualLayout>
                  <c:x val="0"/>
                  <c:y val="0.19166666666666668"/>
                </c:manualLayout>
              </c:layout>
              <c:showVal val="1"/>
            </c:dLbl>
            <c:dLbl>
              <c:idx val="2"/>
              <c:layout>
                <c:manualLayout>
                  <c:x val="6.4157905678212278E-17"/>
                  <c:y val="0.19166666666666668"/>
                </c:manualLayout>
              </c:layout>
              <c:showVal val="1"/>
            </c:dLbl>
            <c:dLbl>
              <c:idx val="3"/>
              <c:layout>
                <c:manualLayout>
                  <c:x val="0"/>
                  <c:y val="0.05"/>
                </c:manualLayout>
              </c:layout>
              <c:showVal val="1"/>
            </c:dLbl>
            <c:dLbl>
              <c:idx val="4"/>
              <c:layout>
                <c:manualLayout>
                  <c:x val="0"/>
                  <c:y val="0.36944444444444607"/>
                </c:manualLayout>
              </c:layout>
              <c:showVal val="1"/>
            </c:dLbl>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'[6]GRH-6'!$B$4:$B$8</c:f>
              <c:strCache>
                <c:ptCount val="5"/>
                <c:pt idx="0">
                  <c:v>Otras Jornadas</c:v>
                </c:pt>
                <c:pt idx="1">
                  <c:v>1/4 de tiempo</c:v>
                </c:pt>
                <c:pt idx="2">
                  <c:v>1/2 tiempo</c:v>
                </c:pt>
                <c:pt idx="3">
                  <c:v>3/4 de tiempo</c:v>
                </c:pt>
                <c:pt idx="4">
                  <c:v>Tiempo Completo</c:v>
                </c:pt>
              </c:strCache>
            </c:strRef>
          </c:cat>
          <c:val>
            <c:numRef>
              <c:f>'[6]GRH-6'!$D$4:$D$8</c:f>
              <c:numCache>
                <c:formatCode>General</c:formatCode>
                <c:ptCount val="5"/>
                <c:pt idx="0">
                  <c:v>11.58</c:v>
                </c:pt>
                <c:pt idx="1">
                  <c:v>21.72</c:v>
                </c:pt>
                <c:pt idx="2">
                  <c:v>20.92</c:v>
                </c:pt>
                <c:pt idx="3">
                  <c:v>3.31</c:v>
                </c:pt>
                <c:pt idx="4">
                  <c:v>42.48</c:v>
                </c:pt>
              </c:numCache>
            </c:numRef>
          </c:val>
        </c:ser>
        <c:shape val="box"/>
        <c:axId val="260309376"/>
        <c:axId val="260310912"/>
        <c:axId val="0"/>
      </c:bar3DChart>
      <c:catAx>
        <c:axId val="260309376"/>
        <c:scaling>
          <c:orientation val="minMax"/>
        </c:scaling>
        <c:axPos val="b"/>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60310912"/>
        <c:crosses val="autoZero"/>
        <c:auto val="1"/>
        <c:lblAlgn val="ctr"/>
        <c:lblOffset val="100"/>
      </c:catAx>
      <c:valAx>
        <c:axId val="260310912"/>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60309376"/>
        <c:crosses val="autoZero"/>
        <c:crossBetween val="between"/>
      </c:valAx>
      <c:spPr>
        <a:noFill/>
        <a:ln w="25400">
          <a:noFill/>
        </a:ln>
      </c:spPr>
    </c:plotArea>
    <c:legend>
      <c:legendPos val="b"/>
      <c:layout>
        <c:manualLayout>
          <c:xMode val="edge"/>
          <c:yMode val="edge"/>
          <c:x val="0.81976660397764989"/>
          <c:y val="0.94481860499144921"/>
          <c:w val="0.14786822906979191"/>
          <c:h val="3.8514819793867283E-2"/>
        </c:manualLayout>
      </c:layout>
      <c:spPr>
        <a:ln cap="rnd">
          <a:solidFill>
            <a:schemeClr val="bg1">
              <a:lumMod val="65000"/>
            </a:schemeClr>
          </a:solidFill>
          <a:round/>
        </a:ln>
        <a:effectLst/>
      </c:spPr>
      <c:txPr>
        <a:bodyPr/>
        <a:lstStyle/>
        <a:p>
          <a:pPr>
            <a:defRPr sz="75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s-ES"/>
  <c:chart>
    <c:view3D>
      <c:depthPercent val="100"/>
      <c:rAngAx val="1"/>
    </c:view3D>
    <c:plotArea>
      <c:layout>
        <c:manualLayout>
          <c:layoutTarget val="inner"/>
          <c:xMode val="edge"/>
          <c:yMode val="edge"/>
          <c:x val="4.3757620848575499E-2"/>
          <c:y val="0.19861111111111121"/>
          <c:w val="0.93699478510068135"/>
          <c:h val="0.66885079469233266"/>
        </c:manualLayout>
      </c:layout>
      <c:bar3DChart>
        <c:barDir val="col"/>
        <c:grouping val="clustered"/>
        <c:ser>
          <c:idx val="0"/>
          <c:order val="0"/>
          <c:tx>
            <c:strRef>
              <c:f>[7]GRH7!$C$3</c:f>
              <c:strCache>
                <c:ptCount val="1"/>
                <c:pt idx="0">
                  <c:v>I Ciclo</c:v>
                </c:pt>
              </c:strCache>
            </c:strRef>
          </c:tx>
          <c:spPr>
            <a:solidFill>
              <a:schemeClr val="bg2">
                <a:lumMod val="90000"/>
              </a:schemeClr>
            </a:solidFill>
          </c:spPr>
          <c:dLbls>
            <c:dLbl>
              <c:idx val="0"/>
              <c:layout>
                <c:manualLayout>
                  <c:x val="-9.1829252413944507E-6"/>
                  <c:y val="0.26064814814814813"/>
                </c:manualLayout>
              </c:layout>
              <c:showVal val="1"/>
            </c:dLbl>
            <c:dLbl>
              <c:idx val="1"/>
              <c:layout>
                <c:manualLayout>
                  <c:x val="1.7406440382941688E-3"/>
                  <c:y val="0.23564814814814841"/>
                </c:manualLayout>
              </c:layout>
              <c:showVal val="1"/>
            </c:dLbl>
            <c:dLbl>
              <c:idx val="2"/>
              <c:layout>
                <c:manualLayout>
                  <c:x val="0"/>
                  <c:y val="0.11944444444444446"/>
                </c:manualLayout>
              </c:layout>
              <c:showVal val="1"/>
            </c:dLbl>
            <c:dLbl>
              <c:idx val="3"/>
              <c:layout>
                <c:manualLayout>
                  <c:x val="0"/>
                  <c:y val="4.3055555555555375E-2"/>
                </c:manualLayout>
              </c:layout>
              <c:showVal val="1"/>
            </c:dLbl>
            <c:dLbl>
              <c:idx val="4"/>
              <c:layout>
                <c:manualLayout>
                  <c:x val="3.4812880765883493E-3"/>
                  <c:y val="0.10549431321084871"/>
                </c:manualLayout>
              </c:layout>
              <c:showVal val="1"/>
            </c:dLbl>
            <c:spPr>
              <a:effectLst/>
            </c:spPr>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[7]GRH7!$B$4:$B$8</c:f>
              <c:strCache>
                <c:ptCount val="5"/>
                <c:pt idx="0">
                  <c:v>Otras Jornadas</c:v>
                </c:pt>
                <c:pt idx="1">
                  <c:v>1/4 de tiempo</c:v>
                </c:pt>
                <c:pt idx="2">
                  <c:v>1/2 tiempo</c:v>
                </c:pt>
                <c:pt idx="3">
                  <c:v>3/4 de tiempo</c:v>
                </c:pt>
                <c:pt idx="4">
                  <c:v>Tiempo Completo</c:v>
                </c:pt>
              </c:strCache>
            </c:strRef>
          </c:cat>
          <c:val>
            <c:numRef>
              <c:f>[7]GRH7!$C$4:$C$8</c:f>
              <c:numCache>
                <c:formatCode>General</c:formatCode>
                <c:ptCount val="5"/>
                <c:pt idx="0">
                  <c:v>1224</c:v>
                </c:pt>
                <c:pt idx="1">
                  <c:v>1444</c:v>
                </c:pt>
                <c:pt idx="2">
                  <c:v>730</c:v>
                </c:pt>
                <c:pt idx="3">
                  <c:v>211</c:v>
                </c:pt>
                <c:pt idx="4">
                  <c:v>661</c:v>
                </c:pt>
              </c:numCache>
            </c:numRef>
          </c:val>
        </c:ser>
        <c:ser>
          <c:idx val="1"/>
          <c:order val="1"/>
          <c:tx>
            <c:strRef>
              <c:f>[7]GRH7!$D$3</c:f>
              <c:strCache>
                <c:ptCount val="1"/>
                <c:pt idx="0">
                  <c:v>II Ciclo</c:v>
                </c:pt>
              </c:strCache>
            </c:strRef>
          </c:tx>
          <c:spPr>
            <a:solidFill>
              <a:srgbClr val="FFFF99"/>
            </a:solidFill>
          </c:spPr>
          <c:dLbls>
            <c:dLbl>
              <c:idx val="0"/>
              <c:layout>
                <c:manualLayout>
                  <c:x val="0"/>
                  <c:y val="0.18287037037037041"/>
                </c:manualLayout>
              </c:layout>
              <c:showVal val="1"/>
            </c:dLbl>
            <c:dLbl>
              <c:idx val="1"/>
              <c:layout>
                <c:manualLayout>
                  <c:x val="-1.7406440382941688E-3"/>
                  <c:y val="0.22638888888888889"/>
                </c:manualLayout>
              </c:layout>
              <c:showVal val="1"/>
            </c:dLbl>
            <c:dLbl>
              <c:idx val="2"/>
              <c:layout>
                <c:manualLayout>
                  <c:x val="0"/>
                  <c:y val="0.12222222222222305"/>
                </c:manualLayout>
              </c:layout>
              <c:showVal val="1"/>
            </c:dLbl>
            <c:dLbl>
              <c:idx val="3"/>
              <c:layout>
                <c:manualLayout>
                  <c:x val="1.7406440382941688E-3"/>
                  <c:y val="4.5370370370370366E-2"/>
                </c:manualLayout>
              </c:layout>
              <c:showVal val="1"/>
            </c:dLbl>
            <c:dLbl>
              <c:idx val="4"/>
              <c:layout>
                <c:manualLayout>
                  <c:x val="0"/>
                  <c:y val="0.10576899241761482"/>
                </c:manualLayout>
              </c:layout>
              <c:showVal val="1"/>
            </c:dLbl>
            <c:txPr>
              <a:bodyPr/>
              <a:lstStyle/>
              <a:p>
                <a:pPr>
                  <a:defRPr sz="800" b="0" i="0" u="none" strike="noStrike" baseline="0">
                    <a:solidFill>
                      <a:srgbClr val="000000"/>
                    </a:solidFill>
                    <a:latin typeface="Times New Roman"/>
                    <a:ea typeface="Times New Roman"/>
                    <a:cs typeface="Times New Roman"/>
                  </a:defRPr>
                </a:pPr>
                <a:endParaRPr lang="es-ES"/>
              </a:p>
            </c:txPr>
            <c:showVal val="1"/>
          </c:dLbls>
          <c:cat>
            <c:strRef>
              <c:f>[7]GRH7!$B$4:$B$8</c:f>
              <c:strCache>
                <c:ptCount val="5"/>
                <c:pt idx="0">
                  <c:v>Otras Jornadas</c:v>
                </c:pt>
                <c:pt idx="1">
                  <c:v>1/4 de tiempo</c:v>
                </c:pt>
                <c:pt idx="2">
                  <c:v>1/2 tiempo</c:v>
                </c:pt>
                <c:pt idx="3">
                  <c:v>3/4 de tiempo</c:v>
                </c:pt>
                <c:pt idx="4">
                  <c:v>Tiempo Completo</c:v>
                </c:pt>
              </c:strCache>
            </c:strRef>
          </c:cat>
          <c:val>
            <c:numRef>
              <c:f>[7]GRH7!$D$4:$D$8</c:f>
              <c:numCache>
                <c:formatCode>General</c:formatCode>
                <c:ptCount val="5"/>
                <c:pt idx="0">
                  <c:v>1202</c:v>
                </c:pt>
                <c:pt idx="1">
                  <c:v>1370</c:v>
                </c:pt>
                <c:pt idx="2">
                  <c:v>726</c:v>
                </c:pt>
                <c:pt idx="3">
                  <c:v>204</c:v>
                </c:pt>
                <c:pt idx="4">
                  <c:v>649</c:v>
                </c:pt>
              </c:numCache>
            </c:numRef>
          </c:val>
        </c:ser>
        <c:shape val="box"/>
        <c:axId val="261403008"/>
        <c:axId val="261404544"/>
        <c:axId val="0"/>
      </c:bar3DChart>
      <c:catAx>
        <c:axId val="261403008"/>
        <c:scaling>
          <c:orientation val="minMax"/>
        </c:scaling>
        <c:axPos val="b"/>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61404544"/>
        <c:crosses val="autoZero"/>
        <c:auto val="1"/>
        <c:lblAlgn val="ctr"/>
        <c:lblOffset val="100"/>
      </c:catAx>
      <c:valAx>
        <c:axId val="261404544"/>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261403008"/>
        <c:crosses val="autoZero"/>
        <c:crossBetween val="between"/>
      </c:valAx>
      <c:spPr>
        <a:noFill/>
        <a:ln w="25400">
          <a:noFill/>
        </a:ln>
      </c:spPr>
    </c:plotArea>
    <c:legend>
      <c:legendPos val="b"/>
      <c:layout>
        <c:manualLayout>
          <c:xMode val="edge"/>
          <c:yMode val="edge"/>
          <c:x val="0.81802594519027161"/>
          <c:y val="0.93831455963837862"/>
          <c:w val="0.14786825928743352"/>
          <c:h val="3.8514873140857435E-2"/>
        </c:manualLayout>
      </c:layout>
      <c:spPr>
        <a:ln cap="rnd">
          <a:solidFill>
            <a:schemeClr val="bg1">
              <a:lumMod val="65000"/>
            </a:schemeClr>
          </a:solidFill>
          <a:round/>
        </a:ln>
        <a:effectLst/>
      </c:spPr>
      <c:txPr>
        <a:bodyPr/>
        <a:lstStyle/>
        <a:p>
          <a:pPr>
            <a:defRPr sz="75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0" i="0" u="none" strike="noStrike" baseline="0">
                <a:solidFill>
                  <a:srgbClr val="000000"/>
                </a:solidFill>
                <a:latin typeface="Calibri"/>
                <a:ea typeface="Calibri"/>
                <a:cs typeface="Calibri"/>
              </a:defRPr>
            </a:pPr>
            <a:r>
              <a:rPr lang="es-ES" sz="1800" b="0" i="0" u="none" strike="noStrike" baseline="0">
                <a:solidFill>
                  <a:srgbClr val="000000"/>
                </a:solidFill>
                <a:latin typeface="Times New Roman"/>
                <a:cs typeface="Times New Roman"/>
              </a:rPr>
              <a:t>Distribución relativa de la Carga Académica asignada</a:t>
            </a:r>
          </a:p>
          <a:p>
            <a:pPr>
              <a:defRPr sz="1000" b="0" i="0" u="none" strike="noStrike" baseline="0">
                <a:solidFill>
                  <a:srgbClr val="000000"/>
                </a:solidFill>
                <a:latin typeface="Calibri"/>
                <a:ea typeface="Calibri"/>
                <a:cs typeface="Calibri"/>
              </a:defRPr>
            </a:pPr>
            <a:r>
              <a:rPr lang="es-ES" sz="1800" b="0" i="0" u="none" strike="noStrike" baseline="0">
                <a:solidFill>
                  <a:srgbClr val="000000"/>
                </a:solidFill>
                <a:latin typeface="Times New Roman"/>
                <a:cs typeface="Times New Roman"/>
              </a:rPr>
              <a:t> por actividad. 2013 - 2017</a:t>
            </a:r>
          </a:p>
        </c:rich>
      </c:tx>
      <c:layout>
        <c:manualLayout>
          <c:xMode val="edge"/>
          <c:yMode val="edge"/>
          <c:x val="0.18373997367976094"/>
          <c:y val="7.5516146627319897E-2"/>
        </c:manualLayout>
      </c:layout>
    </c:title>
    <c:view3D>
      <c:depthPercent val="100"/>
      <c:rAngAx val="1"/>
    </c:view3D>
    <c:floor>
      <c:spPr>
        <a:ln>
          <a:solidFill>
            <a:schemeClr val="tx1"/>
          </a:solidFill>
        </a:ln>
      </c:spPr>
    </c:floor>
    <c:plotArea>
      <c:layout>
        <c:manualLayout>
          <c:layoutTarget val="inner"/>
          <c:xMode val="edge"/>
          <c:yMode val="edge"/>
          <c:x val="7.1315244079763515E-2"/>
          <c:y val="0.21263135440157099"/>
          <c:w val="0.90811439593893339"/>
          <c:h val="0.66536946623020965"/>
        </c:manualLayout>
      </c:layout>
      <c:bar3DChart>
        <c:barDir val="col"/>
        <c:grouping val="percentStacked"/>
        <c:ser>
          <c:idx val="3"/>
          <c:order val="0"/>
          <c:tx>
            <c:strRef>
              <c:f>[8]RH8!$C$3</c:f>
              <c:strCache>
                <c:ptCount val="1"/>
                <c:pt idx="0">
                  <c:v>Docencia</c:v>
                </c:pt>
              </c:strCache>
            </c:strRef>
          </c:tx>
          <c:spPr>
            <a:solidFill>
              <a:srgbClr val="EADCD6"/>
            </a:solidFill>
          </c:spPr>
          <c:dLbls>
            <c:numFmt formatCode="0.00" sourceLinked="0"/>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[8]RH8!$B$4:$B$8</c:f>
              <c:numCache>
                <c:formatCode>General</c:formatCode>
                <c:ptCount val="5"/>
                <c:pt idx="0">
                  <c:v>2013</c:v>
                </c:pt>
                <c:pt idx="1">
                  <c:v>2014</c:v>
                </c:pt>
                <c:pt idx="2">
                  <c:v>2015</c:v>
                </c:pt>
                <c:pt idx="3">
                  <c:v>2016</c:v>
                </c:pt>
                <c:pt idx="4">
                  <c:v>2017</c:v>
                </c:pt>
              </c:numCache>
            </c:numRef>
          </c:cat>
          <c:val>
            <c:numRef>
              <c:f>[8]RH8!$F$4:$F$8</c:f>
              <c:numCache>
                <c:formatCode>General</c:formatCode>
                <c:ptCount val="5"/>
                <c:pt idx="0">
                  <c:v>18.07</c:v>
                </c:pt>
                <c:pt idx="1">
                  <c:v>15.342052781854379</c:v>
                </c:pt>
                <c:pt idx="2">
                  <c:v>14.09</c:v>
                </c:pt>
                <c:pt idx="3">
                  <c:v>14.44</c:v>
                </c:pt>
                <c:pt idx="4">
                  <c:v>14.1</c:v>
                </c:pt>
              </c:numCache>
            </c:numRef>
          </c:val>
        </c:ser>
        <c:ser>
          <c:idx val="2"/>
          <c:order val="1"/>
          <c:tx>
            <c:strRef>
              <c:f>[8]RH8!$D$3</c:f>
              <c:strCache>
                <c:ptCount val="1"/>
                <c:pt idx="0">
                  <c:v>Investigación</c:v>
                </c:pt>
              </c:strCache>
            </c:strRef>
          </c:tx>
          <c:spPr>
            <a:solidFill>
              <a:srgbClr val="C1E2A8"/>
            </a:solidFill>
          </c:spPr>
          <c:dLbls>
            <c:numFmt formatCode="0.00" sourceLinked="0"/>
            <c:spPr>
              <a:solidFill>
                <a:schemeClr val="accent3">
                  <a:lumMod val="60000"/>
                  <a:lumOff val="40000"/>
                </a:schemeClr>
              </a:solidFill>
              <a:ln>
                <a:noFill/>
              </a:ln>
            </c:spPr>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[8]RH8!$B$4:$B$7</c:f>
              <c:numCache>
                <c:formatCode>General</c:formatCode>
                <c:ptCount val="4"/>
                <c:pt idx="0">
                  <c:v>2013</c:v>
                </c:pt>
                <c:pt idx="1">
                  <c:v>2014</c:v>
                </c:pt>
                <c:pt idx="2">
                  <c:v>2015</c:v>
                </c:pt>
                <c:pt idx="3">
                  <c:v>2016</c:v>
                </c:pt>
              </c:numCache>
            </c:numRef>
          </c:cat>
          <c:val>
            <c:numRef>
              <c:f>[8]RH8!$E$4:$E$8</c:f>
              <c:numCache>
                <c:formatCode>General</c:formatCode>
                <c:ptCount val="5"/>
                <c:pt idx="0">
                  <c:v>5.72</c:v>
                </c:pt>
                <c:pt idx="1">
                  <c:v>5.1142125990990808</c:v>
                </c:pt>
                <c:pt idx="2">
                  <c:v>5.45</c:v>
                </c:pt>
                <c:pt idx="3">
                  <c:v>5.57</c:v>
                </c:pt>
                <c:pt idx="4">
                  <c:v>5.61</c:v>
                </c:pt>
              </c:numCache>
            </c:numRef>
          </c:val>
        </c:ser>
        <c:ser>
          <c:idx val="1"/>
          <c:order val="2"/>
          <c:tx>
            <c:strRef>
              <c:f>[8]RH8!$E$3</c:f>
              <c:strCache>
                <c:ptCount val="1"/>
                <c:pt idx="0">
                  <c:v>Acción Social</c:v>
                </c:pt>
              </c:strCache>
            </c:strRef>
          </c:tx>
          <c:spPr>
            <a:solidFill>
              <a:srgbClr val="FFFF99"/>
            </a:solidFill>
          </c:spPr>
          <c:dLbls>
            <c:numFmt formatCode="0.00" sourceLinked="0"/>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[8]RH8!$B$4:$B$7</c:f>
              <c:numCache>
                <c:formatCode>General</c:formatCode>
                <c:ptCount val="4"/>
                <c:pt idx="0">
                  <c:v>2013</c:v>
                </c:pt>
                <c:pt idx="1">
                  <c:v>2014</c:v>
                </c:pt>
                <c:pt idx="2">
                  <c:v>2015</c:v>
                </c:pt>
                <c:pt idx="3">
                  <c:v>2016</c:v>
                </c:pt>
              </c:numCache>
            </c:numRef>
          </c:cat>
          <c:val>
            <c:numRef>
              <c:f>[8]RH8!$D$4:$D$8</c:f>
              <c:numCache>
                <c:formatCode>General</c:formatCode>
                <c:ptCount val="5"/>
                <c:pt idx="0">
                  <c:v>9.9</c:v>
                </c:pt>
                <c:pt idx="1">
                  <c:v>9.3904095703068347</c:v>
                </c:pt>
                <c:pt idx="2">
                  <c:v>10.66</c:v>
                </c:pt>
                <c:pt idx="3">
                  <c:v>11.27</c:v>
                </c:pt>
                <c:pt idx="4">
                  <c:v>10.63</c:v>
                </c:pt>
              </c:numCache>
            </c:numRef>
          </c:val>
        </c:ser>
        <c:ser>
          <c:idx val="0"/>
          <c:order val="3"/>
          <c:tx>
            <c:strRef>
              <c:f>[8]RH8!$F$3</c:f>
              <c:strCache>
                <c:ptCount val="1"/>
                <c:pt idx="0">
                  <c:v>Doc-Administ.</c:v>
                </c:pt>
              </c:strCache>
            </c:strRef>
          </c:tx>
          <c:spPr>
            <a:solidFill>
              <a:srgbClr val="C0E2E2"/>
            </a:solidFill>
          </c:spPr>
          <c:dLbls>
            <c:dLbl>
              <c:idx val="1"/>
              <c:numFmt formatCode="0.00" sourceLinked="0"/>
              <c:spPr/>
              <c:txPr>
                <a:bodyPr/>
                <a:lstStyle/>
                <a:p>
                  <a:pPr>
                    <a:defRPr sz="700" b="0" i="0" u="none" strike="noStrike" baseline="0">
                      <a:solidFill>
                        <a:srgbClr val="000000"/>
                      </a:solidFill>
                      <a:latin typeface="Times New Roman"/>
                      <a:ea typeface="Times New Roman"/>
                      <a:cs typeface="Times New Roman"/>
                    </a:defRPr>
                  </a:pPr>
                  <a:endParaRPr lang="es-ES"/>
                </a:p>
              </c:txPr>
            </c:dLbl>
            <c:txPr>
              <a:bodyPr/>
              <a:lstStyle/>
              <a:p>
                <a:pPr>
                  <a:defRPr sz="700" b="0" i="0" u="none" strike="noStrike" baseline="0">
                    <a:solidFill>
                      <a:srgbClr val="000000"/>
                    </a:solidFill>
                    <a:latin typeface="Times New Roman"/>
                    <a:ea typeface="Times New Roman"/>
                    <a:cs typeface="Times New Roman"/>
                  </a:defRPr>
                </a:pPr>
                <a:endParaRPr lang="es-ES"/>
              </a:p>
            </c:txPr>
            <c:showVal val="1"/>
          </c:dLbls>
          <c:cat>
            <c:numRef>
              <c:f>[8]RH8!$B$4:$B$8</c:f>
              <c:numCache>
                <c:formatCode>General</c:formatCode>
                <c:ptCount val="5"/>
                <c:pt idx="0">
                  <c:v>2013</c:v>
                </c:pt>
                <c:pt idx="1">
                  <c:v>2014</c:v>
                </c:pt>
                <c:pt idx="2">
                  <c:v>2015</c:v>
                </c:pt>
                <c:pt idx="3">
                  <c:v>2016</c:v>
                </c:pt>
                <c:pt idx="4">
                  <c:v>2017</c:v>
                </c:pt>
              </c:numCache>
            </c:numRef>
          </c:cat>
          <c:val>
            <c:numRef>
              <c:f>[8]RH8!$C$4:$C$8</c:f>
              <c:numCache>
                <c:formatCode>General</c:formatCode>
                <c:ptCount val="5"/>
                <c:pt idx="0">
                  <c:v>66.31</c:v>
                </c:pt>
                <c:pt idx="1">
                  <c:v>70.153325048739703</c:v>
                </c:pt>
                <c:pt idx="2">
                  <c:v>69.8</c:v>
                </c:pt>
                <c:pt idx="3">
                  <c:v>68.72</c:v>
                </c:pt>
                <c:pt idx="4">
                  <c:v>69.66</c:v>
                </c:pt>
              </c:numCache>
            </c:numRef>
          </c:val>
        </c:ser>
        <c:shape val="box"/>
        <c:axId val="261999232"/>
        <c:axId val="262087040"/>
        <c:axId val="0"/>
      </c:bar3DChart>
      <c:catAx>
        <c:axId val="261999232"/>
        <c:scaling>
          <c:orientation val="minMax"/>
        </c:scaling>
        <c:axPos val="b"/>
        <c:numFmt formatCode="General"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2087040"/>
        <c:crosses val="autoZero"/>
        <c:auto val="1"/>
        <c:lblAlgn val="ctr"/>
        <c:lblOffset val="100"/>
      </c:catAx>
      <c:valAx>
        <c:axId val="262087040"/>
        <c:scaling>
          <c:orientation val="minMax"/>
        </c:scaling>
        <c:axPos val="l"/>
        <c:majorGridlines/>
        <c:numFmt formatCode="0%" sourceLinked="1"/>
        <c:tickLblPos val="nextTo"/>
        <c:txPr>
          <a:bodyPr rot="0" vert="horz"/>
          <a:lstStyle/>
          <a:p>
            <a:pPr>
              <a:defRPr sz="900" b="0" i="0" u="none" strike="noStrike" baseline="0">
                <a:solidFill>
                  <a:srgbClr val="000000"/>
                </a:solidFill>
                <a:latin typeface="Times New Roman"/>
                <a:ea typeface="Times New Roman"/>
                <a:cs typeface="Times New Roman"/>
              </a:defRPr>
            </a:pPr>
            <a:endParaRPr lang="es-ES"/>
          </a:p>
        </c:txPr>
        <c:crossAx val="261999232"/>
        <c:crosses val="autoZero"/>
        <c:crossBetween val="between"/>
      </c:valAx>
      <c:spPr>
        <a:noFill/>
        <a:ln w="25400">
          <a:noFill/>
        </a:ln>
      </c:spPr>
    </c:plotArea>
    <c:legend>
      <c:legendPos val="b"/>
      <c:layout>
        <c:manualLayout>
          <c:xMode val="edge"/>
          <c:yMode val="edge"/>
          <c:x val="0.61748531433570863"/>
          <c:y val="0.94198067159900145"/>
          <c:w val="0.36043715123844838"/>
          <c:h val="3.2643086576877971E-2"/>
        </c:manualLayout>
      </c:layout>
      <c:spPr>
        <a:ln>
          <a:solidFill>
            <a:schemeClr val="tx1">
              <a:lumMod val="50000"/>
              <a:lumOff val="50000"/>
            </a:schemeClr>
          </a:solidFill>
        </a:ln>
      </c:spPr>
      <c:txPr>
        <a:bodyPr/>
        <a:lstStyle/>
        <a:p>
          <a:pPr>
            <a:defRPr sz="585" b="0" i="0" u="none" strike="noStrike" baseline="0">
              <a:solidFill>
                <a:srgbClr val="000000"/>
              </a:solidFill>
              <a:latin typeface="Times New Roman"/>
              <a:ea typeface="Times New Roman"/>
              <a:cs typeface="Times New Roman"/>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s-ES"/>
  <c:chart>
    <c:view3D>
      <c:depthPercent val="100"/>
      <c:rAngAx val="1"/>
    </c:view3D>
    <c:plotArea>
      <c:layout>
        <c:manualLayout>
          <c:layoutTarget val="inner"/>
          <c:xMode val="edge"/>
          <c:yMode val="edge"/>
          <c:x val="3.9626646439837224E-2"/>
          <c:y val="0.18896987274181168"/>
          <c:w val="0.94355378169471937"/>
          <c:h val="0.67977502812149004"/>
        </c:manualLayout>
      </c:layout>
      <c:bar3DChart>
        <c:barDir val="col"/>
        <c:grouping val="stacked"/>
        <c:ser>
          <c:idx val="0"/>
          <c:order val="0"/>
          <c:spPr>
            <a:solidFill>
              <a:schemeClr val="accent4">
                <a:lumMod val="40000"/>
                <a:lumOff val="60000"/>
              </a:schemeClr>
            </a:solidFill>
          </c:spPr>
          <c:dLbls>
            <c:spPr>
              <a:scene3d>
                <a:camera prst="orthographicFront"/>
                <a:lightRig rig="threePt" dir="t"/>
              </a:scene3d>
              <a:sp3d>
                <a:bevelB w="25400"/>
              </a:sp3d>
            </c:spPr>
            <c:txPr>
              <a:bodyPr/>
              <a:lstStyle/>
              <a:p>
                <a:pPr>
                  <a:defRPr sz="900">
                    <a:latin typeface="Times New Roman" pitchFamily="18" charset="0"/>
                    <a:cs typeface="Times New Roman" pitchFamily="18" charset="0"/>
                  </a:defRPr>
                </a:pPr>
                <a:endParaRPr lang="es-ES"/>
              </a:p>
            </c:txPr>
            <c:showVal val="1"/>
          </c:dLbls>
          <c:cat>
            <c:strRef>
              <c:f>[9]RF1!$C$3:$F$3</c:f>
              <c:strCache>
                <c:ptCount val="4"/>
                <c:pt idx="0">
                  <c:v>2013 - 2014</c:v>
                </c:pt>
                <c:pt idx="1">
                  <c:v>2014 - 2015</c:v>
                </c:pt>
                <c:pt idx="2">
                  <c:v>2015 - 2016</c:v>
                </c:pt>
                <c:pt idx="3">
                  <c:v>2016 - 2017</c:v>
                </c:pt>
              </c:strCache>
            </c:strRef>
          </c:cat>
          <c:val>
            <c:numRef>
              <c:f>[9]RF1!$C$4:$F$4</c:f>
              <c:numCache>
                <c:formatCode>General</c:formatCode>
                <c:ptCount val="4"/>
                <c:pt idx="0">
                  <c:v>7.19</c:v>
                </c:pt>
                <c:pt idx="1">
                  <c:v>11.62</c:v>
                </c:pt>
                <c:pt idx="2">
                  <c:v>11.75</c:v>
                </c:pt>
                <c:pt idx="3">
                  <c:v>12.76</c:v>
                </c:pt>
              </c:numCache>
            </c:numRef>
          </c:val>
        </c:ser>
        <c:shape val="box"/>
        <c:axId val="262669824"/>
        <c:axId val="262671360"/>
        <c:axId val="0"/>
      </c:bar3DChart>
      <c:catAx>
        <c:axId val="262669824"/>
        <c:scaling>
          <c:orientation val="minMax"/>
        </c:scaling>
        <c:axPos val="b"/>
        <c:numFmt formatCode="General" sourceLinked="1"/>
        <c:tickLblPos val="nextTo"/>
        <c:crossAx val="262671360"/>
        <c:crosses val="autoZero"/>
        <c:auto val="1"/>
        <c:lblAlgn val="ctr"/>
        <c:lblOffset val="100"/>
      </c:catAx>
      <c:valAx>
        <c:axId val="262671360"/>
        <c:scaling>
          <c:orientation val="minMax"/>
        </c:scaling>
        <c:axPos val="l"/>
        <c:majorGridlines/>
        <c:numFmt formatCode="General" sourceLinked="1"/>
        <c:tickLblPos val="nextTo"/>
        <c:crossAx val="262669824"/>
        <c:crosses val="autoZero"/>
        <c:crossBetween val="between"/>
      </c:valAx>
      <c:spPr>
        <a:noFill/>
        <a:ln w="25400">
          <a:noFill/>
        </a:ln>
      </c:spPr>
    </c:plotArea>
    <c:plotVisOnly val="1"/>
    <c:dispBlanksAs val="gap"/>
  </c:chart>
  <c:printSettings>
    <c:headerFooter/>
    <c:pageMargins b="0.75000000000000244" l="0.70000000000000062" r="0.70000000000000062" t="0.75000000000000244"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8</xdr:col>
      <xdr:colOff>742950</xdr:colOff>
      <xdr:row>31</xdr:row>
      <xdr:rowOff>19050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0.02104</cdr:x>
      <cdr:y>0.9292</cdr:y>
    </cdr:from>
    <cdr:to>
      <cdr:x>0.24544</cdr:x>
      <cdr:y>0.9823</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0.21739</cdr:x>
      <cdr:y>0.05664</cdr:y>
    </cdr:from>
    <cdr:to>
      <cdr:x>0.35203</cdr:x>
      <cdr:y>0.22655</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0.02945</cdr:x>
      <cdr:y>0.06372</cdr:y>
    </cdr:from>
    <cdr:to>
      <cdr:x>0.1641</cdr:x>
      <cdr:y>0.11858</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0.23843</cdr:x>
      <cdr:y>0.02124</cdr:y>
    </cdr:from>
    <cdr:to>
      <cdr:x>0.83871</cdr:x>
      <cdr:y>0.07611</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cdr:txBody>
    </cdr:sp>
  </cdr:relSizeAnchor>
  <cdr:relSizeAnchor xmlns:cdr="http://schemas.openxmlformats.org/drawingml/2006/chartDrawing">
    <cdr:from>
      <cdr:x>0.00561</cdr:x>
      <cdr:y>0.01416</cdr:y>
    </cdr:from>
    <cdr:to>
      <cdr:x>0.21318</cdr:x>
      <cdr:y>0.07611</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3</a:t>
          </a:r>
        </a:p>
      </cdr:txBody>
    </cdr:sp>
  </cdr:relSizeAnchor>
</c:userShapes>
</file>

<file path=xl/drawings/drawing100.xml><?xml version="1.0" encoding="utf-8"?>
<c:userShapes xmlns:c="http://schemas.openxmlformats.org/drawingml/2006/chart">
  <cdr:relSizeAnchor xmlns:cdr="http://schemas.openxmlformats.org/drawingml/2006/chartDrawing">
    <cdr:from>
      <cdr:x>0.08689</cdr:x>
      <cdr:y>0.125</cdr:y>
    </cdr:from>
    <cdr:to>
      <cdr:x>0.78689</cdr:x>
      <cdr:y>0.2575</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0.07049</cdr:x>
      <cdr:y>0.1625</cdr:y>
    </cdr:from>
    <cdr:to>
      <cdr:x>0.80164</cdr:x>
      <cdr:y>0.3075</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0.13805</cdr:x>
      <cdr:y>0.09733</cdr:y>
    </cdr:from>
    <cdr:to>
      <cdr:x>0.94809</cdr:x>
      <cdr:y>0.24386</cdr:y>
    </cdr:to>
    <cdr:sp macro="" textlink="">
      <cdr:nvSpPr>
        <cdr:cNvPr id="5" name="4 CuadroTexto"/>
        <cdr:cNvSpPr txBox="1"/>
      </cdr:nvSpPr>
      <cdr:spPr>
        <a:xfrm xmlns:a="http://schemas.openxmlformats.org/drawingml/2006/main">
          <a:off x="888881" y="490405"/>
          <a:ext cx="5215767" cy="738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700">
              <a:latin typeface="Times New Roman" pitchFamily="18" charset="0"/>
              <a:cs typeface="Times New Roman" pitchFamily="18" charset="0"/>
            </a:rPr>
            <a:t>Distribución absoluta de los estudiantes matriculados</a:t>
          </a:r>
        </a:p>
        <a:p xmlns:a="http://schemas.openxmlformats.org/drawingml/2006/main">
          <a:pPr algn="ctr"/>
          <a:r>
            <a:rPr lang="es-CR" sz="1700">
              <a:latin typeface="Times New Roman" pitchFamily="18" charset="0"/>
              <a:cs typeface="Times New Roman" pitchFamily="18" charset="0"/>
            </a:rPr>
            <a:t>por el PIAM,  por ciclo lectivo y escolaridad.  2013 - 2017</a:t>
          </a:r>
        </a:p>
      </cdr:txBody>
    </cdr:sp>
  </cdr:relSizeAnchor>
  <cdr:relSizeAnchor xmlns:cdr="http://schemas.openxmlformats.org/drawingml/2006/chartDrawing">
    <cdr:from>
      <cdr:x>0.00513</cdr:x>
      <cdr:y>0.00572</cdr:y>
    </cdr:from>
    <cdr:to>
      <cdr:x>0.19937</cdr:x>
      <cdr:y>0.09524</cdr:y>
    </cdr:to>
    <cdr:sp macro="" textlink="">
      <cdr:nvSpPr>
        <cdr:cNvPr id="6" name="5 CuadroTexto"/>
        <cdr:cNvSpPr txBox="1"/>
      </cdr:nvSpPr>
      <cdr:spPr>
        <a:xfrm xmlns:a="http://schemas.openxmlformats.org/drawingml/2006/main">
          <a:off x="31126" y="28585"/>
          <a:ext cx="1178537" cy="4476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AS 6</a:t>
          </a:r>
        </a:p>
      </cdr:txBody>
    </cdr:sp>
  </cdr:relSizeAnchor>
  <cdr:relSizeAnchor xmlns:cdr="http://schemas.openxmlformats.org/drawingml/2006/chartDrawing">
    <cdr:from>
      <cdr:x>0.02041</cdr:x>
      <cdr:y>0.92571</cdr:y>
    </cdr:from>
    <cdr:to>
      <cdr:x>0.23862</cdr:x>
      <cdr:y>0.98286</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AS10</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0.04867</cdr:x>
      <cdr:y>0.81714</cdr:y>
    </cdr:from>
    <cdr:to>
      <cdr:x>0.19937</cdr:x>
      <cdr:y>0.92762</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19050</xdr:colOff>
      <xdr:row>0</xdr:row>
      <xdr:rowOff>38100</xdr:rowOff>
    </xdr:from>
    <xdr:to>
      <xdr:col>8</xdr:col>
      <xdr:colOff>742950</xdr:colOff>
      <xdr:row>31</xdr:row>
      <xdr:rowOff>47625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0.03776</cdr:x>
      <cdr:y>0.0797</cdr:y>
    </cdr:from>
    <cdr:to>
      <cdr:x>0.94406</cdr:x>
      <cdr:y>0.21252</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Vida Estudiantil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0.03226</cdr:x>
      <cdr:y>0.90032</cdr:y>
    </cdr:from>
    <cdr:to>
      <cdr:x>0.25174</cdr:x>
      <cdr:y>0.97272</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VE1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600075</xdr:colOff>
      <xdr:row>4</xdr:row>
      <xdr:rowOff>161925</xdr:rowOff>
    </xdr:from>
    <xdr:to>
      <xdr:col>0</xdr:col>
      <xdr:colOff>1200150</xdr:colOff>
      <xdr:row>8</xdr:row>
      <xdr:rowOff>161925</xdr:rowOff>
    </xdr:to>
    <xdr:sp macro="" textlink="">
      <xdr:nvSpPr>
        <xdr:cNvPr id="2" name="Line 2"/>
        <xdr:cNvSpPr>
          <a:spLocks noChangeShapeType="1"/>
        </xdr:cNvSpPr>
      </xdr:nvSpPr>
      <xdr:spPr bwMode="auto">
        <a:xfrm>
          <a:off x="600075" y="752475"/>
          <a:ext cx="600075" cy="638175"/>
        </a:xfrm>
        <a:prstGeom prst="line">
          <a:avLst/>
        </a:prstGeom>
        <a:no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695325</xdr:colOff>
      <xdr:row>6</xdr:row>
      <xdr:rowOff>0</xdr:rowOff>
    </xdr:from>
    <xdr:to>
      <xdr:col>0</xdr:col>
      <xdr:colOff>1200150</xdr:colOff>
      <xdr:row>9</xdr:row>
      <xdr:rowOff>171450</xdr:rowOff>
    </xdr:to>
    <xdr:sp macro="" textlink="">
      <xdr:nvSpPr>
        <xdr:cNvPr id="2" name="Line 2"/>
        <xdr:cNvSpPr>
          <a:spLocks noChangeShapeType="1"/>
        </xdr:cNvSpPr>
      </xdr:nvSpPr>
      <xdr:spPr bwMode="auto">
        <a:xfrm>
          <a:off x="695325" y="838200"/>
          <a:ext cx="504825" cy="704850"/>
        </a:xfrm>
        <a:prstGeom prst="line">
          <a:avLst/>
        </a:prstGeom>
        <a:no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57150</xdr:colOff>
      <xdr:row>0</xdr:row>
      <xdr:rowOff>28575</xdr:rowOff>
    </xdr:from>
    <xdr:to>
      <xdr:col>9</xdr:col>
      <xdr:colOff>361950</xdr:colOff>
      <xdr:row>34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a:t>
          </a:r>
          <a:r>
            <a:rPr lang="es-CR" sz="1600" baseline="0">
              <a:effectLst/>
              <a:latin typeface="Times New Roman" pitchFamily="18" charset="0"/>
              <a:ea typeface="+mn-ea"/>
              <a:cs typeface="Times New Roman" pitchFamily="18" charset="0"/>
            </a:rPr>
            <a:t>2</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0.23613</cdr:x>
      <cdr:y>0.06638</cdr:y>
    </cdr:from>
    <cdr:to>
      <cdr:x>0.87401</cdr:x>
      <cdr:y>0.17684</cdr:y>
    </cdr:to>
    <cdr:sp macro="" textlink="">
      <cdr:nvSpPr>
        <cdr:cNvPr id="3" name="2 CuadroTexto"/>
        <cdr:cNvSpPr txBox="1"/>
      </cdr:nvSpPr>
      <cdr:spPr>
        <a:xfrm xmlns:a="http://schemas.openxmlformats.org/drawingml/2006/main">
          <a:off x="1695848" y="410364"/>
          <a:ext cx="4581128" cy="6828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Distribución absoluta de los estudiantes becados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de la U.C.R., según sexo por área.</a:t>
          </a:r>
          <a:endParaRPr lang="es-CR" sz="1100"/>
        </a:p>
      </cdr:txBody>
    </cdr:sp>
  </cdr:relSizeAnchor>
  <cdr:relSizeAnchor xmlns:cdr="http://schemas.openxmlformats.org/drawingml/2006/chartDrawing">
    <cdr:from>
      <cdr:x>0.27165</cdr:x>
      <cdr:y>0.02295</cdr:y>
    </cdr:from>
    <cdr:to>
      <cdr:x>0.82493</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2017</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0.01592</cdr:x>
      <cdr:y>0.92296</cdr:y>
    </cdr:from>
    <cdr:to>
      <cdr:x>0.17905</cdr:x>
      <cdr:y>0.95685</cdr:y>
    </cdr:to>
    <cdr:sp macro="" textlink="">
      <cdr:nvSpPr>
        <cdr:cNvPr id="5" name="4 CuadroTexto"/>
        <cdr:cNvSpPr txBox="1"/>
      </cdr:nvSpPr>
      <cdr:spPr>
        <a:xfrm xmlns:a="http://schemas.openxmlformats.org/drawingml/2006/main">
          <a:off x="114326" y="5705501"/>
          <a:ext cx="1171575" cy="209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VE2 y VE3</a:t>
          </a:r>
        </a:p>
      </cdr:txBody>
    </cdr:sp>
  </cdr:relSizeAnchor>
  <cdr:relSizeAnchor xmlns:cdr="http://schemas.openxmlformats.org/drawingml/2006/chartDrawing">
    <cdr:from>
      <cdr:x>0.00663</cdr:x>
      <cdr:y>0.95686</cdr:y>
    </cdr:from>
    <cdr:to>
      <cdr:x>0.43103</cdr:x>
      <cdr:y>0.99538</cdr:y>
    </cdr:to>
    <cdr:sp macro="" textlink="">
      <cdr:nvSpPr>
        <cdr:cNvPr id="6" name="5 CuadroTexto"/>
        <cdr:cNvSpPr txBox="1"/>
      </cdr:nvSpPr>
      <cdr:spPr>
        <a:xfrm xmlns:a="http://schemas.openxmlformats.org/drawingml/2006/main">
          <a:off x="47625" y="5915025"/>
          <a:ext cx="304800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latin typeface="Times New Roman" pitchFamily="18" charset="0"/>
              <a:cs typeface="Times New Roman" pitchFamily="18" charset="0"/>
            </a:rPr>
            <a:t>Nota: Otros contempla al</a:t>
          </a:r>
          <a:r>
            <a:rPr lang="es-ES" sz="800" baseline="0">
              <a:latin typeface="Times New Roman" pitchFamily="18" charset="0"/>
              <a:cs typeface="Times New Roman" pitchFamily="18" charset="0"/>
            </a:rPr>
            <a:t> Recinto de Golfito y a la Sede de Alajuela</a:t>
          </a:r>
          <a:endParaRPr lang="es-ES" sz="800">
            <a:latin typeface="Times New Roman" pitchFamily="18" charset="0"/>
            <a:cs typeface="Times New Roman" pitchFamily="18" charset="0"/>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1104900</xdr:colOff>
      <xdr:row>8</xdr:row>
      <xdr:rowOff>161925</xdr:rowOff>
    </xdr:to>
    <xdr:sp macro="" textlink="">
      <xdr:nvSpPr>
        <xdr:cNvPr id="2" name="Line 1"/>
        <xdr:cNvSpPr>
          <a:spLocks noChangeShapeType="1"/>
        </xdr:cNvSpPr>
      </xdr:nvSpPr>
      <xdr:spPr bwMode="auto">
        <a:xfrm>
          <a:off x="514350" y="752475"/>
          <a:ext cx="590550" cy="590550"/>
        </a:xfrm>
        <a:prstGeom prst="line">
          <a:avLst/>
        </a:prstGeom>
        <a:no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638175</xdr:colOff>
      <xdr:row>4</xdr:row>
      <xdr:rowOff>161925</xdr:rowOff>
    </xdr:from>
    <xdr:to>
      <xdr:col>0</xdr:col>
      <xdr:colOff>1104900</xdr:colOff>
      <xdr:row>8</xdr:row>
      <xdr:rowOff>161925</xdr:rowOff>
    </xdr:to>
    <xdr:sp macro="" textlink="">
      <xdr:nvSpPr>
        <xdr:cNvPr id="2" name="Line 2"/>
        <xdr:cNvSpPr>
          <a:spLocks noChangeShapeType="1"/>
        </xdr:cNvSpPr>
      </xdr:nvSpPr>
      <xdr:spPr bwMode="auto">
        <a:xfrm>
          <a:off x="638175" y="809625"/>
          <a:ext cx="466725" cy="657225"/>
        </a:xfrm>
        <a:prstGeom prst="line">
          <a:avLst/>
        </a:prstGeom>
        <a:no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19049</xdr:colOff>
      <xdr:row>0</xdr:row>
      <xdr:rowOff>19050</xdr:rowOff>
    </xdr:from>
    <xdr:to>
      <xdr:col>9</xdr:col>
      <xdr:colOff>733424</xdr:colOff>
      <xdr:row>29</xdr:row>
      <xdr:rowOff>114300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638175</xdr:colOff>
      <xdr:row>5</xdr:row>
      <xdr:rowOff>19050</xdr:rowOff>
    </xdr:from>
    <xdr:to>
      <xdr:col>0</xdr:col>
      <xdr:colOff>1257300</xdr:colOff>
      <xdr:row>9</xdr:row>
      <xdr:rowOff>9525</xdr:rowOff>
    </xdr:to>
    <xdr:sp macro="" textlink="">
      <xdr:nvSpPr>
        <xdr:cNvPr id="2" name="Line 9"/>
        <xdr:cNvSpPr>
          <a:spLocks noChangeShapeType="1"/>
        </xdr:cNvSpPr>
      </xdr:nvSpPr>
      <xdr:spPr bwMode="auto">
        <a:xfrm>
          <a:off x="638175" y="752475"/>
          <a:ext cx="619125" cy="619125"/>
        </a:xfrm>
        <a:prstGeom prst="line">
          <a:avLst/>
        </a:prstGeom>
        <a:noFill/>
        <a:ln w="9525">
          <a:solidFill>
            <a:srgbClr val="000000"/>
          </a:solidFill>
          <a:round/>
          <a:headEnd/>
          <a:tailEnd/>
        </a:ln>
      </xdr:spPr>
    </xdr:sp>
    <xdr:clientData/>
  </xdr:twoCellAnchor>
</xdr:wsDr>
</file>

<file path=xl/drawings/drawing110.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edad.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0.25689</cdr:x>
      <cdr:y>0.02292</cdr:y>
    </cdr:from>
    <cdr:to>
      <cdr:x>0.82644</cdr:x>
      <cdr:y>0.11667</cdr:y>
    </cdr:to>
    <cdr:sp macro="" textlink="">
      <cdr:nvSpPr>
        <cdr:cNvPr id="3" name="2 CuadroTexto"/>
        <cdr:cNvSpPr txBox="1"/>
      </cdr:nvSpPr>
      <cdr:spPr>
        <a:xfrm xmlns:a="http://schemas.openxmlformats.org/drawingml/2006/main">
          <a:off x="2011334" y="128368"/>
          <a:ext cx="4459321" cy="5250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VE3</a:t>
          </a:r>
        </a:p>
      </cdr:txBody>
    </cdr:sp>
  </cdr:relSizeAnchor>
  <cdr:relSizeAnchor xmlns:cdr="http://schemas.openxmlformats.org/drawingml/2006/chartDrawing">
    <cdr:from>
      <cdr:x>0.01584</cdr:x>
      <cdr:y>0.94112</cdr:y>
    </cdr:from>
    <cdr:to>
      <cdr:x>0.19367</cdr:x>
      <cdr:y>0.97952</cdr:y>
    </cdr:to>
    <cdr:sp macro="" textlink="">
      <cdr:nvSpPr>
        <cdr:cNvPr id="5" name="4 CuadroTexto"/>
        <cdr:cNvSpPr txBox="1"/>
      </cdr:nvSpPr>
      <cdr:spPr>
        <a:xfrm xmlns:a="http://schemas.openxmlformats.org/drawingml/2006/main">
          <a:off x="119180" y="5252977"/>
          <a:ext cx="1338145" cy="214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VE4</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VE5</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514350</xdr:colOff>
      <xdr:row>4</xdr:row>
      <xdr:rowOff>171450</xdr:rowOff>
    </xdr:from>
    <xdr:to>
      <xdr:col>0</xdr:col>
      <xdr:colOff>1114425</xdr:colOff>
      <xdr:row>8</xdr:row>
      <xdr:rowOff>161925</xdr:rowOff>
    </xdr:to>
    <xdr:sp macro="" textlink="">
      <xdr:nvSpPr>
        <xdr:cNvPr id="2" name="Line 1"/>
        <xdr:cNvSpPr>
          <a:spLocks noChangeShapeType="1"/>
        </xdr:cNvSpPr>
      </xdr:nvSpPr>
      <xdr:spPr bwMode="auto">
        <a:xfrm>
          <a:off x="514350" y="704850"/>
          <a:ext cx="600075" cy="647700"/>
        </a:xfrm>
        <a:prstGeom prst="line">
          <a:avLst/>
        </a:prstGeom>
        <a:no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657225</xdr:colOff>
      <xdr:row>5</xdr:row>
      <xdr:rowOff>0</xdr:rowOff>
    </xdr:from>
    <xdr:to>
      <xdr:col>0</xdr:col>
      <xdr:colOff>1257300</xdr:colOff>
      <xdr:row>8</xdr:row>
      <xdr:rowOff>161925</xdr:rowOff>
    </xdr:to>
    <xdr:sp macro="" textlink="">
      <xdr:nvSpPr>
        <xdr:cNvPr id="2" name="Line 2"/>
        <xdr:cNvSpPr>
          <a:spLocks noChangeShapeType="1"/>
        </xdr:cNvSpPr>
      </xdr:nvSpPr>
      <xdr:spPr bwMode="auto">
        <a:xfrm>
          <a:off x="657225" y="781050"/>
          <a:ext cx="600075" cy="733425"/>
        </a:xfrm>
        <a:prstGeom prst="line">
          <a:avLst/>
        </a:prstGeom>
        <a:no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38100</xdr:colOff>
      <xdr:row>0</xdr:row>
      <xdr:rowOff>28575</xdr:rowOff>
    </xdr:from>
    <xdr:to>
      <xdr:col>8</xdr:col>
      <xdr:colOff>238125</xdr:colOff>
      <xdr:row>30</xdr:row>
      <xdr:rowOff>66675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0.03776</cdr:x>
      <cdr:y>0.0797</cdr:y>
    </cdr:from>
    <cdr:to>
      <cdr:x>0.94406</cdr:x>
      <cdr:y>0.2369</cdr:y>
    </cdr:to>
    <cdr:sp macro="" textlink="">
      <cdr:nvSpPr>
        <cdr:cNvPr id="2" name="1 CuadroTexto"/>
        <cdr:cNvSpPr txBox="1"/>
      </cdr:nvSpPr>
      <cdr:spPr>
        <a:xfrm xmlns:a="http://schemas.openxmlformats.org/drawingml/2006/main">
          <a:off x="257160" y="362111"/>
          <a:ext cx="6172243" cy="7142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r>
            <a:rPr lang="es-CR" sz="1800">
              <a:latin typeface="Times New Roman" pitchFamily="18" charset="0"/>
              <a:cs typeface="Times New Roman" pitchFamily="18" charset="0"/>
            </a:rPr>
            <a:t>                de la U.C.R., según estado civil.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0.02247</cdr:x>
      <cdr:y>0.92128</cdr:y>
    </cdr:from>
    <cdr:to>
      <cdr:x>0.22657</cdr:x>
      <cdr:y>0.96855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VE6 y VE7</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781050</xdr:colOff>
      <xdr:row>5</xdr:row>
      <xdr:rowOff>9525</xdr:rowOff>
    </xdr:from>
    <xdr:to>
      <xdr:col>0</xdr:col>
      <xdr:colOff>1266825</xdr:colOff>
      <xdr:row>9</xdr:row>
      <xdr:rowOff>9525</xdr:rowOff>
    </xdr:to>
    <xdr:sp macro="" textlink="">
      <xdr:nvSpPr>
        <xdr:cNvPr id="2" name="Line 3"/>
        <xdr:cNvSpPr>
          <a:spLocks noChangeShapeType="1"/>
        </xdr:cNvSpPr>
      </xdr:nvSpPr>
      <xdr:spPr bwMode="auto">
        <a:xfrm>
          <a:off x="781050" y="742950"/>
          <a:ext cx="485775" cy="571500"/>
        </a:xfrm>
        <a:prstGeom prst="line">
          <a:avLst/>
        </a:prstGeom>
        <a:no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647700</xdr:colOff>
      <xdr:row>4</xdr:row>
      <xdr:rowOff>123825</xdr:rowOff>
    </xdr:from>
    <xdr:to>
      <xdr:col>0</xdr:col>
      <xdr:colOff>1133475</xdr:colOff>
      <xdr:row>8</xdr:row>
      <xdr:rowOff>142875</xdr:rowOff>
    </xdr:to>
    <xdr:sp macro="" textlink="">
      <xdr:nvSpPr>
        <xdr:cNvPr id="2" name="Line 1"/>
        <xdr:cNvSpPr>
          <a:spLocks noChangeShapeType="1"/>
        </xdr:cNvSpPr>
      </xdr:nvSpPr>
      <xdr:spPr bwMode="auto">
        <a:xfrm>
          <a:off x="647700" y="733425"/>
          <a:ext cx="485775" cy="695325"/>
        </a:xfrm>
        <a:prstGeom prst="line">
          <a:avLst/>
        </a:prstGeom>
        <a:no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8</xdr:col>
      <xdr:colOff>733425</xdr:colOff>
      <xdr:row>31</xdr:row>
      <xdr:rowOff>28575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0.03776</cdr:x>
      <cdr:y>0.0797</cdr:y>
    </cdr:from>
    <cdr:to>
      <cdr:x>0.94406</cdr:x>
      <cdr:y>0.2369</cdr:y>
    </cdr:to>
    <cdr:sp macro="" textlink="">
      <cdr:nvSpPr>
        <cdr:cNvPr id="2" name="1 CuadroTexto"/>
        <cdr:cNvSpPr txBox="1"/>
      </cdr:nvSpPr>
      <cdr:spPr>
        <a:xfrm xmlns:a="http://schemas.openxmlformats.org/drawingml/2006/main">
          <a:off x="257160" y="362111"/>
          <a:ext cx="6172243" cy="7142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r>
            <a:rPr lang="es-CR" sz="1800">
              <a:latin typeface="Times New Roman" pitchFamily="18" charset="0"/>
              <a:cs typeface="Times New Roman" pitchFamily="18" charset="0"/>
            </a:rPr>
            <a:t>                de la U.C.R., según nacionalidad.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0.02247</cdr:x>
      <cdr:y>0.92128</cdr:y>
    </cdr:from>
    <cdr:to>
      <cdr:x>0.22657</cdr:x>
      <cdr:y>0.96855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VE8 y VE9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VE5</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504825</xdr:colOff>
      <xdr:row>4</xdr:row>
      <xdr:rowOff>161925</xdr:rowOff>
    </xdr:from>
    <xdr:to>
      <xdr:col>0</xdr:col>
      <xdr:colOff>914400</xdr:colOff>
      <xdr:row>9</xdr:row>
      <xdr:rowOff>9525</xdr:rowOff>
    </xdr:to>
    <xdr:sp macro="" textlink="">
      <xdr:nvSpPr>
        <xdr:cNvPr id="2" name="Line 1"/>
        <xdr:cNvSpPr>
          <a:spLocks noChangeShapeType="1"/>
        </xdr:cNvSpPr>
      </xdr:nvSpPr>
      <xdr:spPr bwMode="auto">
        <a:xfrm>
          <a:off x="504825" y="695325"/>
          <a:ext cx="409575" cy="581025"/>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619125</xdr:colOff>
      <xdr:row>5</xdr:row>
      <xdr:rowOff>0</xdr:rowOff>
    </xdr:from>
    <xdr:to>
      <xdr:col>0</xdr:col>
      <xdr:colOff>1238250</xdr:colOff>
      <xdr:row>8</xdr:row>
      <xdr:rowOff>114300</xdr:rowOff>
    </xdr:to>
    <xdr:sp macro="" textlink="">
      <xdr:nvSpPr>
        <xdr:cNvPr id="2" name="Line 1"/>
        <xdr:cNvSpPr>
          <a:spLocks noChangeShapeType="1"/>
        </xdr:cNvSpPr>
      </xdr:nvSpPr>
      <xdr:spPr bwMode="auto">
        <a:xfrm>
          <a:off x="619125" y="733425"/>
          <a:ext cx="619125" cy="600075"/>
        </a:xfrm>
        <a:prstGeom prst="line">
          <a:avLst/>
        </a:prstGeom>
        <a:no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676275</xdr:colOff>
      <xdr:row>6</xdr:row>
      <xdr:rowOff>0</xdr:rowOff>
    </xdr:from>
    <xdr:to>
      <xdr:col>0</xdr:col>
      <xdr:colOff>1085850</xdr:colOff>
      <xdr:row>10</xdr:row>
      <xdr:rowOff>9525</xdr:rowOff>
    </xdr:to>
    <xdr:sp macro="" textlink="">
      <xdr:nvSpPr>
        <xdr:cNvPr id="2" name="Line 5"/>
        <xdr:cNvSpPr>
          <a:spLocks noChangeShapeType="1"/>
        </xdr:cNvSpPr>
      </xdr:nvSpPr>
      <xdr:spPr bwMode="auto">
        <a:xfrm>
          <a:off x="676275" y="866775"/>
          <a:ext cx="409575" cy="657225"/>
        </a:xfrm>
        <a:prstGeom prst="line">
          <a:avLst/>
        </a:prstGeom>
        <a:no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19050</xdr:colOff>
      <xdr:row>0</xdr:row>
      <xdr:rowOff>38101</xdr:rowOff>
    </xdr:from>
    <xdr:to>
      <xdr:col>9</xdr:col>
      <xdr:colOff>733425</xdr:colOff>
      <xdr:row>30</xdr:row>
      <xdr:rowOff>19051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miembros del grupo familiar.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0.26787</cdr:x>
      <cdr:y>0.02971</cdr:y>
    </cdr:from>
    <cdr:to>
      <cdr:x>0.83742</cdr:x>
      <cdr:y>0.12346</cdr:y>
    </cdr:to>
    <cdr:sp macro="" textlink="">
      <cdr:nvSpPr>
        <cdr:cNvPr id="3" name="2 CuadroTexto"/>
        <cdr:cNvSpPr txBox="1"/>
      </cdr:nvSpPr>
      <cdr:spPr>
        <a:xfrm xmlns:a="http://schemas.openxmlformats.org/drawingml/2006/main">
          <a:off x="2036040" y="166686"/>
          <a:ext cx="4329121" cy="5259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VE6</a:t>
          </a:r>
        </a:p>
      </cdr:txBody>
    </cdr:sp>
  </cdr:relSizeAnchor>
  <cdr:relSizeAnchor xmlns:cdr="http://schemas.openxmlformats.org/drawingml/2006/chartDrawing">
    <cdr:from>
      <cdr:x>0.01584</cdr:x>
      <cdr:y>0.94388</cdr:y>
    </cdr:from>
    <cdr:to>
      <cdr:x>0.20506</cdr:x>
      <cdr:y>0.97952</cdr:y>
    </cdr:to>
    <cdr:sp macro="" textlink="">
      <cdr:nvSpPr>
        <cdr:cNvPr id="5" name="4 CuadroTexto"/>
        <cdr:cNvSpPr txBox="1"/>
      </cdr:nvSpPr>
      <cdr:spPr>
        <a:xfrm xmlns:a="http://schemas.openxmlformats.org/drawingml/2006/main">
          <a:off x="119192" y="5286375"/>
          <a:ext cx="1423858" cy="1996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VE10</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VE11</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381000</xdr:colOff>
      <xdr:row>6</xdr:row>
      <xdr:rowOff>9525</xdr:rowOff>
    </xdr:from>
    <xdr:to>
      <xdr:col>0</xdr:col>
      <xdr:colOff>1038225</xdr:colOff>
      <xdr:row>10</xdr:row>
      <xdr:rowOff>19050</xdr:rowOff>
    </xdr:to>
    <xdr:sp macro="" textlink="">
      <xdr:nvSpPr>
        <xdr:cNvPr id="2" name="Line 2"/>
        <xdr:cNvSpPr>
          <a:spLocks noChangeShapeType="1"/>
        </xdr:cNvSpPr>
      </xdr:nvSpPr>
      <xdr:spPr bwMode="auto">
        <a:xfrm>
          <a:off x="381000" y="838200"/>
          <a:ext cx="657225" cy="685800"/>
        </a:xfrm>
        <a:prstGeom prst="line">
          <a:avLst/>
        </a:prstGeom>
        <a:no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561975</xdr:colOff>
      <xdr:row>6</xdr:row>
      <xdr:rowOff>0</xdr:rowOff>
    </xdr:from>
    <xdr:to>
      <xdr:col>0</xdr:col>
      <xdr:colOff>1123950</xdr:colOff>
      <xdr:row>10</xdr:row>
      <xdr:rowOff>0</xdr:rowOff>
    </xdr:to>
    <xdr:sp macro="" textlink="">
      <xdr:nvSpPr>
        <xdr:cNvPr id="2" name="Line 2"/>
        <xdr:cNvSpPr>
          <a:spLocks noChangeShapeType="1"/>
        </xdr:cNvSpPr>
      </xdr:nvSpPr>
      <xdr:spPr bwMode="auto">
        <a:xfrm>
          <a:off x="561975" y="981075"/>
          <a:ext cx="561975" cy="695325"/>
        </a:xfrm>
        <a:prstGeom prst="line">
          <a:avLst/>
        </a:prstGeom>
        <a:no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57150</xdr:colOff>
      <xdr:row>0</xdr:row>
      <xdr:rowOff>38101</xdr:rowOff>
    </xdr:from>
    <xdr:to>
      <xdr:col>8</xdr:col>
      <xdr:colOff>333375</xdr:colOff>
      <xdr:row>29</xdr:row>
      <xdr:rowOff>133351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0.25843</cdr:x>
      <cdr:y>0.01651</cdr:y>
    </cdr:from>
    <cdr:to>
      <cdr:x>0.83044</cdr:x>
      <cdr:y>0.08344</cdr:y>
    </cdr:to>
    <cdr:sp macro="" textlink="">
      <cdr:nvSpPr>
        <cdr:cNvPr id="2" name="1 CuadroTexto"/>
        <cdr:cNvSpPr txBox="1"/>
      </cdr:nvSpPr>
      <cdr:spPr>
        <a:xfrm xmlns:a="http://schemas.openxmlformats.org/drawingml/2006/main">
          <a:off x="1794443" y="89787"/>
          <a:ext cx="3971880" cy="3640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cdr:txBody>
    </cdr:sp>
  </cdr:relSizeAnchor>
  <cdr:relSizeAnchor xmlns:cdr="http://schemas.openxmlformats.org/drawingml/2006/chartDrawing">
    <cdr:from>
      <cdr:x>0.00946</cdr:x>
      <cdr:y>0.01219</cdr:y>
    </cdr:from>
    <cdr:to>
      <cdr:x>0.21734</cdr:x>
      <cdr:y>0.07507</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VE7</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0.01495</cdr:x>
      <cdr:y>0.92901</cdr:y>
    </cdr:from>
    <cdr:to>
      <cdr:x>0.24728</cdr:x>
      <cdr:y>0.97972</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VE14</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19050</xdr:colOff>
      <xdr:row>0</xdr:row>
      <xdr:rowOff>0</xdr:rowOff>
    </xdr:from>
    <xdr:to>
      <xdr:col>9</xdr:col>
      <xdr:colOff>342900</xdr:colOff>
      <xdr:row>37</xdr:row>
      <xdr:rowOff>28575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VE8</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0.17109</cdr:x>
      <cdr:y>0.06638</cdr:y>
    </cdr:from>
    <cdr:to>
      <cdr:x>0.95491</cdr:x>
      <cdr:y>0.17684</cdr:y>
    </cdr:to>
    <cdr:sp macro="" textlink="">
      <cdr:nvSpPr>
        <cdr:cNvPr id="3" name="2 CuadroTexto"/>
        <cdr:cNvSpPr txBox="1"/>
      </cdr:nvSpPr>
      <cdr:spPr>
        <a:xfrm xmlns:a="http://schemas.openxmlformats.org/drawingml/2006/main">
          <a:off x="1228725" y="399594"/>
          <a:ext cx="5629275"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según Sede.  I ciclo.</a:t>
          </a:r>
          <a:endParaRPr lang="es-CR" sz="1600"/>
        </a:p>
      </cdr:txBody>
    </cdr:sp>
  </cdr:relSizeAnchor>
  <cdr:relSizeAnchor xmlns:cdr="http://schemas.openxmlformats.org/drawingml/2006/chartDrawing">
    <cdr:from>
      <cdr:x>0.27165</cdr:x>
      <cdr:y>0.02295</cdr:y>
    </cdr:from>
    <cdr:to>
      <cdr:x>0.82493</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2017</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0.18966</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VE15 y VE16</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342900</xdr:colOff>
      <xdr:row>29</xdr:row>
      <xdr:rowOff>9525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47625</xdr:rowOff>
    </xdr:from>
    <xdr:to>
      <xdr:col>9</xdr:col>
      <xdr:colOff>695325</xdr:colOff>
      <xdr:row>33</xdr:row>
      <xdr:rowOff>66675</xdr:rowOff>
    </xdr:to>
    <xdr:graphicFrame macro="">
      <xdr:nvGraphicFramePr>
        <xdr:cNvPr id="2"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0.0176</cdr:x>
      <cdr:y>0.01638</cdr:y>
    </cdr:from>
    <cdr:to>
      <cdr:x>0.19096</cdr:x>
      <cdr:y>0.07234</cdr:y>
    </cdr:to>
    <cdr:sp macro="" textlink="">
      <cdr:nvSpPr>
        <cdr:cNvPr id="2" name="1 CuadroTexto"/>
        <cdr:cNvSpPr txBox="1"/>
      </cdr:nvSpPr>
      <cdr:spPr>
        <a:xfrm xmlns:a="http://schemas.openxmlformats.org/drawingml/2006/main">
          <a:off x="126074" y="98596"/>
          <a:ext cx="1241743" cy="336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VE9</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0.13963</cdr:x>
      <cdr:y>0.06322</cdr:y>
    </cdr:from>
    <cdr:to>
      <cdr:x>0.98005</cdr:x>
      <cdr:y>0.17368</cdr:y>
    </cdr:to>
    <cdr:sp macro="" textlink="">
      <cdr:nvSpPr>
        <cdr:cNvPr id="3" name="2 CuadroTexto"/>
        <cdr:cNvSpPr txBox="1"/>
      </cdr:nvSpPr>
      <cdr:spPr>
        <a:xfrm xmlns:a="http://schemas.openxmlformats.org/drawingml/2006/main">
          <a:off x="1000125" y="380544"/>
          <a:ext cx="6019799"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o Estímulo, según Sede.  I ciclo.</a:t>
          </a:r>
          <a:endParaRPr lang="es-CR" sz="1600"/>
        </a:p>
      </cdr:txBody>
    </cdr:sp>
  </cdr:relSizeAnchor>
  <cdr:relSizeAnchor xmlns:cdr="http://schemas.openxmlformats.org/drawingml/2006/chartDrawing">
    <cdr:from>
      <cdr:x>0.27032</cdr:x>
      <cdr:y>0.01662</cdr:y>
    </cdr:from>
    <cdr:to>
      <cdr:x>0.8236</cdr:x>
      <cdr:y>0.07111</cdr:y>
    </cdr:to>
    <cdr:sp macro="" textlink="">
      <cdr:nvSpPr>
        <cdr:cNvPr id="4" name="3 CuadroTexto"/>
        <cdr:cNvSpPr txBox="1"/>
      </cdr:nvSpPr>
      <cdr:spPr>
        <a:xfrm xmlns:a="http://schemas.openxmlformats.org/drawingml/2006/main">
          <a:off x="1936250" y="100054"/>
          <a:ext cx="3963034" cy="328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2017</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0.18966</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VE17 y VE18</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9525</xdr:colOff>
      <xdr:row>0</xdr:row>
      <xdr:rowOff>19050</xdr:rowOff>
    </xdr:from>
    <xdr:to>
      <xdr:col>8</xdr:col>
      <xdr:colOff>723900</xdr:colOff>
      <xdr:row>31</xdr:row>
      <xdr:rowOff>28575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0.16783</cdr:x>
      <cdr:y>0.08349</cdr:y>
    </cdr:from>
    <cdr:to>
      <cdr:x>0.96364</cdr:x>
      <cdr:y>0.22727</cdr:y>
    </cdr:to>
    <cdr:sp macro="" textlink="">
      <cdr:nvSpPr>
        <cdr:cNvPr id="2" name="1 CuadroTexto"/>
        <cdr:cNvSpPr txBox="1"/>
      </cdr:nvSpPr>
      <cdr:spPr>
        <a:xfrm xmlns:a="http://schemas.openxmlformats.org/drawingml/2006/main">
          <a:off x="1143000" y="419877"/>
          <a:ext cx="5419725" cy="72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participantes</a:t>
          </a:r>
          <a:r>
            <a:rPr lang="es-CR" sz="1800" baseline="0">
              <a:latin typeface="Times New Roman" pitchFamily="18" charset="0"/>
              <a:cs typeface="Times New Roman" pitchFamily="18" charset="0"/>
            </a:rPr>
            <a:t>  en los</a:t>
          </a:r>
        </a:p>
        <a:p xmlns:a="http://schemas.openxmlformats.org/drawingml/2006/main">
          <a:pPr algn="ctr"/>
          <a:r>
            <a:rPr lang="es-CR" sz="1800" baseline="0">
              <a:latin typeface="Times New Roman" pitchFamily="18" charset="0"/>
              <a:cs typeface="Times New Roman" pitchFamily="18" charset="0"/>
            </a:rPr>
            <a:t> Programas Deportivos y Recreativos, </a:t>
          </a:r>
          <a:r>
            <a:rPr lang="es-CR" sz="1800">
              <a:latin typeface="Times New Roman" pitchFamily="18" charset="0"/>
              <a:cs typeface="Times New Roman" pitchFamily="18" charset="0"/>
            </a:rPr>
            <a:t>según actividad.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0.02247</cdr:x>
      <cdr:y>0.92128</cdr:y>
    </cdr:from>
    <cdr:to>
      <cdr:x>0.22657</cdr:x>
      <cdr:y>0.96855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VE26</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VE10</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0</xdr:colOff>
      <xdr:row>0</xdr:row>
      <xdr:rowOff>28575</xdr:rowOff>
    </xdr:from>
    <xdr:to>
      <xdr:col>8</xdr:col>
      <xdr:colOff>723900</xdr:colOff>
      <xdr:row>31</xdr:row>
      <xdr:rowOff>38100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0.03776</cdr:x>
      <cdr:y>0.0797</cdr:y>
    </cdr:from>
    <cdr:to>
      <cdr:x>0.94406</cdr:x>
      <cdr:y>0.21252</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Administración</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0.03226</cdr:x>
      <cdr:y>0.90032</cdr:y>
    </cdr:from>
    <cdr:to>
      <cdr:x>0.25174</cdr:x>
      <cdr:y>0.97272</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AD</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28575</xdr:colOff>
      <xdr:row>0</xdr:row>
      <xdr:rowOff>38100</xdr:rowOff>
    </xdr:from>
    <xdr:to>
      <xdr:col>9</xdr:col>
      <xdr:colOff>9525</xdr:colOff>
      <xdr:row>30</xdr:row>
      <xdr:rowOff>28575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0.03776</cdr:x>
      <cdr:y>0.07994</cdr:y>
    </cdr:from>
    <cdr:to>
      <cdr:x>0.94381</cdr:x>
      <cdr:y>0.2135</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Dirección Superior</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0.51023</cdr:y>
    </cdr:from>
    <cdr:to>
      <cdr:x>0.78952</cdr:x>
      <cdr:y>0.55382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0.03226</cdr:x>
      <cdr:y>0.89861</cdr:y>
    </cdr:from>
    <cdr:to>
      <cdr:x>0.25223</cdr:x>
      <cdr:y>0.97248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47625</xdr:colOff>
      <xdr:row>0</xdr:row>
      <xdr:rowOff>38100</xdr:rowOff>
    </xdr:from>
    <xdr:to>
      <xdr:col>9</xdr:col>
      <xdr:colOff>85725</xdr:colOff>
      <xdr:row>33</xdr:row>
      <xdr:rowOff>76200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0.22962</cdr:x>
      <cdr:y>0.01826</cdr:y>
    </cdr:from>
    <cdr:to>
      <cdr:x>0.80163</cdr:x>
      <cdr:y>0.08519</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a:p xmlns:a="http://schemas.openxmlformats.org/drawingml/2006/main">
          <a:endParaRPr lang="es-CR" sz="1800">
            <a:latin typeface="Times New Roman" pitchFamily="18" charset="0"/>
            <a:cs typeface="Times New Roman" pitchFamily="18" charset="0"/>
          </a:endParaRPr>
        </a:p>
      </cdr:txBody>
    </cdr:sp>
  </cdr:relSizeAnchor>
  <cdr:relSizeAnchor xmlns:cdr="http://schemas.openxmlformats.org/drawingml/2006/chartDrawing">
    <cdr:from>
      <cdr:x>0.00946</cdr:x>
      <cdr:y>0.01219</cdr:y>
    </cdr:from>
    <cdr:to>
      <cdr:x>0.21734</cdr:x>
      <cdr:y>0.07507</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AI-1</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0.01771</cdr:x>
      <cdr:y>0.95501</cdr:y>
    </cdr:from>
    <cdr:to>
      <cdr:x>0.25004</cdr:x>
      <cdr:y>0.9896</cdr:y>
    </cdr:to>
    <cdr:sp macro="" textlink="">
      <cdr:nvSpPr>
        <cdr:cNvPr id="5" name="4 CuadroTexto"/>
        <cdr:cNvSpPr txBox="1"/>
      </cdr:nvSpPr>
      <cdr:spPr>
        <a:xfrm xmlns:a="http://schemas.openxmlformats.org/drawingml/2006/main">
          <a:off x="122147" y="5248669"/>
          <a:ext cx="1602171" cy="190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AI 2</a:t>
          </a:r>
        </a:p>
      </cdr:txBody>
    </cdr:sp>
  </cdr:relSizeAnchor>
</c:userShapes>
</file>

<file path=xl/drawings/drawing14.xml><?xml version="1.0" encoding="utf-8"?>
<c:userShapes xmlns:c="http://schemas.openxmlformats.org/drawingml/2006/chart">
  <cdr:relSizeAnchor xmlns:cdr="http://schemas.openxmlformats.org/drawingml/2006/chartDrawing">
    <cdr:from>
      <cdr:x>0.26293</cdr:x>
      <cdr:y>0.02757</cdr:y>
    </cdr:from>
    <cdr:to>
      <cdr:x>0.84603</cdr:x>
      <cdr:y>0.09299</cdr:y>
    </cdr:to>
    <cdr:sp macro="" textlink="">
      <cdr:nvSpPr>
        <cdr:cNvPr id="2" name="1 CuadroTexto"/>
        <cdr:cNvSpPr txBox="1"/>
      </cdr:nvSpPr>
      <cdr:spPr>
        <a:xfrm xmlns:a="http://schemas.openxmlformats.org/drawingml/2006/main">
          <a:off x="1983466" y="147852"/>
          <a:ext cx="4398790" cy="350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0.01247</cdr:x>
      <cdr:y>0.02056</cdr:y>
    </cdr:from>
    <cdr:to>
      <cdr:x>0.2133</cdr:x>
      <cdr:y>0.0785</cdr:y>
    </cdr:to>
    <cdr:sp macro="" textlink="">
      <cdr:nvSpPr>
        <cdr:cNvPr id="3" name="2 CuadroTexto"/>
        <cdr:cNvSpPr txBox="1"/>
      </cdr:nvSpPr>
      <cdr:spPr>
        <a:xfrm xmlns:a="http://schemas.openxmlformats.org/drawingml/2006/main">
          <a:off x="85724" y="104775"/>
          <a:ext cx="13811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RH4</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0.01524</cdr:x>
      <cdr:y>0.94766</cdr:y>
    </cdr:from>
    <cdr:to>
      <cdr:x>0.24654</cdr:x>
      <cdr:y>0.97944</cdr:y>
    </cdr:to>
    <cdr:sp macro="" textlink="">
      <cdr:nvSpPr>
        <cdr:cNvPr id="4" name="3 CuadroTexto"/>
        <cdr:cNvSpPr txBox="1"/>
      </cdr:nvSpPr>
      <cdr:spPr>
        <a:xfrm xmlns:a="http://schemas.openxmlformats.org/drawingml/2006/main">
          <a:off x="104774" y="4829175"/>
          <a:ext cx="15906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t>Fuent:</a:t>
          </a:r>
          <a:r>
            <a:rPr lang="es-CR" sz="800" baseline="0"/>
            <a:t> Cuadro </a:t>
          </a:r>
          <a:r>
            <a:rPr lang="es-CR" sz="800" baseline="0">
              <a:latin typeface="Times New Roman" pitchFamily="18" charset="0"/>
              <a:cs typeface="Times New Roman" pitchFamily="18" charset="0"/>
            </a:rPr>
            <a:t>RH6</a:t>
          </a:r>
          <a:r>
            <a:rPr lang="es-CR" sz="800" baseline="0"/>
            <a:t> y RH7</a:t>
          </a:r>
          <a:endParaRPr lang="es-CR" sz="8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714375</xdr:colOff>
      <xdr:row>4</xdr:row>
      <xdr:rowOff>161925</xdr:rowOff>
    </xdr:from>
    <xdr:to>
      <xdr:col>0</xdr:col>
      <xdr:colOff>1276350</xdr:colOff>
      <xdr:row>8</xdr:row>
      <xdr:rowOff>152400</xdr:rowOff>
    </xdr:to>
    <xdr:sp macro="" textlink="">
      <xdr:nvSpPr>
        <xdr:cNvPr id="2" name="Line 1"/>
        <xdr:cNvSpPr>
          <a:spLocks noChangeShapeType="1"/>
        </xdr:cNvSpPr>
      </xdr:nvSpPr>
      <xdr:spPr bwMode="auto">
        <a:xfrm>
          <a:off x="714375" y="752475"/>
          <a:ext cx="561975" cy="666750"/>
        </a:xfrm>
        <a:prstGeom prst="line">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638175</xdr:colOff>
      <xdr:row>5</xdr:row>
      <xdr:rowOff>9525</xdr:rowOff>
    </xdr:from>
    <xdr:to>
      <xdr:col>0</xdr:col>
      <xdr:colOff>1257300</xdr:colOff>
      <xdr:row>9</xdr:row>
      <xdr:rowOff>0</xdr:rowOff>
    </xdr:to>
    <xdr:sp macro="" textlink="">
      <xdr:nvSpPr>
        <xdr:cNvPr id="2" name="Line 9"/>
        <xdr:cNvSpPr>
          <a:spLocks noChangeShapeType="1"/>
        </xdr:cNvSpPr>
      </xdr:nvSpPr>
      <xdr:spPr bwMode="auto">
        <a:xfrm>
          <a:off x="638175" y="742950"/>
          <a:ext cx="619125" cy="752475"/>
        </a:xfrm>
        <a:prstGeom prst="line">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9525</xdr:rowOff>
    </xdr:from>
    <xdr:to>
      <xdr:col>9</xdr:col>
      <xdr:colOff>447675</xdr:colOff>
      <xdr:row>33</xdr:row>
      <xdr:rowOff>123825</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0.22962</cdr:x>
      <cdr:y>0.01826</cdr:y>
    </cdr:from>
    <cdr:to>
      <cdr:x>0.80163</cdr:x>
      <cdr:y>0.08519</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cdr:txBody>
    </cdr:sp>
  </cdr:relSizeAnchor>
  <cdr:relSizeAnchor xmlns:cdr="http://schemas.openxmlformats.org/drawingml/2006/chartDrawing">
    <cdr:from>
      <cdr:x>0.01495</cdr:x>
      <cdr:y>0.02434</cdr:y>
    </cdr:from>
    <cdr:to>
      <cdr:x>0.22283</cdr:x>
      <cdr:y>0.08722</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RH5</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0.01629</cdr:x>
      <cdr:y>0.9517</cdr:y>
    </cdr:from>
    <cdr:to>
      <cdr:x>0.24862</cdr:x>
      <cdr:y>0.98778</cdr:y>
    </cdr:to>
    <cdr:sp macro="" textlink="">
      <cdr:nvSpPr>
        <cdr:cNvPr id="5" name="4 CuadroTexto"/>
        <cdr:cNvSpPr txBox="1"/>
      </cdr:nvSpPr>
      <cdr:spPr>
        <a:xfrm xmlns:a="http://schemas.openxmlformats.org/drawingml/2006/main">
          <a:off x="115754" y="5194199"/>
          <a:ext cx="1650856"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RH8</a:t>
          </a:r>
          <a:r>
            <a:rPr lang="es-CR" sz="800" baseline="0">
              <a:latin typeface="Times New Roman" pitchFamily="18" charset="0"/>
              <a:cs typeface="Times New Roman" pitchFamily="18" charset="0"/>
            </a:rPr>
            <a:t> y RH9</a:t>
          </a:r>
          <a:endParaRPr lang="es-CR" sz="800">
            <a:latin typeface="Times New Roman" pitchFamily="18" charset="0"/>
            <a:cs typeface="Times New Roman"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638175</xdr:colOff>
      <xdr:row>5</xdr:row>
      <xdr:rowOff>19050</xdr:rowOff>
    </xdr:from>
    <xdr:to>
      <xdr:col>0</xdr:col>
      <xdr:colOff>1257300</xdr:colOff>
      <xdr:row>9</xdr:row>
      <xdr:rowOff>9525</xdr:rowOff>
    </xdr:to>
    <xdr:sp macro="" textlink="">
      <xdr:nvSpPr>
        <xdr:cNvPr id="2" name="Line 1"/>
        <xdr:cNvSpPr>
          <a:spLocks noChangeShapeType="1"/>
        </xdr:cNvSpPr>
      </xdr:nvSpPr>
      <xdr:spPr bwMode="auto">
        <a:xfrm>
          <a:off x="638175" y="752475"/>
          <a:ext cx="619125" cy="666750"/>
        </a:xfrm>
        <a:prstGeom prst="line">
          <a:avLst/>
        </a:prstGeom>
        <a:noFill/>
        <a:ln w="9525">
          <a:solidFill>
            <a:srgbClr val="000000"/>
          </a:solidFill>
          <a:round/>
          <a:headEnd/>
          <a:tailEnd/>
        </a:ln>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0.11796</cdr:y>
    </cdr:from>
    <cdr:to>
      <cdr:x>1</cdr:x>
      <cdr:y>0.20545</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la UCR.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RH 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0.04023</cdr:y>
    </cdr:from>
    <cdr:to>
      <cdr:x>0.24154</cdr:x>
      <cdr:y>0.10345</cdr:y>
    </cdr:to>
    <cdr:sp macro="" textlink="">
      <cdr:nvSpPr>
        <cdr:cNvPr id="6" name="5 CuadroTexto"/>
        <cdr:cNvSpPr txBox="1"/>
      </cdr:nvSpPr>
      <cdr:spPr>
        <a:xfrm xmlns:a="http://schemas.openxmlformats.org/drawingml/2006/main">
          <a:off x="163635" y="182782"/>
          <a:ext cx="1331790" cy="2872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RH1</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638175</xdr:colOff>
      <xdr:row>5</xdr:row>
      <xdr:rowOff>19050</xdr:rowOff>
    </xdr:from>
    <xdr:to>
      <xdr:col>0</xdr:col>
      <xdr:colOff>1257300</xdr:colOff>
      <xdr:row>9</xdr:row>
      <xdr:rowOff>9525</xdr:rowOff>
    </xdr:to>
    <xdr:sp macro="" textlink="">
      <xdr:nvSpPr>
        <xdr:cNvPr id="2" name="Line 1"/>
        <xdr:cNvSpPr>
          <a:spLocks noChangeShapeType="1"/>
        </xdr:cNvSpPr>
      </xdr:nvSpPr>
      <xdr:spPr bwMode="auto">
        <a:xfrm>
          <a:off x="638175" y="752475"/>
          <a:ext cx="619125" cy="676275"/>
        </a:xfrm>
        <a:prstGeom prst="line">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0</xdr:row>
      <xdr:rowOff>28575</xdr:rowOff>
    </xdr:from>
    <xdr:to>
      <xdr:col>9</xdr:col>
      <xdr:colOff>600075</xdr:colOff>
      <xdr:row>29</xdr:row>
      <xdr:rowOff>57150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relativa del personal docente en Régimen </a:t>
          </a:r>
        </a:p>
        <a:p xmlns:a="http://schemas.openxmlformats.org/drawingml/2006/main">
          <a:pPr algn="ctr"/>
          <a:r>
            <a:rPr lang="es-CR" sz="1800">
              <a:latin typeface="Times New Roman" pitchFamily="18" charset="0"/>
              <a:cs typeface="Times New Roman" pitchFamily="18" charset="0"/>
            </a:rPr>
            <a:t>Académico, 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RH6</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10 y RH 11</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638175</xdr:colOff>
      <xdr:row>5</xdr:row>
      <xdr:rowOff>19050</xdr:rowOff>
    </xdr:from>
    <xdr:to>
      <xdr:col>0</xdr:col>
      <xdr:colOff>1257300</xdr:colOff>
      <xdr:row>9</xdr:row>
      <xdr:rowOff>9525</xdr:rowOff>
    </xdr:to>
    <xdr:sp macro="" textlink="">
      <xdr:nvSpPr>
        <xdr:cNvPr id="2" name="Line 1"/>
        <xdr:cNvSpPr>
          <a:spLocks noChangeShapeType="1"/>
        </xdr:cNvSpPr>
      </xdr:nvSpPr>
      <xdr:spPr bwMode="auto">
        <a:xfrm>
          <a:off x="638175" y="752475"/>
          <a:ext cx="619125" cy="57150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638175</xdr:colOff>
      <xdr:row>5</xdr:row>
      <xdr:rowOff>19050</xdr:rowOff>
    </xdr:from>
    <xdr:to>
      <xdr:col>0</xdr:col>
      <xdr:colOff>1257300</xdr:colOff>
      <xdr:row>9</xdr:row>
      <xdr:rowOff>9525</xdr:rowOff>
    </xdr:to>
    <xdr:sp macro="" textlink="">
      <xdr:nvSpPr>
        <xdr:cNvPr id="2" name="Line 1"/>
        <xdr:cNvSpPr>
          <a:spLocks noChangeShapeType="1"/>
        </xdr:cNvSpPr>
      </xdr:nvSpPr>
      <xdr:spPr bwMode="auto">
        <a:xfrm>
          <a:off x="638175" y="752475"/>
          <a:ext cx="619125" cy="638175"/>
        </a:xfrm>
        <a:prstGeom prst="line">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38099</xdr:colOff>
      <xdr:row>0</xdr:row>
      <xdr:rowOff>28576</xdr:rowOff>
    </xdr:from>
    <xdr:to>
      <xdr:col>10</xdr:col>
      <xdr:colOff>180974</xdr:colOff>
      <xdr:row>30</xdr:row>
      <xdr:rowOff>76201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0.15223</cdr:x>
      <cdr:y>0.075</cdr:y>
    </cdr:from>
    <cdr:to>
      <cdr:x>0.88714</cdr:x>
      <cdr:y>0.20139</cdr:y>
    </cdr:to>
    <cdr:sp macro="" textlink="">
      <cdr:nvSpPr>
        <cdr:cNvPr id="2" name="1 CuadroTexto"/>
        <cdr:cNvSpPr txBox="1"/>
      </cdr:nvSpPr>
      <cdr:spPr>
        <a:xfrm xmlns:a="http://schemas.openxmlformats.org/drawingml/2006/main">
          <a:off x="1110693" y="411480"/>
          <a:ext cx="5362014" cy="693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absoluta del personal Docente Interino, </a:t>
          </a:r>
        </a:p>
        <a:p xmlns:a="http://schemas.openxmlformats.org/drawingml/2006/main">
          <a:pPr algn="ctr"/>
          <a:r>
            <a:rPr lang="es-CR" sz="1800">
              <a:latin typeface="Times New Roman" pitchFamily="18" charset="0"/>
              <a:cs typeface="Times New Roman" pitchFamily="18" charset="0"/>
            </a:rPr>
            <a:t>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RH7</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12 y RH 13</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628650</xdr:colOff>
      <xdr:row>7</xdr:row>
      <xdr:rowOff>0</xdr:rowOff>
    </xdr:from>
    <xdr:to>
      <xdr:col>0</xdr:col>
      <xdr:colOff>1066800</xdr:colOff>
      <xdr:row>11</xdr:row>
      <xdr:rowOff>0</xdr:rowOff>
    </xdr:to>
    <xdr:sp macro="" textlink="">
      <xdr:nvSpPr>
        <xdr:cNvPr id="2" name="Line 1"/>
        <xdr:cNvSpPr>
          <a:spLocks noChangeShapeType="1"/>
        </xdr:cNvSpPr>
      </xdr:nvSpPr>
      <xdr:spPr bwMode="auto">
        <a:xfrm>
          <a:off x="628650" y="1143000"/>
          <a:ext cx="438150" cy="657225"/>
        </a:xfrm>
        <a:prstGeom prst="line">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3</xdr:row>
      <xdr:rowOff>19050</xdr:rowOff>
    </xdr:from>
    <xdr:to>
      <xdr:col>9</xdr:col>
      <xdr:colOff>266700</xdr:colOff>
      <xdr:row>32</xdr:row>
      <xdr:rowOff>171450</xdr:rowOff>
    </xdr:to>
    <xdr:graphicFrame macro="">
      <xdr:nvGraphicFramePr>
        <xdr:cNvPr id="2"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0.02104</cdr:x>
      <cdr:y>0.9292</cdr:y>
    </cdr:from>
    <cdr:to>
      <cdr:x>0.24544</cdr:x>
      <cdr:y>0.9823</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15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0.21739</cdr:x>
      <cdr:y>0.05664</cdr:y>
    </cdr:from>
    <cdr:to>
      <cdr:x>0.35203</cdr:x>
      <cdr:y>0.22655</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0.02945</cdr:x>
      <cdr:y>0.06372</cdr:y>
    </cdr:from>
    <cdr:to>
      <cdr:x>0.1641</cdr:x>
      <cdr:y>0.11858</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0.23843</cdr:x>
      <cdr:y>0.02124</cdr:y>
    </cdr:from>
    <cdr:to>
      <cdr:x>0.83871</cdr:x>
      <cdr:y>0.07611</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cdr:txBody>
    </cdr:sp>
  </cdr:relSizeAnchor>
  <cdr:relSizeAnchor xmlns:cdr="http://schemas.openxmlformats.org/drawingml/2006/chartDrawing">
    <cdr:from>
      <cdr:x>0.00561</cdr:x>
      <cdr:y>0.01416</cdr:y>
    </cdr:from>
    <cdr:to>
      <cdr:x>0.21318</cdr:x>
      <cdr:y>0.07611</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8</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619125</xdr:colOff>
      <xdr:row>4</xdr:row>
      <xdr:rowOff>114300</xdr:rowOff>
    </xdr:from>
    <xdr:to>
      <xdr:col>0</xdr:col>
      <xdr:colOff>1047750</xdr:colOff>
      <xdr:row>10</xdr:row>
      <xdr:rowOff>0</xdr:rowOff>
    </xdr:to>
    <xdr:sp macro="" textlink="">
      <xdr:nvSpPr>
        <xdr:cNvPr id="2" name="Line 2"/>
        <xdr:cNvSpPr>
          <a:spLocks noChangeShapeType="1"/>
        </xdr:cNvSpPr>
      </xdr:nvSpPr>
      <xdr:spPr bwMode="auto">
        <a:xfrm>
          <a:off x="619125" y="742950"/>
          <a:ext cx="428625" cy="857250"/>
        </a:xfrm>
        <a:prstGeom prst="line">
          <a:avLst/>
        </a:prstGeom>
        <a:no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638175</xdr:colOff>
      <xdr:row>5</xdr:row>
      <xdr:rowOff>0</xdr:rowOff>
    </xdr:from>
    <xdr:to>
      <xdr:col>1</xdr:col>
      <xdr:colOff>1047750</xdr:colOff>
      <xdr:row>8</xdr:row>
      <xdr:rowOff>161925</xdr:rowOff>
    </xdr:to>
    <xdr:sp macro="" textlink="">
      <xdr:nvSpPr>
        <xdr:cNvPr id="2" name="Line 3"/>
        <xdr:cNvSpPr>
          <a:spLocks noChangeShapeType="1"/>
        </xdr:cNvSpPr>
      </xdr:nvSpPr>
      <xdr:spPr bwMode="auto">
        <a:xfrm>
          <a:off x="638175" y="657225"/>
          <a:ext cx="409575" cy="485775"/>
        </a:xfrm>
        <a:prstGeom prst="line">
          <a:avLst/>
        </a:prstGeom>
        <a:noFill/>
        <a:ln w="9525">
          <a:solidFill>
            <a:srgbClr val="000000"/>
          </a:solidFill>
          <a:round/>
          <a:headEnd/>
          <a:tailEnd/>
        </a:ln>
      </xdr:spPr>
    </xdr:sp>
    <xdr:clientData/>
  </xdr:twoCellAnchor>
  <xdr:twoCellAnchor>
    <xdr:from>
      <xdr:col>1</xdr:col>
      <xdr:colOff>638175</xdr:colOff>
      <xdr:row>88</xdr:row>
      <xdr:rowOff>0</xdr:rowOff>
    </xdr:from>
    <xdr:to>
      <xdr:col>1</xdr:col>
      <xdr:colOff>1047750</xdr:colOff>
      <xdr:row>91</xdr:row>
      <xdr:rowOff>161925</xdr:rowOff>
    </xdr:to>
    <xdr:sp macro="" textlink="">
      <xdr:nvSpPr>
        <xdr:cNvPr id="3" name="Line 3"/>
        <xdr:cNvSpPr>
          <a:spLocks noChangeShapeType="1"/>
        </xdr:cNvSpPr>
      </xdr:nvSpPr>
      <xdr:spPr bwMode="auto">
        <a:xfrm>
          <a:off x="638175" y="11877675"/>
          <a:ext cx="409575" cy="533400"/>
        </a:xfrm>
        <a:prstGeom prst="line">
          <a:avLst/>
        </a:prstGeom>
        <a:noFill/>
        <a:ln w="9525">
          <a:solidFill>
            <a:srgbClr val="000000"/>
          </a:solidFill>
          <a:round/>
          <a:headEnd/>
          <a:tailEnd/>
        </a:ln>
      </xdr:spPr>
    </xdr:sp>
    <xdr:clientData/>
  </xdr:twoCellAnchor>
  <xdr:twoCellAnchor>
    <xdr:from>
      <xdr:col>1</xdr:col>
      <xdr:colOff>638175</xdr:colOff>
      <xdr:row>173</xdr:row>
      <xdr:rowOff>0</xdr:rowOff>
    </xdr:from>
    <xdr:to>
      <xdr:col>1</xdr:col>
      <xdr:colOff>1047750</xdr:colOff>
      <xdr:row>176</xdr:row>
      <xdr:rowOff>161925</xdr:rowOff>
    </xdr:to>
    <xdr:sp macro="" textlink="">
      <xdr:nvSpPr>
        <xdr:cNvPr id="4" name="Line 3"/>
        <xdr:cNvSpPr>
          <a:spLocks noChangeShapeType="1"/>
        </xdr:cNvSpPr>
      </xdr:nvSpPr>
      <xdr:spPr bwMode="auto">
        <a:xfrm>
          <a:off x="638175" y="23212425"/>
          <a:ext cx="409575" cy="533400"/>
        </a:xfrm>
        <a:prstGeom prst="line">
          <a:avLst/>
        </a:prstGeom>
        <a:no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104775</xdr:colOff>
      <xdr:row>0</xdr:row>
      <xdr:rowOff>57151</xdr:rowOff>
    </xdr:from>
    <xdr:to>
      <xdr:col>9</xdr:col>
      <xdr:colOff>447675</xdr:colOff>
      <xdr:row>31</xdr:row>
      <xdr:rowOff>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0.18966</cdr:x>
      <cdr:y>0.06472</cdr:y>
    </cdr:from>
    <cdr:to>
      <cdr:x>0.92246</cdr:x>
      <cdr:y>0.19966</cdr:y>
    </cdr:to>
    <cdr:sp macro="" textlink="">
      <cdr:nvSpPr>
        <cdr:cNvPr id="2" name="1 CuadroTexto"/>
        <cdr:cNvSpPr txBox="1"/>
      </cdr:nvSpPr>
      <cdr:spPr>
        <a:xfrm xmlns:a="http://schemas.openxmlformats.org/drawingml/2006/main">
          <a:off x="1546370" y="358154"/>
          <a:ext cx="5974797" cy="746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Incremento de los Ingresos Reales de la Universidad</a:t>
          </a:r>
        </a:p>
        <a:p xmlns:a="http://schemas.openxmlformats.org/drawingml/2006/main">
          <a:pPr algn="ctr"/>
          <a:r>
            <a:rPr lang="es-CR" sz="1800">
              <a:latin typeface="Times New Roman" pitchFamily="18" charset="0"/>
              <a:cs typeface="Times New Roman" pitchFamily="18" charset="0"/>
            </a:rPr>
            <a:t>de Costa Rica.  2013 - 2017</a:t>
          </a:r>
        </a:p>
      </cdr:txBody>
    </cdr:sp>
  </cdr:relSizeAnchor>
  <cdr:relSizeAnchor xmlns:cdr="http://schemas.openxmlformats.org/drawingml/2006/chartDrawing">
    <cdr:from>
      <cdr:x>0.02336</cdr:x>
      <cdr:y>0.93115</cdr:y>
    </cdr:from>
    <cdr:to>
      <cdr:x>0.16355</cdr:x>
      <cdr:y>0.98107</cdr:y>
    </cdr:to>
    <cdr:sp macro="" textlink="">
      <cdr:nvSpPr>
        <cdr:cNvPr id="3" name="2 CuadroTexto"/>
        <cdr:cNvSpPr txBox="1"/>
      </cdr:nvSpPr>
      <cdr:spPr>
        <a:xfrm xmlns:a="http://schemas.openxmlformats.org/drawingml/2006/main">
          <a:off x="190463" y="5153017"/>
          <a:ext cx="1143026" cy="276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latin typeface="Times New Roman" pitchFamily="18" charset="0"/>
              <a:cs typeface="Times New Roman" pitchFamily="18" charset="0"/>
            </a:rPr>
            <a:t>Fuente: Cuadro RF1</a:t>
          </a:r>
        </a:p>
      </cdr:txBody>
    </cdr:sp>
  </cdr:relSizeAnchor>
  <cdr:relSizeAnchor xmlns:cdr="http://schemas.openxmlformats.org/drawingml/2006/chartDrawing">
    <cdr:from>
      <cdr:x>0.30958</cdr:x>
      <cdr:y>0.01205</cdr:y>
    </cdr:from>
    <cdr:to>
      <cdr:x>0.8271</cdr:x>
      <cdr:y>0.07229</cdr:y>
    </cdr:to>
    <cdr:sp macro="" textlink="">
      <cdr:nvSpPr>
        <cdr:cNvPr id="4" name="3 CuadroTexto"/>
        <cdr:cNvSpPr txBox="1"/>
      </cdr:nvSpPr>
      <cdr:spPr>
        <a:xfrm xmlns:a="http://schemas.openxmlformats.org/drawingml/2006/main">
          <a:off x="2524124" y="66675"/>
          <a:ext cx="4219576"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0.02609</cdr:x>
      <cdr:y>0.02123</cdr:y>
    </cdr:from>
    <cdr:to>
      <cdr:x>0.20561</cdr:x>
      <cdr:y>0.08147</cdr:y>
    </cdr:to>
    <cdr:sp macro="" textlink="">
      <cdr:nvSpPr>
        <cdr:cNvPr id="5" name="1 CuadroTexto"/>
        <cdr:cNvSpPr txBox="1"/>
      </cdr:nvSpPr>
      <cdr:spPr>
        <a:xfrm xmlns:a="http://schemas.openxmlformats.org/drawingml/2006/main">
          <a:off x="212725" y="117475"/>
          <a:ext cx="1463675"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RF1</a:t>
          </a:r>
          <a:endParaRPr lang="es-CR" sz="1800">
            <a:latin typeface="Times New Roman" pitchFamily="18" charset="0"/>
            <a:cs typeface="Times New Roman" pitchFamily="18"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47625</xdr:colOff>
      <xdr:row>0</xdr:row>
      <xdr:rowOff>47625</xdr:rowOff>
    </xdr:from>
    <xdr:to>
      <xdr:col>8</xdr:col>
      <xdr:colOff>742950</xdr:colOff>
      <xdr:row>31</xdr:row>
      <xdr:rowOff>38100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0.11796</cdr:y>
    </cdr:from>
    <cdr:to>
      <cdr:x>1</cdr:x>
      <cdr:y>0.20545</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de Docencia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1247775</xdr:colOff>
      <xdr:row>8</xdr:row>
      <xdr:rowOff>114300</xdr:rowOff>
    </xdr:to>
    <xdr:sp macro="" textlink="">
      <xdr:nvSpPr>
        <xdr:cNvPr id="2" name="Line 1"/>
        <xdr:cNvSpPr>
          <a:spLocks noChangeShapeType="1"/>
        </xdr:cNvSpPr>
      </xdr:nvSpPr>
      <xdr:spPr bwMode="auto">
        <a:xfrm>
          <a:off x="714375" y="723900"/>
          <a:ext cx="533400" cy="600075"/>
        </a:xfrm>
        <a:prstGeom prst="line">
          <a:avLst/>
        </a:prstGeom>
        <a:no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9525</xdr:colOff>
      <xdr:row>0</xdr:row>
      <xdr:rowOff>9525</xdr:rowOff>
    </xdr:from>
    <xdr:to>
      <xdr:col>8</xdr:col>
      <xdr:colOff>752475</xdr:colOff>
      <xdr:row>30</xdr:row>
      <xdr:rowOff>152400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0.0857</cdr:y>
    </cdr:from>
    <cdr:to>
      <cdr:x>1</cdr:x>
      <cdr:y>0.22581</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Distribución</a:t>
          </a:r>
          <a:r>
            <a:rPr lang="es-CR" sz="2000" baseline="0">
              <a:latin typeface="Times New Roman" pitchFamily="18" charset="0"/>
              <a:cs typeface="Times New Roman" pitchFamily="18" charset="0"/>
            </a:rPr>
            <a:t> relativa</a:t>
          </a:r>
          <a:r>
            <a:rPr lang="es-CR" sz="1800">
              <a:latin typeface="Times New Roman" pitchFamily="18" charset="0"/>
              <a:cs typeface="Times New Roman" pitchFamily="18" charset="0"/>
            </a:rPr>
            <a:t> de las titulaciones </a:t>
          </a:r>
        </a:p>
        <a:p xmlns:a="http://schemas.openxmlformats.org/drawingml/2006/main">
          <a:pPr algn="ctr"/>
          <a:r>
            <a:rPr lang="es-CR" sz="1800">
              <a:latin typeface="Times New Roman" pitchFamily="18" charset="0"/>
              <a:cs typeface="Times New Roman" pitchFamily="18" charset="0"/>
            </a:rPr>
            <a:t>            ofrecidas, en Pregrado y Grado de la U.C.R.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D2</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0.04023</cdr:y>
    </cdr:from>
    <cdr:to>
      <cdr:x>0.24154</cdr:x>
      <cdr:y>0.13095</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D2</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1304925</xdr:colOff>
      <xdr:row>8</xdr:row>
      <xdr:rowOff>180975</xdr:rowOff>
    </xdr:to>
    <xdr:sp macro="" textlink="">
      <xdr:nvSpPr>
        <xdr:cNvPr id="2" name="Line 1"/>
        <xdr:cNvSpPr>
          <a:spLocks noChangeShapeType="1"/>
        </xdr:cNvSpPr>
      </xdr:nvSpPr>
      <xdr:spPr bwMode="auto">
        <a:xfrm>
          <a:off x="714375" y="952500"/>
          <a:ext cx="590550" cy="752475"/>
        </a:xfrm>
        <a:prstGeom prst="line">
          <a:avLst/>
        </a:prstGeom>
        <a:no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28575</xdr:rowOff>
    </xdr:from>
    <xdr:to>
      <xdr:col>8</xdr:col>
      <xdr:colOff>742950</xdr:colOff>
      <xdr:row>31</xdr:row>
      <xdr:rowOff>19050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5</xdr:row>
      <xdr:rowOff>28575</xdr:rowOff>
    </xdr:from>
    <xdr:to>
      <xdr:col>0</xdr:col>
      <xdr:colOff>695325</xdr:colOff>
      <xdr:row>9</xdr:row>
      <xdr:rowOff>9525</xdr:rowOff>
    </xdr:to>
    <xdr:sp macro="" textlink="">
      <xdr:nvSpPr>
        <xdr:cNvPr id="2" name="Line 3"/>
        <xdr:cNvSpPr>
          <a:spLocks noChangeShapeType="1"/>
        </xdr:cNvSpPr>
      </xdr:nvSpPr>
      <xdr:spPr bwMode="auto">
        <a:xfrm>
          <a:off x="247650" y="1009650"/>
          <a:ext cx="447675" cy="742950"/>
        </a:xfrm>
        <a:prstGeom prst="line">
          <a:avLst/>
        </a:prstGeom>
        <a:noFill/>
        <a:ln w="9525">
          <a:solidFill>
            <a:srgbClr val="000000"/>
          </a:solidFill>
          <a:round/>
          <a:headEnd/>
          <a:tailEnd/>
        </a:ln>
      </xdr:spPr>
    </xdr:sp>
    <xdr:clientData/>
  </xdr:twoCellAnchor>
</xdr:wsDr>
</file>

<file path=xl/drawings/drawing40.xml><?xml version="1.0" encoding="utf-8"?>
<c:userShapes xmlns:c="http://schemas.openxmlformats.org/drawingml/2006/chart">
  <cdr:relSizeAnchor xmlns:cdr="http://schemas.openxmlformats.org/drawingml/2006/chartDrawing">
    <cdr:from>
      <cdr:x>0</cdr:x>
      <cdr:y>0.0857</cdr:y>
    </cdr:from>
    <cdr:to>
      <cdr:x>1</cdr:x>
      <cdr:y>0.22581</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titulaciones</a:t>
          </a:r>
        </a:p>
        <a:p xmlns:a="http://schemas.openxmlformats.org/drawingml/2006/main">
          <a:pPr algn="ctr"/>
          <a:r>
            <a:rPr lang="es-CR" sz="1800">
              <a:latin typeface="Times New Roman" pitchFamily="18" charset="0"/>
              <a:cs typeface="Times New Roman" pitchFamily="18" charset="0"/>
            </a:rPr>
            <a:t>            ofrecidas,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0.04023</cdr:y>
    </cdr:from>
    <cdr:to>
      <cdr:x>0.24154</cdr:x>
      <cdr:y>0.13095</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1114425</xdr:colOff>
      <xdr:row>8</xdr:row>
      <xdr:rowOff>161925</xdr:rowOff>
    </xdr:to>
    <xdr:sp macro="" textlink="">
      <xdr:nvSpPr>
        <xdr:cNvPr id="2" name="Line 1"/>
        <xdr:cNvSpPr>
          <a:spLocks noChangeShapeType="1"/>
        </xdr:cNvSpPr>
      </xdr:nvSpPr>
      <xdr:spPr bwMode="auto">
        <a:xfrm>
          <a:off x="514350" y="714375"/>
          <a:ext cx="600075" cy="666750"/>
        </a:xfrm>
        <a:prstGeom prst="line">
          <a:avLst/>
        </a:prstGeom>
        <a:no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638175</xdr:colOff>
      <xdr:row>4</xdr:row>
      <xdr:rowOff>161925</xdr:rowOff>
    </xdr:from>
    <xdr:to>
      <xdr:col>0</xdr:col>
      <xdr:colOff>1238250</xdr:colOff>
      <xdr:row>8</xdr:row>
      <xdr:rowOff>161925</xdr:rowOff>
    </xdr:to>
    <xdr:sp macro="" textlink="">
      <xdr:nvSpPr>
        <xdr:cNvPr id="2" name="Line 2"/>
        <xdr:cNvSpPr>
          <a:spLocks noChangeShapeType="1"/>
        </xdr:cNvSpPr>
      </xdr:nvSpPr>
      <xdr:spPr bwMode="auto">
        <a:xfrm>
          <a:off x="638175" y="733425"/>
          <a:ext cx="600075" cy="66675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1114425</xdr:colOff>
      <xdr:row>8</xdr:row>
      <xdr:rowOff>161925</xdr:rowOff>
    </xdr:to>
    <xdr:sp macro="" textlink="">
      <xdr:nvSpPr>
        <xdr:cNvPr id="2" name="Line 2"/>
        <xdr:cNvSpPr>
          <a:spLocks noChangeShapeType="1"/>
        </xdr:cNvSpPr>
      </xdr:nvSpPr>
      <xdr:spPr bwMode="auto">
        <a:xfrm>
          <a:off x="514350" y="733425"/>
          <a:ext cx="600075" cy="66675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885825</xdr:colOff>
      <xdr:row>5</xdr:row>
      <xdr:rowOff>9525</xdr:rowOff>
    </xdr:from>
    <xdr:to>
      <xdr:col>0</xdr:col>
      <xdr:colOff>1485900</xdr:colOff>
      <xdr:row>9</xdr:row>
      <xdr:rowOff>9525</xdr:rowOff>
    </xdr:to>
    <xdr:sp macro="" textlink="">
      <xdr:nvSpPr>
        <xdr:cNvPr id="2" name="Line 2"/>
        <xdr:cNvSpPr>
          <a:spLocks noChangeShapeType="1"/>
        </xdr:cNvSpPr>
      </xdr:nvSpPr>
      <xdr:spPr bwMode="auto">
        <a:xfrm>
          <a:off x="885825" y="695325"/>
          <a:ext cx="600075" cy="57150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533400</xdr:colOff>
      <xdr:row>5</xdr:row>
      <xdr:rowOff>9525</xdr:rowOff>
    </xdr:from>
    <xdr:to>
      <xdr:col>0</xdr:col>
      <xdr:colOff>1123950</xdr:colOff>
      <xdr:row>9</xdr:row>
      <xdr:rowOff>114300</xdr:rowOff>
    </xdr:to>
    <xdr:sp macro="" textlink="">
      <xdr:nvSpPr>
        <xdr:cNvPr id="2" name="Line 1"/>
        <xdr:cNvSpPr>
          <a:spLocks noChangeShapeType="1"/>
        </xdr:cNvSpPr>
      </xdr:nvSpPr>
      <xdr:spPr bwMode="auto">
        <a:xfrm>
          <a:off x="533400" y="723900"/>
          <a:ext cx="590550" cy="771525"/>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762000</xdr:colOff>
      <xdr:row>5</xdr:row>
      <xdr:rowOff>9525</xdr:rowOff>
    </xdr:from>
    <xdr:to>
      <xdr:col>0</xdr:col>
      <xdr:colOff>1362075</xdr:colOff>
      <xdr:row>10</xdr:row>
      <xdr:rowOff>9525</xdr:rowOff>
    </xdr:to>
    <xdr:sp macro="" textlink="">
      <xdr:nvSpPr>
        <xdr:cNvPr id="2" name="Line 1"/>
        <xdr:cNvSpPr>
          <a:spLocks noChangeShapeType="1"/>
        </xdr:cNvSpPr>
      </xdr:nvSpPr>
      <xdr:spPr bwMode="auto">
        <a:xfrm>
          <a:off x="762000" y="790575"/>
          <a:ext cx="600075" cy="676275"/>
        </a:xfrm>
        <a:prstGeom prst="line">
          <a:avLst/>
        </a:prstGeom>
        <a:no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600075</xdr:colOff>
      <xdr:row>5</xdr:row>
      <xdr:rowOff>0</xdr:rowOff>
    </xdr:from>
    <xdr:to>
      <xdr:col>0</xdr:col>
      <xdr:colOff>1285875</xdr:colOff>
      <xdr:row>10</xdr:row>
      <xdr:rowOff>0</xdr:rowOff>
    </xdr:to>
    <xdr:sp macro="" textlink="">
      <xdr:nvSpPr>
        <xdr:cNvPr id="2" name="Line 2"/>
        <xdr:cNvSpPr>
          <a:spLocks noChangeShapeType="1"/>
        </xdr:cNvSpPr>
      </xdr:nvSpPr>
      <xdr:spPr bwMode="auto">
        <a:xfrm>
          <a:off x="600075" y="695325"/>
          <a:ext cx="685800" cy="838200"/>
        </a:xfrm>
        <a:prstGeom prst="line">
          <a:avLst/>
        </a:prstGeom>
        <a:no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790575</xdr:colOff>
      <xdr:row>5</xdr:row>
      <xdr:rowOff>9525</xdr:rowOff>
    </xdr:from>
    <xdr:to>
      <xdr:col>0</xdr:col>
      <xdr:colOff>1390650</xdr:colOff>
      <xdr:row>10</xdr:row>
      <xdr:rowOff>0</xdr:rowOff>
    </xdr:to>
    <xdr:sp macro="" textlink="">
      <xdr:nvSpPr>
        <xdr:cNvPr id="2" name="Line 2"/>
        <xdr:cNvSpPr>
          <a:spLocks noChangeShapeType="1"/>
        </xdr:cNvSpPr>
      </xdr:nvSpPr>
      <xdr:spPr bwMode="auto">
        <a:xfrm>
          <a:off x="790575" y="714375"/>
          <a:ext cx="600075" cy="704850"/>
        </a:xfrm>
        <a:prstGeom prst="line">
          <a:avLst/>
        </a:prstGeom>
        <a:no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561974</xdr:colOff>
      <xdr:row>5</xdr:row>
      <xdr:rowOff>0</xdr:rowOff>
    </xdr:from>
    <xdr:to>
      <xdr:col>0</xdr:col>
      <xdr:colOff>1162049</xdr:colOff>
      <xdr:row>9</xdr:row>
      <xdr:rowOff>0</xdr:rowOff>
    </xdr:to>
    <xdr:sp macro="" textlink="">
      <xdr:nvSpPr>
        <xdr:cNvPr id="2" name="Line 2"/>
        <xdr:cNvSpPr>
          <a:spLocks noChangeShapeType="1"/>
        </xdr:cNvSpPr>
      </xdr:nvSpPr>
      <xdr:spPr bwMode="auto">
        <a:xfrm>
          <a:off x="561974" y="962025"/>
          <a:ext cx="600075" cy="99060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28575</xdr:rowOff>
    </xdr:from>
    <xdr:to>
      <xdr:col>8</xdr:col>
      <xdr:colOff>581025</xdr:colOff>
      <xdr:row>28</xdr:row>
      <xdr:rowOff>123825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676275</xdr:colOff>
      <xdr:row>5</xdr:row>
      <xdr:rowOff>0</xdr:rowOff>
    </xdr:from>
    <xdr:to>
      <xdr:col>0</xdr:col>
      <xdr:colOff>1095375</xdr:colOff>
      <xdr:row>9</xdr:row>
      <xdr:rowOff>0</xdr:rowOff>
    </xdr:to>
    <xdr:sp macro="" textlink="">
      <xdr:nvSpPr>
        <xdr:cNvPr id="2" name="Line 3"/>
        <xdr:cNvSpPr>
          <a:spLocks noChangeShapeType="1"/>
        </xdr:cNvSpPr>
      </xdr:nvSpPr>
      <xdr:spPr bwMode="auto">
        <a:xfrm>
          <a:off x="676275" y="819150"/>
          <a:ext cx="419100" cy="990600"/>
        </a:xfrm>
        <a:prstGeom prst="line">
          <a:avLst/>
        </a:prstGeom>
        <a:no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533400</xdr:colOff>
      <xdr:row>5</xdr:row>
      <xdr:rowOff>19050</xdr:rowOff>
    </xdr:from>
    <xdr:to>
      <xdr:col>0</xdr:col>
      <xdr:colOff>1162050</xdr:colOff>
      <xdr:row>9</xdr:row>
      <xdr:rowOff>0</xdr:rowOff>
    </xdr:to>
    <xdr:sp macro="" textlink="">
      <xdr:nvSpPr>
        <xdr:cNvPr id="2" name="Line 2"/>
        <xdr:cNvSpPr>
          <a:spLocks noChangeShapeType="1"/>
        </xdr:cNvSpPr>
      </xdr:nvSpPr>
      <xdr:spPr bwMode="auto">
        <a:xfrm>
          <a:off x="533400" y="1000125"/>
          <a:ext cx="628650" cy="742950"/>
        </a:xfrm>
        <a:prstGeom prst="line">
          <a:avLst/>
        </a:prstGeom>
        <a:no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561975</xdr:colOff>
      <xdr:row>5</xdr:row>
      <xdr:rowOff>0</xdr:rowOff>
    </xdr:from>
    <xdr:to>
      <xdr:col>0</xdr:col>
      <xdr:colOff>1190625</xdr:colOff>
      <xdr:row>8</xdr:row>
      <xdr:rowOff>171450</xdr:rowOff>
    </xdr:to>
    <xdr:sp macro="" textlink="">
      <xdr:nvSpPr>
        <xdr:cNvPr id="2" name="Line 2"/>
        <xdr:cNvSpPr>
          <a:spLocks noChangeShapeType="1"/>
        </xdr:cNvSpPr>
      </xdr:nvSpPr>
      <xdr:spPr bwMode="auto">
        <a:xfrm>
          <a:off x="561975" y="819150"/>
          <a:ext cx="628650" cy="742950"/>
        </a:xfrm>
        <a:prstGeom prst="line">
          <a:avLst/>
        </a:prstGeom>
        <a:no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57150</xdr:colOff>
      <xdr:row>0</xdr:row>
      <xdr:rowOff>57150</xdr:rowOff>
    </xdr:from>
    <xdr:to>
      <xdr:col>9</xdr:col>
      <xdr:colOff>19050</xdr:colOff>
      <xdr:row>31</xdr:row>
      <xdr:rowOff>57150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0.095</cdr:y>
    </cdr:from>
    <cdr:to>
      <cdr:x>0.00739</cdr:x>
      <cdr:y>0.11362</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 en pregrado y </a:t>
          </a:r>
        </a:p>
        <a:p xmlns:a="http://schemas.openxmlformats.org/drawingml/2006/main">
          <a:pPr algn="ctr"/>
          <a:r>
            <a:rPr lang="es-CR" sz="1800">
              <a:latin typeface="Times New Roman" pitchFamily="18" charset="0"/>
              <a:cs typeface="Times New Roman" pitchFamily="18" charset="0"/>
            </a:rPr>
            <a:t>            grado de la U.C.R. según grado académico</a:t>
          </a:r>
        </a:p>
      </cdr:txBody>
    </cdr:sp>
  </cdr:relSizeAnchor>
  <cdr:relSizeAnchor xmlns:cdr="http://schemas.openxmlformats.org/drawingml/2006/chartDrawing">
    <cdr:from>
      <cdr:x>0.68687</cdr:x>
      <cdr:y>0.51218</cdr:y>
    </cdr:from>
    <cdr:to>
      <cdr:x>0.78853</cdr:x>
      <cdr:y>0.55577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0.0225</cdr:x>
      <cdr:y>0.02118</cdr:y>
    </cdr:from>
    <cdr:to>
      <cdr:x>0.23736</cdr:x>
      <cdr:y>0.11263</cdr:y>
    </cdr:to>
    <cdr:sp macro="" textlink="">
      <cdr:nvSpPr>
        <cdr:cNvPr id="6" name="5 CuadroTexto"/>
        <cdr:cNvSpPr txBox="1"/>
      </cdr:nvSpPr>
      <cdr:spPr>
        <a:xfrm xmlns:a="http://schemas.openxmlformats.org/drawingml/2006/main">
          <a:off x="152178" y="105925"/>
          <a:ext cx="1471127" cy="4536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D4</a:t>
          </a:r>
        </a:p>
      </cdr:txBody>
    </cdr:sp>
  </cdr:relSizeAnchor>
  <cdr:relSizeAnchor xmlns:cdr="http://schemas.openxmlformats.org/drawingml/2006/chartDrawing">
    <cdr:from>
      <cdr:x>0.12849</cdr:x>
      <cdr:y>0.09677</cdr:y>
    </cdr:from>
    <cdr:to>
      <cdr:x>0.94912</cdr:x>
      <cdr:y>0.22066</cdr:y>
    </cdr:to>
    <cdr:pic>
      <cdr:nvPicPr>
        <cdr:cNvPr id="7"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6289" y="485754"/>
          <a:ext cx="5596614" cy="621887"/>
        </a:xfrm>
        <a:prstGeom xmlns:a="http://schemas.openxmlformats.org/drawingml/2006/main" prst="rect">
          <a:avLst/>
        </a:prstGeom>
      </cdr:spPr>
    </cdr:pic>
  </cdr:relSizeAnchor>
</c:userShapes>
</file>

<file path=xl/drawings/drawing55.xml><?xml version="1.0" encoding="utf-8"?>
<xdr:wsDr xmlns:xdr="http://schemas.openxmlformats.org/drawingml/2006/spreadsheetDrawing" xmlns:a="http://schemas.openxmlformats.org/drawingml/2006/main">
  <xdr:twoCellAnchor>
    <xdr:from>
      <xdr:col>0</xdr:col>
      <xdr:colOff>28575</xdr:colOff>
      <xdr:row>0</xdr:row>
      <xdr:rowOff>0</xdr:rowOff>
    </xdr:from>
    <xdr:to>
      <xdr:col>9</xdr:col>
      <xdr:colOff>704850</xdr:colOff>
      <xdr:row>30</xdr:row>
      <xdr:rowOff>47625</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0.22962</cdr:x>
      <cdr:y>0.01826</cdr:y>
    </cdr:from>
    <cdr:to>
      <cdr:x>0.80913</cdr:x>
      <cdr:y>0.08519</cdr:y>
    </cdr:to>
    <cdr:sp macro="" textlink="">
      <cdr:nvSpPr>
        <cdr:cNvPr id="2" name="1 CuadroTexto"/>
        <cdr:cNvSpPr txBox="1"/>
      </cdr:nvSpPr>
      <cdr:spPr>
        <a:xfrm xmlns:a="http://schemas.openxmlformats.org/drawingml/2006/main">
          <a:off x="1581295" y="100182"/>
          <a:ext cx="3990830" cy="367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2017</a:t>
          </a:r>
        </a:p>
      </cdr:txBody>
    </cdr:sp>
  </cdr:relSizeAnchor>
  <cdr:relSizeAnchor xmlns:cdr="http://schemas.openxmlformats.org/drawingml/2006/chartDrawing">
    <cdr:from>
      <cdr:x>0.00946</cdr:x>
      <cdr:y>0.01219</cdr:y>
    </cdr:from>
    <cdr:to>
      <cdr:x>0.21734</cdr:x>
      <cdr:y>0.07507</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D5</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0.01495</cdr:x>
      <cdr:y>0.92901</cdr:y>
    </cdr:from>
    <cdr:to>
      <cdr:x>0.24728</cdr:x>
      <cdr:y>0.97972</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28575</xdr:colOff>
      <xdr:row>0</xdr:row>
      <xdr:rowOff>38100</xdr:rowOff>
    </xdr:from>
    <xdr:to>
      <xdr:col>9</xdr:col>
      <xdr:colOff>57150</xdr:colOff>
      <xdr:row>34</xdr:row>
      <xdr:rowOff>28575</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0.22962</cdr:x>
      <cdr:y>0.01826</cdr:y>
    </cdr:from>
    <cdr:to>
      <cdr:x>0.80163</cdr:x>
      <cdr:y>0.08519</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2017</a:t>
          </a:r>
        </a:p>
      </cdr:txBody>
    </cdr:sp>
  </cdr:relSizeAnchor>
  <cdr:relSizeAnchor xmlns:cdr="http://schemas.openxmlformats.org/drawingml/2006/chartDrawing">
    <cdr:from>
      <cdr:x>0.00946</cdr:x>
      <cdr:y>0.01219</cdr:y>
    </cdr:from>
    <cdr:to>
      <cdr:x>0.21734</cdr:x>
      <cdr:y>0.07507</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D5.1</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0.01495</cdr:x>
      <cdr:y>0.93768</cdr:y>
    </cdr:from>
    <cdr:to>
      <cdr:x>0.24728</cdr:x>
      <cdr:y>0.98839</cdr:y>
    </cdr:to>
    <cdr:sp macro="" textlink="">
      <cdr:nvSpPr>
        <cdr:cNvPr id="5" name="4 CuadroTexto"/>
        <cdr:cNvSpPr txBox="1"/>
      </cdr:nvSpPr>
      <cdr:spPr>
        <a:xfrm xmlns:a="http://schemas.openxmlformats.org/drawingml/2006/main">
          <a:off x="102954" y="5153394"/>
          <a:ext cx="1599958" cy="2786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19050</xdr:colOff>
      <xdr:row>0</xdr:row>
      <xdr:rowOff>19050</xdr:rowOff>
    </xdr:from>
    <xdr:to>
      <xdr:col>8</xdr:col>
      <xdr:colOff>733425</xdr:colOff>
      <xdr:row>32</xdr:row>
      <xdr:rowOff>38100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0.08689</cdr:x>
      <cdr:y>0.125</cdr:y>
    </cdr:from>
    <cdr:to>
      <cdr:x>0.78689</cdr:x>
      <cdr:y>0.2575</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0.07049</cdr:x>
      <cdr:y>0.1625</cdr:y>
    </cdr:from>
    <cdr:to>
      <cdr:x>0.80164</cdr:x>
      <cdr:y>0.3075</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0.19635</cdr:x>
      <cdr:y>0.07655</cdr:y>
    </cdr:from>
    <cdr:to>
      <cdr:x>0.90782</cdr:x>
      <cdr:y>0.25155</cdr:y>
    </cdr:to>
    <cdr:sp macro="" textlink="">
      <cdr:nvSpPr>
        <cdr:cNvPr id="5" name="4 CuadroTexto"/>
        <cdr:cNvSpPr txBox="1"/>
      </cdr:nvSpPr>
      <cdr:spPr>
        <a:xfrm xmlns:a="http://schemas.openxmlformats.org/drawingml/2006/main">
          <a:off x="1191312" y="382786"/>
          <a:ext cx="4316824" cy="8751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absoluta del  personal docente, </a:t>
          </a:r>
        </a:p>
        <a:p xmlns:a="http://schemas.openxmlformats.org/drawingml/2006/main">
          <a:r>
            <a:rPr lang="es-CR" sz="1800" baseline="0">
              <a:latin typeface="Times New Roman" pitchFamily="18" charset="0"/>
              <a:cs typeface="Times New Roman" pitchFamily="18" charset="0"/>
            </a:rPr>
            <a:t>según tipo de nombramiento.  2013 - 2017</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0.00513</cdr:x>
      <cdr:y>0.01524</cdr:y>
    </cdr:from>
    <cdr:to>
      <cdr:x>0.19937</cdr:x>
      <cdr:y>0.10476</cdr:y>
    </cdr:to>
    <cdr:sp macro="" textlink="">
      <cdr:nvSpPr>
        <cdr:cNvPr id="6" name="5 CuadroTexto"/>
        <cdr:cNvSpPr txBox="1"/>
      </cdr:nvSpPr>
      <cdr:spPr>
        <a:xfrm xmlns:a="http://schemas.openxmlformats.org/drawingml/2006/main">
          <a:off x="31105" y="76201"/>
          <a:ext cx="117857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RH2</a:t>
          </a:r>
        </a:p>
      </cdr:txBody>
    </cdr:sp>
  </cdr:relSizeAnchor>
  <cdr:relSizeAnchor xmlns:cdr="http://schemas.openxmlformats.org/drawingml/2006/chartDrawing">
    <cdr:from>
      <cdr:x>0.02041</cdr:x>
      <cdr:y>0.92571</cdr:y>
    </cdr:from>
    <cdr:to>
      <cdr:x>0.23862</cdr:x>
      <cdr:y>0.98286</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RH3</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0.04867</cdr:x>
      <cdr:y>0.81714</cdr:y>
    </cdr:from>
    <cdr:to>
      <cdr:x>0.19937</cdr:x>
      <cdr:y>0.92762</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userShapes>
</file>

<file path=xl/drawings/drawing60.xml><?xml version="1.0" encoding="utf-8"?>
<c:userShapes xmlns:c="http://schemas.openxmlformats.org/drawingml/2006/chart">
  <cdr:relSizeAnchor xmlns:cdr="http://schemas.openxmlformats.org/drawingml/2006/chartDrawing">
    <cdr:from>
      <cdr:x>0</cdr:x>
      <cdr:y>0.07018</cdr:y>
    </cdr:from>
    <cdr:to>
      <cdr:x>1</cdr:x>
      <cdr:y>0.22149</cdr:y>
    </cdr:to>
    <cdr:sp macro="" textlink="">
      <cdr:nvSpPr>
        <cdr:cNvPr id="2" name="1 CuadroTexto"/>
        <cdr:cNvSpPr txBox="1"/>
      </cdr:nvSpPr>
      <cdr:spPr>
        <a:xfrm xmlns:a="http://schemas.openxmlformats.org/drawingml/2006/main">
          <a:off x="0" y="304799"/>
          <a:ext cx="6743700" cy="657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a:t>
          </a:r>
          <a:r>
            <a:rPr lang="es-CR" sz="1800" baseline="0">
              <a:latin typeface="Times New Roman" pitchFamily="18" charset="0"/>
              <a:cs typeface="Times New Roman" pitchFamily="18" charset="0"/>
            </a:rPr>
            <a:t> en el</a:t>
          </a:r>
          <a:r>
            <a:rPr lang="es-CR" sz="1800">
              <a:latin typeface="Times New Roman" pitchFamily="18" charset="0"/>
              <a:cs typeface="Times New Roman" pitchFamily="18" charset="0"/>
            </a:rPr>
            <a:t> </a:t>
          </a:r>
        </a:p>
        <a:p xmlns:a="http://schemas.openxmlformats.org/drawingml/2006/main">
          <a:pPr algn="ctr"/>
          <a:r>
            <a:rPr lang="es-CR" sz="1800">
              <a:latin typeface="Times New Roman" pitchFamily="18" charset="0"/>
              <a:cs typeface="Times New Roman" pitchFamily="18" charset="0"/>
            </a:rPr>
            <a:t>             Sistema de Estudios de Posgrado de la U.C.R. </a:t>
          </a:r>
        </a:p>
      </cdr:txBody>
    </cdr:sp>
  </cdr:relSizeAnchor>
  <cdr:relSizeAnchor xmlns:cdr="http://schemas.openxmlformats.org/drawingml/2006/chartDrawing">
    <cdr:from>
      <cdr:x>0.68786</cdr:x>
      <cdr:y>0.51022</cdr:y>
    </cdr:from>
    <cdr:to>
      <cdr:x>0.78952</cdr:x>
      <cdr:y>0.55381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0.90032</cdr:y>
    </cdr:from>
    <cdr:to>
      <cdr:x>0.25199</cdr:x>
      <cdr:y>0.97296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D18</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0.01679</cdr:y>
    </cdr:from>
    <cdr:to>
      <cdr:x>0.22606</cdr:x>
      <cdr:y>0.10751</cdr:y>
    </cdr:to>
    <cdr:sp macro="" textlink="">
      <cdr:nvSpPr>
        <cdr:cNvPr id="6" name="5 CuadroTexto"/>
        <cdr:cNvSpPr txBox="1"/>
      </cdr:nvSpPr>
      <cdr:spPr>
        <a:xfrm xmlns:a="http://schemas.openxmlformats.org/drawingml/2006/main">
          <a:off x="73847" y="72943"/>
          <a:ext cx="1450638" cy="394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D6</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57150</xdr:colOff>
      <xdr:row>0</xdr:row>
      <xdr:rowOff>57150</xdr:rowOff>
    </xdr:from>
    <xdr:to>
      <xdr:col>9</xdr:col>
      <xdr:colOff>47625</xdr:colOff>
      <xdr:row>34</xdr:row>
      <xdr:rowOff>57150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0.22907</cdr:x>
      <cdr:y>0.01748</cdr:y>
    </cdr:from>
    <cdr:to>
      <cdr:x>0.89001</cdr:x>
      <cdr:y>0.08455</cdr:y>
    </cdr:to>
    <cdr:sp macro="" textlink="">
      <cdr:nvSpPr>
        <cdr:cNvPr id="121857" name="1 CuadroTexto"/>
        <cdr:cNvSpPr txBox="1">
          <a:spLocks xmlns:a="http://schemas.openxmlformats.org/drawingml/2006/main" noChangeArrowheads="1"/>
        </cdr:cNvSpPr>
      </cdr:nvSpPr>
      <cdr:spPr bwMode="auto">
        <a:xfrm xmlns:a="http://schemas.openxmlformats.org/drawingml/2006/main">
          <a:off x="1574109" y="99578"/>
          <a:ext cx="4532734" cy="369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6576" rIns="0" bIns="0" anchor="t" upright="1"/>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2017</a:t>
          </a:r>
        </a:p>
      </cdr:txBody>
    </cdr:sp>
  </cdr:relSizeAnchor>
  <cdr:relSizeAnchor xmlns:cdr="http://schemas.openxmlformats.org/drawingml/2006/chartDrawing">
    <cdr:from>
      <cdr:x>0.00946</cdr:x>
      <cdr:y>0.01219</cdr:y>
    </cdr:from>
    <cdr:to>
      <cdr:x>0.21734</cdr:x>
      <cdr:y>0.07507</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D6.1</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0.01495</cdr:x>
      <cdr:y>0.93768</cdr:y>
    </cdr:from>
    <cdr:to>
      <cdr:x>0.17427</cdr:x>
      <cdr:y>0.98839</cdr:y>
    </cdr:to>
    <cdr:sp macro="" textlink="">
      <cdr:nvSpPr>
        <cdr:cNvPr id="5" name="4 CuadroTexto"/>
        <cdr:cNvSpPr txBox="1"/>
      </cdr:nvSpPr>
      <cdr:spPr>
        <a:xfrm xmlns:a="http://schemas.openxmlformats.org/drawingml/2006/main">
          <a:off x="102954" y="5153419"/>
          <a:ext cx="1097196" cy="278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D18</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723900</xdr:colOff>
      <xdr:row>6</xdr:row>
      <xdr:rowOff>0</xdr:rowOff>
    </xdr:from>
    <xdr:to>
      <xdr:col>0</xdr:col>
      <xdr:colOff>1352550</xdr:colOff>
      <xdr:row>10</xdr:row>
      <xdr:rowOff>9525</xdr:rowOff>
    </xdr:to>
    <xdr:sp macro="" textlink="">
      <xdr:nvSpPr>
        <xdr:cNvPr id="2" name="Line 1"/>
        <xdr:cNvSpPr>
          <a:spLocks noChangeShapeType="1"/>
        </xdr:cNvSpPr>
      </xdr:nvSpPr>
      <xdr:spPr bwMode="auto">
        <a:xfrm>
          <a:off x="723900" y="1152525"/>
          <a:ext cx="628650" cy="1000125"/>
        </a:xfrm>
        <a:prstGeom prst="line">
          <a:avLst/>
        </a:prstGeom>
        <a:no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9</xdr:col>
      <xdr:colOff>9525</xdr:colOff>
      <xdr:row>33</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0.09161</cdr:y>
    </cdr:from>
    <cdr:to>
      <cdr:x>1</cdr:x>
      <cdr:y>0.24292</cdr:y>
    </cdr:to>
    <cdr:sp macro="" textlink="">
      <cdr:nvSpPr>
        <cdr:cNvPr id="2" name="1 CuadroTexto"/>
        <cdr:cNvSpPr txBox="1"/>
      </cdr:nvSpPr>
      <cdr:spPr>
        <a:xfrm xmlns:a="http://schemas.openxmlformats.org/drawingml/2006/main">
          <a:off x="0" y="488640"/>
          <a:ext cx="6810374" cy="8070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títulos otorgados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        de la U.C.R., según género. </a:t>
          </a:r>
        </a:p>
      </cdr:txBody>
    </cdr:sp>
  </cdr:relSizeAnchor>
  <cdr:relSizeAnchor xmlns:cdr="http://schemas.openxmlformats.org/drawingml/2006/chartDrawing">
    <cdr:from>
      <cdr:x>0.68786</cdr:x>
      <cdr:y>0.51022</cdr:y>
    </cdr:from>
    <cdr:to>
      <cdr:x>0.78952</cdr:x>
      <cdr:y>0.55381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0.90032</cdr:y>
    </cdr:from>
    <cdr:to>
      <cdr:x>0.25199</cdr:x>
      <cdr:y>0.97296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0.02572</cdr:y>
    </cdr:from>
    <cdr:to>
      <cdr:x>0.18741</cdr:x>
      <cdr:y>0.11644</cdr:y>
    </cdr:to>
    <cdr:sp macro="" textlink="">
      <cdr:nvSpPr>
        <cdr:cNvPr id="6" name="5 CuadroTexto"/>
        <cdr:cNvSpPr txBox="1"/>
      </cdr:nvSpPr>
      <cdr:spPr>
        <a:xfrm xmlns:a="http://schemas.openxmlformats.org/drawingml/2006/main">
          <a:off x="74574" y="137183"/>
          <a:ext cx="1201775" cy="483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D7</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xdr:colOff>
      <xdr:row>0</xdr:row>
      <xdr:rowOff>38100</xdr:rowOff>
    </xdr:from>
    <xdr:to>
      <xdr:col>8</xdr:col>
      <xdr:colOff>723900</xdr:colOff>
      <xdr:row>31</xdr:row>
      <xdr:rowOff>19050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0.1047</cdr:y>
    </cdr:from>
    <cdr:to>
      <cdr:x>1</cdr:x>
      <cdr:y>0.24339</cdr:y>
    </cdr:to>
    <cdr:sp macro="" textlink="">
      <cdr:nvSpPr>
        <cdr:cNvPr id="2" name="1 CuadroTexto"/>
        <cdr:cNvSpPr txBox="1"/>
      </cdr:nvSpPr>
      <cdr:spPr>
        <a:xfrm xmlns:a="http://schemas.openxmlformats.org/drawingml/2006/main">
          <a:off x="0" y="523575"/>
          <a:ext cx="6810375" cy="693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a:t>
          </a:r>
        </a:p>
        <a:p xmlns:a="http://schemas.openxmlformats.org/drawingml/2006/main">
          <a:pPr algn="ctr"/>
          <a:r>
            <a:rPr lang="es-CR" sz="1800">
              <a:latin typeface="Times New Roman" pitchFamily="18" charset="0"/>
              <a:cs typeface="Times New Roman" pitchFamily="18" charset="0"/>
            </a:rPr>
            <a:t>de Investigación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I-1</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485775</xdr:colOff>
      <xdr:row>5</xdr:row>
      <xdr:rowOff>9525</xdr:rowOff>
    </xdr:from>
    <xdr:to>
      <xdr:col>0</xdr:col>
      <xdr:colOff>981075</xdr:colOff>
      <xdr:row>9</xdr:row>
      <xdr:rowOff>9525</xdr:rowOff>
    </xdr:to>
    <xdr:sp macro="" textlink="">
      <xdr:nvSpPr>
        <xdr:cNvPr id="2" name="Line 5"/>
        <xdr:cNvSpPr>
          <a:spLocks noChangeShapeType="1"/>
        </xdr:cNvSpPr>
      </xdr:nvSpPr>
      <xdr:spPr bwMode="auto">
        <a:xfrm>
          <a:off x="485775" y="666750"/>
          <a:ext cx="495300" cy="676275"/>
        </a:xfrm>
        <a:prstGeom prst="line">
          <a:avLst/>
        </a:prstGeom>
        <a:noFill/>
        <a:ln w="9525">
          <a:solidFill>
            <a:srgbClr val="000000"/>
          </a:solidFill>
          <a:round/>
          <a:headEnd/>
          <a:tailEnd/>
        </a:ln>
      </xdr:spPr>
    </xdr:sp>
    <xdr:clientData/>
  </xdr:twoCellAnchor>
  <xdr:twoCellAnchor>
    <xdr:from>
      <xdr:col>0</xdr:col>
      <xdr:colOff>485775</xdr:colOff>
      <xdr:row>108</xdr:row>
      <xdr:rowOff>9525</xdr:rowOff>
    </xdr:from>
    <xdr:to>
      <xdr:col>0</xdr:col>
      <xdr:colOff>981075</xdr:colOff>
      <xdr:row>112</xdr:row>
      <xdr:rowOff>9525</xdr:rowOff>
    </xdr:to>
    <xdr:sp macro="" textlink="">
      <xdr:nvSpPr>
        <xdr:cNvPr id="3" name="Line 6"/>
        <xdr:cNvSpPr>
          <a:spLocks noChangeShapeType="1"/>
        </xdr:cNvSpPr>
      </xdr:nvSpPr>
      <xdr:spPr bwMode="auto">
        <a:xfrm>
          <a:off x="485775" y="11563350"/>
          <a:ext cx="495300" cy="676275"/>
        </a:xfrm>
        <a:prstGeom prst="line">
          <a:avLst/>
        </a:prstGeom>
        <a:no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28575</xdr:colOff>
      <xdr:row>0</xdr:row>
      <xdr:rowOff>38100</xdr:rowOff>
    </xdr:from>
    <xdr:to>
      <xdr:col>8</xdr:col>
      <xdr:colOff>752475</xdr:colOff>
      <xdr:row>31</xdr:row>
      <xdr:rowOff>9525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638175</xdr:colOff>
      <xdr:row>5</xdr:row>
      <xdr:rowOff>0</xdr:rowOff>
    </xdr:from>
    <xdr:to>
      <xdr:col>0</xdr:col>
      <xdr:colOff>1257300</xdr:colOff>
      <xdr:row>8</xdr:row>
      <xdr:rowOff>152400</xdr:rowOff>
    </xdr:to>
    <xdr:sp macro="" textlink="">
      <xdr:nvSpPr>
        <xdr:cNvPr id="2" name="Line 8"/>
        <xdr:cNvSpPr>
          <a:spLocks noChangeShapeType="1"/>
        </xdr:cNvSpPr>
      </xdr:nvSpPr>
      <xdr:spPr bwMode="auto">
        <a:xfrm>
          <a:off x="638175" y="657225"/>
          <a:ext cx="619125" cy="685800"/>
        </a:xfrm>
        <a:prstGeom prst="line">
          <a:avLst/>
        </a:prstGeom>
        <a:noFill/>
        <a:ln w="9525">
          <a:solidFill>
            <a:srgbClr val="000000"/>
          </a:solidFill>
          <a:round/>
          <a:headEnd/>
          <a:tailEnd/>
        </a:ln>
      </xdr:spPr>
    </xdr:sp>
    <xdr:clientData/>
  </xdr:twoCellAnchor>
</xdr:wsDr>
</file>

<file path=xl/drawings/drawing70.xml><?xml version="1.0" encoding="utf-8"?>
<c:userShapes xmlns:c="http://schemas.openxmlformats.org/drawingml/2006/chart">
  <cdr:relSizeAnchor xmlns:cdr="http://schemas.openxmlformats.org/drawingml/2006/chartDrawing">
    <cdr:from>
      <cdr:x>0</cdr:x>
      <cdr:y>0.07575</cdr:y>
    </cdr:from>
    <cdr:to>
      <cdr:x>0.00739</cdr:x>
      <cdr:y>0.0804</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p>
        <a:p xmlns:a="http://schemas.openxmlformats.org/drawingml/2006/main">
          <a:pPr algn="ctr"/>
          <a:r>
            <a:rPr lang="es-CR" sz="1800" baseline="0">
              <a:latin typeface="Times New Roman" pitchFamily="18" charset="0"/>
              <a:cs typeface="Times New Roman" pitchFamily="18" charset="0"/>
            </a:rPr>
            <a:t> de Investigación</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0.01246</cdr:x>
      <cdr:y>0.87507</cdr:y>
    </cdr:from>
    <cdr:to>
      <cdr:x>0.71229</cdr:x>
      <cdr:y>1</cdr:y>
    </cdr:to>
    <cdr:sp macro="" textlink="">
      <cdr:nvSpPr>
        <cdr:cNvPr id="4" name="3 CuadroTexto"/>
        <cdr:cNvSpPr txBox="1"/>
      </cdr:nvSpPr>
      <cdr:spPr>
        <a:xfrm xmlns:a="http://schemas.openxmlformats.org/drawingml/2006/main">
          <a:off x="84955" y="4367572"/>
          <a:ext cx="4772795" cy="623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50">
              <a:latin typeface="Times New Roman" pitchFamily="18" charset="0"/>
              <a:cs typeface="Times New Roman" pitchFamily="18" charset="0"/>
            </a:rPr>
            <a:t>Fuente:</a:t>
          </a:r>
          <a:r>
            <a:rPr lang="es-CR" sz="1050" baseline="0">
              <a:latin typeface="Times New Roman" pitchFamily="18" charset="0"/>
              <a:cs typeface="Times New Roman" pitchFamily="18" charset="0"/>
            </a:rPr>
            <a:t> Cuadro I-2</a:t>
          </a:r>
        </a:p>
        <a:p xmlns:a="http://schemas.openxmlformats.org/drawingml/2006/main">
          <a:endParaRPr lang="es-CR" sz="1100" baseline="0">
            <a:latin typeface="Times New Roman" pitchFamily="18" charset="0"/>
            <a:cs typeface="Times New Roman" pitchFamily="18" charset="0"/>
          </a:endParaRPr>
        </a:p>
        <a:p xmlns:a="http://schemas.openxmlformats.org/drawingml/2006/main">
          <a:r>
            <a:rPr lang="es-CR" sz="1000" baseline="0">
              <a:latin typeface="Times New Roman" pitchFamily="18" charset="0"/>
              <a:cs typeface="Times New Roman" pitchFamily="18" charset="0"/>
            </a:rPr>
            <a:t>Nota: Otros comprende a los proyectos suspendidos, cerrados y reactivaciones.</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I-2</a:t>
          </a:r>
        </a:p>
      </cdr:txBody>
    </cdr:sp>
  </cdr:relSizeAnchor>
  <cdr:relSizeAnchor xmlns:cdr="http://schemas.openxmlformats.org/drawingml/2006/chartDrawing">
    <cdr:from>
      <cdr:x>0.26257</cdr:x>
      <cdr:y>0.08397</cdr:y>
    </cdr:from>
    <cdr:to>
      <cdr:x>0.80787</cdr:x>
      <cdr:y>0.20856</cdr:y>
    </cdr:to>
    <cdr:pic>
      <cdr:nvPicPr>
        <cdr:cNvPr id="7"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0723" y="419122"/>
          <a:ext cx="3718892" cy="621842"/>
        </a:xfrm>
        <a:prstGeom xmlns:a="http://schemas.openxmlformats.org/drawingml/2006/main" prst="rect">
          <a:avLst/>
        </a:prstGeom>
      </cdr:spPr>
    </cdr:pic>
  </cdr:relSizeAnchor>
</c:userShapes>
</file>

<file path=xl/drawings/drawing71.xml><?xml version="1.0" encoding="utf-8"?>
<xdr:wsDr xmlns:xdr="http://schemas.openxmlformats.org/drawingml/2006/spreadsheetDrawing" xmlns:a="http://schemas.openxmlformats.org/drawingml/2006/main">
  <xdr:twoCellAnchor>
    <xdr:from>
      <xdr:col>0</xdr:col>
      <xdr:colOff>581025</xdr:colOff>
      <xdr:row>5</xdr:row>
      <xdr:rowOff>0</xdr:rowOff>
    </xdr:from>
    <xdr:to>
      <xdr:col>0</xdr:col>
      <xdr:colOff>1066800</xdr:colOff>
      <xdr:row>8</xdr:row>
      <xdr:rowOff>9525</xdr:rowOff>
    </xdr:to>
    <xdr:sp macro="" textlink="">
      <xdr:nvSpPr>
        <xdr:cNvPr id="2" name="Line 6"/>
        <xdr:cNvSpPr>
          <a:spLocks noChangeShapeType="1"/>
        </xdr:cNvSpPr>
      </xdr:nvSpPr>
      <xdr:spPr bwMode="auto">
        <a:xfrm>
          <a:off x="581025" y="1009650"/>
          <a:ext cx="485775" cy="752475"/>
        </a:xfrm>
        <a:prstGeom prst="line">
          <a:avLst/>
        </a:prstGeom>
        <a:no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485775</xdr:colOff>
      <xdr:row>5</xdr:row>
      <xdr:rowOff>9525</xdr:rowOff>
    </xdr:from>
    <xdr:to>
      <xdr:col>0</xdr:col>
      <xdr:colOff>981075</xdr:colOff>
      <xdr:row>9</xdr:row>
      <xdr:rowOff>9525</xdr:rowOff>
    </xdr:to>
    <xdr:sp macro="" textlink="">
      <xdr:nvSpPr>
        <xdr:cNvPr id="2" name="Line 5"/>
        <xdr:cNvSpPr>
          <a:spLocks noChangeShapeType="1"/>
        </xdr:cNvSpPr>
      </xdr:nvSpPr>
      <xdr:spPr bwMode="auto">
        <a:xfrm>
          <a:off x="485775" y="685800"/>
          <a:ext cx="495300" cy="533400"/>
        </a:xfrm>
        <a:prstGeom prst="line">
          <a:avLst/>
        </a:prstGeom>
        <a:noFill/>
        <a:ln w="9525">
          <a:solidFill>
            <a:srgbClr val="000000"/>
          </a:solidFill>
          <a:round/>
          <a:headEnd/>
          <a:tailEnd/>
        </a:ln>
      </xdr:spPr>
    </xdr:sp>
    <xdr:clientData/>
  </xdr:twoCellAnchor>
  <xdr:twoCellAnchor>
    <xdr:from>
      <xdr:col>0</xdr:col>
      <xdr:colOff>485775</xdr:colOff>
      <xdr:row>115</xdr:row>
      <xdr:rowOff>9525</xdr:rowOff>
    </xdr:from>
    <xdr:to>
      <xdr:col>0</xdr:col>
      <xdr:colOff>981075</xdr:colOff>
      <xdr:row>119</xdr:row>
      <xdr:rowOff>9525</xdr:rowOff>
    </xdr:to>
    <xdr:sp macro="" textlink="">
      <xdr:nvSpPr>
        <xdr:cNvPr id="3" name="Line 7"/>
        <xdr:cNvSpPr>
          <a:spLocks noChangeShapeType="1"/>
        </xdr:cNvSpPr>
      </xdr:nvSpPr>
      <xdr:spPr bwMode="auto">
        <a:xfrm>
          <a:off x="485775" y="13096875"/>
          <a:ext cx="495300" cy="647700"/>
        </a:xfrm>
        <a:prstGeom prst="line">
          <a:avLst/>
        </a:prstGeom>
        <a:no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28575</xdr:rowOff>
    </xdr:from>
    <xdr:to>
      <xdr:col>8</xdr:col>
      <xdr:colOff>723900</xdr:colOff>
      <xdr:row>30</xdr:row>
      <xdr:rowOff>104775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0.0765</cdr:y>
    </cdr:from>
    <cdr:to>
      <cdr:x>0.00739</cdr:x>
      <cdr:y>0.08164</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de Investigación según</a:t>
          </a:r>
          <a:r>
            <a:rPr lang="es-CR" sz="1800" baseline="0">
              <a:latin typeface="Times New Roman" pitchFamily="18" charset="0"/>
              <a:cs typeface="Times New Roman" pitchFamily="18" charset="0"/>
            </a:rPr>
            <a:t> tipo.</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I-3</a:t>
          </a:r>
        </a:p>
      </cdr:txBody>
    </cdr:sp>
  </cdr:relSizeAnchor>
  <cdr:relSizeAnchor xmlns:cdr="http://schemas.openxmlformats.org/drawingml/2006/chartDrawing">
    <cdr:from>
      <cdr:x>0</cdr:x>
      <cdr:y>0</cdr:y>
    </cdr:from>
    <cdr:to>
      <cdr:x>0.00358</cdr:x>
      <cdr:y>0.00493</cdr:y>
    </cdr:to>
    <cdr:pic>
      <cdr:nvPicPr>
        <cdr:cNvPr id="7"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8"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0.15642</cdr:x>
      <cdr:y>0.07322</cdr:y>
    </cdr:from>
    <cdr:to>
      <cdr:x>0.96089</cdr:x>
      <cdr:y>0.19846</cdr:y>
    </cdr:to>
    <cdr:sp macro="" textlink="">
      <cdr:nvSpPr>
        <cdr:cNvPr id="12" name="11 CuadroTexto"/>
        <cdr:cNvSpPr txBox="1"/>
      </cdr:nvSpPr>
      <cdr:spPr>
        <a:xfrm xmlns:a="http://schemas.openxmlformats.org/drawingml/2006/main">
          <a:off x="1066800" y="361949"/>
          <a:ext cx="5486400" cy="61912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ES" sz="2000">
              <a:latin typeface="Times New Roman" pitchFamily="18" charset="0"/>
              <a:cs typeface="Times New Roman" pitchFamily="18" charset="0"/>
            </a:rPr>
            <a:t>Distribución</a:t>
          </a:r>
          <a:r>
            <a:rPr lang="es-ES" sz="2000" baseline="0">
              <a:latin typeface="Times New Roman" pitchFamily="18" charset="0"/>
              <a:cs typeface="Times New Roman" pitchFamily="18" charset="0"/>
            </a:rPr>
            <a:t> relativa de los proyectos</a:t>
          </a:r>
        </a:p>
        <a:p xmlns:a="http://schemas.openxmlformats.org/drawingml/2006/main">
          <a:pPr algn="ctr"/>
          <a:r>
            <a:rPr lang="es-ES" sz="2000" baseline="0">
              <a:latin typeface="Times New Roman" pitchFamily="18" charset="0"/>
              <a:cs typeface="Times New Roman" pitchFamily="18" charset="0"/>
            </a:rPr>
            <a:t> de Investigación, según tipo</a:t>
          </a:r>
          <a:endParaRPr lang="es-ES" sz="2000">
            <a:latin typeface="Times New Roman" pitchFamily="18" charset="0"/>
            <a:cs typeface="Times New Roman" pitchFamily="18"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600075</xdr:colOff>
      <xdr:row>6</xdr:row>
      <xdr:rowOff>9525</xdr:rowOff>
    </xdr:from>
    <xdr:to>
      <xdr:col>0</xdr:col>
      <xdr:colOff>1095375</xdr:colOff>
      <xdr:row>11</xdr:row>
      <xdr:rowOff>9525</xdr:rowOff>
    </xdr:to>
    <xdr:sp macro="" textlink="">
      <xdr:nvSpPr>
        <xdr:cNvPr id="2" name="Line 5"/>
        <xdr:cNvSpPr>
          <a:spLocks noChangeShapeType="1"/>
        </xdr:cNvSpPr>
      </xdr:nvSpPr>
      <xdr:spPr bwMode="auto">
        <a:xfrm>
          <a:off x="600075" y="819150"/>
          <a:ext cx="495300" cy="838200"/>
        </a:xfrm>
        <a:prstGeom prst="line">
          <a:avLst/>
        </a:prstGeom>
        <a:noFill/>
        <a:ln w="9525">
          <a:solidFill>
            <a:srgbClr val="000000"/>
          </a:solidFill>
          <a:round/>
          <a:headEnd/>
          <a:tailEnd/>
        </a:ln>
      </xdr:spPr>
    </xdr:sp>
    <xdr:clientData/>
  </xdr:twoCellAnchor>
  <xdr:twoCellAnchor>
    <xdr:from>
      <xdr:col>0</xdr:col>
      <xdr:colOff>600075</xdr:colOff>
      <xdr:row>180</xdr:row>
      <xdr:rowOff>9525</xdr:rowOff>
    </xdr:from>
    <xdr:to>
      <xdr:col>0</xdr:col>
      <xdr:colOff>1095375</xdr:colOff>
      <xdr:row>185</xdr:row>
      <xdr:rowOff>0</xdr:rowOff>
    </xdr:to>
    <xdr:sp macro="" textlink="">
      <xdr:nvSpPr>
        <xdr:cNvPr id="3" name="Line 21"/>
        <xdr:cNvSpPr>
          <a:spLocks noChangeShapeType="1"/>
        </xdr:cNvSpPr>
      </xdr:nvSpPr>
      <xdr:spPr bwMode="auto">
        <a:xfrm>
          <a:off x="600075" y="26517600"/>
          <a:ext cx="495300" cy="828675"/>
        </a:xfrm>
        <a:prstGeom prst="line">
          <a:avLst/>
        </a:prstGeom>
        <a:noFill/>
        <a:ln w="9525">
          <a:solidFill>
            <a:srgbClr val="000000"/>
          </a:solidFill>
          <a:round/>
          <a:headEnd/>
          <a:tailEnd/>
        </a:ln>
      </xdr:spPr>
    </xdr:sp>
    <xdr:clientData/>
  </xdr:twoCellAnchor>
  <xdr:twoCellAnchor>
    <xdr:from>
      <xdr:col>0</xdr:col>
      <xdr:colOff>600075</xdr:colOff>
      <xdr:row>91</xdr:row>
      <xdr:rowOff>9525</xdr:rowOff>
    </xdr:from>
    <xdr:to>
      <xdr:col>0</xdr:col>
      <xdr:colOff>1095375</xdr:colOff>
      <xdr:row>96</xdr:row>
      <xdr:rowOff>9525</xdr:rowOff>
    </xdr:to>
    <xdr:sp macro="" textlink="">
      <xdr:nvSpPr>
        <xdr:cNvPr id="4" name="Line 22"/>
        <xdr:cNvSpPr>
          <a:spLocks noChangeShapeType="1"/>
        </xdr:cNvSpPr>
      </xdr:nvSpPr>
      <xdr:spPr bwMode="auto">
        <a:xfrm>
          <a:off x="600075" y="12915900"/>
          <a:ext cx="495300" cy="838200"/>
        </a:xfrm>
        <a:prstGeom prst="line">
          <a:avLst/>
        </a:prstGeom>
        <a:no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28574</xdr:colOff>
      <xdr:row>0</xdr:row>
      <xdr:rowOff>19050</xdr:rowOff>
    </xdr:from>
    <xdr:to>
      <xdr:col>9</xdr:col>
      <xdr:colOff>647700</xdr:colOff>
      <xdr:row>30</xdr:row>
      <xdr:rowOff>9525</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0.22962</cdr:x>
      <cdr:y>0.01826</cdr:y>
    </cdr:from>
    <cdr:to>
      <cdr:x>0.80163</cdr:x>
      <cdr:y>0.08519</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2017</a:t>
          </a:r>
        </a:p>
      </cdr:txBody>
    </cdr:sp>
  </cdr:relSizeAnchor>
  <cdr:relSizeAnchor xmlns:cdr="http://schemas.openxmlformats.org/drawingml/2006/chartDrawing">
    <cdr:from>
      <cdr:x>0.01495</cdr:x>
      <cdr:y>0.02434</cdr:y>
    </cdr:from>
    <cdr:to>
      <cdr:x>0.22283</cdr:x>
      <cdr:y>0.08722</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I-4</a:t>
          </a:r>
        </a:p>
      </cdr:txBody>
    </cdr:sp>
  </cdr:relSizeAnchor>
  <cdr:relSizeAnchor xmlns:cdr="http://schemas.openxmlformats.org/drawingml/2006/chartDrawing">
    <cdr:from>
      <cdr:x>0.04076</cdr:x>
      <cdr:y>0.80527</cdr:y>
    </cdr:from>
    <cdr:to>
      <cdr:x>0.1712</cdr:x>
      <cdr:y>0.87424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0.01227</cdr:x>
      <cdr:y>0.94472</cdr:y>
    </cdr:from>
    <cdr:to>
      <cdr:x>0.1689</cdr:x>
      <cdr:y>0.9808</cdr:y>
    </cdr:to>
    <cdr:sp macro="" textlink="">
      <cdr:nvSpPr>
        <cdr:cNvPr id="5" name="4 CuadroTexto"/>
        <cdr:cNvSpPr txBox="1"/>
      </cdr:nvSpPr>
      <cdr:spPr>
        <a:xfrm xmlns:a="http://schemas.openxmlformats.org/drawingml/2006/main">
          <a:off x="87179" y="5156099"/>
          <a:ext cx="1112971"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t>
          </a:r>
          <a:r>
            <a:rPr lang="es-CR" sz="800" baseline="0">
              <a:latin typeface="Times New Roman" pitchFamily="18" charset="0"/>
              <a:cs typeface="Times New Roman" pitchFamily="18" charset="0"/>
            </a:rPr>
            <a:t> I-5</a:t>
          </a:r>
          <a:endParaRPr lang="es-CR" sz="800">
            <a:latin typeface="Times New Roman" pitchFamily="18" charset="0"/>
            <a:cs typeface="Times New Roman" pitchFamily="18"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xdr:cNvSpPr>
          <a:spLocks noChangeShapeType="1"/>
        </xdr:cNvSpPr>
      </xdr:nvSpPr>
      <xdr:spPr bwMode="auto">
        <a:xfrm>
          <a:off x="695325" y="809625"/>
          <a:ext cx="400050" cy="1000125"/>
        </a:xfrm>
        <a:prstGeom prst="line">
          <a:avLst/>
        </a:prstGeom>
        <a:no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19050</xdr:colOff>
      <xdr:row>0</xdr:row>
      <xdr:rowOff>28575</xdr:rowOff>
    </xdr:from>
    <xdr:to>
      <xdr:col>9</xdr:col>
      <xdr:colOff>9525</xdr:colOff>
      <xdr:row>31</xdr:row>
      <xdr:rowOff>19050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647700</xdr:colOff>
      <xdr:row>5</xdr:row>
      <xdr:rowOff>0</xdr:rowOff>
    </xdr:from>
    <xdr:to>
      <xdr:col>0</xdr:col>
      <xdr:colOff>1019175</xdr:colOff>
      <xdr:row>8</xdr:row>
      <xdr:rowOff>228600</xdr:rowOff>
    </xdr:to>
    <xdr:sp macro="" textlink="">
      <xdr:nvSpPr>
        <xdr:cNvPr id="2" name="Line 1"/>
        <xdr:cNvSpPr>
          <a:spLocks noChangeShapeType="1"/>
        </xdr:cNvSpPr>
      </xdr:nvSpPr>
      <xdr:spPr bwMode="auto">
        <a:xfrm>
          <a:off x="647700" y="895350"/>
          <a:ext cx="371475" cy="971550"/>
        </a:xfrm>
        <a:prstGeom prst="line">
          <a:avLst/>
        </a:prstGeom>
        <a:noFill/>
        <a:ln w="9525">
          <a:solidFill>
            <a:srgbClr val="000000"/>
          </a:solidFill>
          <a:round/>
          <a:headEnd/>
          <a:tailEnd/>
        </a:ln>
      </xdr:spPr>
    </xdr:sp>
    <xdr:clientData/>
  </xdr:twoCellAnchor>
</xdr:wsDr>
</file>

<file path=xl/drawings/drawing80.xml><?xml version="1.0" encoding="utf-8"?>
<c:userShapes xmlns:c="http://schemas.openxmlformats.org/drawingml/2006/chart">
  <cdr:relSizeAnchor xmlns:cdr="http://schemas.openxmlformats.org/drawingml/2006/chartDrawing">
    <cdr:from>
      <cdr:x>0</cdr:x>
      <cdr:y>0.0755</cdr:y>
    </cdr:from>
    <cdr:to>
      <cdr:x>0.00739</cdr:x>
      <cdr:y>0.08015</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baseline="0">
              <a:latin typeface="Times New Roman" pitchFamily="18" charset="0"/>
              <a:cs typeface="Times New Roman" pitchFamily="18" charset="0"/>
            </a:rPr>
            <a:t>Distribución del total de usuarios atendidos según</a:t>
          </a:r>
        </a:p>
        <a:p xmlns:a="http://schemas.openxmlformats.org/drawingml/2006/main">
          <a:pPr algn="ctr"/>
          <a:r>
            <a:rPr lang="es-CR" sz="1800" baseline="0">
              <a:latin typeface="Times New Roman" pitchFamily="18" charset="0"/>
              <a:cs typeface="Times New Roman" pitchFamily="18" charset="0"/>
            </a:rPr>
            <a:t>       tipo de servicio en el SIBDI.</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0.50974</cdr:y>
    </cdr:from>
    <cdr:to>
      <cdr:x>0.78952</cdr:x>
      <cdr:y>0.55333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0.90057</cdr:y>
    </cdr:from>
    <cdr:to>
      <cdr:x>0.25174</cdr:x>
      <cdr:y>0.97297</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I-8</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I-5</a:t>
          </a:r>
        </a:p>
      </cdr:txBody>
    </cdr:sp>
  </cdr:relSizeAnchor>
  <cdr:relSizeAnchor xmlns:cdr="http://schemas.openxmlformats.org/drawingml/2006/chartDrawing">
    <cdr:from>
      <cdr:x>0.14861</cdr:x>
      <cdr:y>0.09696</cdr:y>
    </cdr:from>
    <cdr:to>
      <cdr:x>0.94167</cdr:x>
      <cdr:y>0.17681</cdr:y>
    </cdr:to>
    <cdr:sp macro="" textlink="">
      <cdr:nvSpPr>
        <cdr:cNvPr id="7" name="6 CuadroTexto"/>
        <cdr:cNvSpPr txBox="1"/>
      </cdr:nvSpPr>
      <cdr:spPr>
        <a:xfrm xmlns:a="http://schemas.openxmlformats.org/drawingml/2006/main">
          <a:off x="1019175" y="485775"/>
          <a:ext cx="543877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a:latin typeface="Times New Roman" pitchFamily="18" charset="0"/>
              <a:cs typeface="Times New Roman" pitchFamily="18" charset="0"/>
            </a:rPr>
            <a:t>Número de usuarios atendidos,</a:t>
          </a:r>
          <a:r>
            <a:rPr lang="es-ES" sz="1800" baseline="0">
              <a:latin typeface="Times New Roman" pitchFamily="18" charset="0"/>
              <a:cs typeface="Times New Roman" pitchFamily="18" charset="0"/>
            </a:rPr>
            <a:t> según tipo de servicio.</a:t>
          </a:r>
          <a:endParaRPr lang="es-ES" sz="1800">
            <a:latin typeface="Times New Roman" pitchFamily="18" charset="0"/>
            <a:cs typeface="Times New Roman" pitchFamily="18" charset="0"/>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809625</xdr:colOff>
      <xdr:row>5</xdr:row>
      <xdr:rowOff>0</xdr:rowOff>
    </xdr:from>
    <xdr:to>
      <xdr:col>0</xdr:col>
      <xdr:colOff>1066800</xdr:colOff>
      <xdr:row>9</xdr:row>
      <xdr:rowOff>0</xdr:rowOff>
    </xdr:to>
    <xdr:sp macro="" textlink="">
      <xdr:nvSpPr>
        <xdr:cNvPr id="2" name="Line 1"/>
        <xdr:cNvSpPr>
          <a:spLocks noChangeShapeType="1"/>
        </xdr:cNvSpPr>
      </xdr:nvSpPr>
      <xdr:spPr bwMode="auto">
        <a:xfrm>
          <a:off x="809625" y="933450"/>
          <a:ext cx="257175" cy="990600"/>
        </a:xfrm>
        <a:prstGeom prst="line">
          <a:avLst/>
        </a:prstGeom>
        <a:no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9</xdr:row>
      <xdr:rowOff>0</xdr:rowOff>
    </xdr:to>
    <xdr:sp macro="" textlink="">
      <xdr:nvSpPr>
        <xdr:cNvPr id="2" name="Line 1"/>
        <xdr:cNvSpPr>
          <a:spLocks noChangeShapeType="1"/>
        </xdr:cNvSpPr>
      </xdr:nvSpPr>
      <xdr:spPr bwMode="auto">
        <a:xfrm>
          <a:off x="628650" y="828675"/>
          <a:ext cx="133350" cy="666750"/>
        </a:xfrm>
        <a:prstGeom prst="line">
          <a:avLst/>
        </a:prstGeom>
        <a:no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10</xdr:row>
      <xdr:rowOff>0</xdr:rowOff>
    </xdr:to>
    <xdr:sp macro="" textlink="">
      <xdr:nvSpPr>
        <xdr:cNvPr id="2" name="Line 1"/>
        <xdr:cNvSpPr>
          <a:spLocks noChangeShapeType="1"/>
        </xdr:cNvSpPr>
      </xdr:nvSpPr>
      <xdr:spPr bwMode="auto">
        <a:xfrm>
          <a:off x="628650" y="828675"/>
          <a:ext cx="133350" cy="828675"/>
        </a:xfrm>
        <a:prstGeom prst="line">
          <a:avLst/>
        </a:prstGeom>
        <a:no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733425</xdr:colOff>
      <xdr:row>5</xdr:row>
      <xdr:rowOff>9525</xdr:rowOff>
    </xdr:from>
    <xdr:to>
      <xdr:col>0</xdr:col>
      <xdr:colOff>1190625</xdr:colOff>
      <xdr:row>9</xdr:row>
      <xdr:rowOff>161925</xdr:rowOff>
    </xdr:to>
    <xdr:sp macro="" textlink="">
      <xdr:nvSpPr>
        <xdr:cNvPr id="2" name="Line 2"/>
        <xdr:cNvSpPr>
          <a:spLocks noChangeShapeType="1"/>
        </xdr:cNvSpPr>
      </xdr:nvSpPr>
      <xdr:spPr bwMode="auto">
        <a:xfrm>
          <a:off x="733425" y="828675"/>
          <a:ext cx="457200" cy="800100"/>
        </a:xfrm>
        <a:prstGeom prst="line">
          <a:avLst/>
        </a:prstGeom>
        <a:no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xdr:cNvSpPr>
          <a:spLocks noChangeShapeType="1"/>
        </xdr:cNvSpPr>
      </xdr:nvSpPr>
      <xdr:spPr bwMode="auto">
        <a:xfrm>
          <a:off x="695325" y="809625"/>
          <a:ext cx="400050" cy="1000125"/>
        </a:xfrm>
        <a:prstGeom prst="line">
          <a:avLst/>
        </a:prstGeom>
        <a:no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38100</xdr:colOff>
      <xdr:row>0</xdr:row>
      <xdr:rowOff>28575</xdr:rowOff>
    </xdr:from>
    <xdr:to>
      <xdr:col>8</xdr:col>
      <xdr:colOff>742950</xdr:colOff>
      <xdr:row>31</xdr:row>
      <xdr:rowOff>38100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0.03702</cdr:x>
      <cdr:y>0.09709</cdr:y>
    </cdr:from>
    <cdr:to>
      <cdr:x>0.94357</cdr:x>
      <cdr:y>0.23016</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Acción Social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0.51096</cdr:y>
    </cdr:from>
    <cdr:to>
      <cdr:x>0.78952</cdr:x>
      <cdr:y>0.55455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0.90179</cdr:y>
    </cdr:from>
    <cdr:to>
      <cdr:x>0.25174</cdr:x>
      <cdr:y>0.97321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0.02315</cdr:y>
    </cdr:from>
    <cdr:to>
      <cdr:x>0.22476</cdr:x>
      <cdr:y>0.08637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885825</xdr:colOff>
      <xdr:row>4</xdr:row>
      <xdr:rowOff>200025</xdr:rowOff>
    </xdr:from>
    <xdr:to>
      <xdr:col>0</xdr:col>
      <xdr:colOff>1524000</xdr:colOff>
      <xdr:row>9</xdr:row>
      <xdr:rowOff>9525</xdr:rowOff>
    </xdr:to>
    <xdr:sp macro="" textlink="">
      <xdr:nvSpPr>
        <xdr:cNvPr id="2" name="Line 2"/>
        <xdr:cNvSpPr>
          <a:spLocks noChangeShapeType="1"/>
        </xdr:cNvSpPr>
      </xdr:nvSpPr>
      <xdr:spPr bwMode="auto">
        <a:xfrm>
          <a:off x="885825" y="962025"/>
          <a:ext cx="638175" cy="1000125"/>
        </a:xfrm>
        <a:prstGeom prst="line">
          <a:avLst/>
        </a:prstGeom>
        <a:no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38100</xdr:colOff>
      <xdr:row>0</xdr:row>
      <xdr:rowOff>28576</xdr:rowOff>
    </xdr:from>
    <xdr:to>
      <xdr:col>11</xdr:col>
      <xdr:colOff>409575</xdr:colOff>
      <xdr:row>29</xdr:row>
      <xdr:rowOff>66675</xdr:rowOff>
    </xdr:to>
    <xdr:graphicFrame macro="">
      <xdr:nvGraphicFramePr>
        <xdr:cNvPr id="2"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28575</xdr:rowOff>
    </xdr:from>
    <xdr:to>
      <xdr:col>8</xdr:col>
      <xdr:colOff>704850</xdr:colOff>
      <xdr:row>32</xdr:row>
      <xdr:rowOff>66675</xdr:rowOff>
    </xdr:to>
    <xdr:graphicFrame macro="">
      <xdr:nvGraphicFramePr>
        <xdr:cNvPr id="2"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0.02104</cdr:x>
      <cdr:y>0.9292</cdr:y>
    </cdr:from>
    <cdr:to>
      <cdr:x>0.24544</cdr:x>
      <cdr:y>0.9823</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AS 2</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0.21739</cdr:x>
      <cdr:y>0.05664</cdr:y>
    </cdr:from>
    <cdr:to>
      <cdr:x>0.35203</cdr:x>
      <cdr:y>0.22655</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0.02945</cdr:x>
      <cdr:y>0.06372</cdr:y>
    </cdr:from>
    <cdr:to>
      <cdr:x>0.1641</cdr:x>
      <cdr:y>0.11858</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0.23843</cdr:x>
      <cdr:y>0.02124</cdr:y>
    </cdr:from>
    <cdr:to>
      <cdr:x>0.83871</cdr:x>
      <cdr:y>0.07611</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2017</a:t>
          </a:r>
        </a:p>
      </cdr:txBody>
    </cdr:sp>
  </cdr:relSizeAnchor>
  <cdr:relSizeAnchor xmlns:cdr="http://schemas.openxmlformats.org/drawingml/2006/chartDrawing">
    <cdr:from>
      <cdr:x>0.00758</cdr:x>
      <cdr:y>0.01416</cdr:y>
    </cdr:from>
    <cdr:to>
      <cdr:x>0.21343</cdr:x>
      <cdr:y>0.07611</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AS2</a:t>
          </a:r>
        </a:p>
      </cdr:txBody>
    </cdr:sp>
  </cdr:relSizeAnchor>
  <cdr:relSizeAnchor xmlns:cdr="http://schemas.openxmlformats.org/drawingml/2006/chartDrawing">
    <cdr:from>
      <cdr:x>0.49901</cdr:x>
      <cdr:y>0.49951</cdr:y>
    </cdr:from>
    <cdr:to>
      <cdr:x>0.55101</cdr:x>
      <cdr:y>0.53097</cdr:y>
    </cdr:to>
    <cdr:sp macro="" textlink="">
      <cdr:nvSpPr>
        <cdr:cNvPr id="57350" name="Text Box 6"/>
        <cdr:cNvSpPr txBox="1">
          <a:spLocks xmlns:a="http://schemas.openxmlformats.org/drawingml/2006/main" noChangeArrowheads="1"/>
        </cdr:cNvSpPr>
      </cdr:nvSpPr>
      <cdr:spPr bwMode="auto">
        <a:xfrm xmlns:a="http://schemas.openxmlformats.org/drawingml/2006/main">
          <a:off x="3316094" y="2834076"/>
          <a:ext cx="345179" cy="17830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endParaRPr lang="es-ES"/>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495300</xdr:colOff>
      <xdr:row>5</xdr:row>
      <xdr:rowOff>180975</xdr:rowOff>
    </xdr:from>
    <xdr:to>
      <xdr:col>1</xdr:col>
      <xdr:colOff>200025</xdr:colOff>
      <xdr:row>10</xdr:row>
      <xdr:rowOff>0</xdr:rowOff>
    </xdr:to>
    <xdr:sp macro="" textlink="">
      <xdr:nvSpPr>
        <xdr:cNvPr id="2" name="Line 1"/>
        <xdr:cNvSpPr>
          <a:spLocks noChangeShapeType="1"/>
        </xdr:cNvSpPr>
      </xdr:nvSpPr>
      <xdr:spPr bwMode="auto">
        <a:xfrm>
          <a:off x="495300" y="1133475"/>
          <a:ext cx="685800" cy="809625"/>
        </a:xfrm>
        <a:prstGeom prst="line">
          <a:avLst/>
        </a:prstGeom>
        <a:no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8</xdr:col>
      <xdr:colOff>733425</xdr:colOff>
      <xdr:row>31</xdr:row>
      <xdr:rowOff>9525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cdr:x>
      <cdr:y>0.07994</cdr:y>
    </cdr:from>
    <cdr:to>
      <cdr:x>1</cdr:x>
      <cdr:y>0.21863</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baseline="0">
              <a:latin typeface="Times New Roman" pitchFamily="18" charset="0"/>
              <a:cs typeface="Times New Roman" pitchFamily="18" charset="0"/>
            </a:rPr>
            <a:t>Distribución relativa de los proyectos de</a:t>
          </a:r>
        </a:p>
        <a:p xmlns:a="http://schemas.openxmlformats.org/drawingml/2006/main">
          <a:pPr algn="ctr"/>
          <a:r>
            <a:rPr lang="es-CR" sz="1800" baseline="0">
              <a:latin typeface="Times New Roman" pitchFamily="18" charset="0"/>
              <a:cs typeface="Times New Roman" pitchFamily="18" charset="0"/>
            </a:rPr>
            <a:t>     Trabajo Comunal Universitatio, por área.</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0.50974</cdr:y>
    </cdr:from>
    <cdr:to>
      <cdr:x>0.78952</cdr:x>
      <cdr:y>0.55333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0.90057</cdr:y>
    </cdr:from>
    <cdr:to>
      <cdr:x>0.25174</cdr:x>
      <cdr:y>0.97297</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AS3</a:t>
          </a:r>
        </a:p>
      </cdr:txBody>
    </cdr:sp>
  </cdr:relSizeAnchor>
  <cdr:relSizeAnchor xmlns:cdr="http://schemas.openxmlformats.org/drawingml/2006/chartDrawing">
    <cdr:from>
      <cdr:x>0.29832</cdr:x>
      <cdr:y>0.93524</cdr:y>
    </cdr:from>
    <cdr:to>
      <cdr:x>0.73109</cdr:x>
      <cdr:y>0.98286</cdr:y>
    </cdr:to>
    <cdr:sp macro="" textlink="">
      <cdr:nvSpPr>
        <cdr:cNvPr id="5" name="4 CuadroTexto"/>
        <cdr:cNvSpPr txBox="1"/>
      </cdr:nvSpPr>
      <cdr:spPr>
        <a:xfrm xmlns:a="http://schemas.openxmlformats.org/drawingml/2006/main">
          <a:off x="2028843" y="4676785"/>
          <a:ext cx="2943208" cy="2381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t>Nota: En las Sedes</a:t>
          </a:r>
          <a:r>
            <a:rPr lang="es-CR" sz="900" baseline="0"/>
            <a:t> Regionales se incluye Recinto de Golfito </a:t>
          </a:r>
          <a:endParaRPr lang="es-CR" sz="1100"/>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495300</xdr:colOff>
      <xdr:row>5</xdr:row>
      <xdr:rowOff>180975</xdr:rowOff>
    </xdr:from>
    <xdr:to>
      <xdr:col>1</xdr:col>
      <xdr:colOff>200025</xdr:colOff>
      <xdr:row>10</xdr:row>
      <xdr:rowOff>0</xdr:rowOff>
    </xdr:to>
    <xdr:sp macro="" textlink="">
      <xdr:nvSpPr>
        <xdr:cNvPr id="2" name="Line 1"/>
        <xdr:cNvSpPr>
          <a:spLocks noChangeShapeType="1"/>
        </xdr:cNvSpPr>
      </xdr:nvSpPr>
      <xdr:spPr bwMode="auto">
        <a:xfrm>
          <a:off x="495300" y="1133475"/>
          <a:ext cx="685800" cy="809625"/>
        </a:xfrm>
        <a:prstGeom prst="line">
          <a:avLst/>
        </a:prstGeom>
        <a:no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28575</xdr:colOff>
      <xdr:row>0</xdr:row>
      <xdr:rowOff>19050</xdr:rowOff>
    </xdr:from>
    <xdr:to>
      <xdr:col>9</xdr:col>
      <xdr:colOff>66675</xdr:colOff>
      <xdr:row>31</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0.07994</cdr:y>
    </cdr:from>
    <cdr:to>
      <cdr:x>1</cdr:x>
      <cdr:y>0.21863</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baseline="0">
              <a:latin typeface="Times New Roman" pitchFamily="18" charset="0"/>
              <a:cs typeface="Times New Roman" pitchFamily="18" charset="0"/>
            </a:rPr>
            <a:t>Distribución relativa de los proyectos de</a:t>
          </a:r>
        </a:p>
        <a:p xmlns:a="http://schemas.openxmlformats.org/drawingml/2006/main">
          <a:pPr algn="ctr"/>
          <a:r>
            <a:rPr lang="es-CR" sz="1800" baseline="0">
              <a:latin typeface="Times New Roman" pitchFamily="18" charset="0"/>
              <a:cs typeface="Times New Roman" pitchFamily="18" charset="0"/>
            </a:rPr>
            <a:t>     Extención Cultural, por área.</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0.50974</cdr:y>
    </cdr:from>
    <cdr:to>
      <cdr:x>0.78952</cdr:x>
      <cdr:y>0.55333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0.03201</cdr:x>
      <cdr:y>0.90057</cdr:y>
    </cdr:from>
    <cdr:to>
      <cdr:x>0.25174</cdr:x>
      <cdr:y>0.97297</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0.23035</cdr:x>
      <cdr:y>0.08447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AS4</a:t>
          </a:r>
        </a:p>
      </cdr:txBody>
    </cdr:sp>
  </cdr:relSizeAnchor>
  <cdr:relSizeAnchor xmlns:cdr="http://schemas.openxmlformats.org/drawingml/2006/chartDrawing">
    <cdr:from>
      <cdr:x>0.29832</cdr:x>
      <cdr:y>0.93524</cdr:y>
    </cdr:from>
    <cdr:to>
      <cdr:x>0.73109</cdr:x>
      <cdr:y>0.98286</cdr:y>
    </cdr:to>
    <cdr:sp macro="" textlink="">
      <cdr:nvSpPr>
        <cdr:cNvPr id="5" name="4 CuadroTexto"/>
        <cdr:cNvSpPr txBox="1"/>
      </cdr:nvSpPr>
      <cdr:spPr>
        <a:xfrm xmlns:a="http://schemas.openxmlformats.org/drawingml/2006/main">
          <a:off x="2028843" y="4676785"/>
          <a:ext cx="2943208" cy="2381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t>Nota: En las Sedes</a:t>
          </a:r>
          <a:r>
            <a:rPr lang="es-CR" sz="900" baseline="0"/>
            <a:t> Regionales se incluye Recinto de Golfito </a:t>
          </a:r>
          <a:endParaRPr lang="es-CR" sz="11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495300</xdr:colOff>
      <xdr:row>5</xdr:row>
      <xdr:rowOff>180975</xdr:rowOff>
    </xdr:from>
    <xdr:to>
      <xdr:col>1</xdr:col>
      <xdr:colOff>200025</xdr:colOff>
      <xdr:row>10</xdr:row>
      <xdr:rowOff>0</xdr:rowOff>
    </xdr:to>
    <xdr:sp macro="" textlink="">
      <xdr:nvSpPr>
        <xdr:cNvPr id="2" name="Line 1"/>
        <xdr:cNvSpPr>
          <a:spLocks noChangeShapeType="1"/>
        </xdr:cNvSpPr>
      </xdr:nvSpPr>
      <xdr:spPr bwMode="auto">
        <a:xfrm>
          <a:off x="495300" y="1133475"/>
          <a:ext cx="742950" cy="809625"/>
        </a:xfrm>
        <a:prstGeom prst="line">
          <a:avLst/>
        </a:prstGeom>
        <a:no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352425</xdr:colOff>
      <xdr:row>5</xdr:row>
      <xdr:rowOff>152400</xdr:rowOff>
    </xdr:from>
    <xdr:to>
      <xdr:col>0</xdr:col>
      <xdr:colOff>790575</xdr:colOff>
      <xdr:row>10</xdr:row>
      <xdr:rowOff>9525</xdr:rowOff>
    </xdr:to>
    <xdr:sp macro="" textlink="">
      <xdr:nvSpPr>
        <xdr:cNvPr id="2" name="Line 3"/>
        <xdr:cNvSpPr>
          <a:spLocks noChangeShapeType="1"/>
        </xdr:cNvSpPr>
      </xdr:nvSpPr>
      <xdr:spPr bwMode="auto">
        <a:xfrm>
          <a:off x="352425" y="962025"/>
          <a:ext cx="438150" cy="790575"/>
        </a:xfrm>
        <a:prstGeom prst="line">
          <a:avLst/>
        </a:prstGeom>
        <a:no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9525</xdr:colOff>
      <xdr:row>0</xdr:row>
      <xdr:rowOff>9525</xdr:rowOff>
    </xdr:from>
    <xdr:to>
      <xdr:col>9</xdr:col>
      <xdr:colOff>314325</xdr:colOff>
      <xdr:row>31</xdr:row>
      <xdr:rowOff>152400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ORAMA%20POR%20SECCION/1-REC-HUMANOS/GRAF-RH-EXEL-17/GR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ANORAMA%20POR%20SECCION/3-DOCENCIA/GRAF-PLAZAS-EXL-17/GD-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ANORAMA%20POR%20SECCION/3-DOCENCIA/GRAF-CAR-MATE-EXL-17/G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ANORAMA%20POR%20SECCION/3-DOCENCIA/GRAF-CAR-MATE-EXL-17/GD-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ANORAMA%20POR%20SECCION/3-DOCENCIA/GRAF-GRADUA-EXL-17/GD-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ANORAMA%20POR%20SECCION/3-DOCENCIA/GRAF-GRADUA-EXL-17/GD-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ANORAMA%20POR%20SECCION/3-DOCENCIA/GRAF-GRADUA-EXL-17/GD-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NORAMA%20POR%20SECCION/3-DOCENCIA/GRAF-GRADUA-EXL-17/GD-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ANORAMA%20POR%20SECCION/3-DOCENCIA/GRAF-GRADUA-EXL-17/GD-8.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ANORAMA%20POR%20SECCION/3-DOCENCIA/GRAF-GRADUA-EXL-17/GD-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ANORAMA%20POR%20SECCION/4-INVESTIGACION/GRAF-PLAZAS-EXL-17/G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NORAMA%20POR%20SECCION/1-REC-HUMANOS/GRAF-RH-EXEL-17/GRH-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ANORAMA%20POR%20SECCION/4-INVESTIGACION/GRAF-PROY-EXL-17/GI-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ANORAMA%20POR%20SECCION/4-INVESTIGACION/GRAF-PROY-EXL-17/GI-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ANORAMA%20POR%20SECCION/4-INVESTIGACION/GRAF-PROY-EXL-17/GI-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ANORAMA%20POR%20SECCION/4-INVESTIGACION/GRAF-BIBLIO-EXL-17/GI-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ANORAMA%20POR%20SECCION/5-ACCION%20SOCIAL/GRAF-PLA-EXEL-17/G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ANORAMA%20POR%20SECCION/5-ACCION%20SOCIAL/GRAF%20EXTDOC%202017/GAS-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ANORAMA%20POR%20SECCION/5-ACCION%20SOCIAL/GRAF%20TCU%202017/GAS-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ANORAMA%20POR%20SECCION/5-ACCION%20SOCIAL/GRAF%20EXTCULT%202017/GAS-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ANORAMA%20POR%20SECCION/5-ACCION%20SOCIAL/GRAF%20PIAM%202017/GAS-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ANORAMA%20POR%20SECCION/6-VIDA-ESTU/GRAF-PLAZAS-EXEL-17/GV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NORAMA%20POR%20SECCION/1-REC-HUMANOS/GRAF-RH-EXEL-17/GRH-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ANORAMA%20POR%20SECCION/6-VIDA-ESTU/GRAF-CARACT-ECON-EXEL-17/GV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ANORAMA%20POR%20SECCION/6-VIDA-ESTU/GRAF-CARACT-ECON-EXEL-17/GVE-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ANORAMA%20POR%20SECCION/6-VIDA-ESTU/GRAF-CARACT-ECON-EXEL-17/GVE-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ANORAMA%20POR%20SECCION/6-VIDA-ESTU/GRAF-CARACT-ECON-EXEL-17/GVE-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ANORAMA%20POR%20SECCION/6-VIDA-ESTU/GRAF-CARACT-ECON-EXEL-17/GVE-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ANORAMA%20POR%20SECCION/6-VIDA-ESTU/GRAF-BECAS-ASIT-EXEL-17/GVE-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ANORAMA%20POR%20SECCION/6-VIDA-ESTU/GRAF-BECAS-ASIT-EXEL-17/GVE-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ANORAMA%20POR%20SECCION/6-VIDA-ESTU/GRAF-BECAS-ASIT-EXEL-17/GVE-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ANORAMA%20POR%20SECCION/6-VIDA-ESTU/GRAF-SALUD/GVE-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ANORAMA%20POR%20SECCION/7-ADMINISTRACION/GRAF-PLAZAS-EXEL-17/GAD-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NORAMA%20POR%20SECCION/1-REC-HUMANOS/GRAF-RH-EXEL-17/GRH-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ANORAMA%20POR%20SECCION/8-DIR-SUPERIOR/GRAF-PLAZAS-EXEL-DIRSUP-17/GDS-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ANORAMA%20POR%20SECCION/8-DIR-SUPERIOR/GRAF-ASUNT-INT-EXEL-17/GAI-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NORAMA%20POR%20SECCION/1-REC-HUMANOS/GRAF-RH-EXEL-17/GRH-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ANORAMA%20POR%20SECCION/1-REC-HUMANOS/GRAF-RH-EXEL-17/GRH-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NORAMA%20POR%20SECCION/1-REC-HUMANOS/GRAF-RH-EXEL-17/GRH-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NORAMA%20POR%20SECCION/1-REC-HUMANOS/GRAF-RH-EXEL-17/GRH-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NORAMA%20POR%20SECCION/2-PRESU/GRF-RF-EXEL-17/GRF-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H1"/>
    </sheetNames>
    <sheetDataSet>
      <sheetData sheetId="0">
        <row r="1">
          <cell r="A1" t="str">
            <v>Docente</v>
          </cell>
          <cell r="B1" t="str">
            <v xml:space="preserve">Administración </v>
          </cell>
          <cell r="C1" t="str">
            <v>De Apoyo</v>
          </cell>
        </row>
        <row r="2">
          <cell r="A2">
            <v>46.83</v>
          </cell>
          <cell r="B2">
            <v>40.700000000000003</v>
          </cell>
          <cell r="C2">
            <v>12.46</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D1"/>
    </sheetNames>
    <sheetDataSet>
      <sheetData sheetId="0">
        <row r="3">
          <cell r="B3" t="str">
            <v>Docente</v>
          </cell>
          <cell r="C3" t="str">
            <v xml:space="preserve">Administración </v>
          </cell>
          <cell r="D3" t="str">
            <v>De Apoyo</v>
          </cell>
        </row>
        <row r="4">
          <cell r="B4">
            <v>78.22</v>
          </cell>
          <cell r="C4">
            <v>14.51</v>
          </cell>
          <cell r="D4">
            <v>7.27</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GD-2"/>
    </sheetNames>
    <sheetDataSet>
      <sheetData sheetId="0">
        <row r="2">
          <cell r="B2" t="str">
            <v>Bachiller</v>
          </cell>
          <cell r="C2" t="str">
            <v>Licenciado</v>
          </cell>
          <cell r="D2" t="str">
            <v>Diplomado</v>
          </cell>
        </row>
        <row r="3">
          <cell r="B3">
            <v>52.35</v>
          </cell>
          <cell r="C3">
            <v>42.94</v>
          </cell>
          <cell r="D3">
            <v>4.71</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GD3"/>
    </sheetNames>
    <sheetDataSet>
      <sheetData sheetId="0">
        <row r="2">
          <cell r="B2" t="str">
            <v>Maestria Profesional</v>
          </cell>
          <cell r="C2" t="str">
            <v>Maestria Acádemica</v>
          </cell>
          <cell r="D2" t="str">
            <v>Especialidades</v>
          </cell>
          <cell r="E2" t="str">
            <v>Doctorado</v>
          </cell>
        </row>
        <row r="3">
          <cell r="B3">
            <v>34.880000000000003</v>
          </cell>
          <cell r="C3">
            <v>31.4</v>
          </cell>
          <cell r="D3">
            <v>29.46</v>
          </cell>
          <cell r="E3">
            <v>4.26</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GD6"/>
    </sheetNames>
    <sheetDataSet>
      <sheetData sheetId="0">
        <row r="4">
          <cell r="B4" t="str">
            <v>Bachiller</v>
          </cell>
          <cell r="C4" t="str">
            <v>Licenciado</v>
          </cell>
          <cell r="D4" t="str">
            <v>Diplomado</v>
          </cell>
        </row>
        <row r="5">
          <cell r="B5">
            <v>59.93</v>
          </cell>
          <cell r="C5">
            <v>34.049999999999997</v>
          </cell>
          <cell r="D5">
            <v>6.01</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D7"/>
    </sheetNames>
    <sheetDataSet>
      <sheetData sheetId="0">
        <row r="2">
          <cell r="B2" t="str">
            <v>Area de Ciencias Básicas</v>
          </cell>
          <cell r="C2">
            <v>152</v>
          </cell>
        </row>
        <row r="3">
          <cell r="B3" t="str">
            <v>Cs. Agroalimentarias</v>
          </cell>
          <cell r="C3">
            <v>203</v>
          </cell>
        </row>
        <row r="4">
          <cell r="B4" t="str">
            <v>Area de Artes y Letras</v>
          </cell>
          <cell r="C4">
            <v>296</v>
          </cell>
        </row>
        <row r="5">
          <cell r="B5" t="str">
            <v>Área de Ingeniería y Arquitectura</v>
          </cell>
          <cell r="C5">
            <v>584</v>
          </cell>
        </row>
        <row r="6">
          <cell r="B6" t="str">
            <v>Area de Salud</v>
          </cell>
          <cell r="C6">
            <v>690</v>
          </cell>
        </row>
        <row r="7">
          <cell r="B7" t="str">
            <v>Sedes Regionales</v>
          </cell>
          <cell r="C7">
            <v>1343</v>
          </cell>
        </row>
        <row r="8">
          <cell r="B8" t="str">
            <v>Area de Ciencias Sociales</v>
          </cell>
          <cell r="C8">
            <v>2680</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D7.1"/>
    </sheetNames>
    <sheetDataSet>
      <sheetData sheetId="0">
        <row r="2">
          <cell r="C2" t="str">
            <v>Femenino</v>
          </cell>
          <cell r="D2" t="str">
            <v>Masculino</v>
          </cell>
        </row>
        <row r="3">
          <cell r="B3" t="str">
            <v>Cs. Básicas</v>
          </cell>
          <cell r="C3">
            <v>55</v>
          </cell>
          <cell r="D3">
            <v>97</v>
          </cell>
        </row>
        <row r="4">
          <cell r="B4" t="str">
            <v>Cs. Agroalimentarias</v>
          </cell>
          <cell r="C4">
            <v>103</v>
          </cell>
          <cell r="D4">
            <v>100</v>
          </cell>
        </row>
        <row r="5">
          <cell r="B5" t="str">
            <v>Ing. y Arquitectura</v>
          </cell>
          <cell r="C5">
            <v>164</v>
          </cell>
          <cell r="D5">
            <v>420</v>
          </cell>
        </row>
        <row r="6">
          <cell r="B6" t="str">
            <v xml:space="preserve">Artes y Letras </v>
          </cell>
          <cell r="C6">
            <v>186</v>
          </cell>
          <cell r="D6">
            <v>110</v>
          </cell>
        </row>
        <row r="7">
          <cell r="B7" t="str">
            <v>Salud</v>
          </cell>
          <cell r="C7">
            <v>458</v>
          </cell>
          <cell r="D7">
            <v>232</v>
          </cell>
        </row>
        <row r="8">
          <cell r="B8" t="str">
            <v>Sedes Regionales</v>
          </cell>
          <cell r="C8">
            <v>501</v>
          </cell>
          <cell r="D8">
            <v>842</v>
          </cell>
        </row>
        <row r="9">
          <cell r="B9" t="str">
            <v>Cs. Sociales</v>
          </cell>
          <cell r="C9">
            <v>1687</v>
          </cell>
          <cell r="D9">
            <v>993</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Hoja1"/>
    </sheetNames>
    <sheetDataSet>
      <sheetData sheetId="0">
        <row r="2">
          <cell r="G2" t="str">
            <v>Maestría Profesional</v>
          </cell>
        </row>
        <row r="3">
          <cell r="G3" t="str">
            <v>Especialidades</v>
          </cell>
          <cell r="H3">
            <v>294</v>
          </cell>
        </row>
        <row r="4">
          <cell r="G4" t="str">
            <v>Maestría</v>
          </cell>
          <cell r="H4">
            <v>333</v>
          </cell>
        </row>
        <row r="5">
          <cell r="G5" t="str">
            <v>Doctorado</v>
          </cell>
          <cell r="H5">
            <v>10</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D8.1"/>
    </sheetNames>
    <sheetDataSet>
      <sheetData sheetId="0">
        <row r="2">
          <cell r="C2" t="str">
            <v>Femenino</v>
          </cell>
          <cell r="D2" t="str">
            <v>Masculino</v>
          </cell>
        </row>
        <row r="3">
          <cell r="B3" t="str">
            <v>Maestrias</v>
          </cell>
          <cell r="C3">
            <v>147</v>
          </cell>
          <cell r="D3">
            <v>186</v>
          </cell>
        </row>
        <row r="4">
          <cell r="B4" t="str">
            <v>Especialidades</v>
          </cell>
          <cell r="C4">
            <v>122</v>
          </cell>
          <cell r="D4">
            <v>172</v>
          </cell>
        </row>
        <row r="5">
          <cell r="B5" t="str">
            <v>Doctorado</v>
          </cell>
          <cell r="C5">
            <v>10</v>
          </cell>
          <cell r="D5">
            <v>7</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ja1"/>
    </sheetNames>
    <sheetDataSet>
      <sheetData sheetId="0">
        <row r="2">
          <cell r="B2" t="str">
            <v>Femenino</v>
          </cell>
          <cell r="C2" t="str">
            <v>Masculino</v>
          </cell>
        </row>
        <row r="3">
          <cell r="B3">
            <v>57.4</v>
          </cell>
          <cell r="C3">
            <v>42.6</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1"/>
    </sheetNames>
    <sheetDataSet>
      <sheetData sheetId="0">
        <row r="3">
          <cell r="B3" t="str">
            <v>De Apoyo</v>
          </cell>
          <cell r="C3" t="str">
            <v>Docente</v>
          </cell>
          <cell r="D3" t="str">
            <v xml:space="preserve">Administración </v>
          </cell>
        </row>
        <row r="4">
          <cell r="B4">
            <v>35.299999999999997</v>
          </cell>
          <cell r="C4">
            <v>33.450000000000003</v>
          </cell>
          <cell r="D4">
            <v>31.24</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RH-2"/>
    </sheetNames>
    <sheetDataSet>
      <sheetData sheetId="0">
        <row r="1">
          <cell r="B1" t="str">
            <v>Propiedad</v>
          </cell>
          <cell r="C1" t="str">
            <v>Interino</v>
          </cell>
        </row>
        <row r="2">
          <cell r="A2" t="str">
            <v>I ciclo 2013</v>
          </cell>
          <cell r="B2">
            <v>1687</v>
          </cell>
          <cell r="C2">
            <v>4380</v>
          </cell>
        </row>
        <row r="3">
          <cell r="A3" t="str">
            <v>II ciclo 2013</v>
          </cell>
          <cell r="B3">
            <v>1677</v>
          </cell>
          <cell r="C3">
            <v>4361</v>
          </cell>
        </row>
        <row r="4">
          <cell r="A4" t="str">
            <v>I ciclo 2014</v>
          </cell>
          <cell r="B4">
            <v>1749</v>
          </cell>
          <cell r="C4">
            <v>4325</v>
          </cell>
        </row>
        <row r="5">
          <cell r="A5" t="str">
            <v>II ciclo 2014</v>
          </cell>
          <cell r="B5">
            <v>1730</v>
          </cell>
          <cell r="C5">
            <v>4548</v>
          </cell>
        </row>
        <row r="6">
          <cell r="A6" t="str">
            <v>I ciclo 2015</v>
          </cell>
          <cell r="B6">
            <v>1920</v>
          </cell>
          <cell r="C6">
            <v>4132</v>
          </cell>
        </row>
        <row r="7">
          <cell r="A7" t="str">
            <v>II ciclo 2015</v>
          </cell>
          <cell r="B7">
            <v>1867</v>
          </cell>
          <cell r="C7">
            <v>4152</v>
          </cell>
        </row>
        <row r="8">
          <cell r="A8" t="str">
            <v>I ciclo 2016</v>
          </cell>
          <cell r="B8">
            <v>1875</v>
          </cell>
          <cell r="C8">
            <v>4225</v>
          </cell>
        </row>
        <row r="9">
          <cell r="A9" t="str">
            <v>II ciclo 2016</v>
          </cell>
          <cell r="B9">
            <v>1877</v>
          </cell>
          <cell r="C9">
            <v>4256</v>
          </cell>
        </row>
        <row r="10">
          <cell r="A10" t="str">
            <v>I ciclo 2017</v>
          </cell>
          <cell r="B10">
            <v>1950</v>
          </cell>
          <cell r="C10">
            <v>4350</v>
          </cell>
        </row>
        <row r="11">
          <cell r="A11" t="str">
            <v>II ciclo 2017</v>
          </cell>
          <cell r="B11">
            <v>1867</v>
          </cell>
          <cell r="C11">
            <v>4093</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GI-2"/>
      <sheetName val="Hoja3"/>
    </sheetNames>
    <sheetDataSet>
      <sheetData sheetId="0">
        <row r="3">
          <cell r="B3" t="str">
            <v>Activos</v>
          </cell>
          <cell r="C3" t="str">
            <v>Nuevos</v>
          </cell>
          <cell r="D3" t="str">
            <v>Terminados</v>
          </cell>
          <cell r="E3" t="str">
            <v>Ampliaciones</v>
          </cell>
          <cell r="F3" t="str">
            <v>Otros</v>
          </cell>
        </row>
        <row r="4">
          <cell r="B4">
            <v>1924</v>
          </cell>
          <cell r="C4">
            <v>578</v>
          </cell>
          <cell r="D4">
            <v>519</v>
          </cell>
          <cell r="E4">
            <v>636</v>
          </cell>
          <cell r="F4">
            <v>51</v>
          </cell>
        </row>
      </sheetData>
      <sheetData sheetId="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GI-3"/>
    </sheetNames>
    <sheetDataSet>
      <sheetData sheetId="0">
        <row r="3">
          <cell r="B3" t="str">
            <v>Básica</v>
          </cell>
          <cell r="C3" t="str">
            <v>Apliacada</v>
          </cell>
          <cell r="D3" t="str">
            <v>Tecnológica</v>
          </cell>
        </row>
        <row r="4">
          <cell r="B4">
            <v>1232</v>
          </cell>
          <cell r="C4">
            <v>179</v>
          </cell>
          <cell r="D4">
            <v>25</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GI-4"/>
    </sheetNames>
    <sheetDataSet>
      <sheetData sheetId="0">
        <row r="2">
          <cell r="C2" t="str">
            <v>Mujer</v>
          </cell>
          <cell r="D2" t="str">
            <v>Hombre</v>
          </cell>
        </row>
        <row r="3">
          <cell r="C3">
            <v>66</v>
          </cell>
          <cell r="D3">
            <v>115</v>
          </cell>
        </row>
        <row r="4">
          <cell r="C4">
            <v>178</v>
          </cell>
          <cell r="D4">
            <v>343</v>
          </cell>
        </row>
        <row r="5">
          <cell r="C5">
            <v>212</v>
          </cell>
          <cell r="D5">
            <v>206</v>
          </cell>
        </row>
        <row r="6">
          <cell r="C6">
            <v>365</v>
          </cell>
          <cell r="D6">
            <v>303</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GI-5"/>
    </sheetNames>
    <sheetDataSet>
      <sheetData sheetId="0">
        <row r="3">
          <cell r="B3" t="str">
            <v xml:space="preserve">Circulación </v>
          </cell>
          <cell r="C3" t="str">
            <v>referencia</v>
          </cell>
          <cell r="D3" t="str">
            <v>audiovisuales</v>
          </cell>
          <cell r="E3" t="str">
            <v>Otros Servicios</v>
          </cell>
          <cell r="F3" t="str">
            <v>Serv. Administrativos</v>
          </cell>
        </row>
        <row r="4">
          <cell r="B4">
            <v>202285</v>
          </cell>
          <cell r="C4">
            <v>105815</v>
          </cell>
          <cell r="D4">
            <v>122179</v>
          </cell>
          <cell r="E4">
            <v>90451</v>
          </cell>
          <cell r="F4">
            <v>17839</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GAS-1"/>
    </sheetNames>
    <sheetDataSet>
      <sheetData sheetId="0">
        <row r="3">
          <cell r="B3" t="str">
            <v>De Apoyo</v>
          </cell>
          <cell r="C3" t="str">
            <v xml:space="preserve">Administración </v>
          </cell>
          <cell r="D3" t="str">
            <v>Docente</v>
          </cell>
        </row>
        <row r="4">
          <cell r="B4">
            <v>116.13</v>
          </cell>
          <cell r="C4">
            <v>58</v>
          </cell>
          <cell r="D4">
            <v>51.5</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Hoja1"/>
    </sheetNames>
    <sheetDataSet>
      <sheetData sheetId="0">
        <row r="3">
          <cell r="B3" t="str">
            <v>Artes y Letras</v>
          </cell>
          <cell r="C3" t="str">
            <v>Cs. Basicas</v>
          </cell>
          <cell r="D3" t="str">
            <v>Cs. Sociales</v>
          </cell>
          <cell r="E3" t="str">
            <v>Salud</v>
          </cell>
          <cell r="F3" t="str">
            <v>Cs. Agroalimentarias</v>
          </cell>
          <cell r="G3" t="str">
            <v>Ing. y Arquitectura</v>
          </cell>
          <cell r="H3" t="str">
            <v>Otras Unidades</v>
          </cell>
          <cell r="I3" t="str">
            <v>Sedes Regionales</v>
          </cell>
        </row>
        <row r="7">
          <cell r="A7">
            <v>2013</v>
          </cell>
          <cell r="B7">
            <v>5.59</v>
          </cell>
          <cell r="C7">
            <v>7.25</v>
          </cell>
          <cell r="D7">
            <v>27.74</v>
          </cell>
          <cell r="E7">
            <v>17.18</v>
          </cell>
          <cell r="F7">
            <v>10.35</v>
          </cell>
          <cell r="G7">
            <v>4.1399999999999997</v>
          </cell>
          <cell r="H7">
            <v>6.83</v>
          </cell>
          <cell r="I7">
            <v>20.91</v>
          </cell>
        </row>
        <row r="8">
          <cell r="A8">
            <v>2014</v>
          </cell>
          <cell r="B8">
            <v>5.91</v>
          </cell>
          <cell r="C8">
            <v>6.14</v>
          </cell>
          <cell r="D8">
            <v>27.73</v>
          </cell>
          <cell r="E8">
            <v>19.32</v>
          </cell>
          <cell r="F8">
            <v>11.59</v>
          </cell>
          <cell r="G8">
            <v>5</v>
          </cell>
          <cell r="H8">
            <v>4.32</v>
          </cell>
          <cell r="I8">
            <v>20</v>
          </cell>
        </row>
        <row r="9">
          <cell r="A9">
            <v>2015</v>
          </cell>
          <cell r="B9">
            <v>5.74</v>
          </cell>
          <cell r="C9">
            <v>6.6</v>
          </cell>
          <cell r="D9">
            <v>27.45</v>
          </cell>
          <cell r="E9">
            <v>18.940000000000001</v>
          </cell>
          <cell r="F9">
            <v>10.85</v>
          </cell>
          <cell r="G9">
            <v>5.74</v>
          </cell>
          <cell r="H9">
            <v>4.47</v>
          </cell>
          <cell r="I9">
            <v>20.21</v>
          </cell>
        </row>
        <row r="10">
          <cell r="A10">
            <v>2016</v>
          </cell>
          <cell r="B10">
            <v>5.4</v>
          </cell>
          <cell r="C10">
            <v>7.13</v>
          </cell>
          <cell r="D10">
            <v>27.21</v>
          </cell>
          <cell r="E10">
            <v>17.93</v>
          </cell>
          <cell r="F10">
            <v>11.45</v>
          </cell>
          <cell r="G10">
            <v>5.83</v>
          </cell>
          <cell r="H10">
            <v>4.54</v>
          </cell>
          <cell r="I10">
            <v>20.52</v>
          </cell>
        </row>
        <row r="11">
          <cell r="A11">
            <v>2017</v>
          </cell>
          <cell r="B11">
            <v>5.8695652173913047</v>
          </cell>
          <cell r="C11">
            <v>8.0434782608695592</v>
          </cell>
          <cell r="D11">
            <v>27.826086956521738</v>
          </cell>
          <cell r="E11">
            <v>16.739130434782609</v>
          </cell>
          <cell r="F11">
            <v>11.739130434782609</v>
          </cell>
          <cell r="G11">
            <v>5.6521739130434785</v>
          </cell>
          <cell r="H11">
            <v>3.0434782608695654</v>
          </cell>
          <cell r="I11">
            <v>21.086956521739133</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GAS-3"/>
    </sheetNames>
    <sheetDataSet>
      <sheetData sheetId="0">
        <row r="3">
          <cell r="B3" t="str">
            <v>Cs. Socilaes</v>
          </cell>
          <cell r="C3" t="str">
            <v>Sedes Regionales</v>
          </cell>
          <cell r="D3" t="str">
            <v>Salud</v>
          </cell>
          <cell r="E3" t="str">
            <v>Ing. y Arquitectura</v>
          </cell>
          <cell r="F3" t="str">
            <v>Artes y letras</v>
          </cell>
          <cell r="G3" t="str">
            <v>Cs. Básicas</v>
          </cell>
          <cell r="H3" t="str">
            <v>Cs. Agroalimentarias</v>
          </cell>
        </row>
        <row r="4">
          <cell r="B4">
            <v>31.609195402298852</v>
          </cell>
          <cell r="C4">
            <v>27.586206896551722</v>
          </cell>
          <cell r="D4">
            <v>14.942528735632186</v>
          </cell>
          <cell r="E4">
            <v>8.0459770114942533</v>
          </cell>
          <cell r="F4">
            <v>8.0459770114942533</v>
          </cell>
          <cell r="G4">
            <v>5.1724137931034484</v>
          </cell>
          <cell r="H4">
            <v>3.4482758620689653</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GAS-4"/>
    </sheetNames>
    <sheetDataSet>
      <sheetData sheetId="0">
        <row r="3">
          <cell r="A3" t="str">
            <v>Sedes Regionales</v>
          </cell>
          <cell r="B3" t="str">
            <v>Artes y letras</v>
          </cell>
          <cell r="C3" t="str">
            <v>Cs. Socilaes</v>
          </cell>
          <cell r="D3" t="str">
            <v>Ing. y Arquitectura</v>
          </cell>
          <cell r="E3" t="str">
            <v>Salud</v>
          </cell>
          <cell r="F3" t="str">
            <v>Ofic. Administrativa</v>
          </cell>
          <cell r="G3" t="str">
            <v>Cs. Básicas</v>
          </cell>
          <cell r="H3" t="str">
            <v>Cs. Agroalimentarias</v>
          </cell>
        </row>
        <row r="4">
          <cell r="A4">
            <v>45.528455284552841</v>
          </cell>
          <cell r="B4">
            <v>28.455284552845526</v>
          </cell>
          <cell r="C4">
            <v>8.1300813008130071</v>
          </cell>
          <cell r="D4">
            <v>7.3170731707317067</v>
          </cell>
          <cell r="E4">
            <v>4.0650406504065035</v>
          </cell>
          <cell r="F4">
            <v>4.0650406504065035</v>
          </cell>
          <cell r="G4">
            <v>2.4390243902439024</v>
          </cell>
          <cell r="H4">
            <v>0.84</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AS-6"/>
    </sheetNames>
    <sheetDataSet>
      <sheetData sheetId="0">
        <row r="1">
          <cell r="B1" t="str">
            <v>I ciclo</v>
          </cell>
          <cell r="C1" t="str">
            <v>II ciclo</v>
          </cell>
        </row>
        <row r="2">
          <cell r="A2" t="str">
            <v xml:space="preserve">  Primaria incompleta</v>
          </cell>
          <cell r="B2">
            <v>115</v>
          </cell>
          <cell r="C2">
            <v>76</v>
          </cell>
        </row>
        <row r="3">
          <cell r="A3" t="str">
            <v xml:space="preserve">   Primaria completa</v>
          </cell>
          <cell r="B3">
            <v>160</v>
          </cell>
          <cell r="C3">
            <v>133</v>
          </cell>
        </row>
        <row r="4">
          <cell r="A4" t="str">
            <v xml:space="preserve">  Secundaria incompleta</v>
          </cell>
          <cell r="B4">
            <v>239</v>
          </cell>
          <cell r="C4">
            <v>212</v>
          </cell>
        </row>
        <row r="5">
          <cell r="A5" t="str">
            <v xml:space="preserve">  Secundaria completa</v>
          </cell>
          <cell r="B5">
            <v>378</v>
          </cell>
          <cell r="C5">
            <v>356</v>
          </cell>
        </row>
        <row r="6">
          <cell r="A6" t="str">
            <v xml:space="preserve">   Parauniversitaria</v>
          </cell>
          <cell r="B6">
            <v>170</v>
          </cell>
          <cell r="C6">
            <v>163</v>
          </cell>
        </row>
        <row r="7">
          <cell r="A7" t="str">
            <v xml:space="preserve">   Universitaria incompleta</v>
          </cell>
          <cell r="B7">
            <v>418</v>
          </cell>
          <cell r="C7">
            <v>402</v>
          </cell>
        </row>
        <row r="8">
          <cell r="A8" t="str">
            <v xml:space="preserve">   Universitaria completa</v>
          </cell>
          <cell r="B8">
            <v>1147</v>
          </cell>
          <cell r="C8">
            <v>1135</v>
          </cell>
        </row>
        <row r="9">
          <cell r="A9" t="str">
            <v xml:space="preserve">   No se indica</v>
          </cell>
          <cell r="B9">
            <v>56</v>
          </cell>
          <cell r="C9">
            <v>39</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VE-1"/>
    </sheetNames>
    <sheetDataSet>
      <sheetData sheetId="0">
        <row r="3">
          <cell r="B3" t="str">
            <v xml:space="preserve">Administración </v>
          </cell>
          <cell r="C3" t="str">
            <v xml:space="preserve">Apoyo </v>
          </cell>
          <cell r="D3" t="str">
            <v>Docente</v>
          </cell>
        </row>
        <row r="4">
          <cell r="B4">
            <v>80.069999999999993</v>
          </cell>
          <cell r="C4">
            <v>19.55</v>
          </cell>
          <cell r="D4">
            <v>0.37</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oja1"/>
    </sheetNames>
    <sheetDataSet>
      <sheetData sheetId="0">
        <row r="2">
          <cell r="B2" t="str">
            <v>Catedrático</v>
          </cell>
          <cell r="C2" t="str">
            <v xml:space="preserve">Asociado </v>
          </cell>
          <cell r="D2" t="str">
            <v>Adjunto</v>
          </cell>
          <cell r="E2" t="str">
            <v>Instructor</v>
          </cell>
        </row>
        <row r="3">
          <cell r="A3">
            <v>2013</v>
          </cell>
          <cell r="B3">
            <v>24.82</v>
          </cell>
          <cell r="C3">
            <v>25.55</v>
          </cell>
          <cell r="D3">
            <v>10.66</v>
          </cell>
          <cell r="E3">
            <v>38.97</v>
          </cell>
        </row>
        <row r="4">
          <cell r="A4">
            <v>2014</v>
          </cell>
          <cell r="B4">
            <v>25</v>
          </cell>
          <cell r="C4">
            <v>25.82</v>
          </cell>
          <cell r="D4">
            <v>9.93</v>
          </cell>
          <cell r="E4">
            <v>39.25</v>
          </cell>
        </row>
        <row r="5">
          <cell r="A5">
            <v>2015</v>
          </cell>
          <cell r="B5">
            <v>24.78</v>
          </cell>
          <cell r="C5">
            <v>25.49</v>
          </cell>
          <cell r="D5">
            <v>9.99</v>
          </cell>
          <cell r="E5">
            <v>39.74</v>
          </cell>
        </row>
        <row r="6">
          <cell r="A6">
            <v>2016</v>
          </cell>
          <cell r="B6">
            <v>24.89</v>
          </cell>
          <cell r="C6">
            <v>25.39</v>
          </cell>
          <cell r="D6">
            <v>9.67</v>
          </cell>
          <cell r="E6">
            <v>40.049999999999997</v>
          </cell>
        </row>
        <row r="7">
          <cell r="A7">
            <v>2017</v>
          </cell>
          <cell r="B7">
            <v>24.82</v>
          </cell>
          <cell r="C7">
            <v>24.92</v>
          </cell>
          <cell r="D7">
            <v>9.64</v>
          </cell>
          <cell r="E7">
            <v>40.619999999999997</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oja2"/>
    </sheetNames>
    <sheetDataSet>
      <sheetData sheetId="0">
        <row r="2">
          <cell r="C2" t="str">
            <v>Mujer</v>
          </cell>
          <cell r="D2" t="str">
            <v>Hombre</v>
          </cell>
        </row>
        <row r="3">
          <cell r="B3" t="str">
            <v>Sis Est posgrado</v>
          </cell>
          <cell r="C3">
            <v>82</v>
          </cell>
          <cell r="D3">
            <v>77</v>
          </cell>
        </row>
        <row r="4">
          <cell r="B4" t="str">
            <v>Otros</v>
          </cell>
          <cell r="C4">
            <v>309</v>
          </cell>
          <cell r="D4">
            <v>341</v>
          </cell>
        </row>
        <row r="5">
          <cell r="B5" t="str">
            <v>Cs. Básicas</v>
          </cell>
          <cell r="C5">
            <v>352</v>
          </cell>
          <cell r="D5">
            <v>519</v>
          </cell>
        </row>
        <row r="6">
          <cell r="B6" t="str">
            <v>Cs. Agroalimentarias</v>
          </cell>
          <cell r="C6">
            <v>360</v>
          </cell>
          <cell r="D6">
            <v>342</v>
          </cell>
        </row>
        <row r="7">
          <cell r="B7" t="str">
            <v>Ing. y Arquitectura</v>
          </cell>
          <cell r="C7">
            <v>745</v>
          </cell>
          <cell r="D7">
            <v>1683</v>
          </cell>
        </row>
        <row r="8">
          <cell r="B8" t="str">
            <v xml:space="preserve">Artes y Letras </v>
          </cell>
          <cell r="C8">
            <v>827</v>
          </cell>
          <cell r="D8">
            <v>604</v>
          </cell>
        </row>
        <row r="9">
          <cell r="B9" t="str">
            <v>Salud</v>
          </cell>
          <cell r="C9">
            <v>1308</v>
          </cell>
          <cell r="D9">
            <v>570</v>
          </cell>
        </row>
        <row r="10">
          <cell r="B10" t="str">
            <v>Cs. Sociales</v>
          </cell>
          <cell r="C10">
            <v>3763</v>
          </cell>
          <cell r="D10">
            <v>2856</v>
          </cell>
        </row>
        <row r="11">
          <cell r="B11" t="str">
            <v>Sedes Regionales</v>
          </cell>
          <cell r="C11">
            <v>4197</v>
          </cell>
          <cell r="D11">
            <v>3375</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RH-6"/>
    </sheetNames>
    <sheetDataSet>
      <sheetData sheetId="0">
        <row r="4">
          <cell r="B4" t="str">
            <v>Menor o igual a 20</v>
          </cell>
          <cell r="C4">
            <v>8498</v>
          </cell>
        </row>
        <row r="5">
          <cell r="B5" t="str">
            <v>de 21 a 25 años</v>
          </cell>
          <cell r="C5">
            <v>11019</v>
          </cell>
        </row>
        <row r="6">
          <cell r="B6" t="str">
            <v>de 26 a 30 años</v>
          </cell>
          <cell r="C6">
            <v>2239</v>
          </cell>
        </row>
        <row r="7">
          <cell r="B7" t="str">
            <v>de 31 a 35 años</v>
          </cell>
          <cell r="C7">
            <v>365</v>
          </cell>
        </row>
        <row r="8">
          <cell r="B8" t="str">
            <v>más de 35 años</v>
          </cell>
          <cell r="C8">
            <v>189</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GVE-4"/>
    </sheetNames>
    <sheetDataSet>
      <sheetData sheetId="0">
        <row r="2">
          <cell r="B2" t="str">
            <v xml:space="preserve">Soltero </v>
          </cell>
          <cell r="C2" t="str">
            <v>Casado</v>
          </cell>
          <cell r="D2" t="str">
            <v>Otros</v>
          </cell>
        </row>
        <row r="3">
          <cell r="B3">
            <v>97.39</v>
          </cell>
          <cell r="C3">
            <v>1.26</v>
          </cell>
          <cell r="D3">
            <v>1.36</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GVE-5"/>
    </sheetNames>
    <sheetDataSet>
      <sheetData sheetId="0">
        <row r="1">
          <cell r="A1" t="str">
            <v>Costarricense</v>
          </cell>
          <cell r="B1" t="str">
            <v>Centroamérica y Panamá</v>
          </cell>
          <cell r="C1" t="str">
            <v>Otros</v>
          </cell>
        </row>
        <row r="2">
          <cell r="A2">
            <v>98.35</v>
          </cell>
          <cell r="B2">
            <v>0.87</v>
          </cell>
          <cell r="C2">
            <v>0.87</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GRH-6"/>
    </sheetNames>
    <sheetDataSet>
      <sheetData sheetId="0">
        <row r="4">
          <cell r="B4" t="str">
            <v>de 1 a menos de 6</v>
          </cell>
          <cell r="C4">
            <v>19609</v>
          </cell>
        </row>
        <row r="5">
          <cell r="B5" t="str">
            <v>de 6 y más</v>
          </cell>
          <cell r="C5">
            <v>2701</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Hoja1"/>
    </sheetNames>
    <sheetDataSet>
      <sheetData sheetId="0">
        <row r="2">
          <cell r="B2" t="str">
            <v>Alajuela</v>
          </cell>
          <cell r="C2">
            <v>63</v>
          </cell>
        </row>
        <row r="3">
          <cell r="B3" t="str">
            <v>Pacífico</v>
          </cell>
          <cell r="C3">
            <v>276</v>
          </cell>
        </row>
        <row r="4">
          <cell r="B4" t="str">
            <v>Caribe</v>
          </cell>
          <cell r="C4">
            <v>298</v>
          </cell>
        </row>
        <row r="5">
          <cell r="B5" t="str">
            <v>Guanacaste</v>
          </cell>
          <cell r="C5">
            <v>385</v>
          </cell>
        </row>
        <row r="6">
          <cell r="B6" t="str">
            <v>Atlántico</v>
          </cell>
          <cell r="C6">
            <v>431</v>
          </cell>
        </row>
        <row r="7">
          <cell r="B7" t="str">
            <v>Occidente</v>
          </cell>
          <cell r="C7">
            <v>571</v>
          </cell>
        </row>
        <row r="8">
          <cell r="B8" t="str">
            <v xml:space="preserve">Rodrigo Facio </v>
          </cell>
          <cell r="C8">
            <v>2870</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GVE-8"/>
    </sheetNames>
    <sheetDataSet>
      <sheetData sheetId="0">
        <row r="1">
          <cell r="C1" t="str">
            <v>Beca permanente</v>
          </cell>
          <cell r="D1" t="str">
            <v>Beca vigente</v>
          </cell>
        </row>
        <row r="2">
          <cell r="B2" t="str">
            <v>Alajuela</v>
          </cell>
          <cell r="C2">
            <v>473</v>
          </cell>
          <cell r="D2">
            <v>385</v>
          </cell>
        </row>
        <row r="3">
          <cell r="B3" t="str">
            <v xml:space="preserve">Pacífico </v>
          </cell>
          <cell r="C3">
            <v>1119</v>
          </cell>
          <cell r="D3">
            <v>940</v>
          </cell>
        </row>
        <row r="4">
          <cell r="B4" t="str">
            <v>Caribe</v>
          </cell>
          <cell r="C4">
            <v>1330</v>
          </cell>
          <cell r="D4">
            <v>1140</v>
          </cell>
        </row>
        <row r="5">
          <cell r="B5" t="str">
            <v>Guanacaste</v>
          </cell>
          <cell r="C5">
            <v>1738</v>
          </cell>
          <cell r="D5">
            <v>1520</v>
          </cell>
        </row>
        <row r="6">
          <cell r="B6" t="str">
            <v>Atlántico</v>
          </cell>
          <cell r="C6">
            <v>1877</v>
          </cell>
          <cell r="D6">
            <v>1555</v>
          </cell>
        </row>
        <row r="7">
          <cell r="B7" t="str">
            <v>Occidente</v>
          </cell>
          <cell r="C7">
            <v>2866</v>
          </cell>
          <cell r="D7">
            <v>2438</v>
          </cell>
        </row>
        <row r="8">
          <cell r="B8" t="str">
            <v xml:space="preserve">Rodrigo Facio </v>
          </cell>
          <cell r="C8">
            <v>18781</v>
          </cell>
          <cell r="D8">
            <v>14332</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GVE-9"/>
    </sheetNames>
    <sheetDataSet>
      <sheetData sheetId="0">
        <row r="2">
          <cell r="C2" t="str">
            <v>Beca vigente</v>
          </cell>
          <cell r="D2" t="str">
            <v>Beca permanente</v>
          </cell>
        </row>
        <row r="3">
          <cell r="B3" t="str">
            <v>Alajuela</v>
          </cell>
          <cell r="C3">
            <v>421</v>
          </cell>
          <cell r="D3">
            <v>94</v>
          </cell>
        </row>
        <row r="4">
          <cell r="B4" t="str">
            <v>Pacífico</v>
          </cell>
          <cell r="C4">
            <v>981</v>
          </cell>
          <cell r="D4">
            <v>98</v>
          </cell>
        </row>
        <row r="5">
          <cell r="B5" t="str">
            <v>Caribe</v>
          </cell>
          <cell r="C5">
            <v>1185</v>
          </cell>
          <cell r="D5">
            <v>134</v>
          </cell>
        </row>
        <row r="6">
          <cell r="B6" t="str">
            <v>Guanacaste</v>
          </cell>
          <cell r="C6">
            <v>1558</v>
          </cell>
          <cell r="D6">
            <v>151</v>
          </cell>
        </row>
        <row r="7">
          <cell r="B7" t="str">
            <v>Atlántico</v>
          </cell>
          <cell r="C7">
            <v>1582</v>
          </cell>
          <cell r="D7">
            <v>194</v>
          </cell>
        </row>
        <row r="8">
          <cell r="B8" t="str">
            <v>Occidente</v>
          </cell>
          <cell r="C8">
            <v>2552</v>
          </cell>
          <cell r="D8">
            <v>409</v>
          </cell>
        </row>
        <row r="9">
          <cell r="B9" t="str">
            <v xml:space="preserve">Rodrigo Facio </v>
          </cell>
          <cell r="C9">
            <v>16928</v>
          </cell>
          <cell r="D9">
            <v>5018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GVE-5"/>
    </sheetNames>
    <sheetDataSet>
      <sheetData sheetId="0">
        <row r="1">
          <cell r="A1" t="str">
            <v>Recreación</v>
          </cell>
          <cell r="B1" t="str">
            <v>Deporte Representación</v>
          </cell>
          <cell r="C1" t="str">
            <v>Actividades Artistísticas</v>
          </cell>
        </row>
        <row r="2">
          <cell r="A2">
            <v>72.650000000000006</v>
          </cell>
          <cell r="B2">
            <v>17.829999999999998</v>
          </cell>
          <cell r="C2">
            <v>9.52</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GAD-1"/>
    </sheetNames>
    <sheetDataSet>
      <sheetData sheetId="0">
        <row r="2">
          <cell r="B2" t="str">
            <v xml:space="preserve">Administración </v>
          </cell>
          <cell r="C2" t="str">
            <v xml:space="preserve">Apoyo </v>
          </cell>
          <cell r="D2" t="str">
            <v>Docente</v>
          </cell>
        </row>
        <row r="3">
          <cell r="B3">
            <v>99.18</v>
          </cell>
          <cell r="C3">
            <v>0.41</v>
          </cell>
          <cell r="D3">
            <v>0.41</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RH-4"/>
    </sheetNames>
    <sheetDataSet>
      <sheetData sheetId="0">
        <row r="3">
          <cell r="C3" t="str">
            <v>I Ciclo</v>
          </cell>
          <cell r="D3" t="str">
            <v>II Ciclo</v>
          </cell>
        </row>
        <row r="4">
          <cell r="B4" t="str">
            <v xml:space="preserve">Master </v>
          </cell>
          <cell r="C4">
            <v>57.07</v>
          </cell>
          <cell r="D4">
            <v>56.59</v>
          </cell>
        </row>
        <row r="5">
          <cell r="B5" t="str">
            <v>Licenciado</v>
          </cell>
          <cell r="C5">
            <v>11.65</v>
          </cell>
          <cell r="D5">
            <v>11.41</v>
          </cell>
        </row>
        <row r="6">
          <cell r="B6" t="str">
            <v xml:space="preserve">Doctor </v>
          </cell>
          <cell r="C6">
            <v>30.8</v>
          </cell>
          <cell r="D6">
            <v>31.24</v>
          </cell>
        </row>
        <row r="7">
          <cell r="C7">
            <v>0.32</v>
          </cell>
          <cell r="D7">
            <v>0.59</v>
          </cell>
        </row>
        <row r="8">
          <cell r="B8" t="str">
            <v>Bachiller</v>
          </cell>
          <cell r="C8">
            <v>0.16</v>
          </cell>
          <cell r="D8">
            <v>0.16</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GDS-1"/>
    </sheetNames>
    <sheetDataSet>
      <sheetData sheetId="0">
        <row r="3">
          <cell r="B3" t="str">
            <v xml:space="preserve">Administración </v>
          </cell>
          <cell r="C3" t="str">
            <v>Docente</v>
          </cell>
          <cell r="D3" t="str">
            <v>Apoyo</v>
          </cell>
        </row>
        <row r="4">
          <cell r="B4">
            <v>87.76</v>
          </cell>
          <cell r="C4">
            <v>9.0500000000000007</v>
          </cell>
          <cell r="D4">
            <v>3.19</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GAS-1"/>
    </sheetNames>
    <sheetDataSet>
      <sheetData sheetId="0">
        <row r="1">
          <cell r="C1" t="str">
            <v>Becas Exterior</v>
          </cell>
          <cell r="D1" t="str">
            <v>Becas Cortas</v>
          </cell>
        </row>
        <row r="2">
          <cell r="B2" t="str">
            <v>Admimistrativa</v>
          </cell>
          <cell r="C2">
            <v>2</v>
          </cell>
          <cell r="D2">
            <v>2</v>
          </cell>
        </row>
        <row r="3">
          <cell r="B3" t="str">
            <v>Cs. Agroalimentarias</v>
          </cell>
          <cell r="C3">
            <v>19</v>
          </cell>
          <cell r="D3">
            <v>5</v>
          </cell>
        </row>
        <row r="4">
          <cell r="B4" t="str">
            <v xml:space="preserve">Artes y Letras </v>
          </cell>
          <cell r="C4">
            <v>30</v>
          </cell>
          <cell r="D4">
            <v>1</v>
          </cell>
        </row>
        <row r="5">
          <cell r="B5" t="str">
            <v>Salud</v>
          </cell>
          <cell r="C5">
            <v>37</v>
          </cell>
          <cell r="D5">
            <v>6</v>
          </cell>
        </row>
        <row r="6">
          <cell r="B6" t="str">
            <v>Sedes Regionales</v>
          </cell>
          <cell r="C6">
            <v>42</v>
          </cell>
          <cell r="D6">
            <v>1</v>
          </cell>
        </row>
        <row r="7">
          <cell r="B7" t="str">
            <v>Cs. Básicas</v>
          </cell>
          <cell r="C7">
            <v>45</v>
          </cell>
          <cell r="D7">
            <v>11</v>
          </cell>
        </row>
        <row r="8">
          <cell r="B8" t="str">
            <v>Cs. Sociales</v>
          </cell>
          <cell r="C8">
            <v>48</v>
          </cell>
          <cell r="D8">
            <v>9</v>
          </cell>
        </row>
        <row r="9">
          <cell r="B9" t="str">
            <v>Ing. y Arquitectura</v>
          </cell>
          <cell r="C9">
            <v>48</v>
          </cell>
          <cell r="D9">
            <v>2</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GRH5"/>
    </sheetNames>
    <sheetDataSet>
      <sheetData sheetId="0">
        <row r="1">
          <cell r="C1" t="str">
            <v>I ciclo</v>
          </cell>
          <cell r="D1" t="str">
            <v>II ciclo</v>
          </cell>
        </row>
        <row r="2">
          <cell r="B2" t="str">
            <v xml:space="preserve">Sin Información </v>
          </cell>
          <cell r="C2">
            <v>1553</v>
          </cell>
          <cell r="D2">
            <v>1357</v>
          </cell>
        </row>
        <row r="3">
          <cell r="B3" t="str">
            <v>Máster</v>
          </cell>
          <cell r="C3">
            <v>1331</v>
          </cell>
          <cell r="D3">
            <v>1353</v>
          </cell>
        </row>
        <row r="4">
          <cell r="B4" t="str">
            <v>Licenciado</v>
          </cell>
          <cell r="C4">
            <v>945</v>
          </cell>
          <cell r="D4">
            <v>1002</v>
          </cell>
        </row>
        <row r="5">
          <cell r="B5" t="str">
            <v>Doctor</v>
          </cell>
          <cell r="C5">
            <v>207</v>
          </cell>
          <cell r="D5">
            <v>240</v>
          </cell>
        </row>
        <row r="6">
          <cell r="B6" t="str">
            <v>Bachiller</v>
          </cell>
          <cell r="C6">
            <v>163</v>
          </cell>
          <cell r="D6">
            <v>141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H-6"/>
    </sheetNames>
    <sheetDataSet>
      <sheetData sheetId="0">
        <row r="3">
          <cell r="C3" t="str">
            <v>I Ciclo</v>
          </cell>
          <cell r="D3" t="str">
            <v>II Ciclo</v>
          </cell>
        </row>
        <row r="4">
          <cell r="B4" t="str">
            <v>Otras Jornadas</v>
          </cell>
          <cell r="C4">
            <v>11.58</v>
          </cell>
          <cell r="D4">
            <v>11.58</v>
          </cell>
        </row>
        <row r="5">
          <cell r="B5" t="str">
            <v>1/4 de tiempo</v>
          </cell>
          <cell r="C5">
            <v>21.72</v>
          </cell>
          <cell r="D5">
            <v>21.72</v>
          </cell>
        </row>
        <row r="6">
          <cell r="B6" t="str">
            <v>1/2 tiempo</v>
          </cell>
          <cell r="C6">
            <v>20.92</v>
          </cell>
          <cell r="D6">
            <v>20.92</v>
          </cell>
        </row>
        <row r="7">
          <cell r="B7" t="str">
            <v>3/4 de tiempo</v>
          </cell>
          <cell r="C7">
            <v>3.31</v>
          </cell>
          <cell r="D7">
            <v>3.31</v>
          </cell>
        </row>
        <row r="8">
          <cell r="B8" t="str">
            <v>Tiempo Completo</v>
          </cell>
          <cell r="C8">
            <v>42.48</v>
          </cell>
          <cell r="D8">
            <v>42.48</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GRH7"/>
    </sheetNames>
    <sheetDataSet>
      <sheetData sheetId="0">
        <row r="3">
          <cell r="C3" t="str">
            <v>I Ciclo</v>
          </cell>
          <cell r="D3" t="str">
            <v>II Ciclo</v>
          </cell>
        </row>
        <row r="4">
          <cell r="B4" t="str">
            <v>Otras Jornadas</v>
          </cell>
          <cell r="C4">
            <v>1224</v>
          </cell>
          <cell r="D4">
            <v>1202</v>
          </cell>
        </row>
        <row r="5">
          <cell r="B5" t="str">
            <v>1/4 de tiempo</v>
          </cell>
          <cell r="C5">
            <v>1444</v>
          </cell>
          <cell r="D5">
            <v>1370</v>
          </cell>
        </row>
        <row r="6">
          <cell r="B6" t="str">
            <v>1/2 tiempo</v>
          </cell>
          <cell r="C6">
            <v>730</v>
          </cell>
          <cell r="D6">
            <v>726</v>
          </cell>
        </row>
        <row r="7">
          <cell r="B7" t="str">
            <v>3/4 de tiempo</v>
          </cell>
          <cell r="C7">
            <v>211</v>
          </cell>
          <cell r="D7">
            <v>204</v>
          </cell>
        </row>
        <row r="8">
          <cell r="B8" t="str">
            <v>Tiempo Completo</v>
          </cell>
          <cell r="C8">
            <v>661</v>
          </cell>
          <cell r="D8">
            <v>649</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H8"/>
    </sheetNames>
    <sheetDataSet>
      <sheetData sheetId="0">
        <row r="3">
          <cell r="C3" t="str">
            <v>Docencia</v>
          </cell>
          <cell r="D3" t="str">
            <v>Investigación</v>
          </cell>
          <cell r="E3" t="str">
            <v>Acción Social</v>
          </cell>
          <cell r="F3" t="str">
            <v>Doc-Administ.</v>
          </cell>
        </row>
        <row r="4">
          <cell r="B4">
            <v>2013</v>
          </cell>
          <cell r="C4">
            <v>66.31</v>
          </cell>
          <cell r="D4">
            <v>9.9</v>
          </cell>
          <cell r="E4">
            <v>5.72</v>
          </cell>
          <cell r="F4">
            <v>18.07</v>
          </cell>
        </row>
        <row r="5">
          <cell r="B5">
            <v>2014</v>
          </cell>
          <cell r="C5">
            <v>70.153325048739703</v>
          </cell>
          <cell r="D5">
            <v>9.3904095703068347</v>
          </cell>
          <cell r="E5">
            <v>5.1142125990990808</v>
          </cell>
          <cell r="F5">
            <v>15.342052781854379</v>
          </cell>
        </row>
        <row r="6">
          <cell r="B6">
            <v>2015</v>
          </cell>
          <cell r="C6">
            <v>69.8</v>
          </cell>
          <cell r="D6">
            <v>10.66</v>
          </cell>
          <cell r="E6">
            <v>5.45</v>
          </cell>
          <cell r="F6">
            <v>14.09</v>
          </cell>
        </row>
        <row r="7">
          <cell r="B7">
            <v>2016</v>
          </cell>
          <cell r="C7">
            <v>68.72</v>
          </cell>
          <cell r="D7">
            <v>11.27</v>
          </cell>
          <cell r="E7">
            <v>5.57</v>
          </cell>
          <cell r="F7">
            <v>14.44</v>
          </cell>
        </row>
        <row r="8">
          <cell r="B8">
            <v>2017</v>
          </cell>
          <cell r="C8">
            <v>69.66</v>
          </cell>
          <cell r="D8">
            <v>10.63</v>
          </cell>
          <cell r="E8">
            <v>5.61</v>
          </cell>
          <cell r="F8">
            <v>14.1</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F1"/>
    </sheetNames>
    <sheetDataSet>
      <sheetData sheetId="0">
        <row r="3">
          <cell r="C3" t="str">
            <v>2013 - 2014</v>
          </cell>
          <cell r="D3" t="str">
            <v>2014 - 2015</v>
          </cell>
          <cell r="E3" t="str">
            <v>2015 - 2016</v>
          </cell>
          <cell r="F3" t="str">
            <v>2016 - 2017</v>
          </cell>
        </row>
        <row r="4">
          <cell r="C4">
            <v>7.19</v>
          </cell>
          <cell r="D4">
            <v>11.62</v>
          </cell>
          <cell r="E4">
            <v>11.75</v>
          </cell>
          <cell r="F4">
            <v>12.76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tabColor theme="6"/>
  </sheetPr>
  <dimension ref="A1:B42"/>
  <sheetViews>
    <sheetView topLeftCell="A19" zoomScaleNormal="100" workbookViewId="0">
      <selection activeCell="C9" sqref="C9"/>
    </sheetView>
  </sheetViews>
  <sheetFormatPr baseColWidth="10" defaultRowHeight="15"/>
  <cols>
    <col min="1" max="1" width="7" style="24" customWidth="1"/>
    <col min="2" max="2" width="11.42578125" style="103" customWidth="1"/>
    <col min="3" max="16384" width="11.42578125" style="103"/>
  </cols>
  <sheetData>
    <row r="1" spans="1:2" ht="18.75">
      <c r="A1" s="781" t="s">
        <v>1994</v>
      </c>
    </row>
    <row r="2" spans="1:2" ht="15.75">
      <c r="B2" s="782"/>
    </row>
    <row r="3" spans="1:2" ht="18.75" customHeight="1">
      <c r="A3" s="24">
        <v>1</v>
      </c>
      <c r="B3" s="782" t="s">
        <v>1995</v>
      </c>
    </row>
    <row r="4" spans="1:2" ht="18.75" customHeight="1">
      <c r="A4" s="24">
        <v>2</v>
      </c>
      <c r="B4" s="782" t="s">
        <v>1996</v>
      </c>
    </row>
    <row r="5" spans="1:2" ht="18.75" customHeight="1">
      <c r="A5" s="24">
        <v>3</v>
      </c>
      <c r="B5" s="782" t="s">
        <v>2012</v>
      </c>
    </row>
    <row r="6" spans="1:2" ht="18.75" customHeight="1">
      <c r="B6" s="782" t="s">
        <v>2013</v>
      </c>
    </row>
    <row r="7" spans="1:2" ht="18.75" customHeight="1">
      <c r="A7" s="24">
        <v>4</v>
      </c>
      <c r="B7" s="782" t="s">
        <v>2014</v>
      </c>
    </row>
    <row r="8" spans="1:2" ht="18.75" customHeight="1">
      <c r="B8" s="782" t="s">
        <v>2015</v>
      </c>
    </row>
    <row r="9" spans="1:2" ht="18.75" customHeight="1">
      <c r="A9" s="24">
        <v>5</v>
      </c>
      <c r="B9" s="782" t="s">
        <v>2016</v>
      </c>
    </row>
    <row r="10" spans="1:2" ht="18.75" customHeight="1">
      <c r="B10" s="782" t="s">
        <v>2017</v>
      </c>
    </row>
    <row r="11" spans="1:2" ht="18.75" customHeight="1">
      <c r="A11" s="24">
        <v>6</v>
      </c>
      <c r="B11" s="782" t="s">
        <v>1997</v>
      </c>
    </row>
    <row r="12" spans="1:2" ht="18.75" customHeight="1">
      <c r="A12" s="24">
        <v>7</v>
      </c>
      <c r="B12" s="782" t="s">
        <v>1998</v>
      </c>
    </row>
    <row r="13" spans="1:2" ht="18.75" customHeight="1">
      <c r="A13" s="24">
        <v>8</v>
      </c>
      <c r="B13" s="782" t="s">
        <v>1999</v>
      </c>
    </row>
    <row r="14" spans="1:2" ht="18.75" customHeight="1">
      <c r="A14" s="24">
        <v>9</v>
      </c>
      <c r="B14" s="782" t="s">
        <v>2018</v>
      </c>
    </row>
    <row r="15" spans="1:2" ht="18.75" customHeight="1">
      <c r="B15" s="782" t="s">
        <v>2019</v>
      </c>
    </row>
    <row r="16" spans="1:2" ht="18.75" customHeight="1">
      <c r="A16" s="24">
        <v>10</v>
      </c>
      <c r="B16" s="782" t="s">
        <v>2020</v>
      </c>
    </row>
    <row r="17" spans="1:2" ht="18.75" customHeight="1">
      <c r="B17" s="782" t="s">
        <v>2021</v>
      </c>
    </row>
    <row r="18" spans="1:2" ht="18.75" customHeight="1">
      <c r="A18" s="24">
        <v>11</v>
      </c>
      <c r="B18" s="782" t="s">
        <v>2022</v>
      </c>
    </row>
    <row r="19" spans="1:2" ht="18.75" customHeight="1">
      <c r="B19" s="782" t="s">
        <v>2023</v>
      </c>
    </row>
    <row r="20" spans="1:2" ht="18.75" customHeight="1">
      <c r="A20" s="24">
        <v>12</v>
      </c>
      <c r="B20" s="782" t="s">
        <v>2024</v>
      </c>
    </row>
    <row r="21" spans="1:2" ht="18.75" customHeight="1">
      <c r="B21" s="782" t="s">
        <v>2025</v>
      </c>
    </row>
    <row r="22" spans="1:2" ht="18.75" customHeight="1">
      <c r="A22" s="24">
        <v>13</v>
      </c>
      <c r="B22" s="782" t="s">
        <v>2026</v>
      </c>
    </row>
    <row r="23" spans="1:2" ht="18.75" customHeight="1">
      <c r="B23" s="782" t="s">
        <v>2027</v>
      </c>
    </row>
    <row r="24" spans="1:2" ht="18.75" customHeight="1">
      <c r="A24" s="24">
        <v>14</v>
      </c>
      <c r="B24" s="782" t="s">
        <v>2000</v>
      </c>
    </row>
    <row r="25" spans="1:2" ht="18.75" customHeight="1">
      <c r="A25" s="24">
        <v>15</v>
      </c>
      <c r="B25" s="782" t="s">
        <v>2028</v>
      </c>
    </row>
    <row r="26" spans="1:2" ht="18.75" customHeight="1">
      <c r="B26" s="782" t="s">
        <v>2029</v>
      </c>
    </row>
    <row r="27" spans="1:2" ht="18.75" customHeight="1">
      <c r="A27" s="24">
        <v>16</v>
      </c>
      <c r="B27" s="782" t="s">
        <v>2001</v>
      </c>
    </row>
    <row r="28" spans="1:2" ht="18.75" customHeight="1">
      <c r="A28" s="24">
        <v>17</v>
      </c>
      <c r="B28" s="782" t="s">
        <v>2030</v>
      </c>
    </row>
    <row r="29" spans="1:2" ht="18.75" customHeight="1">
      <c r="B29" s="782" t="s">
        <v>2031</v>
      </c>
    </row>
    <row r="30" spans="1:2" ht="18.75" customHeight="1">
      <c r="A30" s="24">
        <v>18</v>
      </c>
      <c r="B30" s="782" t="s">
        <v>2002</v>
      </c>
    </row>
    <row r="31" spans="1:2" ht="18.75" customHeight="1">
      <c r="A31" s="24">
        <v>19</v>
      </c>
      <c r="B31" s="782" t="s">
        <v>2003</v>
      </c>
    </row>
    <row r="32" spans="1:2" ht="18.75" customHeight="1">
      <c r="A32" s="24">
        <v>20</v>
      </c>
      <c r="B32" s="782" t="s">
        <v>2004</v>
      </c>
    </row>
    <row r="33" spans="1:2" ht="18.75" customHeight="1">
      <c r="A33" s="24">
        <v>21</v>
      </c>
      <c r="B33" s="782" t="s">
        <v>2005</v>
      </c>
    </row>
    <row r="34" spans="1:2" ht="18.75" customHeight="1">
      <c r="A34" s="24">
        <v>22</v>
      </c>
      <c r="B34" s="782" t="s">
        <v>2006</v>
      </c>
    </row>
    <row r="35" spans="1:2" ht="18.75" customHeight="1">
      <c r="A35" s="24">
        <v>23</v>
      </c>
      <c r="B35" s="782" t="s">
        <v>2007</v>
      </c>
    </row>
    <row r="36" spans="1:2" ht="18.75" customHeight="1">
      <c r="A36" s="24">
        <v>24</v>
      </c>
      <c r="B36" s="782" t="s">
        <v>2008</v>
      </c>
    </row>
    <row r="37" spans="1:2" ht="18.75" customHeight="1">
      <c r="A37" s="24">
        <v>25</v>
      </c>
      <c r="B37" s="782" t="s">
        <v>2009</v>
      </c>
    </row>
    <row r="38" spans="1:2" ht="18.75" customHeight="1">
      <c r="A38" s="24">
        <v>26</v>
      </c>
      <c r="B38" s="782" t="s">
        <v>2010</v>
      </c>
    </row>
    <row r="39" spans="1:2" ht="18.75" customHeight="1">
      <c r="A39" s="24">
        <v>27</v>
      </c>
      <c r="B39" s="782" t="s">
        <v>2032</v>
      </c>
    </row>
    <row r="40" spans="1:2" ht="18.75" customHeight="1">
      <c r="B40" s="782" t="s">
        <v>2033</v>
      </c>
    </row>
    <row r="41" spans="1:2" ht="18.75" customHeight="1">
      <c r="A41" s="24">
        <v>28</v>
      </c>
      <c r="B41" s="782" t="s">
        <v>2011</v>
      </c>
    </row>
    <row r="42" spans="1:2" ht="15.75">
      <c r="B42" s="782"/>
    </row>
  </sheetData>
  <printOptions horizontalCentered="1" verticalCentered="1"/>
  <pageMargins left="0" right="0" top="0" bottom="0" header="0.31496062992125984" footer="0.31496062992125984"/>
  <pageSetup paperSize="9" scale="55" orientation="landscape" r:id="rId1"/>
</worksheet>
</file>

<file path=xl/worksheets/sheet10.xml><?xml version="1.0" encoding="utf-8"?>
<worksheet xmlns="http://schemas.openxmlformats.org/spreadsheetml/2006/main" xmlns:r="http://schemas.openxmlformats.org/officeDocument/2006/relationships">
  <dimension ref="A1:Q88"/>
  <sheetViews>
    <sheetView workbookViewId="0">
      <selection activeCell="A31" sqref="A31"/>
    </sheetView>
  </sheetViews>
  <sheetFormatPr baseColWidth="10" defaultColWidth="9.140625" defaultRowHeight="12.75"/>
  <cols>
    <col min="1" max="1" width="25.7109375" style="434" customWidth="1"/>
    <col min="2" max="2" width="3.7109375" style="435" customWidth="1"/>
    <col min="3" max="3" width="7.7109375" style="434" customWidth="1"/>
    <col min="4" max="4" width="7.5703125" style="434" customWidth="1"/>
    <col min="5" max="5" width="3" style="434" customWidth="1"/>
    <col min="6" max="6" width="7.7109375" style="434" customWidth="1"/>
    <col min="7" max="7" width="7.5703125" style="434" customWidth="1"/>
    <col min="8" max="8" width="2.7109375" style="434" customWidth="1"/>
    <col min="9" max="9" width="7.7109375" style="434" customWidth="1"/>
    <col min="10" max="10" width="7.5703125" style="434" customWidth="1"/>
    <col min="11" max="11" width="2.7109375" style="434" customWidth="1"/>
    <col min="12" max="12" width="7.7109375" style="434" customWidth="1"/>
    <col min="13" max="13" width="7.5703125" style="434" customWidth="1"/>
    <col min="14" max="14" width="2.7109375" style="434" customWidth="1"/>
    <col min="15" max="15" width="7.7109375" style="434" customWidth="1"/>
    <col min="16" max="16" width="7.5703125" style="434" customWidth="1"/>
    <col min="17" max="17" width="2.7109375" style="434" customWidth="1"/>
    <col min="18" max="256" width="9.140625" style="434"/>
    <col min="257" max="257" width="25.7109375" style="434" customWidth="1"/>
    <col min="258" max="258" width="3.7109375" style="434" customWidth="1"/>
    <col min="259" max="260" width="9.140625" style="434"/>
    <col min="261" max="261" width="3" style="434" customWidth="1"/>
    <col min="262" max="263" width="9.140625" style="434"/>
    <col min="264" max="264" width="2.7109375" style="434" customWidth="1"/>
    <col min="265" max="266" width="9.140625" style="434"/>
    <col min="267" max="267" width="2.7109375" style="434" customWidth="1"/>
    <col min="268" max="269" width="9.140625" style="434"/>
    <col min="270" max="270" width="2.7109375" style="434" customWidth="1"/>
    <col min="271" max="272" width="9.140625" style="434"/>
    <col min="273" max="273" width="2.7109375" style="434" customWidth="1"/>
    <col min="274" max="512" width="9.140625" style="434"/>
    <col min="513" max="513" width="25.7109375" style="434" customWidth="1"/>
    <col min="514" max="514" width="3.7109375" style="434" customWidth="1"/>
    <col min="515" max="516" width="9.140625" style="434"/>
    <col min="517" max="517" width="3" style="434" customWidth="1"/>
    <col min="518" max="519" width="9.140625" style="434"/>
    <col min="520" max="520" width="2.7109375" style="434" customWidth="1"/>
    <col min="521" max="522" width="9.140625" style="434"/>
    <col min="523" max="523" width="2.7109375" style="434" customWidth="1"/>
    <col min="524" max="525" width="9.140625" style="434"/>
    <col min="526" max="526" width="2.7109375" style="434" customWidth="1"/>
    <col min="527" max="528" width="9.140625" style="434"/>
    <col min="529" max="529" width="2.7109375" style="434" customWidth="1"/>
    <col min="530" max="768" width="9.140625" style="434"/>
    <col min="769" max="769" width="25.7109375" style="434" customWidth="1"/>
    <col min="770" max="770" width="3.7109375" style="434" customWidth="1"/>
    <col min="771" max="772" width="9.140625" style="434"/>
    <col min="773" max="773" width="3" style="434" customWidth="1"/>
    <col min="774" max="775" width="9.140625" style="434"/>
    <col min="776" max="776" width="2.7109375" style="434" customWidth="1"/>
    <col min="777" max="778" width="9.140625" style="434"/>
    <col min="779" max="779" width="2.7109375" style="434" customWidth="1"/>
    <col min="780" max="781" width="9.140625" style="434"/>
    <col min="782" max="782" width="2.7109375" style="434" customWidth="1"/>
    <col min="783" max="784" width="9.140625" style="434"/>
    <col min="785" max="785" width="2.7109375" style="434" customWidth="1"/>
    <col min="786" max="1024" width="9.140625" style="434"/>
    <col min="1025" max="1025" width="25.7109375" style="434" customWidth="1"/>
    <col min="1026" max="1026" width="3.7109375" style="434" customWidth="1"/>
    <col min="1027" max="1028" width="9.140625" style="434"/>
    <col min="1029" max="1029" width="3" style="434" customWidth="1"/>
    <col min="1030" max="1031" width="9.140625" style="434"/>
    <col min="1032" max="1032" width="2.7109375" style="434" customWidth="1"/>
    <col min="1033" max="1034" width="9.140625" style="434"/>
    <col min="1035" max="1035" width="2.7109375" style="434" customWidth="1"/>
    <col min="1036" max="1037" width="9.140625" style="434"/>
    <col min="1038" max="1038" width="2.7109375" style="434" customWidth="1"/>
    <col min="1039" max="1040" width="9.140625" style="434"/>
    <col min="1041" max="1041" width="2.7109375" style="434" customWidth="1"/>
    <col min="1042" max="1280" width="9.140625" style="434"/>
    <col min="1281" max="1281" width="25.7109375" style="434" customWidth="1"/>
    <col min="1282" max="1282" width="3.7109375" style="434" customWidth="1"/>
    <col min="1283" max="1284" width="9.140625" style="434"/>
    <col min="1285" max="1285" width="3" style="434" customWidth="1"/>
    <col min="1286" max="1287" width="9.140625" style="434"/>
    <col min="1288" max="1288" width="2.7109375" style="434" customWidth="1"/>
    <col min="1289" max="1290" width="9.140625" style="434"/>
    <col min="1291" max="1291" width="2.7109375" style="434" customWidth="1"/>
    <col min="1292" max="1293" width="9.140625" style="434"/>
    <col min="1294" max="1294" width="2.7109375" style="434" customWidth="1"/>
    <col min="1295" max="1296" width="9.140625" style="434"/>
    <col min="1297" max="1297" width="2.7109375" style="434" customWidth="1"/>
    <col min="1298" max="1536" width="9.140625" style="434"/>
    <col min="1537" max="1537" width="25.7109375" style="434" customWidth="1"/>
    <col min="1538" max="1538" width="3.7109375" style="434" customWidth="1"/>
    <col min="1539" max="1540" width="9.140625" style="434"/>
    <col min="1541" max="1541" width="3" style="434" customWidth="1"/>
    <col min="1542" max="1543" width="9.140625" style="434"/>
    <col min="1544" max="1544" width="2.7109375" style="434" customWidth="1"/>
    <col min="1545" max="1546" width="9.140625" style="434"/>
    <col min="1547" max="1547" width="2.7109375" style="434" customWidth="1"/>
    <col min="1548" max="1549" width="9.140625" style="434"/>
    <col min="1550" max="1550" width="2.7109375" style="434" customWidth="1"/>
    <col min="1551" max="1552" width="9.140625" style="434"/>
    <col min="1553" max="1553" width="2.7109375" style="434" customWidth="1"/>
    <col min="1554" max="1792" width="9.140625" style="434"/>
    <col min="1793" max="1793" width="25.7109375" style="434" customWidth="1"/>
    <col min="1794" max="1794" width="3.7109375" style="434" customWidth="1"/>
    <col min="1795" max="1796" width="9.140625" style="434"/>
    <col min="1797" max="1797" width="3" style="434" customWidth="1"/>
    <col min="1798" max="1799" width="9.140625" style="434"/>
    <col min="1800" max="1800" width="2.7109375" style="434" customWidth="1"/>
    <col min="1801" max="1802" width="9.140625" style="434"/>
    <col min="1803" max="1803" width="2.7109375" style="434" customWidth="1"/>
    <col min="1804" max="1805" width="9.140625" style="434"/>
    <col min="1806" max="1806" width="2.7109375" style="434" customWidth="1"/>
    <col min="1807" max="1808" width="9.140625" style="434"/>
    <col min="1809" max="1809" width="2.7109375" style="434" customWidth="1"/>
    <col min="1810" max="2048" width="9.140625" style="434"/>
    <col min="2049" max="2049" width="25.7109375" style="434" customWidth="1"/>
    <col min="2050" max="2050" width="3.7109375" style="434" customWidth="1"/>
    <col min="2051" max="2052" width="9.140625" style="434"/>
    <col min="2053" max="2053" width="3" style="434" customWidth="1"/>
    <col min="2054" max="2055" width="9.140625" style="434"/>
    <col min="2056" max="2056" width="2.7109375" style="434" customWidth="1"/>
    <col min="2057" max="2058" width="9.140625" style="434"/>
    <col min="2059" max="2059" width="2.7109375" style="434" customWidth="1"/>
    <col min="2060" max="2061" width="9.140625" style="434"/>
    <col min="2062" max="2062" width="2.7109375" style="434" customWidth="1"/>
    <col min="2063" max="2064" width="9.140625" style="434"/>
    <col min="2065" max="2065" width="2.7109375" style="434" customWidth="1"/>
    <col min="2066" max="2304" width="9.140625" style="434"/>
    <col min="2305" max="2305" width="25.7109375" style="434" customWidth="1"/>
    <col min="2306" max="2306" width="3.7109375" style="434" customWidth="1"/>
    <col min="2307" max="2308" width="9.140625" style="434"/>
    <col min="2309" max="2309" width="3" style="434" customWidth="1"/>
    <col min="2310" max="2311" width="9.140625" style="434"/>
    <col min="2312" max="2312" width="2.7109375" style="434" customWidth="1"/>
    <col min="2313" max="2314" width="9.140625" style="434"/>
    <col min="2315" max="2315" width="2.7109375" style="434" customWidth="1"/>
    <col min="2316" max="2317" width="9.140625" style="434"/>
    <col min="2318" max="2318" width="2.7109375" style="434" customWidth="1"/>
    <col min="2319" max="2320" width="9.140625" style="434"/>
    <col min="2321" max="2321" width="2.7109375" style="434" customWidth="1"/>
    <col min="2322" max="2560" width="9.140625" style="434"/>
    <col min="2561" max="2561" width="25.7109375" style="434" customWidth="1"/>
    <col min="2562" max="2562" width="3.7109375" style="434" customWidth="1"/>
    <col min="2563" max="2564" width="9.140625" style="434"/>
    <col min="2565" max="2565" width="3" style="434" customWidth="1"/>
    <col min="2566" max="2567" width="9.140625" style="434"/>
    <col min="2568" max="2568" width="2.7109375" style="434" customWidth="1"/>
    <col min="2569" max="2570" width="9.140625" style="434"/>
    <col min="2571" max="2571" width="2.7109375" style="434" customWidth="1"/>
    <col min="2572" max="2573" width="9.140625" style="434"/>
    <col min="2574" max="2574" width="2.7109375" style="434" customWidth="1"/>
    <col min="2575" max="2576" width="9.140625" style="434"/>
    <col min="2577" max="2577" width="2.7109375" style="434" customWidth="1"/>
    <col min="2578" max="2816" width="9.140625" style="434"/>
    <col min="2817" max="2817" width="25.7109375" style="434" customWidth="1"/>
    <col min="2818" max="2818" width="3.7109375" style="434" customWidth="1"/>
    <col min="2819" max="2820" width="9.140625" style="434"/>
    <col min="2821" max="2821" width="3" style="434" customWidth="1"/>
    <col min="2822" max="2823" width="9.140625" style="434"/>
    <col min="2824" max="2824" width="2.7109375" style="434" customWidth="1"/>
    <col min="2825" max="2826" width="9.140625" style="434"/>
    <col min="2827" max="2827" width="2.7109375" style="434" customWidth="1"/>
    <col min="2828" max="2829" width="9.140625" style="434"/>
    <col min="2830" max="2830" width="2.7109375" style="434" customWidth="1"/>
    <col min="2831" max="2832" width="9.140625" style="434"/>
    <col min="2833" max="2833" width="2.7109375" style="434" customWidth="1"/>
    <col min="2834" max="3072" width="9.140625" style="434"/>
    <col min="3073" max="3073" width="25.7109375" style="434" customWidth="1"/>
    <col min="3074" max="3074" width="3.7109375" style="434" customWidth="1"/>
    <col min="3075" max="3076" width="9.140625" style="434"/>
    <col min="3077" max="3077" width="3" style="434" customWidth="1"/>
    <col min="3078" max="3079" width="9.140625" style="434"/>
    <col min="3080" max="3080" width="2.7109375" style="434" customWidth="1"/>
    <col min="3081" max="3082" width="9.140625" style="434"/>
    <col min="3083" max="3083" width="2.7109375" style="434" customWidth="1"/>
    <col min="3084" max="3085" width="9.140625" style="434"/>
    <col min="3086" max="3086" width="2.7109375" style="434" customWidth="1"/>
    <col min="3087" max="3088" width="9.140625" style="434"/>
    <col min="3089" max="3089" width="2.7109375" style="434" customWidth="1"/>
    <col min="3090" max="3328" width="9.140625" style="434"/>
    <col min="3329" max="3329" width="25.7109375" style="434" customWidth="1"/>
    <col min="3330" max="3330" width="3.7109375" style="434" customWidth="1"/>
    <col min="3331" max="3332" width="9.140625" style="434"/>
    <col min="3333" max="3333" width="3" style="434" customWidth="1"/>
    <col min="3334" max="3335" width="9.140625" style="434"/>
    <col min="3336" max="3336" width="2.7109375" style="434" customWidth="1"/>
    <col min="3337" max="3338" width="9.140625" style="434"/>
    <col min="3339" max="3339" width="2.7109375" style="434" customWidth="1"/>
    <col min="3340" max="3341" width="9.140625" style="434"/>
    <col min="3342" max="3342" width="2.7109375" style="434" customWidth="1"/>
    <col min="3343" max="3344" width="9.140625" style="434"/>
    <col min="3345" max="3345" width="2.7109375" style="434" customWidth="1"/>
    <col min="3346" max="3584" width="9.140625" style="434"/>
    <col min="3585" max="3585" width="25.7109375" style="434" customWidth="1"/>
    <col min="3586" max="3586" width="3.7109375" style="434" customWidth="1"/>
    <col min="3587" max="3588" width="9.140625" style="434"/>
    <col min="3589" max="3589" width="3" style="434" customWidth="1"/>
    <col min="3590" max="3591" width="9.140625" style="434"/>
    <col min="3592" max="3592" width="2.7109375" style="434" customWidth="1"/>
    <col min="3593" max="3594" width="9.140625" style="434"/>
    <col min="3595" max="3595" width="2.7109375" style="434" customWidth="1"/>
    <col min="3596" max="3597" width="9.140625" style="434"/>
    <col min="3598" max="3598" width="2.7109375" style="434" customWidth="1"/>
    <col min="3599" max="3600" width="9.140625" style="434"/>
    <col min="3601" max="3601" width="2.7109375" style="434" customWidth="1"/>
    <col min="3602" max="3840" width="9.140625" style="434"/>
    <col min="3841" max="3841" width="25.7109375" style="434" customWidth="1"/>
    <col min="3842" max="3842" width="3.7109375" style="434" customWidth="1"/>
    <col min="3843" max="3844" width="9.140625" style="434"/>
    <col min="3845" max="3845" width="3" style="434" customWidth="1"/>
    <col min="3846" max="3847" width="9.140625" style="434"/>
    <col min="3848" max="3848" width="2.7109375" style="434" customWidth="1"/>
    <col min="3849" max="3850" width="9.140625" style="434"/>
    <col min="3851" max="3851" width="2.7109375" style="434" customWidth="1"/>
    <col min="3852" max="3853" width="9.140625" style="434"/>
    <col min="3854" max="3854" width="2.7109375" style="434" customWidth="1"/>
    <col min="3855" max="3856" width="9.140625" style="434"/>
    <col min="3857" max="3857" width="2.7109375" style="434" customWidth="1"/>
    <col min="3858" max="4096" width="9.140625" style="434"/>
    <col min="4097" max="4097" width="25.7109375" style="434" customWidth="1"/>
    <col min="4098" max="4098" width="3.7109375" style="434" customWidth="1"/>
    <col min="4099" max="4100" width="9.140625" style="434"/>
    <col min="4101" max="4101" width="3" style="434" customWidth="1"/>
    <col min="4102" max="4103" width="9.140625" style="434"/>
    <col min="4104" max="4104" width="2.7109375" style="434" customWidth="1"/>
    <col min="4105" max="4106" width="9.140625" style="434"/>
    <col min="4107" max="4107" width="2.7109375" style="434" customWidth="1"/>
    <col min="4108" max="4109" width="9.140625" style="434"/>
    <col min="4110" max="4110" width="2.7109375" style="434" customWidth="1"/>
    <col min="4111" max="4112" width="9.140625" style="434"/>
    <col min="4113" max="4113" width="2.7109375" style="434" customWidth="1"/>
    <col min="4114" max="4352" width="9.140625" style="434"/>
    <col min="4353" max="4353" width="25.7109375" style="434" customWidth="1"/>
    <col min="4354" max="4354" width="3.7109375" style="434" customWidth="1"/>
    <col min="4355" max="4356" width="9.140625" style="434"/>
    <col min="4357" max="4357" width="3" style="434" customWidth="1"/>
    <col min="4358" max="4359" width="9.140625" style="434"/>
    <col min="4360" max="4360" width="2.7109375" style="434" customWidth="1"/>
    <col min="4361" max="4362" width="9.140625" style="434"/>
    <col min="4363" max="4363" width="2.7109375" style="434" customWidth="1"/>
    <col min="4364" max="4365" width="9.140625" style="434"/>
    <col min="4366" max="4366" width="2.7109375" style="434" customWidth="1"/>
    <col min="4367" max="4368" width="9.140625" style="434"/>
    <col min="4369" max="4369" width="2.7109375" style="434" customWidth="1"/>
    <col min="4370" max="4608" width="9.140625" style="434"/>
    <col min="4609" max="4609" width="25.7109375" style="434" customWidth="1"/>
    <col min="4610" max="4610" width="3.7109375" style="434" customWidth="1"/>
    <col min="4611" max="4612" width="9.140625" style="434"/>
    <col min="4613" max="4613" width="3" style="434" customWidth="1"/>
    <col min="4614" max="4615" width="9.140625" style="434"/>
    <col min="4616" max="4616" width="2.7109375" style="434" customWidth="1"/>
    <col min="4617" max="4618" width="9.140625" style="434"/>
    <col min="4619" max="4619" width="2.7109375" style="434" customWidth="1"/>
    <col min="4620" max="4621" width="9.140625" style="434"/>
    <col min="4622" max="4622" width="2.7109375" style="434" customWidth="1"/>
    <col min="4623" max="4624" width="9.140625" style="434"/>
    <col min="4625" max="4625" width="2.7109375" style="434" customWidth="1"/>
    <col min="4626" max="4864" width="9.140625" style="434"/>
    <col min="4865" max="4865" width="25.7109375" style="434" customWidth="1"/>
    <col min="4866" max="4866" width="3.7109375" style="434" customWidth="1"/>
    <col min="4867" max="4868" width="9.140625" style="434"/>
    <col min="4869" max="4869" width="3" style="434" customWidth="1"/>
    <col min="4870" max="4871" width="9.140625" style="434"/>
    <col min="4872" max="4872" width="2.7109375" style="434" customWidth="1"/>
    <col min="4873" max="4874" width="9.140625" style="434"/>
    <col min="4875" max="4875" width="2.7109375" style="434" customWidth="1"/>
    <col min="4876" max="4877" width="9.140625" style="434"/>
    <col min="4878" max="4878" width="2.7109375" style="434" customWidth="1"/>
    <col min="4879" max="4880" width="9.140625" style="434"/>
    <col min="4881" max="4881" width="2.7109375" style="434" customWidth="1"/>
    <col min="4882" max="5120" width="9.140625" style="434"/>
    <col min="5121" max="5121" width="25.7109375" style="434" customWidth="1"/>
    <col min="5122" max="5122" width="3.7109375" style="434" customWidth="1"/>
    <col min="5123" max="5124" width="9.140625" style="434"/>
    <col min="5125" max="5125" width="3" style="434" customWidth="1"/>
    <col min="5126" max="5127" width="9.140625" style="434"/>
    <col min="5128" max="5128" width="2.7109375" style="434" customWidth="1"/>
    <col min="5129" max="5130" width="9.140625" style="434"/>
    <col min="5131" max="5131" width="2.7109375" style="434" customWidth="1"/>
    <col min="5132" max="5133" width="9.140625" style="434"/>
    <col min="5134" max="5134" width="2.7109375" style="434" customWidth="1"/>
    <col min="5135" max="5136" width="9.140625" style="434"/>
    <col min="5137" max="5137" width="2.7109375" style="434" customWidth="1"/>
    <col min="5138" max="5376" width="9.140625" style="434"/>
    <col min="5377" max="5377" width="25.7109375" style="434" customWidth="1"/>
    <col min="5378" max="5378" width="3.7109375" style="434" customWidth="1"/>
    <col min="5379" max="5380" width="9.140625" style="434"/>
    <col min="5381" max="5381" width="3" style="434" customWidth="1"/>
    <col min="5382" max="5383" width="9.140625" style="434"/>
    <col min="5384" max="5384" width="2.7109375" style="434" customWidth="1"/>
    <col min="5385" max="5386" width="9.140625" style="434"/>
    <col min="5387" max="5387" width="2.7109375" style="434" customWidth="1"/>
    <col min="5388" max="5389" width="9.140625" style="434"/>
    <col min="5390" max="5390" width="2.7109375" style="434" customWidth="1"/>
    <col min="5391" max="5392" width="9.140625" style="434"/>
    <col min="5393" max="5393" width="2.7109375" style="434" customWidth="1"/>
    <col min="5394" max="5632" width="9.140625" style="434"/>
    <col min="5633" max="5633" width="25.7109375" style="434" customWidth="1"/>
    <col min="5634" max="5634" width="3.7109375" style="434" customWidth="1"/>
    <col min="5635" max="5636" width="9.140625" style="434"/>
    <col min="5637" max="5637" width="3" style="434" customWidth="1"/>
    <col min="5638" max="5639" width="9.140625" style="434"/>
    <col min="5640" max="5640" width="2.7109375" style="434" customWidth="1"/>
    <col min="5641" max="5642" width="9.140625" style="434"/>
    <col min="5643" max="5643" width="2.7109375" style="434" customWidth="1"/>
    <col min="5644" max="5645" width="9.140625" style="434"/>
    <col min="5646" max="5646" width="2.7109375" style="434" customWidth="1"/>
    <col min="5647" max="5648" width="9.140625" style="434"/>
    <col min="5649" max="5649" width="2.7109375" style="434" customWidth="1"/>
    <col min="5650" max="5888" width="9.140625" style="434"/>
    <col min="5889" max="5889" width="25.7109375" style="434" customWidth="1"/>
    <col min="5890" max="5890" width="3.7109375" style="434" customWidth="1"/>
    <col min="5891" max="5892" width="9.140625" style="434"/>
    <col min="5893" max="5893" width="3" style="434" customWidth="1"/>
    <col min="5894" max="5895" width="9.140625" style="434"/>
    <col min="5896" max="5896" width="2.7109375" style="434" customWidth="1"/>
    <col min="5897" max="5898" width="9.140625" style="434"/>
    <col min="5899" max="5899" width="2.7109375" style="434" customWidth="1"/>
    <col min="5900" max="5901" width="9.140625" style="434"/>
    <col min="5902" max="5902" width="2.7109375" style="434" customWidth="1"/>
    <col min="5903" max="5904" width="9.140625" style="434"/>
    <col min="5905" max="5905" width="2.7109375" style="434" customWidth="1"/>
    <col min="5906" max="6144" width="9.140625" style="434"/>
    <col min="6145" max="6145" width="25.7109375" style="434" customWidth="1"/>
    <col min="6146" max="6146" width="3.7109375" style="434" customWidth="1"/>
    <col min="6147" max="6148" width="9.140625" style="434"/>
    <col min="6149" max="6149" width="3" style="434" customWidth="1"/>
    <col min="6150" max="6151" width="9.140625" style="434"/>
    <col min="6152" max="6152" width="2.7109375" style="434" customWidth="1"/>
    <col min="6153" max="6154" width="9.140625" style="434"/>
    <col min="6155" max="6155" width="2.7109375" style="434" customWidth="1"/>
    <col min="6156" max="6157" width="9.140625" style="434"/>
    <col min="6158" max="6158" width="2.7109375" style="434" customWidth="1"/>
    <col min="6159" max="6160" width="9.140625" style="434"/>
    <col min="6161" max="6161" width="2.7109375" style="434" customWidth="1"/>
    <col min="6162" max="6400" width="9.140625" style="434"/>
    <col min="6401" max="6401" width="25.7109375" style="434" customWidth="1"/>
    <col min="6402" max="6402" width="3.7109375" style="434" customWidth="1"/>
    <col min="6403" max="6404" width="9.140625" style="434"/>
    <col min="6405" max="6405" width="3" style="434" customWidth="1"/>
    <col min="6406" max="6407" width="9.140625" style="434"/>
    <col min="6408" max="6408" width="2.7109375" style="434" customWidth="1"/>
    <col min="6409" max="6410" width="9.140625" style="434"/>
    <col min="6411" max="6411" width="2.7109375" style="434" customWidth="1"/>
    <col min="6412" max="6413" width="9.140625" style="434"/>
    <col min="6414" max="6414" width="2.7109375" style="434" customWidth="1"/>
    <col min="6415" max="6416" width="9.140625" style="434"/>
    <col min="6417" max="6417" width="2.7109375" style="434" customWidth="1"/>
    <col min="6418" max="6656" width="9.140625" style="434"/>
    <col min="6657" max="6657" width="25.7109375" style="434" customWidth="1"/>
    <col min="6658" max="6658" width="3.7109375" style="434" customWidth="1"/>
    <col min="6659" max="6660" width="9.140625" style="434"/>
    <col min="6661" max="6661" width="3" style="434" customWidth="1"/>
    <col min="6662" max="6663" width="9.140625" style="434"/>
    <col min="6664" max="6664" width="2.7109375" style="434" customWidth="1"/>
    <col min="6665" max="6666" width="9.140625" style="434"/>
    <col min="6667" max="6667" width="2.7109375" style="434" customWidth="1"/>
    <col min="6668" max="6669" width="9.140625" style="434"/>
    <col min="6670" max="6670" width="2.7109375" style="434" customWidth="1"/>
    <col min="6671" max="6672" width="9.140625" style="434"/>
    <col min="6673" max="6673" width="2.7109375" style="434" customWidth="1"/>
    <col min="6674" max="6912" width="9.140625" style="434"/>
    <col min="6913" max="6913" width="25.7109375" style="434" customWidth="1"/>
    <col min="6914" max="6914" width="3.7109375" style="434" customWidth="1"/>
    <col min="6915" max="6916" width="9.140625" style="434"/>
    <col min="6917" max="6917" width="3" style="434" customWidth="1"/>
    <col min="6918" max="6919" width="9.140625" style="434"/>
    <col min="6920" max="6920" width="2.7109375" style="434" customWidth="1"/>
    <col min="6921" max="6922" width="9.140625" style="434"/>
    <col min="6923" max="6923" width="2.7109375" style="434" customWidth="1"/>
    <col min="6924" max="6925" width="9.140625" style="434"/>
    <col min="6926" max="6926" width="2.7109375" style="434" customWidth="1"/>
    <col min="6927" max="6928" width="9.140625" style="434"/>
    <col min="6929" max="6929" width="2.7109375" style="434" customWidth="1"/>
    <col min="6930" max="7168" width="9.140625" style="434"/>
    <col min="7169" max="7169" width="25.7109375" style="434" customWidth="1"/>
    <col min="7170" max="7170" width="3.7109375" style="434" customWidth="1"/>
    <col min="7171" max="7172" width="9.140625" style="434"/>
    <col min="7173" max="7173" width="3" style="434" customWidth="1"/>
    <col min="7174" max="7175" width="9.140625" style="434"/>
    <col min="7176" max="7176" width="2.7109375" style="434" customWidth="1"/>
    <col min="7177" max="7178" width="9.140625" style="434"/>
    <col min="7179" max="7179" width="2.7109375" style="434" customWidth="1"/>
    <col min="7180" max="7181" width="9.140625" style="434"/>
    <col min="7182" max="7182" width="2.7109375" style="434" customWidth="1"/>
    <col min="7183" max="7184" width="9.140625" style="434"/>
    <col min="7185" max="7185" width="2.7109375" style="434" customWidth="1"/>
    <col min="7186" max="7424" width="9.140625" style="434"/>
    <col min="7425" max="7425" width="25.7109375" style="434" customWidth="1"/>
    <col min="7426" max="7426" width="3.7109375" style="434" customWidth="1"/>
    <col min="7427" max="7428" width="9.140625" style="434"/>
    <col min="7429" max="7429" width="3" style="434" customWidth="1"/>
    <col min="7430" max="7431" width="9.140625" style="434"/>
    <col min="7432" max="7432" width="2.7109375" style="434" customWidth="1"/>
    <col min="7433" max="7434" width="9.140625" style="434"/>
    <col min="7435" max="7435" width="2.7109375" style="434" customWidth="1"/>
    <col min="7436" max="7437" width="9.140625" style="434"/>
    <col min="7438" max="7438" width="2.7109375" style="434" customWidth="1"/>
    <col min="7439" max="7440" width="9.140625" style="434"/>
    <col min="7441" max="7441" width="2.7109375" style="434" customWidth="1"/>
    <col min="7442" max="7680" width="9.140625" style="434"/>
    <col min="7681" max="7681" width="25.7109375" style="434" customWidth="1"/>
    <col min="7682" max="7682" width="3.7109375" style="434" customWidth="1"/>
    <col min="7683" max="7684" width="9.140625" style="434"/>
    <col min="7685" max="7685" width="3" style="434" customWidth="1"/>
    <col min="7686" max="7687" width="9.140625" style="434"/>
    <col min="7688" max="7688" width="2.7109375" style="434" customWidth="1"/>
    <col min="7689" max="7690" width="9.140625" style="434"/>
    <col min="7691" max="7691" width="2.7109375" style="434" customWidth="1"/>
    <col min="7692" max="7693" width="9.140625" style="434"/>
    <col min="7694" max="7694" width="2.7109375" style="434" customWidth="1"/>
    <col min="7695" max="7696" width="9.140625" style="434"/>
    <col min="7697" max="7697" width="2.7109375" style="434" customWidth="1"/>
    <col min="7698" max="7936" width="9.140625" style="434"/>
    <col min="7937" max="7937" width="25.7109375" style="434" customWidth="1"/>
    <col min="7938" max="7938" width="3.7109375" style="434" customWidth="1"/>
    <col min="7939" max="7940" width="9.140625" style="434"/>
    <col min="7941" max="7941" width="3" style="434" customWidth="1"/>
    <col min="7942" max="7943" width="9.140625" style="434"/>
    <col min="7944" max="7944" width="2.7109375" style="434" customWidth="1"/>
    <col min="7945" max="7946" width="9.140625" style="434"/>
    <col min="7947" max="7947" width="2.7109375" style="434" customWidth="1"/>
    <col min="7948" max="7949" width="9.140625" style="434"/>
    <col min="7950" max="7950" width="2.7109375" style="434" customWidth="1"/>
    <col min="7951" max="7952" width="9.140625" style="434"/>
    <col min="7953" max="7953" width="2.7109375" style="434" customWidth="1"/>
    <col min="7954" max="8192" width="9.140625" style="434"/>
    <col min="8193" max="8193" width="25.7109375" style="434" customWidth="1"/>
    <col min="8194" max="8194" width="3.7109375" style="434" customWidth="1"/>
    <col min="8195" max="8196" width="9.140625" style="434"/>
    <col min="8197" max="8197" width="3" style="434" customWidth="1"/>
    <col min="8198" max="8199" width="9.140625" style="434"/>
    <col min="8200" max="8200" width="2.7109375" style="434" customWidth="1"/>
    <col min="8201" max="8202" width="9.140625" style="434"/>
    <col min="8203" max="8203" width="2.7109375" style="434" customWidth="1"/>
    <col min="8204" max="8205" width="9.140625" style="434"/>
    <col min="8206" max="8206" width="2.7109375" style="434" customWidth="1"/>
    <col min="8207" max="8208" width="9.140625" style="434"/>
    <col min="8209" max="8209" width="2.7109375" style="434" customWidth="1"/>
    <col min="8210" max="8448" width="9.140625" style="434"/>
    <col min="8449" max="8449" width="25.7109375" style="434" customWidth="1"/>
    <col min="8450" max="8450" width="3.7109375" style="434" customWidth="1"/>
    <col min="8451" max="8452" width="9.140625" style="434"/>
    <col min="8453" max="8453" width="3" style="434" customWidth="1"/>
    <col min="8454" max="8455" width="9.140625" style="434"/>
    <col min="8456" max="8456" width="2.7109375" style="434" customWidth="1"/>
    <col min="8457" max="8458" width="9.140625" style="434"/>
    <col min="8459" max="8459" width="2.7109375" style="434" customWidth="1"/>
    <col min="8460" max="8461" width="9.140625" style="434"/>
    <col min="8462" max="8462" width="2.7109375" style="434" customWidth="1"/>
    <col min="8463" max="8464" width="9.140625" style="434"/>
    <col min="8465" max="8465" width="2.7109375" style="434" customWidth="1"/>
    <col min="8466" max="8704" width="9.140625" style="434"/>
    <col min="8705" max="8705" width="25.7109375" style="434" customWidth="1"/>
    <col min="8706" max="8706" width="3.7109375" style="434" customWidth="1"/>
    <col min="8707" max="8708" width="9.140625" style="434"/>
    <col min="8709" max="8709" width="3" style="434" customWidth="1"/>
    <col min="8710" max="8711" width="9.140625" style="434"/>
    <col min="8712" max="8712" width="2.7109375" style="434" customWidth="1"/>
    <col min="8713" max="8714" width="9.140625" style="434"/>
    <col min="8715" max="8715" width="2.7109375" style="434" customWidth="1"/>
    <col min="8716" max="8717" width="9.140625" style="434"/>
    <col min="8718" max="8718" width="2.7109375" style="434" customWidth="1"/>
    <col min="8719" max="8720" width="9.140625" style="434"/>
    <col min="8721" max="8721" width="2.7109375" style="434" customWidth="1"/>
    <col min="8722" max="8960" width="9.140625" style="434"/>
    <col min="8961" max="8961" width="25.7109375" style="434" customWidth="1"/>
    <col min="8962" max="8962" width="3.7109375" style="434" customWidth="1"/>
    <col min="8963" max="8964" width="9.140625" style="434"/>
    <col min="8965" max="8965" width="3" style="434" customWidth="1"/>
    <col min="8966" max="8967" width="9.140625" style="434"/>
    <col min="8968" max="8968" width="2.7109375" style="434" customWidth="1"/>
    <col min="8969" max="8970" width="9.140625" style="434"/>
    <col min="8971" max="8971" width="2.7109375" style="434" customWidth="1"/>
    <col min="8972" max="8973" width="9.140625" style="434"/>
    <col min="8974" max="8974" width="2.7109375" style="434" customWidth="1"/>
    <col min="8975" max="8976" width="9.140625" style="434"/>
    <col min="8977" max="8977" width="2.7109375" style="434" customWidth="1"/>
    <col min="8978" max="9216" width="9.140625" style="434"/>
    <col min="9217" max="9217" width="25.7109375" style="434" customWidth="1"/>
    <col min="9218" max="9218" width="3.7109375" style="434" customWidth="1"/>
    <col min="9219" max="9220" width="9.140625" style="434"/>
    <col min="9221" max="9221" width="3" style="434" customWidth="1"/>
    <col min="9222" max="9223" width="9.140625" style="434"/>
    <col min="9224" max="9224" width="2.7109375" style="434" customWidth="1"/>
    <col min="9225" max="9226" width="9.140625" style="434"/>
    <col min="9227" max="9227" width="2.7109375" style="434" customWidth="1"/>
    <col min="9228" max="9229" width="9.140625" style="434"/>
    <col min="9230" max="9230" width="2.7109375" style="434" customWidth="1"/>
    <col min="9231" max="9232" width="9.140625" style="434"/>
    <col min="9233" max="9233" width="2.7109375" style="434" customWidth="1"/>
    <col min="9234" max="9472" width="9.140625" style="434"/>
    <col min="9473" max="9473" width="25.7109375" style="434" customWidth="1"/>
    <col min="9474" max="9474" width="3.7109375" style="434" customWidth="1"/>
    <col min="9475" max="9476" width="9.140625" style="434"/>
    <col min="9477" max="9477" width="3" style="434" customWidth="1"/>
    <col min="9478" max="9479" width="9.140625" style="434"/>
    <col min="9480" max="9480" width="2.7109375" style="434" customWidth="1"/>
    <col min="9481" max="9482" width="9.140625" style="434"/>
    <col min="9483" max="9483" width="2.7109375" style="434" customWidth="1"/>
    <col min="9484" max="9485" width="9.140625" style="434"/>
    <col min="9486" max="9486" width="2.7109375" style="434" customWidth="1"/>
    <col min="9487" max="9488" width="9.140625" style="434"/>
    <col min="9489" max="9489" width="2.7109375" style="434" customWidth="1"/>
    <col min="9490" max="9728" width="9.140625" style="434"/>
    <col min="9729" max="9729" width="25.7109375" style="434" customWidth="1"/>
    <col min="9730" max="9730" width="3.7109375" style="434" customWidth="1"/>
    <col min="9731" max="9732" width="9.140625" style="434"/>
    <col min="9733" max="9733" width="3" style="434" customWidth="1"/>
    <col min="9734" max="9735" width="9.140625" style="434"/>
    <col min="9736" max="9736" width="2.7109375" style="434" customWidth="1"/>
    <col min="9737" max="9738" width="9.140625" style="434"/>
    <col min="9739" max="9739" width="2.7109375" style="434" customWidth="1"/>
    <col min="9740" max="9741" width="9.140625" style="434"/>
    <col min="9742" max="9742" width="2.7109375" style="434" customWidth="1"/>
    <col min="9743" max="9744" width="9.140625" style="434"/>
    <col min="9745" max="9745" width="2.7109375" style="434" customWidth="1"/>
    <col min="9746" max="9984" width="9.140625" style="434"/>
    <col min="9985" max="9985" width="25.7109375" style="434" customWidth="1"/>
    <col min="9986" max="9986" width="3.7109375" style="434" customWidth="1"/>
    <col min="9987" max="9988" width="9.140625" style="434"/>
    <col min="9989" max="9989" width="3" style="434" customWidth="1"/>
    <col min="9990" max="9991" width="9.140625" style="434"/>
    <col min="9992" max="9992" width="2.7109375" style="434" customWidth="1"/>
    <col min="9993" max="9994" width="9.140625" style="434"/>
    <col min="9995" max="9995" width="2.7109375" style="434" customWidth="1"/>
    <col min="9996" max="9997" width="9.140625" style="434"/>
    <col min="9998" max="9998" width="2.7109375" style="434" customWidth="1"/>
    <col min="9999" max="10000" width="9.140625" style="434"/>
    <col min="10001" max="10001" width="2.7109375" style="434" customWidth="1"/>
    <col min="10002" max="10240" width="9.140625" style="434"/>
    <col min="10241" max="10241" width="25.7109375" style="434" customWidth="1"/>
    <col min="10242" max="10242" width="3.7109375" style="434" customWidth="1"/>
    <col min="10243" max="10244" width="9.140625" style="434"/>
    <col min="10245" max="10245" width="3" style="434" customWidth="1"/>
    <col min="10246" max="10247" width="9.140625" style="434"/>
    <col min="10248" max="10248" width="2.7109375" style="434" customWidth="1"/>
    <col min="10249" max="10250" width="9.140625" style="434"/>
    <col min="10251" max="10251" width="2.7109375" style="434" customWidth="1"/>
    <col min="10252" max="10253" width="9.140625" style="434"/>
    <col min="10254" max="10254" width="2.7109375" style="434" customWidth="1"/>
    <col min="10255" max="10256" width="9.140625" style="434"/>
    <col min="10257" max="10257" width="2.7109375" style="434" customWidth="1"/>
    <col min="10258" max="10496" width="9.140625" style="434"/>
    <col min="10497" max="10497" width="25.7109375" style="434" customWidth="1"/>
    <col min="10498" max="10498" width="3.7109375" style="434" customWidth="1"/>
    <col min="10499" max="10500" width="9.140625" style="434"/>
    <col min="10501" max="10501" width="3" style="434" customWidth="1"/>
    <col min="10502" max="10503" width="9.140625" style="434"/>
    <col min="10504" max="10504" width="2.7109375" style="434" customWidth="1"/>
    <col min="10505" max="10506" width="9.140625" style="434"/>
    <col min="10507" max="10507" width="2.7109375" style="434" customWidth="1"/>
    <col min="10508" max="10509" width="9.140625" style="434"/>
    <col min="10510" max="10510" width="2.7109375" style="434" customWidth="1"/>
    <col min="10511" max="10512" width="9.140625" style="434"/>
    <col min="10513" max="10513" width="2.7109375" style="434" customWidth="1"/>
    <col min="10514" max="10752" width="9.140625" style="434"/>
    <col min="10753" max="10753" width="25.7109375" style="434" customWidth="1"/>
    <col min="10754" max="10754" width="3.7109375" style="434" customWidth="1"/>
    <col min="10755" max="10756" width="9.140625" style="434"/>
    <col min="10757" max="10757" width="3" style="434" customWidth="1"/>
    <col min="10758" max="10759" width="9.140625" style="434"/>
    <col min="10760" max="10760" width="2.7109375" style="434" customWidth="1"/>
    <col min="10761" max="10762" width="9.140625" style="434"/>
    <col min="10763" max="10763" width="2.7109375" style="434" customWidth="1"/>
    <col min="10764" max="10765" width="9.140625" style="434"/>
    <col min="10766" max="10766" width="2.7109375" style="434" customWidth="1"/>
    <col min="10767" max="10768" width="9.140625" style="434"/>
    <col min="10769" max="10769" width="2.7109375" style="434" customWidth="1"/>
    <col min="10770" max="11008" width="9.140625" style="434"/>
    <col min="11009" max="11009" width="25.7109375" style="434" customWidth="1"/>
    <col min="11010" max="11010" width="3.7109375" style="434" customWidth="1"/>
    <col min="11011" max="11012" width="9.140625" style="434"/>
    <col min="11013" max="11013" width="3" style="434" customWidth="1"/>
    <col min="11014" max="11015" width="9.140625" style="434"/>
    <col min="11016" max="11016" width="2.7109375" style="434" customWidth="1"/>
    <col min="11017" max="11018" width="9.140625" style="434"/>
    <col min="11019" max="11019" width="2.7109375" style="434" customWidth="1"/>
    <col min="11020" max="11021" width="9.140625" style="434"/>
    <col min="11022" max="11022" width="2.7109375" style="434" customWidth="1"/>
    <col min="11023" max="11024" width="9.140625" style="434"/>
    <col min="11025" max="11025" width="2.7109375" style="434" customWidth="1"/>
    <col min="11026" max="11264" width="9.140625" style="434"/>
    <col min="11265" max="11265" width="25.7109375" style="434" customWidth="1"/>
    <col min="11266" max="11266" width="3.7109375" style="434" customWidth="1"/>
    <col min="11267" max="11268" width="9.140625" style="434"/>
    <col min="11269" max="11269" width="3" style="434" customWidth="1"/>
    <col min="11270" max="11271" width="9.140625" style="434"/>
    <col min="11272" max="11272" width="2.7109375" style="434" customWidth="1"/>
    <col min="11273" max="11274" width="9.140625" style="434"/>
    <col min="11275" max="11275" width="2.7109375" style="434" customWidth="1"/>
    <col min="11276" max="11277" width="9.140625" style="434"/>
    <col min="11278" max="11278" width="2.7109375" style="434" customWidth="1"/>
    <col min="11279" max="11280" width="9.140625" style="434"/>
    <col min="11281" max="11281" width="2.7109375" style="434" customWidth="1"/>
    <col min="11282" max="11520" width="9.140625" style="434"/>
    <col min="11521" max="11521" width="25.7109375" style="434" customWidth="1"/>
    <col min="11522" max="11522" width="3.7109375" style="434" customWidth="1"/>
    <col min="11523" max="11524" width="9.140625" style="434"/>
    <col min="11525" max="11525" width="3" style="434" customWidth="1"/>
    <col min="11526" max="11527" width="9.140625" style="434"/>
    <col min="11528" max="11528" width="2.7109375" style="434" customWidth="1"/>
    <col min="11529" max="11530" width="9.140625" style="434"/>
    <col min="11531" max="11531" width="2.7109375" style="434" customWidth="1"/>
    <col min="11532" max="11533" width="9.140625" style="434"/>
    <col min="11534" max="11534" width="2.7109375" style="434" customWidth="1"/>
    <col min="11535" max="11536" width="9.140625" style="434"/>
    <col min="11537" max="11537" width="2.7109375" style="434" customWidth="1"/>
    <col min="11538" max="11776" width="9.140625" style="434"/>
    <col min="11777" max="11777" width="25.7109375" style="434" customWidth="1"/>
    <col min="11778" max="11778" width="3.7109375" style="434" customWidth="1"/>
    <col min="11779" max="11780" width="9.140625" style="434"/>
    <col min="11781" max="11781" width="3" style="434" customWidth="1"/>
    <col min="11782" max="11783" width="9.140625" style="434"/>
    <col min="11784" max="11784" width="2.7109375" style="434" customWidth="1"/>
    <col min="11785" max="11786" width="9.140625" style="434"/>
    <col min="11787" max="11787" width="2.7109375" style="434" customWidth="1"/>
    <col min="11788" max="11789" width="9.140625" style="434"/>
    <col min="11790" max="11790" width="2.7109375" style="434" customWidth="1"/>
    <col min="11791" max="11792" width="9.140625" style="434"/>
    <col min="11793" max="11793" width="2.7109375" style="434" customWidth="1"/>
    <col min="11794" max="12032" width="9.140625" style="434"/>
    <col min="12033" max="12033" width="25.7109375" style="434" customWidth="1"/>
    <col min="12034" max="12034" width="3.7109375" style="434" customWidth="1"/>
    <col min="12035" max="12036" width="9.140625" style="434"/>
    <col min="12037" max="12037" width="3" style="434" customWidth="1"/>
    <col min="12038" max="12039" width="9.140625" style="434"/>
    <col min="12040" max="12040" width="2.7109375" style="434" customWidth="1"/>
    <col min="12041" max="12042" width="9.140625" style="434"/>
    <col min="12043" max="12043" width="2.7109375" style="434" customWidth="1"/>
    <col min="12044" max="12045" width="9.140625" style="434"/>
    <col min="12046" max="12046" width="2.7109375" style="434" customWidth="1"/>
    <col min="12047" max="12048" width="9.140625" style="434"/>
    <col min="12049" max="12049" width="2.7109375" style="434" customWidth="1"/>
    <col min="12050" max="12288" width="9.140625" style="434"/>
    <col min="12289" max="12289" width="25.7109375" style="434" customWidth="1"/>
    <col min="12290" max="12290" width="3.7109375" style="434" customWidth="1"/>
    <col min="12291" max="12292" width="9.140625" style="434"/>
    <col min="12293" max="12293" width="3" style="434" customWidth="1"/>
    <col min="12294" max="12295" width="9.140625" style="434"/>
    <col min="12296" max="12296" width="2.7109375" style="434" customWidth="1"/>
    <col min="12297" max="12298" width="9.140625" style="434"/>
    <col min="12299" max="12299" width="2.7109375" style="434" customWidth="1"/>
    <col min="12300" max="12301" width="9.140625" style="434"/>
    <col min="12302" max="12302" width="2.7109375" style="434" customWidth="1"/>
    <col min="12303" max="12304" width="9.140625" style="434"/>
    <col min="12305" max="12305" width="2.7109375" style="434" customWidth="1"/>
    <col min="12306" max="12544" width="9.140625" style="434"/>
    <col min="12545" max="12545" width="25.7109375" style="434" customWidth="1"/>
    <col min="12546" max="12546" width="3.7109375" style="434" customWidth="1"/>
    <col min="12547" max="12548" width="9.140625" style="434"/>
    <col min="12549" max="12549" width="3" style="434" customWidth="1"/>
    <col min="12550" max="12551" width="9.140625" style="434"/>
    <col min="12552" max="12552" width="2.7109375" style="434" customWidth="1"/>
    <col min="12553" max="12554" width="9.140625" style="434"/>
    <col min="12555" max="12555" width="2.7109375" style="434" customWidth="1"/>
    <col min="12556" max="12557" width="9.140625" style="434"/>
    <col min="12558" max="12558" width="2.7109375" style="434" customWidth="1"/>
    <col min="12559" max="12560" width="9.140625" style="434"/>
    <col min="12561" max="12561" width="2.7109375" style="434" customWidth="1"/>
    <col min="12562" max="12800" width="9.140625" style="434"/>
    <col min="12801" max="12801" width="25.7109375" style="434" customWidth="1"/>
    <col min="12802" max="12802" width="3.7109375" style="434" customWidth="1"/>
    <col min="12803" max="12804" width="9.140625" style="434"/>
    <col min="12805" max="12805" width="3" style="434" customWidth="1"/>
    <col min="12806" max="12807" width="9.140625" style="434"/>
    <col min="12808" max="12808" width="2.7109375" style="434" customWidth="1"/>
    <col min="12809" max="12810" width="9.140625" style="434"/>
    <col min="12811" max="12811" width="2.7109375" style="434" customWidth="1"/>
    <col min="12812" max="12813" width="9.140625" style="434"/>
    <col min="12814" max="12814" width="2.7109375" style="434" customWidth="1"/>
    <col min="12815" max="12816" width="9.140625" style="434"/>
    <col min="12817" max="12817" width="2.7109375" style="434" customWidth="1"/>
    <col min="12818" max="13056" width="9.140625" style="434"/>
    <col min="13057" max="13057" width="25.7109375" style="434" customWidth="1"/>
    <col min="13058" max="13058" width="3.7109375" style="434" customWidth="1"/>
    <col min="13059" max="13060" width="9.140625" style="434"/>
    <col min="13061" max="13061" width="3" style="434" customWidth="1"/>
    <col min="13062" max="13063" width="9.140625" style="434"/>
    <col min="13064" max="13064" width="2.7109375" style="434" customWidth="1"/>
    <col min="13065" max="13066" width="9.140625" style="434"/>
    <col min="13067" max="13067" width="2.7109375" style="434" customWidth="1"/>
    <col min="13068" max="13069" width="9.140625" style="434"/>
    <col min="13070" max="13070" width="2.7109375" style="434" customWidth="1"/>
    <col min="13071" max="13072" width="9.140625" style="434"/>
    <col min="13073" max="13073" width="2.7109375" style="434" customWidth="1"/>
    <col min="13074" max="13312" width="9.140625" style="434"/>
    <col min="13313" max="13313" width="25.7109375" style="434" customWidth="1"/>
    <col min="13314" max="13314" width="3.7109375" style="434" customWidth="1"/>
    <col min="13315" max="13316" width="9.140625" style="434"/>
    <col min="13317" max="13317" width="3" style="434" customWidth="1"/>
    <col min="13318" max="13319" width="9.140625" style="434"/>
    <col min="13320" max="13320" width="2.7109375" style="434" customWidth="1"/>
    <col min="13321" max="13322" width="9.140625" style="434"/>
    <col min="13323" max="13323" width="2.7109375" style="434" customWidth="1"/>
    <col min="13324" max="13325" width="9.140625" style="434"/>
    <col min="13326" max="13326" width="2.7109375" style="434" customWidth="1"/>
    <col min="13327" max="13328" width="9.140625" style="434"/>
    <col min="13329" max="13329" width="2.7109375" style="434" customWidth="1"/>
    <col min="13330" max="13568" width="9.140625" style="434"/>
    <col min="13569" max="13569" width="25.7109375" style="434" customWidth="1"/>
    <col min="13570" max="13570" width="3.7109375" style="434" customWidth="1"/>
    <col min="13571" max="13572" width="9.140625" style="434"/>
    <col min="13573" max="13573" width="3" style="434" customWidth="1"/>
    <col min="13574" max="13575" width="9.140625" style="434"/>
    <col min="13576" max="13576" width="2.7109375" style="434" customWidth="1"/>
    <col min="13577" max="13578" width="9.140625" style="434"/>
    <col min="13579" max="13579" width="2.7109375" style="434" customWidth="1"/>
    <col min="13580" max="13581" width="9.140625" style="434"/>
    <col min="13582" max="13582" width="2.7109375" style="434" customWidth="1"/>
    <col min="13583" max="13584" width="9.140625" style="434"/>
    <col min="13585" max="13585" width="2.7109375" style="434" customWidth="1"/>
    <col min="13586" max="13824" width="9.140625" style="434"/>
    <col min="13825" max="13825" width="25.7109375" style="434" customWidth="1"/>
    <col min="13826" max="13826" width="3.7109375" style="434" customWidth="1"/>
    <col min="13827" max="13828" width="9.140625" style="434"/>
    <col min="13829" max="13829" width="3" style="434" customWidth="1"/>
    <col min="13830" max="13831" width="9.140625" style="434"/>
    <col min="13832" max="13832" width="2.7109375" style="434" customWidth="1"/>
    <col min="13833" max="13834" width="9.140625" style="434"/>
    <col min="13835" max="13835" width="2.7109375" style="434" customWidth="1"/>
    <col min="13836" max="13837" width="9.140625" style="434"/>
    <col min="13838" max="13838" width="2.7109375" style="434" customWidth="1"/>
    <col min="13839" max="13840" width="9.140625" style="434"/>
    <col min="13841" max="13841" width="2.7109375" style="434" customWidth="1"/>
    <col min="13842" max="14080" width="9.140625" style="434"/>
    <col min="14081" max="14081" width="25.7109375" style="434" customWidth="1"/>
    <col min="14082" max="14082" width="3.7109375" style="434" customWidth="1"/>
    <col min="14083" max="14084" width="9.140625" style="434"/>
    <col min="14085" max="14085" width="3" style="434" customWidth="1"/>
    <col min="14086" max="14087" width="9.140625" style="434"/>
    <col min="14088" max="14088" width="2.7109375" style="434" customWidth="1"/>
    <col min="14089" max="14090" width="9.140625" style="434"/>
    <col min="14091" max="14091" width="2.7109375" style="434" customWidth="1"/>
    <col min="14092" max="14093" width="9.140625" style="434"/>
    <col min="14094" max="14094" width="2.7109375" style="434" customWidth="1"/>
    <col min="14095" max="14096" width="9.140625" style="434"/>
    <col min="14097" max="14097" width="2.7109375" style="434" customWidth="1"/>
    <col min="14098" max="14336" width="9.140625" style="434"/>
    <col min="14337" max="14337" width="25.7109375" style="434" customWidth="1"/>
    <col min="14338" max="14338" width="3.7109375" style="434" customWidth="1"/>
    <col min="14339" max="14340" width="9.140625" style="434"/>
    <col min="14341" max="14341" width="3" style="434" customWidth="1"/>
    <col min="14342" max="14343" width="9.140625" style="434"/>
    <col min="14344" max="14344" width="2.7109375" style="434" customWidth="1"/>
    <col min="14345" max="14346" width="9.140625" style="434"/>
    <col min="14347" max="14347" width="2.7109375" style="434" customWidth="1"/>
    <col min="14348" max="14349" width="9.140625" style="434"/>
    <col min="14350" max="14350" width="2.7109375" style="434" customWidth="1"/>
    <col min="14351" max="14352" width="9.140625" style="434"/>
    <col min="14353" max="14353" width="2.7109375" style="434" customWidth="1"/>
    <col min="14354" max="14592" width="9.140625" style="434"/>
    <col min="14593" max="14593" width="25.7109375" style="434" customWidth="1"/>
    <col min="14594" max="14594" width="3.7109375" style="434" customWidth="1"/>
    <col min="14595" max="14596" width="9.140625" style="434"/>
    <col min="14597" max="14597" width="3" style="434" customWidth="1"/>
    <col min="14598" max="14599" width="9.140625" style="434"/>
    <col min="14600" max="14600" width="2.7109375" style="434" customWidth="1"/>
    <col min="14601" max="14602" width="9.140625" style="434"/>
    <col min="14603" max="14603" width="2.7109375" style="434" customWidth="1"/>
    <col min="14604" max="14605" width="9.140625" style="434"/>
    <col min="14606" max="14606" width="2.7109375" style="434" customWidth="1"/>
    <col min="14607" max="14608" width="9.140625" style="434"/>
    <col min="14609" max="14609" width="2.7109375" style="434" customWidth="1"/>
    <col min="14610" max="14848" width="9.140625" style="434"/>
    <col min="14849" max="14849" width="25.7109375" style="434" customWidth="1"/>
    <col min="14850" max="14850" width="3.7109375" style="434" customWidth="1"/>
    <col min="14851" max="14852" width="9.140625" style="434"/>
    <col min="14853" max="14853" width="3" style="434" customWidth="1"/>
    <col min="14854" max="14855" width="9.140625" style="434"/>
    <col min="14856" max="14856" width="2.7109375" style="434" customWidth="1"/>
    <col min="14857" max="14858" width="9.140625" style="434"/>
    <col min="14859" max="14859" width="2.7109375" style="434" customWidth="1"/>
    <col min="14860" max="14861" width="9.140625" style="434"/>
    <col min="14862" max="14862" width="2.7109375" style="434" customWidth="1"/>
    <col min="14863" max="14864" width="9.140625" style="434"/>
    <col min="14865" max="14865" width="2.7109375" style="434" customWidth="1"/>
    <col min="14866" max="15104" width="9.140625" style="434"/>
    <col min="15105" max="15105" width="25.7109375" style="434" customWidth="1"/>
    <col min="15106" max="15106" width="3.7109375" style="434" customWidth="1"/>
    <col min="15107" max="15108" width="9.140625" style="434"/>
    <col min="15109" max="15109" width="3" style="434" customWidth="1"/>
    <col min="15110" max="15111" width="9.140625" style="434"/>
    <col min="15112" max="15112" width="2.7109375" style="434" customWidth="1"/>
    <col min="15113" max="15114" width="9.140625" style="434"/>
    <col min="15115" max="15115" width="2.7109375" style="434" customWidth="1"/>
    <col min="15116" max="15117" width="9.140625" style="434"/>
    <col min="15118" max="15118" width="2.7109375" style="434" customWidth="1"/>
    <col min="15119" max="15120" width="9.140625" style="434"/>
    <col min="15121" max="15121" width="2.7109375" style="434" customWidth="1"/>
    <col min="15122" max="15360" width="9.140625" style="434"/>
    <col min="15361" max="15361" width="25.7109375" style="434" customWidth="1"/>
    <col min="15362" max="15362" width="3.7109375" style="434" customWidth="1"/>
    <col min="15363" max="15364" width="9.140625" style="434"/>
    <col min="15365" max="15365" width="3" style="434" customWidth="1"/>
    <col min="15366" max="15367" width="9.140625" style="434"/>
    <col min="15368" max="15368" width="2.7109375" style="434" customWidth="1"/>
    <col min="15369" max="15370" width="9.140625" style="434"/>
    <col min="15371" max="15371" width="2.7109375" style="434" customWidth="1"/>
    <col min="15372" max="15373" width="9.140625" style="434"/>
    <col min="15374" max="15374" width="2.7109375" style="434" customWidth="1"/>
    <col min="15375" max="15376" width="9.140625" style="434"/>
    <col min="15377" max="15377" width="2.7109375" style="434" customWidth="1"/>
    <col min="15378" max="15616" width="9.140625" style="434"/>
    <col min="15617" max="15617" width="25.7109375" style="434" customWidth="1"/>
    <col min="15618" max="15618" width="3.7109375" style="434" customWidth="1"/>
    <col min="15619" max="15620" width="9.140625" style="434"/>
    <col min="15621" max="15621" width="3" style="434" customWidth="1"/>
    <col min="15622" max="15623" width="9.140625" style="434"/>
    <col min="15624" max="15624" width="2.7109375" style="434" customWidth="1"/>
    <col min="15625" max="15626" width="9.140625" style="434"/>
    <col min="15627" max="15627" width="2.7109375" style="434" customWidth="1"/>
    <col min="15628" max="15629" width="9.140625" style="434"/>
    <col min="15630" max="15630" width="2.7109375" style="434" customWidth="1"/>
    <col min="15631" max="15632" width="9.140625" style="434"/>
    <col min="15633" max="15633" width="2.7109375" style="434" customWidth="1"/>
    <col min="15634" max="15872" width="9.140625" style="434"/>
    <col min="15873" max="15873" width="25.7109375" style="434" customWidth="1"/>
    <col min="15874" max="15874" width="3.7109375" style="434" customWidth="1"/>
    <col min="15875" max="15876" width="9.140625" style="434"/>
    <col min="15877" max="15877" width="3" style="434" customWidth="1"/>
    <col min="15878" max="15879" width="9.140625" style="434"/>
    <col min="15880" max="15880" width="2.7109375" style="434" customWidth="1"/>
    <col min="15881" max="15882" width="9.140625" style="434"/>
    <col min="15883" max="15883" width="2.7109375" style="434" customWidth="1"/>
    <col min="15884" max="15885" width="9.140625" style="434"/>
    <col min="15886" max="15886" width="2.7109375" style="434" customWidth="1"/>
    <col min="15887" max="15888" width="9.140625" style="434"/>
    <col min="15889" max="15889" width="2.7109375" style="434" customWidth="1"/>
    <col min="15890" max="16128" width="9.140625" style="434"/>
    <col min="16129" max="16129" width="25.7109375" style="434" customWidth="1"/>
    <col min="16130" max="16130" width="3.7109375" style="434" customWidth="1"/>
    <col min="16131" max="16132" width="9.140625" style="434"/>
    <col min="16133" max="16133" width="3" style="434" customWidth="1"/>
    <col min="16134" max="16135" width="9.140625" style="434"/>
    <col min="16136" max="16136" width="2.7109375" style="434" customWidth="1"/>
    <col min="16137" max="16138" width="9.140625" style="434"/>
    <col min="16139" max="16139" width="2.7109375" style="434" customWidth="1"/>
    <col min="16140" max="16141" width="9.140625" style="434"/>
    <col min="16142" max="16142" width="2.7109375" style="434" customWidth="1"/>
    <col min="16143" max="16144" width="9.140625" style="434"/>
    <col min="16145" max="16145" width="2.7109375" style="434" customWidth="1"/>
    <col min="16146" max="16384" width="9.140625" style="434"/>
  </cols>
  <sheetData>
    <row r="1" spans="1:17">
      <c r="A1" s="434" t="s">
        <v>379</v>
      </c>
    </row>
    <row r="2" spans="1:17">
      <c r="A2" s="434" t="s">
        <v>380</v>
      </c>
    </row>
    <row r="4" spans="1:17" ht="15.75" customHeight="1">
      <c r="A4" s="42" t="s">
        <v>381</v>
      </c>
    </row>
    <row r="5" spans="1:17" ht="16.5" customHeight="1" thickBot="1">
      <c r="B5" s="446"/>
    </row>
    <row r="6" spans="1:17" ht="19.5" customHeight="1">
      <c r="A6" s="437"/>
      <c r="C6" s="437"/>
      <c r="D6" s="437"/>
      <c r="E6" s="437"/>
      <c r="F6" s="437"/>
      <c r="G6" s="437"/>
      <c r="H6" s="437"/>
      <c r="I6" s="437"/>
      <c r="J6" s="437"/>
      <c r="K6" s="437"/>
      <c r="L6" s="437"/>
      <c r="M6" s="437"/>
      <c r="N6" s="437"/>
      <c r="O6" s="437"/>
      <c r="P6" s="437"/>
      <c r="Q6" s="437"/>
    </row>
    <row r="7" spans="1:17" ht="19.899999999999999" customHeight="1">
      <c r="A7" s="440" t="s">
        <v>382</v>
      </c>
      <c r="C7" s="1267">
        <v>2013</v>
      </c>
      <c r="D7" s="1267"/>
      <c r="F7" s="1267">
        <v>2014</v>
      </c>
      <c r="G7" s="1267"/>
      <c r="I7" s="1267">
        <v>2015</v>
      </c>
      <c r="J7" s="1267"/>
      <c r="L7" s="1267">
        <v>2016</v>
      </c>
      <c r="M7" s="1267"/>
      <c r="O7" s="1267">
        <v>2017</v>
      </c>
      <c r="P7" s="1267"/>
    </row>
    <row r="8" spans="1:17" ht="19.899999999999999" customHeight="1">
      <c r="A8" s="434" t="s">
        <v>383</v>
      </c>
      <c r="C8" s="808" t="s">
        <v>9</v>
      </c>
      <c r="D8" s="808" t="s">
        <v>10</v>
      </c>
      <c r="F8" s="808" t="s">
        <v>9</v>
      </c>
      <c r="G8" s="808" t="s">
        <v>10</v>
      </c>
      <c r="I8" s="808" t="s">
        <v>9</v>
      </c>
      <c r="J8" s="808" t="s">
        <v>10</v>
      </c>
      <c r="L8" s="808" t="s">
        <v>9</v>
      </c>
      <c r="M8" s="808" t="s">
        <v>10</v>
      </c>
      <c r="O8" s="808" t="s">
        <v>9</v>
      </c>
      <c r="P8" s="808" t="s">
        <v>10</v>
      </c>
    </row>
    <row r="9" spans="1:17" ht="19.899999999999999" customHeight="1" thickBot="1">
      <c r="A9" s="445"/>
      <c r="B9" s="446"/>
      <c r="C9" s="445"/>
      <c r="D9" s="445"/>
      <c r="F9" s="445"/>
      <c r="G9" s="445"/>
      <c r="I9" s="445"/>
      <c r="J9" s="445"/>
      <c r="L9" s="445"/>
      <c r="M9" s="445"/>
      <c r="O9" s="445"/>
      <c r="P9" s="445"/>
    </row>
    <row r="10" spans="1:17" ht="19.899999999999999" customHeight="1">
      <c r="A10" s="440"/>
      <c r="E10" s="437"/>
      <c r="H10" s="437"/>
      <c r="K10" s="437"/>
      <c r="N10" s="437"/>
      <c r="Q10" s="437"/>
    </row>
    <row r="11" spans="1:17" ht="19.899999999999999" customHeight="1">
      <c r="A11" s="90" t="s">
        <v>5</v>
      </c>
      <c r="C11" s="456">
        <f>SUM(C13:C19)</f>
        <v>1773</v>
      </c>
      <c r="D11" s="809">
        <f>SUM(D13:D19)</f>
        <v>100</v>
      </c>
      <c r="F11" s="508">
        <f>SUM(F13:F19)</f>
        <v>1832</v>
      </c>
      <c r="G11" s="784">
        <f>SUM(G13:G19)</f>
        <v>100</v>
      </c>
      <c r="I11" s="508">
        <f>SUM(I13:I19)</f>
        <v>1852</v>
      </c>
      <c r="J11" s="784">
        <f>SUM(J13:J19)</f>
        <v>100</v>
      </c>
      <c r="L11" s="508">
        <f>SUM(L13:L19)</f>
        <v>1985</v>
      </c>
      <c r="M11" s="784">
        <f>SUM(M13:M19)</f>
        <v>100</v>
      </c>
      <c r="O11" s="508">
        <f>SUM(O13:O19)</f>
        <v>1982</v>
      </c>
      <c r="P11" s="784">
        <f>SUM(P13:P19)</f>
        <v>100</v>
      </c>
    </row>
    <row r="12" spans="1:17" ht="19.899999999999999" customHeight="1">
      <c r="A12" s="440"/>
      <c r="F12" s="455"/>
      <c r="G12" s="455"/>
      <c r="I12" s="455"/>
      <c r="J12" s="455"/>
      <c r="L12" s="455"/>
      <c r="M12" s="455"/>
      <c r="O12" s="455"/>
      <c r="P12" s="455"/>
    </row>
    <row r="13" spans="1:17" ht="19.899999999999999" customHeight="1">
      <c r="A13" s="434" t="s">
        <v>289</v>
      </c>
      <c r="C13" s="434">
        <v>440</v>
      </c>
      <c r="D13" s="436">
        <f t="shared" ref="D13:D19" si="0">IF($A13&lt;&gt;0,C13/C$11*100,"")</f>
        <v>24.816694867456288</v>
      </c>
      <c r="F13" s="455">
        <v>458</v>
      </c>
      <c r="G13" s="454">
        <f t="shared" ref="G13:G19" si="1">IF($A13&lt;&gt;0,F13/F$11*100,"")</f>
        <v>25</v>
      </c>
      <c r="I13" s="455">
        <v>459</v>
      </c>
      <c r="J13" s="454">
        <f>IF($A13&lt;&gt;0,I13/I$11*100,"")</f>
        <v>24.784017278617711</v>
      </c>
      <c r="L13" s="455">
        <v>494</v>
      </c>
      <c r="M13" s="454">
        <f>IF($A13&lt;&gt;0,L13/L$11*100,"")</f>
        <v>24.886649874055415</v>
      </c>
      <c r="O13" s="455">
        <v>492</v>
      </c>
      <c r="P13" s="454">
        <f>IF($A13&lt;&gt;0,O13/O$11*100,"")</f>
        <v>24.8234106962664</v>
      </c>
    </row>
    <row r="14" spans="1:17" ht="19.899999999999999" customHeight="1">
      <c r="D14" s="436" t="str">
        <f t="shared" si="0"/>
        <v/>
      </c>
      <c r="F14" s="455"/>
      <c r="G14" s="454" t="str">
        <f t="shared" si="1"/>
        <v/>
      </c>
      <c r="I14" s="455"/>
      <c r="J14" s="454" t="str">
        <f t="shared" ref="J14:J19" si="2">IF($A14&lt;&gt;0,I14/I$11*100,"")</f>
        <v/>
      </c>
      <c r="L14" s="455"/>
      <c r="M14" s="454" t="str">
        <f t="shared" ref="M14:M19" si="3">IF($A14&lt;&gt;0,L14/L$11*100,"")</f>
        <v/>
      </c>
      <c r="O14" s="455"/>
      <c r="P14" s="454" t="str">
        <f t="shared" ref="P14:P19" si="4">IF($A14&lt;&gt;0,O14/O$11*100,"")</f>
        <v/>
      </c>
    </row>
    <row r="15" spans="1:17" ht="19.899999999999999" customHeight="1">
      <c r="A15" s="434" t="s">
        <v>372</v>
      </c>
      <c r="C15" s="434">
        <v>453</v>
      </c>
      <c r="D15" s="436">
        <f t="shared" si="0"/>
        <v>25.549915397631136</v>
      </c>
      <c r="F15" s="455">
        <v>473</v>
      </c>
      <c r="G15" s="454">
        <f t="shared" si="1"/>
        <v>25.818777292576417</v>
      </c>
      <c r="I15" s="455">
        <v>472</v>
      </c>
      <c r="J15" s="454">
        <f t="shared" si="2"/>
        <v>25.485961123110151</v>
      </c>
      <c r="L15" s="455">
        <v>504</v>
      </c>
      <c r="M15" s="454">
        <f t="shared" si="3"/>
        <v>25.390428211586901</v>
      </c>
      <c r="O15" s="455">
        <v>494</v>
      </c>
      <c r="P15" s="454">
        <f t="shared" si="4"/>
        <v>24.924318869828458</v>
      </c>
    </row>
    <row r="16" spans="1:17" ht="19.899999999999999" customHeight="1">
      <c r="D16" s="436" t="str">
        <f t="shared" si="0"/>
        <v/>
      </c>
      <c r="F16" s="455"/>
      <c r="G16" s="454" t="str">
        <f t="shared" si="1"/>
        <v/>
      </c>
      <c r="I16" s="455"/>
      <c r="J16" s="454" t="str">
        <f t="shared" si="2"/>
        <v/>
      </c>
      <c r="L16" s="455"/>
      <c r="M16" s="454" t="str">
        <f t="shared" si="3"/>
        <v/>
      </c>
      <c r="O16" s="455"/>
      <c r="P16" s="454" t="str">
        <f t="shared" si="4"/>
        <v/>
      </c>
    </row>
    <row r="17" spans="1:17" ht="19.899999999999999" customHeight="1">
      <c r="A17" s="434" t="s">
        <v>291</v>
      </c>
      <c r="C17" s="434">
        <v>189</v>
      </c>
      <c r="D17" s="436">
        <f t="shared" si="0"/>
        <v>10.659898477157361</v>
      </c>
      <c r="F17" s="455">
        <v>182</v>
      </c>
      <c r="G17" s="454">
        <f t="shared" si="1"/>
        <v>9.9344978165938862</v>
      </c>
      <c r="I17" s="455">
        <v>185</v>
      </c>
      <c r="J17" s="454">
        <f t="shared" si="2"/>
        <v>9.9892008639308862</v>
      </c>
      <c r="L17" s="455">
        <v>192</v>
      </c>
      <c r="M17" s="454">
        <f t="shared" si="3"/>
        <v>9.6725440806045331</v>
      </c>
      <c r="O17" s="455">
        <v>191</v>
      </c>
      <c r="P17" s="454">
        <f t="shared" si="4"/>
        <v>9.6367305751765908</v>
      </c>
    </row>
    <row r="18" spans="1:17" ht="19.899999999999999" customHeight="1">
      <c r="D18" s="436" t="str">
        <f t="shared" si="0"/>
        <v/>
      </c>
      <c r="F18" s="455"/>
      <c r="G18" s="454" t="str">
        <f t="shared" si="1"/>
        <v/>
      </c>
      <c r="I18" s="455"/>
      <c r="J18" s="454" t="str">
        <f t="shared" si="2"/>
        <v/>
      </c>
      <c r="L18" s="455"/>
      <c r="M18" s="454" t="str">
        <f t="shared" si="3"/>
        <v/>
      </c>
      <c r="O18" s="455"/>
      <c r="P18" s="454" t="str">
        <f t="shared" si="4"/>
        <v/>
      </c>
    </row>
    <row r="19" spans="1:17" ht="19.899999999999999" customHeight="1">
      <c r="A19" s="434" t="s">
        <v>292</v>
      </c>
      <c r="C19" s="434">
        <v>691</v>
      </c>
      <c r="D19" s="436">
        <f t="shared" si="0"/>
        <v>38.973491257755214</v>
      </c>
      <c r="F19" s="455">
        <v>719</v>
      </c>
      <c r="G19" s="454">
        <f t="shared" si="1"/>
        <v>39.24672489082969</v>
      </c>
      <c r="I19" s="455">
        <v>736</v>
      </c>
      <c r="J19" s="454">
        <f t="shared" si="2"/>
        <v>39.740820734341256</v>
      </c>
      <c r="L19" s="455">
        <v>795</v>
      </c>
      <c r="M19" s="454">
        <f t="shared" si="3"/>
        <v>40.050377833753146</v>
      </c>
      <c r="O19" s="455">
        <v>805</v>
      </c>
      <c r="P19" s="454">
        <f t="shared" si="4"/>
        <v>40.615539858728553</v>
      </c>
    </row>
    <row r="20" spans="1:17" ht="19.899999999999999" customHeight="1" thickBot="1">
      <c r="A20" s="445"/>
      <c r="B20" s="446"/>
      <c r="C20" s="445"/>
      <c r="D20" s="445"/>
      <c r="E20" s="445"/>
      <c r="F20" s="445"/>
      <c r="G20" s="445"/>
      <c r="H20" s="445"/>
      <c r="I20" s="445"/>
      <c r="J20" s="445"/>
      <c r="K20" s="445"/>
      <c r="L20" s="445"/>
      <c r="M20" s="445"/>
      <c r="N20" s="445"/>
      <c r="O20" s="445"/>
      <c r="P20" s="445"/>
      <c r="Q20" s="445"/>
    </row>
    <row r="21" spans="1:17" ht="13.15" customHeight="1"/>
    <row r="22" spans="1:17">
      <c r="A22" s="434" t="s">
        <v>384</v>
      </c>
    </row>
    <row r="23" spans="1:17">
      <c r="A23" s="434" t="s">
        <v>385</v>
      </c>
    </row>
    <row r="24" spans="1:17" ht="13.15" customHeight="1"/>
    <row r="25" spans="1:17" ht="13.15" customHeight="1"/>
    <row r="26" spans="1:17" ht="13.15" customHeight="1"/>
    <row r="27" spans="1:17" ht="13.15" customHeight="1"/>
    <row r="28" spans="1:17" ht="13.15" customHeight="1"/>
    <row r="29" spans="1:17" ht="13.15" customHeight="1"/>
    <row r="30" spans="1:17" ht="13.15" customHeight="1"/>
    <row r="31" spans="1:17" ht="13.15" customHeight="1"/>
    <row r="32" spans="1:17"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spans="2:2" ht="13.15" customHeight="1"/>
    <row r="82" spans="2:2" ht="13.15" customHeight="1"/>
    <row r="83" spans="2:2" ht="13.15" customHeight="1"/>
    <row r="84" spans="2:2" ht="13.15" customHeight="1"/>
    <row r="85" spans="2:2" ht="13.15" customHeight="1"/>
    <row r="86" spans="2:2" ht="13.15" customHeight="1"/>
    <row r="87" spans="2:2">
      <c r="B87" s="434"/>
    </row>
    <row r="88" spans="2:2">
      <c r="B88" s="434"/>
    </row>
  </sheetData>
  <mergeCells count="5">
    <mergeCell ref="C7:D7"/>
    <mergeCell ref="F7:G7"/>
    <mergeCell ref="I7:J7"/>
    <mergeCell ref="L7:M7"/>
    <mergeCell ref="O7:P7"/>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dimension ref="A1:K108"/>
  <sheetViews>
    <sheetView workbookViewId="0">
      <selection activeCell="M16" sqref="M16"/>
    </sheetView>
  </sheetViews>
  <sheetFormatPr baseColWidth="10" defaultColWidth="9.140625" defaultRowHeight="12.75"/>
  <cols>
    <col min="1" max="1" width="35.7109375" style="434" customWidth="1"/>
    <col min="2" max="2" width="8.7109375" style="449" customWidth="1"/>
    <col min="3" max="3" width="8.7109375" style="454" customWidth="1"/>
    <col min="4" max="4" width="2.7109375" style="435" customWidth="1"/>
    <col min="5" max="5" width="8.7109375" style="836" customWidth="1"/>
    <col min="6" max="6" width="8.7109375" style="837" customWidth="1"/>
    <col min="7" max="7" width="2.7109375" style="435" customWidth="1"/>
    <col min="8" max="8" width="8.7109375" style="836" customWidth="1"/>
    <col min="9" max="9" width="8.85546875" style="837" customWidth="1"/>
    <col min="10" max="10" width="2.7109375" style="434" customWidth="1"/>
    <col min="11" max="11" width="6" style="434" customWidth="1"/>
    <col min="12" max="256" width="9.140625" style="434"/>
    <col min="257" max="257" width="35.7109375" style="434" customWidth="1"/>
    <col min="258" max="259" width="8.7109375" style="434" customWidth="1"/>
    <col min="260" max="260" width="2.7109375" style="434" customWidth="1"/>
    <col min="261" max="262" width="8.7109375" style="434" customWidth="1"/>
    <col min="263" max="263" width="2.7109375" style="434" customWidth="1"/>
    <col min="264" max="264" width="8.7109375" style="434" customWidth="1"/>
    <col min="265" max="265" width="8.85546875" style="434" customWidth="1"/>
    <col min="266" max="266" width="2.7109375" style="434" customWidth="1"/>
    <col min="267" max="267" width="6" style="434" customWidth="1"/>
    <col min="268" max="512" width="9.140625" style="434"/>
    <col min="513" max="513" width="35.7109375" style="434" customWidth="1"/>
    <col min="514" max="515" width="8.7109375" style="434" customWidth="1"/>
    <col min="516" max="516" width="2.7109375" style="434" customWidth="1"/>
    <col min="517" max="518" width="8.7109375" style="434" customWidth="1"/>
    <col min="519" max="519" width="2.7109375" style="434" customWidth="1"/>
    <col min="520" max="520" width="8.7109375" style="434" customWidth="1"/>
    <col min="521" max="521" width="8.85546875" style="434" customWidth="1"/>
    <col min="522" max="522" width="2.7109375" style="434" customWidth="1"/>
    <col min="523" max="523" width="6" style="434" customWidth="1"/>
    <col min="524" max="768" width="9.140625" style="434"/>
    <col min="769" max="769" width="35.7109375" style="434" customWidth="1"/>
    <col min="770" max="771" width="8.7109375" style="434" customWidth="1"/>
    <col min="772" max="772" width="2.7109375" style="434" customWidth="1"/>
    <col min="773" max="774" width="8.7109375" style="434" customWidth="1"/>
    <col min="775" max="775" width="2.7109375" style="434" customWidth="1"/>
    <col min="776" max="776" width="8.7109375" style="434" customWidth="1"/>
    <col min="777" max="777" width="8.85546875" style="434" customWidth="1"/>
    <col min="778" max="778" width="2.7109375" style="434" customWidth="1"/>
    <col min="779" max="779" width="6" style="434" customWidth="1"/>
    <col min="780" max="1024" width="9.140625" style="434"/>
    <col min="1025" max="1025" width="35.7109375" style="434" customWidth="1"/>
    <col min="1026" max="1027" width="8.7109375" style="434" customWidth="1"/>
    <col min="1028" max="1028" width="2.7109375" style="434" customWidth="1"/>
    <col min="1029" max="1030" width="8.7109375" style="434" customWidth="1"/>
    <col min="1031" max="1031" width="2.7109375" style="434" customWidth="1"/>
    <col min="1032" max="1032" width="8.7109375" style="434" customWidth="1"/>
    <col min="1033" max="1033" width="8.85546875" style="434" customWidth="1"/>
    <col min="1034" max="1034" width="2.7109375" style="434" customWidth="1"/>
    <col min="1035" max="1035" width="6" style="434" customWidth="1"/>
    <col min="1036" max="1280" width="9.140625" style="434"/>
    <col min="1281" max="1281" width="35.7109375" style="434" customWidth="1"/>
    <col min="1282" max="1283" width="8.7109375" style="434" customWidth="1"/>
    <col min="1284" max="1284" width="2.7109375" style="434" customWidth="1"/>
    <col min="1285" max="1286" width="8.7109375" style="434" customWidth="1"/>
    <col min="1287" max="1287" width="2.7109375" style="434" customWidth="1"/>
    <col min="1288" max="1288" width="8.7109375" style="434" customWidth="1"/>
    <col min="1289" max="1289" width="8.85546875" style="434" customWidth="1"/>
    <col min="1290" max="1290" width="2.7109375" style="434" customWidth="1"/>
    <col min="1291" max="1291" width="6" style="434" customWidth="1"/>
    <col min="1292" max="1536" width="9.140625" style="434"/>
    <col min="1537" max="1537" width="35.7109375" style="434" customWidth="1"/>
    <col min="1538" max="1539" width="8.7109375" style="434" customWidth="1"/>
    <col min="1540" max="1540" width="2.7109375" style="434" customWidth="1"/>
    <col min="1541" max="1542" width="8.7109375" style="434" customWidth="1"/>
    <col min="1543" max="1543" width="2.7109375" style="434" customWidth="1"/>
    <col min="1544" max="1544" width="8.7109375" style="434" customWidth="1"/>
    <col min="1545" max="1545" width="8.85546875" style="434" customWidth="1"/>
    <col min="1546" max="1546" width="2.7109375" style="434" customWidth="1"/>
    <col min="1547" max="1547" width="6" style="434" customWidth="1"/>
    <col min="1548" max="1792" width="9.140625" style="434"/>
    <col min="1793" max="1793" width="35.7109375" style="434" customWidth="1"/>
    <col min="1794" max="1795" width="8.7109375" style="434" customWidth="1"/>
    <col min="1796" max="1796" width="2.7109375" style="434" customWidth="1"/>
    <col min="1797" max="1798" width="8.7109375" style="434" customWidth="1"/>
    <col min="1799" max="1799" width="2.7109375" style="434" customWidth="1"/>
    <col min="1800" max="1800" width="8.7109375" style="434" customWidth="1"/>
    <col min="1801" max="1801" width="8.85546875" style="434" customWidth="1"/>
    <col min="1802" max="1802" width="2.7109375" style="434" customWidth="1"/>
    <col min="1803" max="1803" width="6" style="434" customWidth="1"/>
    <col min="1804" max="2048" width="9.140625" style="434"/>
    <col min="2049" max="2049" width="35.7109375" style="434" customWidth="1"/>
    <col min="2050" max="2051" width="8.7109375" style="434" customWidth="1"/>
    <col min="2052" max="2052" width="2.7109375" style="434" customWidth="1"/>
    <col min="2053" max="2054" width="8.7109375" style="434" customWidth="1"/>
    <col min="2055" max="2055" width="2.7109375" style="434" customWidth="1"/>
    <col min="2056" max="2056" width="8.7109375" style="434" customWidth="1"/>
    <col min="2057" max="2057" width="8.85546875" style="434" customWidth="1"/>
    <col min="2058" max="2058" width="2.7109375" style="434" customWidth="1"/>
    <col min="2059" max="2059" width="6" style="434" customWidth="1"/>
    <col min="2060" max="2304" width="9.140625" style="434"/>
    <col min="2305" max="2305" width="35.7109375" style="434" customWidth="1"/>
    <col min="2306" max="2307" width="8.7109375" style="434" customWidth="1"/>
    <col min="2308" max="2308" width="2.7109375" style="434" customWidth="1"/>
    <col min="2309" max="2310" width="8.7109375" style="434" customWidth="1"/>
    <col min="2311" max="2311" width="2.7109375" style="434" customWidth="1"/>
    <col min="2312" max="2312" width="8.7109375" style="434" customWidth="1"/>
    <col min="2313" max="2313" width="8.85546875" style="434" customWidth="1"/>
    <col min="2314" max="2314" width="2.7109375" style="434" customWidth="1"/>
    <col min="2315" max="2315" width="6" style="434" customWidth="1"/>
    <col min="2316" max="2560" width="9.140625" style="434"/>
    <col min="2561" max="2561" width="35.7109375" style="434" customWidth="1"/>
    <col min="2562" max="2563" width="8.7109375" style="434" customWidth="1"/>
    <col min="2564" max="2564" width="2.7109375" style="434" customWidth="1"/>
    <col min="2565" max="2566" width="8.7109375" style="434" customWidth="1"/>
    <col min="2567" max="2567" width="2.7109375" style="434" customWidth="1"/>
    <col min="2568" max="2568" width="8.7109375" style="434" customWidth="1"/>
    <col min="2569" max="2569" width="8.85546875" style="434" customWidth="1"/>
    <col min="2570" max="2570" width="2.7109375" style="434" customWidth="1"/>
    <col min="2571" max="2571" width="6" style="434" customWidth="1"/>
    <col min="2572" max="2816" width="9.140625" style="434"/>
    <col min="2817" max="2817" width="35.7109375" style="434" customWidth="1"/>
    <col min="2818" max="2819" width="8.7109375" style="434" customWidth="1"/>
    <col min="2820" max="2820" width="2.7109375" style="434" customWidth="1"/>
    <col min="2821" max="2822" width="8.7109375" style="434" customWidth="1"/>
    <col min="2823" max="2823" width="2.7109375" style="434" customWidth="1"/>
    <col min="2824" max="2824" width="8.7109375" style="434" customWidth="1"/>
    <col min="2825" max="2825" width="8.85546875" style="434" customWidth="1"/>
    <col min="2826" max="2826" width="2.7109375" style="434" customWidth="1"/>
    <col min="2827" max="2827" width="6" style="434" customWidth="1"/>
    <col min="2828" max="3072" width="9.140625" style="434"/>
    <col min="3073" max="3073" width="35.7109375" style="434" customWidth="1"/>
    <col min="3074" max="3075" width="8.7109375" style="434" customWidth="1"/>
    <col min="3076" max="3076" width="2.7109375" style="434" customWidth="1"/>
    <col min="3077" max="3078" width="8.7109375" style="434" customWidth="1"/>
    <col min="3079" max="3079" width="2.7109375" style="434" customWidth="1"/>
    <col min="3080" max="3080" width="8.7109375" style="434" customWidth="1"/>
    <col min="3081" max="3081" width="8.85546875" style="434" customWidth="1"/>
    <col min="3082" max="3082" width="2.7109375" style="434" customWidth="1"/>
    <col min="3083" max="3083" width="6" style="434" customWidth="1"/>
    <col min="3084" max="3328" width="9.140625" style="434"/>
    <col min="3329" max="3329" width="35.7109375" style="434" customWidth="1"/>
    <col min="3330" max="3331" width="8.7109375" style="434" customWidth="1"/>
    <col min="3332" max="3332" width="2.7109375" style="434" customWidth="1"/>
    <col min="3333" max="3334" width="8.7109375" style="434" customWidth="1"/>
    <col min="3335" max="3335" width="2.7109375" style="434" customWidth="1"/>
    <col min="3336" max="3336" width="8.7109375" style="434" customWidth="1"/>
    <col min="3337" max="3337" width="8.85546875" style="434" customWidth="1"/>
    <col min="3338" max="3338" width="2.7109375" style="434" customWidth="1"/>
    <col min="3339" max="3339" width="6" style="434" customWidth="1"/>
    <col min="3340" max="3584" width="9.140625" style="434"/>
    <col min="3585" max="3585" width="35.7109375" style="434" customWidth="1"/>
    <col min="3586" max="3587" width="8.7109375" style="434" customWidth="1"/>
    <col min="3588" max="3588" width="2.7109375" style="434" customWidth="1"/>
    <col min="3589" max="3590" width="8.7109375" style="434" customWidth="1"/>
    <col min="3591" max="3591" width="2.7109375" style="434" customWidth="1"/>
    <col min="3592" max="3592" width="8.7109375" style="434" customWidth="1"/>
    <col min="3593" max="3593" width="8.85546875" style="434" customWidth="1"/>
    <col min="3594" max="3594" width="2.7109375" style="434" customWidth="1"/>
    <col min="3595" max="3595" width="6" style="434" customWidth="1"/>
    <col min="3596" max="3840" width="9.140625" style="434"/>
    <col min="3841" max="3841" width="35.7109375" style="434" customWidth="1"/>
    <col min="3842" max="3843" width="8.7109375" style="434" customWidth="1"/>
    <col min="3844" max="3844" width="2.7109375" style="434" customWidth="1"/>
    <col min="3845" max="3846" width="8.7109375" style="434" customWidth="1"/>
    <col min="3847" max="3847" width="2.7109375" style="434" customWidth="1"/>
    <col min="3848" max="3848" width="8.7109375" style="434" customWidth="1"/>
    <col min="3849" max="3849" width="8.85546875" style="434" customWidth="1"/>
    <col min="3850" max="3850" width="2.7109375" style="434" customWidth="1"/>
    <col min="3851" max="3851" width="6" style="434" customWidth="1"/>
    <col min="3852" max="4096" width="9.140625" style="434"/>
    <col min="4097" max="4097" width="35.7109375" style="434" customWidth="1"/>
    <col min="4098" max="4099" width="8.7109375" style="434" customWidth="1"/>
    <col min="4100" max="4100" width="2.7109375" style="434" customWidth="1"/>
    <col min="4101" max="4102" width="8.7109375" style="434" customWidth="1"/>
    <col min="4103" max="4103" width="2.7109375" style="434" customWidth="1"/>
    <col min="4104" max="4104" width="8.7109375" style="434" customWidth="1"/>
    <col min="4105" max="4105" width="8.85546875" style="434" customWidth="1"/>
    <col min="4106" max="4106" width="2.7109375" style="434" customWidth="1"/>
    <col min="4107" max="4107" width="6" style="434" customWidth="1"/>
    <col min="4108" max="4352" width="9.140625" style="434"/>
    <col min="4353" max="4353" width="35.7109375" style="434" customWidth="1"/>
    <col min="4354" max="4355" width="8.7109375" style="434" customWidth="1"/>
    <col min="4356" max="4356" width="2.7109375" style="434" customWidth="1"/>
    <col min="4357" max="4358" width="8.7109375" style="434" customWidth="1"/>
    <col min="4359" max="4359" width="2.7109375" style="434" customWidth="1"/>
    <col min="4360" max="4360" width="8.7109375" style="434" customWidth="1"/>
    <col min="4361" max="4361" width="8.85546875" style="434" customWidth="1"/>
    <col min="4362" max="4362" width="2.7109375" style="434" customWidth="1"/>
    <col min="4363" max="4363" width="6" style="434" customWidth="1"/>
    <col min="4364" max="4608" width="9.140625" style="434"/>
    <col min="4609" max="4609" width="35.7109375" style="434" customWidth="1"/>
    <col min="4610" max="4611" width="8.7109375" style="434" customWidth="1"/>
    <col min="4612" max="4612" width="2.7109375" style="434" customWidth="1"/>
    <col min="4613" max="4614" width="8.7109375" style="434" customWidth="1"/>
    <col min="4615" max="4615" width="2.7109375" style="434" customWidth="1"/>
    <col min="4616" max="4616" width="8.7109375" style="434" customWidth="1"/>
    <col min="4617" max="4617" width="8.85546875" style="434" customWidth="1"/>
    <col min="4618" max="4618" width="2.7109375" style="434" customWidth="1"/>
    <col min="4619" max="4619" width="6" style="434" customWidth="1"/>
    <col min="4620" max="4864" width="9.140625" style="434"/>
    <col min="4865" max="4865" width="35.7109375" style="434" customWidth="1"/>
    <col min="4866" max="4867" width="8.7109375" style="434" customWidth="1"/>
    <col min="4868" max="4868" width="2.7109375" style="434" customWidth="1"/>
    <col min="4869" max="4870" width="8.7109375" style="434" customWidth="1"/>
    <col min="4871" max="4871" width="2.7109375" style="434" customWidth="1"/>
    <col min="4872" max="4872" width="8.7109375" style="434" customWidth="1"/>
    <col min="4873" max="4873" width="8.85546875" style="434" customWidth="1"/>
    <col min="4874" max="4874" width="2.7109375" style="434" customWidth="1"/>
    <col min="4875" max="4875" width="6" style="434" customWidth="1"/>
    <col min="4876" max="5120" width="9.140625" style="434"/>
    <col min="5121" max="5121" width="35.7109375" style="434" customWidth="1"/>
    <col min="5122" max="5123" width="8.7109375" style="434" customWidth="1"/>
    <col min="5124" max="5124" width="2.7109375" style="434" customWidth="1"/>
    <col min="5125" max="5126" width="8.7109375" style="434" customWidth="1"/>
    <col min="5127" max="5127" width="2.7109375" style="434" customWidth="1"/>
    <col min="5128" max="5128" width="8.7109375" style="434" customWidth="1"/>
    <col min="5129" max="5129" width="8.85546875" style="434" customWidth="1"/>
    <col min="5130" max="5130" width="2.7109375" style="434" customWidth="1"/>
    <col min="5131" max="5131" width="6" style="434" customWidth="1"/>
    <col min="5132" max="5376" width="9.140625" style="434"/>
    <col min="5377" max="5377" width="35.7109375" style="434" customWidth="1"/>
    <col min="5378" max="5379" width="8.7109375" style="434" customWidth="1"/>
    <col min="5380" max="5380" width="2.7109375" style="434" customWidth="1"/>
    <col min="5381" max="5382" width="8.7109375" style="434" customWidth="1"/>
    <col min="5383" max="5383" width="2.7109375" style="434" customWidth="1"/>
    <col min="5384" max="5384" width="8.7109375" style="434" customWidth="1"/>
    <col min="5385" max="5385" width="8.85546875" style="434" customWidth="1"/>
    <col min="5386" max="5386" width="2.7109375" style="434" customWidth="1"/>
    <col min="5387" max="5387" width="6" style="434" customWidth="1"/>
    <col min="5388" max="5632" width="9.140625" style="434"/>
    <col min="5633" max="5633" width="35.7109375" style="434" customWidth="1"/>
    <col min="5634" max="5635" width="8.7109375" style="434" customWidth="1"/>
    <col min="5636" max="5636" width="2.7109375" style="434" customWidth="1"/>
    <col min="5637" max="5638" width="8.7109375" style="434" customWidth="1"/>
    <col min="5639" max="5639" width="2.7109375" style="434" customWidth="1"/>
    <col min="5640" max="5640" width="8.7109375" style="434" customWidth="1"/>
    <col min="5641" max="5641" width="8.85546875" style="434" customWidth="1"/>
    <col min="5642" max="5642" width="2.7109375" style="434" customWidth="1"/>
    <col min="5643" max="5643" width="6" style="434" customWidth="1"/>
    <col min="5644" max="5888" width="9.140625" style="434"/>
    <col min="5889" max="5889" width="35.7109375" style="434" customWidth="1"/>
    <col min="5890" max="5891" width="8.7109375" style="434" customWidth="1"/>
    <col min="5892" max="5892" width="2.7109375" style="434" customWidth="1"/>
    <col min="5893" max="5894" width="8.7109375" style="434" customWidth="1"/>
    <col min="5895" max="5895" width="2.7109375" style="434" customWidth="1"/>
    <col min="5896" max="5896" width="8.7109375" style="434" customWidth="1"/>
    <col min="5897" max="5897" width="8.85546875" style="434" customWidth="1"/>
    <col min="5898" max="5898" width="2.7109375" style="434" customWidth="1"/>
    <col min="5899" max="5899" width="6" style="434" customWidth="1"/>
    <col min="5900" max="6144" width="9.140625" style="434"/>
    <col min="6145" max="6145" width="35.7109375" style="434" customWidth="1"/>
    <col min="6146" max="6147" width="8.7109375" style="434" customWidth="1"/>
    <col min="6148" max="6148" width="2.7109375" style="434" customWidth="1"/>
    <col min="6149" max="6150" width="8.7109375" style="434" customWidth="1"/>
    <col min="6151" max="6151" width="2.7109375" style="434" customWidth="1"/>
    <col min="6152" max="6152" width="8.7109375" style="434" customWidth="1"/>
    <col min="6153" max="6153" width="8.85546875" style="434" customWidth="1"/>
    <col min="6154" max="6154" width="2.7109375" style="434" customWidth="1"/>
    <col min="6155" max="6155" width="6" style="434" customWidth="1"/>
    <col min="6156" max="6400" width="9.140625" style="434"/>
    <col min="6401" max="6401" width="35.7109375" style="434" customWidth="1"/>
    <col min="6402" max="6403" width="8.7109375" style="434" customWidth="1"/>
    <col min="6404" max="6404" width="2.7109375" style="434" customWidth="1"/>
    <col min="6405" max="6406" width="8.7109375" style="434" customWidth="1"/>
    <col min="6407" max="6407" width="2.7109375" style="434" customWidth="1"/>
    <col min="6408" max="6408" width="8.7109375" style="434" customWidth="1"/>
    <col min="6409" max="6409" width="8.85546875" style="434" customWidth="1"/>
    <col min="6410" max="6410" width="2.7109375" style="434" customWidth="1"/>
    <col min="6411" max="6411" width="6" style="434" customWidth="1"/>
    <col min="6412" max="6656" width="9.140625" style="434"/>
    <col min="6657" max="6657" width="35.7109375" style="434" customWidth="1"/>
    <col min="6658" max="6659" width="8.7109375" style="434" customWidth="1"/>
    <col min="6660" max="6660" width="2.7109375" style="434" customWidth="1"/>
    <col min="6661" max="6662" width="8.7109375" style="434" customWidth="1"/>
    <col min="6663" max="6663" width="2.7109375" style="434" customWidth="1"/>
    <col min="6664" max="6664" width="8.7109375" style="434" customWidth="1"/>
    <col min="6665" max="6665" width="8.85546875" style="434" customWidth="1"/>
    <col min="6666" max="6666" width="2.7109375" style="434" customWidth="1"/>
    <col min="6667" max="6667" width="6" style="434" customWidth="1"/>
    <col min="6668" max="6912" width="9.140625" style="434"/>
    <col min="6913" max="6913" width="35.7109375" style="434" customWidth="1"/>
    <col min="6914" max="6915" width="8.7109375" style="434" customWidth="1"/>
    <col min="6916" max="6916" width="2.7109375" style="434" customWidth="1"/>
    <col min="6917" max="6918" width="8.7109375" style="434" customWidth="1"/>
    <col min="6919" max="6919" width="2.7109375" style="434" customWidth="1"/>
    <col min="6920" max="6920" width="8.7109375" style="434" customWidth="1"/>
    <col min="6921" max="6921" width="8.85546875" style="434" customWidth="1"/>
    <col min="6922" max="6922" width="2.7109375" style="434" customWidth="1"/>
    <col min="6923" max="6923" width="6" style="434" customWidth="1"/>
    <col min="6924" max="7168" width="9.140625" style="434"/>
    <col min="7169" max="7169" width="35.7109375" style="434" customWidth="1"/>
    <col min="7170" max="7171" width="8.7109375" style="434" customWidth="1"/>
    <col min="7172" max="7172" width="2.7109375" style="434" customWidth="1"/>
    <col min="7173" max="7174" width="8.7109375" style="434" customWidth="1"/>
    <col min="7175" max="7175" width="2.7109375" style="434" customWidth="1"/>
    <col min="7176" max="7176" width="8.7109375" style="434" customWidth="1"/>
    <col min="7177" max="7177" width="8.85546875" style="434" customWidth="1"/>
    <col min="7178" max="7178" width="2.7109375" style="434" customWidth="1"/>
    <col min="7179" max="7179" width="6" style="434" customWidth="1"/>
    <col min="7180" max="7424" width="9.140625" style="434"/>
    <col min="7425" max="7425" width="35.7109375" style="434" customWidth="1"/>
    <col min="7426" max="7427" width="8.7109375" style="434" customWidth="1"/>
    <col min="7428" max="7428" width="2.7109375" style="434" customWidth="1"/>
    <col min="7429" max="7430" width="8.7109375" style="434" customWidth="1"/>
    <col min="7431" max="7431" width="2.7109375" style="434" customWidth="1"/>
    <col min="7432" max="7432" width="8.7109375" style="434" customWidth="1"/>
    <col min="7433" max="7433" width="8.85546875" style="434" customWidth="1"/>
    <col min="7434" max="7434" width="2.7109375" style="434" customWidth="1"/>
    <col min="7435" max="7435" width="6" style="434" customWidth="1"/>
    <col min="7436" max="7680" width="9.140625" style="434"/>
    <col min="7681" max="7681" width="35.7109375" style="434" customWidth="1"/>
    <col min="7682" max="7683" width="8.7109375" style="434" customWidth="1"/>
    <col min="7684" max="7684" width="2.7109375" style="434" customWidth="1"/>
    <col min="7685" max="7686" width="8.7109375" style="434" customWidth="1"/>
    <col min="7687" max="7687" width="2.7109375" style="434" customWidth="1"/>
    <col min="7688" max="7688" width="8.7109375" style="434" customWidth="1"/>
    <col min="7689" max="7689" width="8.85546875" style="434" customWidth="1"/>
    <col min="7690" max="7690" width="2.7109375" style="434" customWidth="1"/>
    <col min="7691" max="7691" width="6" style="434" customWidth="1"/>
    <col min="7692" max="7936" width="9.140625" style="434"/>
    <col min="7937" max="7937" width="35.7109375" style="434" customWidth="1"/>
    <col min="7938" max="7939" width="8.7109375" style="434" customWidth="1"/>
    <col min="7940" max="7940" width="2.7109375" style="434" customWidth="1"/>
    <col min="7941" max="7942" width="8.7109375" style="434" customWidth="1"/>
    <col min="7943" max="7943" width="2.7109375" style="434" customWidth="1"/>
    <col min="7944" max="7944" width="8.7109375" style="434" customWidth="1"/>
    <col min="7945" max="7945" width="8.85546875" style="434" customWidth="1"/>
    <col min="7946" max="7946" width="2.7109375" style="434" customWidth="1"/>
    <col min="7947" max="7947" width="6" style="434" customWidth="1"/>
    <col min="7948" max="8192" width="9.140625" style="434"/>
    <col min="8193" max="8193" width="35.7109375" style="434" customWidth="1"/>
    <col min="8194" max="8195" width="8.7109375" style="434" customWidth="1"/>
    <col min="8196" max="8196" width="2.7109375" style="434" customWidth="1"/>
    <col min="8197" max="8198" width="8.7109375" style="434" customWidth="1"/>
    <col min="8199" max="8199" width="2.7109375" style="434" customWidth="1"/>
    <col min="8200" max="8200" width="8.7109375" style="434" customWidth="1"/>
    <col min="8201" max="8201" width="8.85546875" style="434" customWidth="1"/>
    <col min="8202" max="8202" width="2.7109375" style="434" customWidth="1"/>
    <col min="8203" max="8203" width="6" style="434" customWidth="1"/>
    <col min="8204" max="8448" width="9.140625" style="434"/>
    <col min="8449" max="8449" width="35.7109375" style="434" customWidth="1"/>
    <col min="8450" max="8451" width="8.7109375" style="434" customWidth="1"/>
    <col min="8452" max="8452" width="2.7109375" style="434" customWidth="1"/>
    <col min="8453" max="8454" width="8.7109375" style="434" customWidth="1"/>
    <col min="8455" max="8455" width="2.7109375" style="434" customWidth="1"/>
    <col min="8456" max="8456" width="8.7109375" style="434" customWidth="1"/>
    <col min="8457" max="8457" width="8.85546875" style="434" customWidth="1"/>
    <col min="8458" max="8458" width="2.7109375" style="434" customWidth="1"/>
    <col min="8459" max="8459" width="6" style="434" customWidth="1"/>
    <col min="8460" max="8704" width="9.140625" style="434"/>
    <col min="8705" max="8705" width="35.7109375" style="434" customWidth="1"/>
    <col min="8706" max="8707" width="8.7109375" style="434" customWidth="1"/>
    <col min="8708" max="8708" width="2.7109375" style="434" customWidth="1"/>
    <col min="8709" max="8710" width="8.7109375" style="434" customWidth="1"/>
    <col min="8711" max="8711" width="2.7109375" style="434" customWidth="1"/>
    <col min="8712" max="8712" width="8.7109375" style="434" customWidth="1"/>
    <col min="8713" max="8713" width="8.85546875" style="434" customWidth="1"/>
    <col min="8714" max="8714" width="2.7109375" style="434" customWidth="1"/>
    <col min="8715" max="8715" width="6" style="434" customWidth="1"/>
    <col min="8716" max="8960" width="9.140625" style="434"/>
    <col min="8961" max="8961" width="35.7109375" style="434" customWidth="1"/>
    <col min="8962" max="8963" width="8.7109375" style="434" customWidth="1"/>
    <col min="8964" max="8964" width="2.7109375" style="434" customWidth="1"/>
    <col min="8965" max="8966" width="8.7109375" style="434" customWidth="1"/>
    <col min="8967" max="8967" width="2.7109375" style="434" customWidth="1"/>
    <col min="8968" max="8968" width="8.7109375" style="434" customWidth="1"/>
    <col min="8969" max="8969" width="8.85546875" style="434" customWidth="1"/>
    <col min="8970" max="8970" width="2.7109375" style="434" customWidth="1"/>
    <col min="8971" max="8971" width="6" style="434" customWidth="1"/>
    <col min="8972" max="9216" width="9.140625" style="434"/>
    <col min="9217" max="9217" width="35.7109375" style="434" customWidth="1"/>
    <col min="9218" max="9219" width="8.7109375" style="434" customWidth="1"/>
    <col min="9220" max="9220" width="2.7109375" style="434" customWidth="1"/>
    <col min="9221" max="9222" width="8.7109375" style="434" customWidth="1"/>
    <col min="9223" max="9223" width="2.7109375" style="434" customWidth="1"/>
    <col min="9224" max="9224" width="8.7109375" style="434" customWidth="1"/>
    <col min="9225" max="9225" width="8.85546875" style="434" customWidth="1"/>
    <col min="9226" max="9226" width="2.7109375" style="434" customWidth="1"/>
    <col min="9227" max="9227" width="6" style="434" customWidth="1"/>
    <col min="9228" max="9472" width="9.140625" style="434"/>
    <col min="9473" max="9473" width="35.7109375" style="434" customWidth="1"/>
    <col min="9474" max="9475" width="8.7109375" style="434" customWidth="1"/>
    <col min="9476" max="9476" width="2.7109375" style="434" customWidth="1"/>
    <col min="9477" max="9478" width="8.7109375" style="434" customWidth="1"/>
    <col min="9479" max="9479" width="2.7109375" style="434" customWidth="1"/>
    <col min="9480" max="9480" width="8.7109375" style="434" customWidth="1"/>
    <col min="9481" max="9481" width="8.85546875" style="434" customWidth="1"/>
    <col min="9482" max="9482" width="2.7109375" style="434" customWidth="1"/>
    <col min="9483" max="9483" width="6" style="434" customWidth="1"/>
    <col min="9484" max="9728" width="9.140625" style="434"/>
    <col min="9729" max="9729" width="35.7109375" style="434" customWidth="1"/>
    <col min="9730" max="9731" width="8.7109375" style="434" customWidth="1"/>
    <col min="9732" max="9732" width="2.7109375" style="434" customWidth="1"/>
    <col min="9733" max="9734" width="8.7109375" style="434" customWidth="1"/>
    <col min="9735" max="9735" width="2.7109375" style="434" customWidth="1"/>
    <col min="9736" max="9736" width="8.7109375" style="434" customWidth="1"/>
    <col min="9737" max="9737" width="8.85546875" style="434" customWidth="1"/>
    <col min="9738" max="9738" width="2.7109375" style="434" customWidth="1"/>
    <col min="9739" max="9739" width="6" style="434" customWidth="1"/>
    <col min="9740" max="9984" width="9.140625" style="434"/>
    <col min="9985" max="9985" width="35.7109375" style="434" customWidth="1"/>
    <col min="9986" max="9987" width="8.7109375" style="434" customWidth="1"/>
    <col min="9988" max="9988" width="2.7109375" style="434" customWidth="1"/>
    <col min="9989" max="9990" width="8.7109375" style="434" customWidth="1"/>
    <col min="9991" max="9991" width="2.7109375" style="434" customWidth="1"/>
    <col min="9992" max="9992" width="8.7109375" style="434" customWidth="1"/>
    <col min="9993" max="9993" width="8.85546875" style="434" customWidth="1"/>
    <col min="9994" max="9994" width="2.7109375" style="434" customWidth="1"/>
    <col min="9995" max="9995" width="6" style="434" customWidth="1"/>
    <col min="9996" max="10240" width="9.140625" style="434"/>
    <col min="10241" max="10241" width="35.7109375" style="434" customWidth="1"/>
    <col min="10242" max="10243" width="8.7109375" style="434" customWidth="1"/>
    <col min="10244" max="10244" width="2.7109375" style="434" customWidth="1"/>
    <col min="10245" max="10246" width="8.7109375" style="434" customWidth="1"/>
    <col min="10247" max="10247" width="2.7109375" style="434" customWidth="1"/>
    <col min="10248" max="10248" width="8.7109375" style="434" customWidth="1"/>
    <col min="10249" max="10249" width="8.85546875" style="434" customWidth="1"/>
    <col min="10250" max="10250" width="2.7109375" style="434" customWidth="1"/>
    <col min="10251" max="10251" width="6" style="434" customWidth="1"/>
    <col min="10252" max="10496" width="9.140625" style="434"/>
    <col min="10497" max="10497" width="35.7109375" style="434" customWidth="1"/>
    <col min="10498" max="10499" width="8.7109375" style="434" customWidth="1"/>
    <col min="10500" max="10500" width="2.7109375" style="434" customWidth="1"/>
    <col min="10501" max="10502" width="8.7109375" style="434" customWidth="1"/>
    <col min="10503" max="10503" width="2.7109375" style="434" customWidth="1"/>
    <col min="10504" max="10504" width="8.7109375" style="434" customWidth="1"/>
    <col min="10505" max="10505" width="8.85546875" style="434" customWidth="1"/>
    <col min="10506" max="10506" width="2.7109375" style="434" customWidth="1"/>
    <col min="10507" max="10507" width="6" style="434" customWidth="1"/>
    <col min="10508" max="10752" width="9.140625" style="434"/>
    <col min="10753" max="10753" width="35.7109375" style="434" customWidth="1"/>
    <col min="10754" max="10755" width="8.7109375" style="434" customWidth="1"/>
    <col min="10756" max="10756" width="2.7109375" style="434" customWidth="1"/>
    <col min="10757" max="10758" width="8.7109375" style="434" customWidth="1"/>
    <col min="10759" max="10759" width="2.7109375" style="434" customWidth="1"/>
    <col min="10760" max="10760" width="8.7109375" style="434" customWidth="1"/>
    <col min="10761" max="10761" width="8.85546875" style="434" customWidth="1"/>
    <col min="10762" max="10762" width="2.7109375" style="434" customWidth="1"/>
    <col min="10763" max="10763" width="6" style="434" customWidth="1"/>
    <col min="10764" max="11008" width="9.140625" style="434"/>
    <col min="11009" max="11009" width="35.7109375" style="434" customWidth="1"/>
    <col min="11010" max="11011" width="8.7109375" style="434" customWidth="1"/>
    <col min="11012" max="11012" width="2.7109375" style="434" customWidth="1"/>
    <col min="11013" max="11014" width="8.7109375" style="434" customWidth="1"/>
    <col min="11015" max="11015" width="2.7109375" style="434" customWidth="1"/>
    <col min="11016" max="11016" width="8.7109375" style="434" customWidth="1"/>
    <col min="11017" max="11017" width="8.85546875" style="434" customWidth="1"/>
    <col min="11018" max="11018" width="2.7109375" style="434" customWidth="1"/>
    <col min="11019" max="11019" width="6" style="434" customWidth="1"/>
    <col min="11020" max="11264" width="9.140625" style="434"/>
    <col min="11265" max="11265" width="35.7109375" style="434" customWidth="1"/>
    <col min="11266" max="11267" width="8.7109375" style="434" customWidth="1"/>
    <col min="11268" max="11268" width="2.7109375" style="434" customWidth="1"/>
    <col min="11269" max="11270" width="8.7109375" style="434" customWidth="1"/>
    <col min="11271" max="11271" width="2.7109375" style="434" customWidth="1"/>
    <col min="11272" max="11272" width="8.7109375" style="434" customWidth="1"/>
    <col min="11273" max="11273" width="8.85546875" style="434" customWidth="1"/>
    <col min="11274" max="11274" width="2.7109375" style="434" customWidth="1"/>
    <col min="11275" max="11275" width="6" style="434" customWidth="1"/>
    <col min="11276" max="11520" width="9.140625" style="434"/>
    <col min="11521" max="11521" width="35.7109375" style="434" customWidth="1"/>
    <col min="11522" max="11523" width="8.7109375" style="434" customWidth="1"/>
    <col min="11524" max="11524" width="2.7109375" style="434" customWidth="1"/>
    <col min="11525" max="11526" width="8.7109375" style="434" customWidth="1"/>
    <col min="11527" max="11527" width="2.7109375" style="434" customWidth="1"/>
    <col min="11528" max="11528" width="8.7109375" style="434" customWidth="1"/>
    <col min="11529" max="11529" width="8.85546875" style="434" customWidth="1"/>
    <col min="11530" max="11530" width="2.7109375" style="434" customWidth="1"/>
    <col min="11531" max="11531" width="6" style="434" customWidth="1"/>
    <col min="11532" max="11776" width="9.140625" style="434"/>
    <col min="11777" max="11777" width="35.7109375" style="434" customWidth="1"/>
    <col min="11778" max="11779" width="8.7109375" style="434" customWidth="1"/>
    <col min="11780" max="11780" width="2.7109375" style="434" customWidth="1"/>
    <col min="11781" max="11782" width="8.7109375" style="434" customWidth="1"/>
    <col min="11783" max="11783" width="2.7109375" style="434" customWidth="1"/>
    <col min="11784" max="11784" width="8.7109375" style="434" customWidth="1"/>
    <col min="11785" max="11785" width="8.85546875" style="434" customWidth="1"/>
    <col min="11786" max="11786" width="2.7109375" style="434" customWidth="1"/>
    <col min="11787" max="11787" width="6" style="434" customWidth="1"/>
    <col min="11788" max="12032" width="9.140625" style="434"/>
    <col min="12033" max="12033" width="35.7109375" style="434" customWidth="1"/>
    <col min="12034" max="12035" width="8.7109375" style="434" customWidth="1"/>
    <col min="12036" max="12036" width="2.7109375" style="434" customWidth="1"/>
    <col min="12037" max="12038" width="8.7109375" style="434" customWidth="1"/>
    <col min="12039" max="12039" width="2.7109375" style="434" customWidth="1"/>
    <col min="12040" max="12040" width="8.7109375" style="434" customWidth="1"/>
    <col min="12041" max="12041" width="8.85546875" style="434" customWidth="1"/>
    <col min="12042" max="12042" width="2.7109375" style="434" customWidth="1"/>
    <col min="12043" max="12043" width="6" style="434" customWidth="1"/>
    <col min="12044" max="12288" width="9.140625" style="434"/>
    <col min="12289" max="12289" width="35.7109375" style="434" customWidth="1"/>
    <col min="12290" max="12291" width="8.7109375" style="434" customWidth="1"/>
    <col min="12292" max="12292" width="2.7109375" style="434" customWidth="1"/>
    <col min="12293" max="12294" width="8.7109375" style="434" customWidth="1"/>
    <col min="12295" max="12295" width="2.7109375" style="434" customWidth="1"/>
    <col min="12296" max="12296" width="8.7109375" style="434" customWidth="1"/>
    <col min="12297" max="12297" width="8.85546875" style="434" customWidth="1"/>
    <col min="12298" max="12298" width="2.7109375" style="434" customWidth="1"/>
    <col min="12299" max="12299" width="6" style="434" customWidth="1"/>
    <col min="12300" max="12544" width="9.140625" style="434"/>
    <col min="12545" max="12545" width="35.7109375" style="434" customWidth="1"/>
    <col min="12546" max="12547" width="8.7109375" style="434" customWidth="1"/>
    <col min="12548" max="12548" width="2.7109375" style="434" customWidth="1"/>
    <col min="12549" max="12550" width="8.7109375" style="434" customWidth="1"/>
    <col min="12551" max="12551" width="2.7109375" style="434" customWidth="1"/>
    <col min="12552" max="12552" width="8.7109375" style="434" customWidth="1"/>
    <col min="12553" max="12553" width="8.85546875" style="434" customWidth="1"/>
    <col min="12554" max="12554" width="2.7109375" style="434" customWidth="1"/>
    <col min="12555" max="12555" width="6" style="434" customWidth="1"/>
    <col min="12556" max="12800" width="9.140625" style="434"/>
    <col min="12801" max="12801" width="35.7109375" style="434" customWidth="1"/>
    <col min="12802" max="12803" width="8.7109375" style="434" customWidth="1"/>
    <col min="12804" max="12804" width="2.7109375" style="434" customWidth="1"/>
    <col min="12805" max="12806" width="8.7109375" style="434" customWidth="1"/>
    <col min="12807" max="12807" width="2.7109375" style="434" customWidth="1"/>
    <col min="12808" max="12808" width="8.7109375" style="434" customWidth="1"/>
    <col min="12809" max="12809" width="8.85546875" style="434" customWidth="1"/>
    <col min="12810" max="12810" width="2.7109375" style="434" customWidth="1"/>
    <col min="12811" max="12811" width="6" style="434" customWidth="1"/>
    <col min="12812" max="13056" width="9.140625" style="434"/>
    <col min="13057" max="13057" width="35.7109375" style="434" customWidth="1"/>
    <col min="13058" max="13059" width="8.7109375" style="434" customWidth="1"/>
    <col min="13060" max="13060" width="2.7109375" style="434" customWidth="1"/>
    <col min="13061" max="13062" width="8.7109375" style="434" customWidth="1"/>
    <col min="13063" max="13063" width="2.7109375" style="434" customWidth="1"/>
    <col min="13064" max="13064" width="8.7109375" style="434" customWidth="1"/>
    <col min="13065" max="13065" width="8.85546875" style="434" customWidth="1"/>
    <col min="13066" max="13066" width="2.7109375" style="434" customWidth="1"/>
    <col min="13067" max="13067" width="6" style="434" customWidth="1"/>
    <col min="13068" max="13312" width="9.140625" style="434"/>
    <col min="13313" max="13313" width="35.7109375" style="434" customWidth="1"/>
    <col min="13314" max="13315" width="8.7109375" style="434" customWidth="1"/>
    <col min="13316" max="13316" width="2.7109375" style="434" customWidth="1"/>
    <col min="13317" max="13318" width="8.7109375" style="434" customWidth="1"/>
    <col min="13319" max="13319" width="2.7109375" style="434" customWidth="1"/>
    <col min="13320" max="13320" width="8.7109375" style="434" customWidth="1"/>
    <col min="13321" max="13321" width="8.85546875" style="434" customWidth="1"/>
    <col min="13322" max="13322" width="2.7109375" style="434" customWidth="1"/>
    <col min="13323" max="13323" width="6" style="434" customWidth="1"/>
    <col min="13324" max="13568" width="9.140625" style="434"/>
    <col min="13569" max="13569" width="35.7109375" style="434" customWidth="1"/>
    <col min="13570" max="13571" width="8.7109375" style="434" customWidth="1"/>
    <col min="13572" max="13572" width="2.7109375" style="434" customWidth="1"/>
    <col min="13573" max="13574" width="8.7109375" style="434" customWidth="1"/>
    <col min="13575" max="13575" width="2.7109375" style="434" customWidth="1"/>
    <col min="13576" max="13576" width="8.7109375" style="434" customWidth="1"/>
    <col min="13577" max="13577" width="8.85546875" style="434" customWidth="1"/>
    <col min="13578" max="13578" width="2.7109375" style="434" customWidth="1"/>
    <col min="13579" max="13579" width="6" style="434" customWidth="1"/>
    <col min="13580" max="13824" width="9.140625" style="434"/>
    <col min="13825" max="13825" width="35.7109375" style="434" customWidth="1"/>
    <col min="13826" max="13827" width="8.7109375" style="434" customWidth="1"/>
    <col min="13828" max="13828" width="2.7109375" style="434" customWidth="1"/>
    <col min="13829" max="13830" width="8.7109375" style="434" customWidth="1"/>
    <col min="13831" max="13831" width="2.7109375" style="434" customWidth="1"/>
    <col min="13832" max="13832" width="8.7109375" style="434" customWidth="1"/>
    <col min="13833" max="13833" width="8.85546875" style="434" customWidth="1"/>
    <col min="13834" max="13834" width="2.7109375" style="434" customWidth="1"/>
    <col min="13835" max="13835" width="6" style="434" customWidth="1"/>
    <col min="13836" max="14080" width="9.140625" style="434"/>
    <col min="14081" max="14081" width="35.7109375" style="434" customWidth="1"/>
    <col min="14082" max="14083" width="8.7109375" style="434" customWidth="1"/>
    <col min="14084" max="14084" width="2.7109375" style="434" customWidth="1"/>
    <col min="14085" max="14086" width="8.7109375" style="434" customWidth="1"/>
    <col min="14087" max="14087" width="2.7109375" style="434" customWidth="1"/>
    <col min="14088" max="14088" width="8.7109375" style="434" customWidth="1"/>
    <col min="14089" max="14089" width="8.85546875" style="434" customWidth="1"/>
    <col min="14090" max="14090" width="2.7109375" style="434" customWidth="1"/>
    <col min="14091" max="14091" width="6" style="434" customWidth="1"/>
    <col min="14092" max="14336" width="9.140625" style="434"/>
    <col min="14337" max="14337" width="35.7109375" style="434" customWidth="1"/>
    <col min="14338" max="14339" width="8.7109375" style="434" customWidth="1"/>
    <col min="14340" max="14340" width="2.7109375" style="434" customWidth="1"/>
    <col min="14341" max="14342" width="8.7109375" style="434" customWidth="1"/>
    <col min="14343" max="14343" width="2.7109375" style="434" customWidth="1"/>
    <col min="14344" max="14344" width="8.7109375" style="434" customWidth="1"/>
    <col min="14345" max="14345" width="8.85546875" style="434" customWidth="1"/>
    <col min="14346" max="14346" width="2.7109375" style="434" customWidth="1"/>
    <col min="14347" max="14347" width="6" style="434" customWidth="1"/>
    <col min="14348" max="14592" width="9.140625" style="434"/>
    <col min="14593" max="14593" width="35.7109375" style="434" customWidth="1"/>
    <col min="14594" max="14595" width="8.7109375" style="434" customWidth="1"/>
    <col min="14596" max="14596" width="2.7109375" style="434" customWidth="1"/>
    <col min="14597" max="14598" width="8.7109375" style="434" customWidth="1"/>
    <col min="14599" max="14599" width="2.7109375" style="434" customWidth="1"/>
    <col min="14600" max="14600" width="8.7109375" style="434" customWidth="1"/>
    <col min="14601" max="14601" width="8.85546875" style="434" customWidth="1"/>
    <col min="14602" max="14602" width="2.7109375" style="434" customWidth="1"/>
    <col min="14603" max="14603" width="6" style="434" customWidth="1"/>
    <col min="14604" max="14848" width="9.140625" style="434"/>
    <col min="14849" max="14849" width="35.7109375" style="434" customWidth="1"/>
    <col min="14850" max="14851" width="8.7109375" style="434" customWidth="1"/>
    <col min="14852" max="14852" width="2.7109375" style="434" customWidth="1"/>
    <col min="14853" max="14854" width="8.7109375" style="434" customWidth="1"/>
    <col min="14855" max="14855" width="2.7109375" style="434" customWidth="1"/>
    <col min="14856" max="14856" width="8.7109375" style="434" customWidth="1"/>
    <col min="14857" max="14857" width="8.85546875" style="434" customWidth="1"/>
    <col min="14858" max="14858" width="2.7109375" style="434" customWidth="1"/>
    <col min="14859" max="14859" width="6" style="434" customWidth="1"/>
    <col min="14860" max="15104" width="9.140625" style="434"/>
    <col min="15105" max="15105" width="35.7109375" style="434" customWidth="1"/>
    <col min="15106" max="15107" width="8.7109375" style="434" customWidth="1"/>
    <col min="15108" max="15108" width="2.7109375" style="434" customWidth="1"/>
    <col min="15109" max="15110" width="8.7109375" style="434" customWidth="1"/>
    <col min="15111" max="15111" width="2.7109375" style="434" customWidth="1"/>
    <col min="15112" max="15112" width="8.7109375" style="434" customWidth="1"/>
    <col min="15113" max="15113" width="8.85546875" style="434" customWidth="1"/>
    <col min="15114" max="15114" width="2.7109375" style="434" customWidth="1"/>
    <col min="15115" max="15115" width="6" style="434" customWidth="1"/>
    <col min="15116" max="15360" width="9.140625" style="434"/>
    <col min="15361" max="15361" width="35.7109375" style="434" customWidth="1"/>
    <col min="15362" max="15363" width="8.7109375" style="434" customWidth="1"/>
    <col min="15364" max="15364" width="2.7109375" style="434" customWidth="1"/>
    <col min="15365" max="15366" width="8.7109375" style="434" customWidth="1"/>
    <col min="15367" max="15367" width="2.7109375" style="434" customWidth="1"/>
    <col min="15368" max="15368" width="8.7109375" style="434" customWidth="1"/>
    <col min="15369" max="15369" width="8.85546875" style="434" customWidth="1"/>
    <col min="15370" max="15370" width="2.7109375" style="434" customWidth="1"/>
    <col min="15371" max="15371" width="6" style="434" customWidth="1"/>
    <col min="15372" max="15616" width="9.140625" style="434"/>
    <col min="15617" max="15617" width="35.7109375" style="434" customWidth="1"/>
    <col min="15618" max="15619" width="8.7109375" style="434" customWidth="1"/>
    <col min="15620" max="15620" width="2.7109375" style="434" customWidth="1"/>
    <col min="15621" max="15622" width="8.7109375" style="434" customWidth="1"/>
    <col min="15623" max="15623" width="2.7109375" style="434" customWidth="1"/>
    <col min="15624" max="15624" width="8.7109375" style="434" customWidth="1"/>
    <col min="15625" max="15625" width="8.85546875" style="434" customWidth="1"/>
    <col min="15626" max="15626" width="2.7109375" style="434" customWidth="1"/>
    <col min="15627" max="15627" width="6" style="434" customWidth="1"/>
    <col min="15628" max="15872" width="9.140625" style="434"/>
    <col min="15873" max="15873" width="35.7109375" style="434" customWidth="1"/>
    <col min="15874" max="15875" width="8.7109375" style="434" customWidth="1"/>
    <col min="15876" max="15876" width="2.7109375" style="434" customWidth="1"/>
    <col min="15877" max="15878" width="8.7109375" style="434" customWidth="1"/>
    <col min="15879" max="15879" width="2.7109375" style="434" customWidth="1"/>
    <col min="15880" max="15880" width="8.7109375" style="434" customWidth="1"/>
    <col min="15881" max="15881" width="8.85546875" style="434" customWidth="1"/>
    <col min="15882" max="15882" width="2.7109375" style="434" customWidth="1"/>
    <col min="15883" max="15883" width="6" style="434" customWidth="1"/>
    <col min="15884" max="16128" width="9.140625" style="434"/>
    <col min="16129" max="16129" width="35.7109375" style="434" customWidth="1"/>
    <col min="16130" max="16131" width="8.7109375" style="434" customWidth="1"/>
    <col min="16132" max="16132" width="2.7109375" style="434" customWidth="1"/>
    <col min="16133" max="16134" width="8.7109375" style="434" customWidth="1"/>
    <col min="16135" max="16135" width="2.7109375" style="434" customWidth="1"/>
    <col min="16136" max="16136" width="8.7109375" style="434" customWidth="1"/>
    <col min="16137" max="16137" width="8.85546875" style="434" customWidth="1"/>
    <col min="16138" max="16138" width="2.7109375" style="434" customWidth="1"/>
    <col min="16139" max="16139" width="6" style="434" customWidth="1"/>
    <col min="16140" max="16384" width="9.140625" style="434"/>
  </cols>
  <sheetData>
    <row r="1" spans="1:11" ht="12.75" customHeight="1">
      <c r="A1" s="434" t="s">
        <v>936</v>
      </c>
    </row>
    <row r="2" spans="1:11" ht="12.75" customHeight="1">
      <c r="A2" s="434" t="s">
        <v>937</v>
      </c>
      <c r="E2" s="843"/>
    </row>
    <row r="3" spans="1:11" ht="9.9499999999999993" customHeight="1"/>
    <row r="4" spans="1:11" ht="14.25">
      <c r="A4" s="42" t="s">
        <v>2143</v>
      </c>
    </row>
    <row r="5" spans="1:11" ht="9.9499999999999993" customHeight="1" thickBot="1">
      <c r="J5" s="436"/>
      <c r="K5" s="436"/>
    </row>
    <row r="6" spans="1:11" ht="10.5" customHeight="1">
      <c r="A6" s="437"/>
      <c r="B6" s="792"/>
      <c r="C6" s="793"/>
      <c r="D6" s="438"/>
      <c r="E6" s="1020"/>
      <c r="F6" s="1021"/>
      <c r="G6" s="438"/>
      <c r="H6" s="1020"/>
      <c r="I6" s="1021"/>
      <c r="J6" s="439"/>
      <c r="K6" s="442"/>
    </row>
    <row r="7" spans="1:11" ht="14.25">
      <c r="A7" s="434" t="s">
        <v>4</v>
      </c>
      <c r="B7" s="1321" t="s">
        <v>1695</v>
      </c>
      <c r="C7" s="1321"/>
      <c r="D7" s="441"/>
      <c r="E7" s="1266" t="s">
        <v>1696</v>
      </c>
      <c r="F7" s="1266"/>
      <c r="G7" s="441"/>
      <c r="H7" s="1266" t="s">
        <v>1270</v>
      </c>
      <c r="I7" s="1266"/>
    </row>
    <row r="8" spans="1:11">
      <c r="A8" s="440" t="s">
        <v>1697</v>
      </c>
      <c r="B8" s="800" t="s">
        <v>323</v>
      </c>
      <c r="C8" s="801" t="s">
        <v>324</v>
      </c>
      <c r="D8" s="441"/>
      <c r="E8" s="1022" t="s">
        <v>323</v>
      </c>
      <c r="F8" s="444" t="s">
        <v>324</v>
      </c>
      <c r="G8" s="812"/>
      <c r="H8" s="1022" t="s">
        <v>323</v>
      </c>
      <c r="I8" s="444" t="s">
        <v>10</v>
      </c>
    </row>
    <row r="9" spans="1:11" ht="13.5" customHeight="1" thickBot="1">
      <c r="A9" s="445"/>
      <c r="B9" s="803"/>
      <c r="C9" s="804"/>
      <c r="D9" s="446"/>
      <c r="E9" s="1023"/>
      <c r="F9" s="1024"/>
      <c r="G9" s="446"/>
      <c r="H9" s="1023"/>
      <c r="I9" s="1024"/>
    </row>
    <row r="10" spans="1:11" ht="9.9499999999999993" customHeight="1">
      <c r="A10" s="440"/>
      <c r="B10" s="452"/>
      <c r="C10" s="450"/>
      <c r="D10" s="441"/>
      <c r="E10" s="841"/>
      <c r="F10" s="1025"/>
      <c r="G10" s="441"/>
      <c r="H10" s="841"/>
      <c r="I10" s="1025"/>
      <c r="J10" s="439"/>
      <c r="K10" s="442"/>
    </row>
    <row r="11" spans="1:11">
      <c r="A11" s="63" t="s">
        <v>325</v>
      </c>
      <c r="B11" s="449">
        <f>IF($A11&lt;&gt;0,E11+H11,"")</f>
        <v>22151</v>
      </c>
      <c r="C11" s="454">
        <f>SUM(C13+C96)</f>
        <v>100</v>
      </c>
      <c r="E11" s="836">
        <f>E13+E96</f>
        <v>10290</v>
      </c>
      <c r="F11" s="837">
        <f>IF($A11&lt;&gt;0,E11/$B11*100,"")</f>
        <v>46.45388470046499</v>
      </c>
      <c r="H11" s="836">
        <f>H13+H96</f>
        <v>11861</v>
      </c>
      <c r="I11" s="837">
        <f>IF($A11&lt;&gt;0,H11/$B11*100,"")</f>
        <v>53.54611529953501</v>
      </c>
    </row>
    <row r="12" spans="1:11" ht="8.25" customHeight="1">
      <c r="A12" s="42"/>
      <c r="B12" s="449" t="str">
        <f t="shared" ref="B12:B79" si="0">IF($A12&lt;&gt;0,E12+H12,"")</f>
        <v/>
      </c>
      <c r="C12" s="454" t="str">
        <f t="shared" ref="C12:C79" si="1">IF($A12&lt;&gt;0,B12/$B$11*100,"")</f>
        <v/>
      </c>
      <c r="F12" s="837" t="str">
        <f>IF($A12&lt;&gt;0,E12/$B12*100,"")</f>
        <v/>
      </c>
      <c r="I12" s="837" t="str">
        <f t="shared" ref="I12:I79" si="2">IF($A12&lt;&gt;0,H12/$B12*100,"")</f>
        <v/>
      </c>
    </row>
    <row r="13" spans="1:11" ht="13.5" customHeight="1">
      <c r="A13" s="63" t="s">
        <v>1529</v>
      </c>
      <c r="B13" s="449">
        <f t="shared" si="0"/>
        <v>14579</v>
      </c>
      <c r="C13" s="454">
        <f t="shared" si="1"/>
        <v>65.816441695634509</v>
      </c>
      <c r="E13" s="836">
        <f>E15+E26+E34+E60+E74+E81+E93+E94</f>
        <v>6915</v>
      </c>
      <c r="F13" s="837">
        <f>IF($A13&lt;&gt;0,E13/$B13*100,"")</f>
        <v>47.43123671033679</v>
      </c>
      <c r="H13" s="836">
        <f>H15+H26+H34+H60+H74+H81+H93+H94</f>
        <v>7664</v>
      </c>
      <c r="I13" s="837">
        <f t="shared" si="2"/>
        <v>52.56876328966321</v>
      </c>
    </row>
    <row r="14" spans="1:11" ht="6.75" customHeight="1">
      <c r="A14" s="63"/>
      <c r="F14" s="837" t="str">
        <f>IF($A14&lt;&gt;0,E14/$B14*100,"")</f>
        <v/>
      </c>
    </row>
    <row r="15" spans="1:11">
      <c r="A15" s="63" t="s">
        <v>327</v>
      </c>
      <c r="B15" s="449">
        <f t="shared" si="0"/>
        <v>1431</v>
      </c>
      <c r="C15" s="454">
        <f t="shared" si="1"/>
        <v>6.4602049568868223</v>
      </c>
      <c r="E15" s="836">
        <f>E16+E21</f>
        <v>604</v>
      </c>
      <c r="F15" s="837">
        <f>IF($A15&lt;&gt;0,E15/$B15*100,"")</f>
        <v>42.208245981830892</v>
      </c>
      <c r="H15" s="836">
        <f>H16+H21</f>
        <v>827</v>
      </c>
      <c r="I15" s="837">
        <f t="shared" si="2"/>
        <v>57.791754018169115</v>
      </c>
    </row>
    <row r="16" spans="1:11" ht="12.6" customHeight="1">
      <c r="A16" s="42" t="s">
        <v>20</v>
      </c>
      <c r="B16" s="449">
        <f t="shared" si="0"/>
        <v>426</v>
      </c>
      <c r="C16" s="454">
        <f t="shared" si="1"/>
        <v>1.9231637397860144</v>
      </c>
      <c r="E16" s="836">
        <f>SUM(E17:E19)</f>
        <v>218</v>
      </c>
      <c r="F16" s="837">
        <f t="shared" ref="F16:F79" si="3">IF($A16&lt;&gt;0,E16/$B16*100,"")</f>
        <v>51.173708920187785</v>
      </c>
      <c r="H16" s="836">
        <f>SUM(H17:H19)</f>
        <v>208</v>
      </c>
      <c r="I16" s="837">
        <f t="shared" si="2"/>
        <v>48.826291079812208</v>
      </c>
    </row>
    <row r="17" spans="1:9" ht="12.75" customHeight="1">
      <c r="A17" s="42" t="s">
        <v>21</v>
      </c>
      <c r="B17" s="449">
        <f>IF($A17&lt;&gt;0,E17+H17,"")</f>
        <v>69</v>
      </c>
      <c r="C17" s="454">
        <f t="shared" si="1"/>
        <v>0.31149835221886146</v>
      </c>
      <c r="E17" s="647">
        <v>34</v>
      </c>
      <c r="F17" s="837">
        <f t="shared" si="3"/>
        <v>49.275362318840585</v>
      </c>
      <c r="G17" s="648"/>
      <c r="H17" s="647">
        <v>35</v>
      </c>
      <c r="I17" s="837">
        <f>IF($A17&lt;&gt;0,H17/$B17*100,"")</f>
        <v>50.724637681159422</v>
      </c>
    </row>
    <row r="18" spans="1:9" ht="12.75" customHeight="1">
      <c r="A18" s="42" t="s">
        <v>23</v>
      </c>
      <c r="B18" s="449">
        <f>IF($A18&lt;&gt;0,E18+H18,"")</f>
        <v>266</v>
      </c>
      <c r="C18" s="454">
        <f t="shared" si="1"/>
        <v>1.2008487201480744</v>
      </c>
      <c r="E18" s="647">
        <v>115</v>
      </c>
      <c r="F18" s="837">
        <f t="shared" si="3"/>
        <v>43.233082706766915</v>
      </c>
      <c r="G18" s="648"/>
      <c r="H18" s="647">
        <v>151</v>
      </c>
      <c r="I18" s="837">
        <f>IF($A18&lt;&gt;0,H18/$B18*100,"")</f>
        <v>56.766917293233085</v>
      </c>
    </row>
    <row r="19" spans="1:9" ht="12.75" customHeight="1">
      <c r="A19" s="42" t="s">
        <v>22</v>
      </c>
      <c r="B19" s="449">
        <f>IF($A19&lt;&gt;0,E19+H19,"")</f>
        <v>91</v>
      </c>
      <c r="C19" s="454">
        <f t="shared" si="1"/>
        <v>0.41081666741907813</v>
      </c>
      <c r="E19" s="647">
        <v>69</v>
      </c>
      <c r="F19" s="837">
        <f t="shared" si="3"/>
        <v>75.824175824175825</v>
      </c>
      <c r="G19" s="648"/>
      <c r="H19" s="647">
        <v>22</v>
      </c>
      <c r="I19" s="837">
        <f>IF($A19&lt;&gt;0,H19/$B19*100,"")</f>
        <v>24.175824175824175</v>
      </c>
    </row>
    <row r="20" spans="1:9" ht="6" customHeight="1">
      <c r="A20" s="42"/>
      <c r="B20" s="449" t="str">
        <f t="shared" si="0"/>
        <v/>
      </c>
      <c r="C20" s="454" t="str">
        <f t="shared" si="1"/>
        <v/>
      </c>
      <c r="F20" s="837" t="str">
        <f t="shared" si="3"/>
        <v/>
      </c>
      <c r="I20" s="837" t="str">
        <f t="shared" si="2"/>
        <v/>
      </c>
    </row>
    <row r="21" spans="1:9" ht="12.95" customHeight="1">
      <c r="A21" s="42" t="s">
        <v>24</v>
      </c>
      <c r="B21" s="449">
        <f t="shared" si="0"/>
        <v>1005</v>
      </c>
      <c r="C21" s="454">
        <f t="shared" si="1"/>
        <v>4.5370412171008079</v>
      </c>
      <c r="E21" s="836">
        <f>SUM(E22:E24)</f>
        <v>386</v>
      </c>
      <c r="F21" s="837">
        <f t="shared" si="3"/>
        <v>38.407960199004975</v>
      </c>
      <c r="H21" s="836">
        <f>SUM(H22:H24)</f>
        <v>619</v>
      </c>
      <c r="I21" s="837">
        <f t="shared" si="2"/>
        <v>61.592039800995025</v>
      </c>
    </row>
    <row r="22" spans="1:9" ht="12.95" customHeight="1">
      <c r="A22" s="42" t="s">
        <v>25</v>
      </c>
      <c r="B22" s="449">
        <f t="shared" si="0"/>
        <v>330</v>
      </c>
      <c r="C22" s="454">
        <f t="shared" si="1"/>
        <v>1.4897747280032503</v>
      </c>
      <c r="E22" s="647">
        <v>92</v>
      </c>
      <c r="F22" s="837">
        <f t="shared" si="3"/>
        <v>27.878787878787882</v>
      </c>
      <c r="G22" s="648"/>
      <c r="H22" s="647">
        <v>238</v>
      </c>
      <c r="I22" s="809">
        <v>67.515923566878982</v>
      </c>
    </row>
    <row r="23" spans="1:9" ht="12.95" customHeight="1">
      <c r="A23" s="42" t="s">
        <v>26</v>
      </c>
      <c r="B23" s="449">
        <f t="shared" si="0"/>
        <v>162</v>
      </c>
      <c r="C23" s="454">
        <f t="shared" si="1"/>
        <v>0.73134395738341385</v>
      </c>
      <c r="E23" s="647">
        <v>108</v>
      </c>
      <c r="F23" s="837">
        <f t="shared" si="3"/>
        <v>66.666666666666657</v>
      </c>
      <c r="G23" s="648"/>
      <c r="H23" s="647">
        <v>54</v>
      </c>
      <c r="I23" s="809">
        <v>32.121212121212125</v>
      </c>
    </row>
    <row r="24" spans="1:9" ht="12.95" customHeight="1">
      <c r="A24" s="42" t="s">
        <v>27</v>
      </c>
      <c r="B24" s="449">
        <f t="shared" si="0"/>
        <v>513</v>
      </c>
      <c r="C24" s="454">
        <f t="shared" si="1"/>
        <v>2.3159225317141439</v>
      </c>
      <c r="E24" s="647">
        <v>186</v>
      </c>
      <c r="F24" s="837">
        <f t="shared" si="3"/>
        <v>36.257309941520468</v>
      </c>
      <c r="G24" s="648"/>
      <c r="H24" s="647">
        <v>327</v>
      </c>
      <c r="I24" s="809">
        <v>65.376782077393074</v>
      </c>
    </row>
    <row r="25" spans="1:9" ht="6.75" customHeight="1">
      <c r="A25" s="42"/>
      <c r="B25" s="449" t="str">
        <f t="shared" si="0"/>
        <v/>
      </c>
      <c r="C25" s="454" t="str">
        <f t="shared" si="1"/>
        <v/>
      </c>
      <c r="F25" s="837" t="str">
        <f t="shared" si="3"/>
        <v/>
      </c>
      <c r="I25" s="837" t="str">
        <f t="shared" si="2"/>
        <v/>
      </c>
    </row>
    <row r="26" spans="1:9">
      <c r="A26" s="63" t="s">
        <v>375</v>
      </c>
      <c r="B26" s="449">
        <f t="shared" si="0"/>
        <v>871</v>
      </c>
      <c r="C26" s="454">
        <f t="shared" si="1"/>
        <v>3.9321023881540338</v>
      </c>
      <c r="E26" s="836">
        <f>SUM(E27)</f>
        <v>519</v>
      </c>
      <c r="F26" s="837">
        <f t="shared" si="3"/>
        <v>59.586681974741673</v>
      </c>
      <c r="H26" s="836">
        <f>SUM(H27)</f>
        <v>352</v>
      </c>
      <c r="I26" s="837">
        <f t="shared" si="2"/>
        <v>40.41331802525832</v>
      </c>
    </row>
    <row r="27" spans="1:9" ht="12.95" customHeight="1">
      <c r="A27" s="42" t="s">
        <v>29</v>
      </c>
      <c r="B27" s="449">
        <f t="shared" si="0"/>
        <v>871</v>
      </c>
      <c r="C27" s="454">
        <f t="shared" si="1"/>
        <v>3.9321023881540338</v>
      </c>
      <c r="E27" s="836">
        <f>SUM(E28:E32)</f>
        <v>519</v>
      </c>
      <c r="F27" s="837">
        <f t="shared" si="3"/>
        <v>59.586681974741673</v>
      </c>
      <c r="H27" s="836">
        <f>SUM(H28:H32)</f>
        <v>352</v>
      </c>
      <c r="I27" s="837">
        <f t="shared" si="2"/>
        <v>40.41331802525832</v>
      </c>
    </row>
    <row r="28" spans="1:9" ht="12.95" customHeight="1">
      <c r="A28" s="42" t="s">
        <v>30</v>
      </c>
      <c r="B28" s="449">
        <f>IF($A28&lt;&gt;0,E28+H28,"")</f>
        <v>140</v>
      </c>
      <c r="C28" s="454">
        <f t="shared" si="1"/>
        <v>0.63202564218319712</v>
      </c>
      <c r="E28" s="647">
        <v>60</v>
      </c>
      <c r="F28" s="837">
        <f t="shared" si="3"/>
        <v>42.857142857142854</v>
      </c>
      <c r="G28" s="648"/>
      <c r="H28" s="647">
        <v>80</v>
      </c>
      <c r="I28" s="837">
        <f t="shared" si="2"/>
        <v>57.142857142857139</v>
      </c>
    </row>
    <row r="29" spans="1:9" ht="12.95" customHeight="1">
      <c r="A29" s="42" t="s">
        <v>31</v>
      </c>
      <c r="B29" s="449">
        <f>IF($A29&lt;&gt;0,E29+H29,"")</f>
        <v>230</v>
      </c>
      <c r="C29" s="454">
        <f t="shared" si="1"/>
        <v>1.0383278407295382</v>
      </c>
      <c r="E29" s="647">
        <v>166</v>
      </c>
      <c r="F29" s="837">
        <f t="shared" si="3"/>
        <v>72.173913043478265</v>
      </c>
      <c r="G29" s="648"/>
      <c r="H29" s="647">
        <v>64</v>
      </c>
      <c r="I29" s="837">
        <f t="shared" si="2"/>
        <v>27.826086956521738</v>
      </c>
    </row>
    <row r="30" spans="1:9" ht="12.95" customHeight="1">
      <c r="A30" s="42" t="s">
        <v>32</v>
      </c>
      <c r="B30" s="449">
        <f>IF($A30&lt;&gt;0,E30+H30,"")</f>
        <v>192</v>
      </c>
      <c r="C30" s="454">
        <f t="shared" si="1"/>
        <v>0.86677802356552747</v>
      </c>
      <c r="E30" s="647">
        <v>93</v>
      </c>
      <c r="F30" s="837">
        <f t="shared" si="3"/>
        <v>48.4375</v>
      </c>
      <c r="G30" s="648"/>
      <c r="H30" s="647">
        <v>99</v>
      </c>
      <c r="I30" s="837">
        <f t="shared" si="2"/>
        <v>51.5625</v>
      </c>
    </row>
    <row r="31" spans="1:9" ht="12.95" customHeight="1">
      <c r="A31" s="42" t="s">
        <v>33</v>
      </c>
      <c r="B31" s="449">
        <f>IF($A31&lt;&gt;0,E31+H31,"")</f>
        <v>159</v>
      </c>
      <c r="C31" s="454">
        <f t="shared" si="1"/>
        <v>0.71780055076520244</v>
      </c>
      <c r="E31" s="647">
        <v>116</v>
      </c>
      <c r="F31" s="837">
        <f t="shared" si="3"/>
        <v>72.95597484276729</v>
      </c>
      <c r="G31" s="648"/>
      <c r="H31" s="647">
        <v>43</v>
      </c>
      <c r="I31" s="837">
        <f t="shared" si="2"/>
        <v>27.044025157232703</v>
      </c>
    </row>
    <row r="32" spans="1:9" ht="12.95" customHeight="1">
      <c r="A32" s="42" t="s">
        <v>34</v>
      </c>
      <c r="B32" s="449">
        <f>IF($A32&lt;&gt;0,E32+H32,"")</f>
        <v>150</v>
      </c>
      <c r="C32" s="454">
        <f t="shared" si="1"/>
        <v>0.67717033091056833</v>
      </c>
      <c r="D32" s="441"/>
      <c r="E32" s="647">
        <v>84</v>
      </c>
      <c r="F32" s="837">
        <f t="shared" si="3"/>
        <v>56.000000000000007</v>
      </c>
      <c r="G32" s="648"/>
      <c r="H32" s="647">
        <v>66</v>
      </c>
      <c r="I32" s="837">
        <f t="shared" si="2"/>
        <v>44</v>
      </c>
    </row>
    <row r="33" spans="1:9" ht="6.95" customHeight="1">
      <c r="A33" s="42"/>
      <c r="B33" s="449" t="str">
        <f t="shared" si="0"/>
        <v/>
      </c>
      <c r="C33" s="454" t="str">
        <f t="shared" si="1"/>
        <v/>
      </c>
      <c r="D33" s="441"/>
      <c r="E33" s="841"/>
      <c r="F33" s="837" t="str">
        <f t="shared" si="3"/>
        <v/>
      </c>
      <c r="G33" s="441"/>
      <c r="H33" s="841"/>
      <c r="I33" s="837" t="str">
        <f t="shared" si="2"/>
        <v/>
      </c>
    </row>
    <row r="34" spans="1:9" ht="12.75" customHeight="1">
      <c r="A34" s="63" t="s">
        <v>329</v>
      </c>
      <c r="B34" s="449">
        <f t="shared" si="0"/>
        <v>6619</v>
      </c>
      <c r="C34" s="454">
        <f t="shared" si="1"/>
        <v>29.881269468647016</v>
      </c>
      <c r="D34" s="441"/>
      <c r="E34" s="841">
        <f>E35+E41+E51+E53</f>
        <v>2856</v>
      </c>
      <c r="F34" s="837">
        <f t="shared" si="3"/>
        <v>43.148511859797551</v>
      </c>
      <c r="G34" s="441"/>
      <c r="H34" s="841">
        <f>H35+H41+H51+H53</f>
        <v>3763</v>
      </c>
      <c r="I34" s="837">
        <f t="shared" si="2"/>
        <v>56.851488140202441</v>
      </c>
    </row>
    <row r="35" spans="1:9" ht="12.95" customHeight="1">
      <c r="A35" s="42" t="s">
        <v>1698</v>
      </c>
      <c r="B35" s="449">
        <f t="shared" si="0"/>
        <v>2223</v>
      </c>
      <c r="C35" s="454">
        <f t="shared" si="1"/>
        <v>10.035664304094622</v>
      </c>
      <c r="D35" s="441"/>
      <c r="E35" s="841">
        <f>SUM(E36:E39)</f>
        <v>1039</v>
      </c>
      <c r="F35" s="837">
        <f t="shared" si="3"/>
        <v>46.738641475483583</v>
      </c>
      <c r="G35" s="441"/>
      <c r="H35" s="841">
        <f>SUM(H36:H39)</f>
        <v>1184</v>
      </c>
      <c r="I35" s="837">
        <f t="shared" si="2"/>
        <v>53.261358524516424</v>
      </c>
    </row>
    <row r="36" spans="1:9" ht="12.95" customHeight="1">
      <c r="A36" s="42" t="s">
        <v>37</v>
      </c>
      <c r="B36" s="449">
        <f t="shared" si="0"/>
        <v>1197</v>
      </c>
      <c r="C36" s="454">
        <f t="shared" si="1"/>
        <v>5.4038192406663352</v>
      </c>
      <c r="D36" s="441"/>
      <c r="E36" s="647">
        <v>558</v>
      </c>
      <c r="F36" s="837">
        <f t="shared" si="3"/>
        <v>46.616541353383454</v>
      </c>
      <c r="G36" s="648"/>
      <c r="H36" s="647">
        <v>639</v>
      </c>
      <c r="I36" s="837">
        <f t="shared" si="2"/>
        <v>53.383458646616546</v>
      </c>
    </row>
    <row r="37" spans="1:9" ht="12.95" customHeight="1">
      <c r="A37" s="42" t="s">
        <v>38</v>
      </c>
      <c r="B37" s="449">
        <f t="shared" si="0"/>
        <v>596</v>
      </c>
      <c r="C37" s="454">
        <f t="shared" si="1"/>
        <v>2.6906234481513249</v>
      </c>
      <c r="D37" s="441"/>
      <c r="E37" s="647">
        <v>245</v>
      </c>
      <c r="F37" s="837">
        <f t="shared" si="3"/>
        <v>41.107382550335572</v>
      </c>
      <c r="G37" s="648"/>
      <c r="H37" s="647">
        <v>351</v>
      </c>
      <c r="I37" s="837">
        <f t="shared" si="2"/>
        <v>58.892617449664428</v>
      </c>
    </row>
    <row r="38" spans="1:9" ht="12.95" customHeight="1">
      <c r="A38" s="42" t="s">
        <v>39</v>
      </c>
      <c r="B38" s="449">
        <f t="shared" si="0"/>
        <v>187</v>
      </c>
      <c r="C38" s="454">
        <f t="shared" si="1"/>
        <v>0.84420567920184197</v>
      </c>
      <c r="D38" s="441"/>
      <c r="E38" s="647">
        <v>111</v>
      </c>
      <c r="F38" s="837">
        <f t="shared" si="3"/>
        <v>59.358288770053477</v>
      </c>
      <c r="G38" s="648"/>
      <c r="H38" s="647">
        <v>76</v>
      </c>
      <c r="I38" s="837">
        <f t="shared" si="2"/>
        <v>40.641711229946523</v>
      </c>
    </row>
    <row r="39" spans="1:9" ht="12.95" customHeight="1">
      <c r="A39" s="42" t="s">
        <v>40</v>
      </c>
      <c r="B39" s="449">
        <f t="shared" si="0"/>
        <v>243</v>
      </c>
      <c r="C39" s="454">
        <f t="shared" si="1"/>
        <v>1.0970159360751206</v>
      </c>
      <c r="E39" s="647">
        <v>125</v>
      </c>
      <c r="F39" s="837">
        <f t="shared" si="3"/>
        <v>51.440329218106996</v>
      </c>
      <c r="G39" s="648"/>
      <c r="H39" s="647">
        <v>118</v>
      </c>
      <c r="I39" s="837">
        <f t="shared" si="2"/>
        <v>48.559670781893004</v>
      </c>
    </row>
    <row r="40" spans="1:9" ht="6.95" customHeight="1">
      <c r="A40" s="42"/>
      <c r="B40" s="449" t="str">
        <f t="shared" si="0"/>
        <v/>
      </c>
      <c r="C40" s="454" t="str">
        <f t="shared" si="1"/>
        <v/>
      </c>
      <c r="F40" s="837" t="str">
        <f t="shared" si="3"/>
        <v/>
      </c>
      <c r="I40" s="837" t="str">
        <f t="shared" si="2"/>
        <v/>
      </c>
    </row>
    <row r="41" spans="1:9">
      <c r="A41" s="42" t="s">
        <v>41</v>
      </c>
      <c r="B41" s="449">
        <f t="shared" si="0"/>
        <v>1955</v>
      </c>
      <c r="C41" s="454">
        <f t="shared" si="1"/>
        <v>8.8257866462010739</v>
      </c>
      <c r="E41" s="836">
        <f>SUM(E42:E49)</f>
        <v>828</v>
      </c>
      <c r="F41" s="837">
        <f t="shared" si="3"/>
        <v>42.352941176470587</v>
      </c>
      <c r="H41" s="836">
        <f>SUM(H42:H49)</f>
        <v>1127</v>
      </c>
      <c r="I41" s="837">
        <f t="shared" si="2"/>
        <v>57.647058823529406</v>
      </c>
    </row>
    <row r="42" spans="1:9" ht="12.95" customHeight="1">
      <c r="A42" s="42" t="s">
        <v>42</v>
      </c>
      <c r="B42" s="449">
        <f t="shared" si="0"/>
        <v>262</v>
      </c>
      <c r="C42" s="454">
        <f t="shared" si="1"/>
        <v>1.182790844657126</v>
      </c>
      <c r="E42" s="647">
        <v>107</v>
      </c>
      <c r="F42" s="837">
        <f t="shared" si="3"/>
        <v>40.839694656488554</v>
      </c>
      <c r="G42" s="648"/>
      <c r="H42" s="647">
        <v>155</v>
      </c>
      <c r="I42" s="837">
        <f t="shared" si="2"/>
        <v>59.160305343511453</v>
      </c>
    </row>
    <row r="43" spans="1:9" ht="12.95" customHeight="1">
      <c r="A43" s="42" t="s">
        <v>330</v>
      </c>
      <c r="B43" s="449">
        <f t="shared" si="0"/>
        <v>222</v>
      </c>
      <c r="C43" s="454">
        <f t="shared" si="1"/>
        <v>1.0022120897476412</v>
      </c>
      <c r="E43" s="647">
        <v>113</v>
      </c>
      <c r="F43" s="837">
        <f t="shared" si="3"/>
        <v>50.900900900900901</v>
      </c>
      <c r="G43" s="648"/>
      <c r="H43" s="647">
        <v>109</v>
      </c>
      <c r="I43" s="837">
        <f t="shared" si="2"/>
        <v>49.099099099099099</v>
      </c>
    </row>
    <row r="44" spans="1:9" ht="12.95" customHeight="1">
      <c r="A44" s="42" t="s">
        <v>43</v>
      </c>
      <c r="B44" s="449">
        <f t="shared" si="0"/>
        <v>130</v>
      </c>
      <c r="C44" s="454">
        <f t="shared" si="1"/>
        <v>0.58688095345582592</v>
      </c>
      <c r="E44" s="647">
        <v>59</v>
      </c>
      <c r="F44" s="837">
        <f t="shared" si="3"/>
        <v>45.384615384615387</v>
      </c>
      <c r="G44" s="648"/>
      <c r="H44" s="647">
        <v>71</v>
      </c>
      <c r="I44" s="837">
        <f t="shared" si="2"/>
        <v>54.615384615384613</v>
      </c>
    </row>
    <row r="45" spans="1:9" ht="12.95" customHeight="1">
      <c r="A45" s="42" t="s">
        <v>44</v>
      </c>
      <c r="B45" s="449">
        <f t="shared" si="0"/>
        <v>238</v>
      </c>
      <c r="C45" s="454">
        <f t="shared" si="1"/>
        <v>1.0744435917114352</v>
      </c>
      <c r="E45" s="647">
        <v>132</v>
      </c>
      <c r="F45" s="837">
        <f t="shared" si="3"/>
        <v>55.462184873949582</v>
      </c>
      <c r="G45" s="648"/>
      <c r="H45" s="647">
        <v>106</v>
      </c>
      <c r="I45" s="837">
        <f t="shared" si="2"/>
        <v>44.537815126050425</v>
      </c>
    </row>
    <row r="46" spans="1:9" ht="12.95" customHeight="1">
      <c r="A46" s="42" t="s">
        <v>1699</v>
      </c>
      <c r="B46" s="449">
        <f>IF($A46&lt;&gt;0,E46+H46,"")</f>
        <v>216</v>
      </c>
      <c r="C46" s="454">
        <f>IF($A46&lt;&gt;0,B46/$B$11*100,"")</f>
        <v>0.97512527651121839</v>
      </c>
      <c r="E46" s="647">
        <v>135</v>
      </c>
      <c r="F46" s="837">
        <f t="shared" si="3"/>
        <v>62.5</v>
      </c>
      <c r="G46" s="648"/>
      <c r="H46" s="647">
        <v>81</v>
      </c>
      <c r="I46" s="837">
        <f>IF($A46&lt;&gt;0,H46/$B46*100,"")</f>
        <v>37.5</v>
      </c>
    </row>
    <row r="47" spans="1:9" ht="12.95" customHeight="1">
      <c r="A47" s="42" t="s">
        <v>331</v>
      </c>
      <c r="B47" s="449">
        <f>IF($A47&lt;&gt;0,E47+H47,"")</f>
        <v>409</v>
      </c>
      <c r="C47" s="454">
        <f>IF($A47&lt;&gt;0,B47/$B$11*100,"")</f>
        <v>1.8464177689494832</v>
      </c>
      <c r="E47" s="647">
        <v>181</v>
      </c>
      <c r="F47" s="837">
        <f t="shared" si="3"/>
        <v>44.254278728606359</v>
      </c>
      <c r="G47" s="648"/>
      <c r="H47" s="647">
        <v>228</v>
      </c>
      <c r="I47" s="837">
        <f>IF($A47&lt;&gt;0,H47/$B47*100,"")</f>
        <v>55.745721271393641</v>
      </c>
    </row>
    <row r="48" spans="1:9" ht="12.95" customHeight="1">
      <c r="A48" s="42" t="s">
        <v>47</v>
      </c>
      <c r="B48" s="449">
        <f t="shared" si="0"/>
        <v>164</v>
      </c>
      <c r="C48" s="454">
        <f t="shared" si="1"/>
        <v>0.74037289512888815</v>
      </c>
      <c r="E48" s="647">
        <v>48</v>
      </c>
      <c r="F48" s="837">
        <f t="shared" si="3"/>
        <v>29.268292682926827</v>
      </c>
      <c r="G48" s="648"/>
      <c r="H48" s="647">
        <v>116</v>
      </c>
      <c r="I48" s="837">
        <f t="shared" si="2"/>
        <v>70.731707317073173</v>
      </c>
    </row>
    <row r="49" spans="1:9" ht="12.95" customHeight="1">
      <c r="A49" s="42" t="s">
        <v>46</v>
      </c>
      <c r="B49" s="449">
        <f t="shared" si="0"/>
        <v>314</v>
      </c>
      <c r="C49" s="454">
        <f t="shared" si="1"/>
        <v>1.4175432260394565</v>
      </c>
      <c r="E49" s="647">
        <v>53</v>
      </c>
      <c r="F49" s="837">
        <f t="shared" si="3"/>
        <v>16.878980891719745</v>
      </c>
      <c r="G49" s="648"/>
      <c r="H49" s="647">
        <v>261</v>
      </c>
      <c r="I49" s="837">
        <f t="shared" si="2"/>
        <v>83.121019108280265</v>
      </c>
    </row>
    <row r="50" spans="1:9" ht="6.95" customHeight="1">
      <c r="A50" s="42"/>
      <c r="B50" s="449" t="str">
        <f t="shared" si="0"/>
        <v/>
      </c>
      <c r="C50" s="454" t="str">
        <f t="shared" si="1"/>
        <v/>
      </c>
      <c r="E50" s="434"/>
      <c r="F50" s="837" t="str">
        <f t="shared" si="3"/>
        <v/>
      </c>
      <c r="G50" s="809"/>
      <c r="H50" s="434"/>
      <c r="I50" s="837" t="str">
        <f t="shared" si="2"/>
        <v/>
      </c>
    </row>
    <row r="51" spans="1:9" ht="12.95" customHeight="1">
      <c r="A51" s="42" t="s">
        <v>50</v>
      </c>
      <c r="B51" s="449">
        <f t="shared" si="0"/>
        <v>432</v>
      </c>
      <c r="C51" s="454">
        <f t="shared" si="1"/>
        <v>1.9502505530224368</v>
      </c>
      <c r="E51" s="647">
        <v>166</v>
      </c>
      <c r="F51" s="837">
        <f t="shared" si="3"/>
        <v>38.425925925925924</v>
      </c>
      <c r="G51" s="648"/>
      <c r="H51" s="647">
        <v>266</v>
      </c>
      <c r="I51" s="837">
        <f t="shared" si="2"/>
        <v>61.574074074074069</v>
      </c>
    </row>
    <row r="52" spans="1:9" ht="6.95" customHeight="1">
      <c r="A52" s="42"/>
      <c r="B52" s="449" t="str">
        <f t="shared" si="0"/>
        <v/>
      </c>
      <c r="C52" s="454" t="str">
        <f t="shared" si="1"/>
        <v/>
      </c>
      <c r="F52" s="837" t="str">
        <f t="shared" si="3"/>
        <v/>
      </c>
      <c r="I52" s="837" t="str">
        <f t="shared" si="2"/>
        <v/>
      </c>
    </row>
    <row r="53" spans="1:9" ht="12.95" customHeight="1">
      <c r="A53" s="42" t="s">
        <v>51</v>
      </c>
      <c r="B53" s="449">
        <f t="shared" si="0"/>
        <v>2009</v>
      </c>
      <c r="C53" s="454">
        <f t="shared" si="1"/>
        <v>9.0695679653288792</v>
      </c>
      <c r="E53" s="836">
        <f>SUM(E54:E58)</f>
        <v>823</v>
      </c>
      <c r="F53" s="837">
        <f t="shared" si="3"/>
        <v>40.965654554504724</v>
      </c>
      <c r="H53" s="836">
        <f>SUM(H54:H58)</f>
        <v>1186</v>
      </c>
      <c r="I53" s="837">
        <f t="shared" si="2"/>
        <v>59.034345445495276</v>
      </c>
    </row>
    <row r="54" spans="1:9" ht="12.95" customHeight="1">
      <c r="A54" s="42" t="s">
        <v>52</v>
      </c>
      <c r="B54" s="449">
        <f t="shared" si="0"/>
        <v>35</v>
      </c>
      <c r="C54" s="454">
        <f t="shared" si="1"/>
        <v>0.15800641054579928</v>
      </c>
      <c r="E54" s="647">
        <v>11</v>
      </c>
      <c r="F54" s="837">
        <f t="shared" si="3"/>
        <v>31.428571428571427</v>
      </c>
      <c r="G54" s="648"/>
      <c r="H54" s="647">
        <v>24</v>
      </c>
      <c r="I54" s="837">
        <f t="shared" si="2"/>
        <v>68.571428571428569</v>
      </c>
    </row>
    <row r="55" spans="1:9" ht="12.95" customHeight="1">
      <c r="A55" s="42" t="s">
        <v>53</v>
      </c>
      <c r="B55" s="449">
        <f t="shared" si="0"/>
        <v>1288</v>
      </c>
      <c r="C55" s="454">
        <f t="shared" si="1"/>
        <v>5.814635908085414</v>
      </c>
      <c r="E55" s="647">
        <v>561</v>
      </c>
      <c r="F55" s="837">
        <f t="shared" si="3"/>
        <v>43.555900621118013</v>
      </c>
      <c r="G55" s="648"/>
      <c r="H55" s="647">
        <v>727</v>
      </c>
      <c r="I55" s="837">
        <f t="shared" si="2"/>
        <v>56.444099378881987</v>
      </c>
    </row>
    <row r="56" spans="1:9" ht="12.95" customHeight="1">
      <c r="A56" s="42" t="s">
        <v>54</v>
      </c>
      <c r="B56" s="449">
        <f t="shared" si="0"/>
        <v>226</v>
      </c>
      <c r="C56" s="454">
        <f t="shared" si="1"/>
        <v>1.0202699652385896</v>
      </c>
      <c r="E56" s="647">
        <v>47</v>
      </c>
      <c r="F56" s="837">
        <f t="shared" si="3"/>
        <v>20.79646017699115</v>
      </c>
      <c r="G56" s="648"/>
      <c r="H56" s="647">
        <v>179</v>
      </c>
      <c r="I56" s="837">
        <f t="shared" si="2"/>
        <v>79.203539823008853</v>
      </c>
    </row>
    <row r="57" spans="1:9" ht="12.95" customHeight="1">
      <c r="A57" s="42" t="s">
        <v>332</v>
      </c>
      <c r="B57" s="449">
        <f t="shared" si="0"/>
        <v>304</v>
      </c>
      <c r="C57" s="454">
        <f t="shared" si="1"/>
        <v>1.3723985373120853</v>
      </c>
      <c r="E57" s="647">
        <v>98</v>
      </c>
      <c r="F57" s="837">
        <f t="shared" si="3"/>
        <v>32.236842105263158</v>
      </c>
      <c r="G57" s="648"/>
      <c r="H57" s="647">
        <v>206</v>
      </c>
      <c r="I57" s="837">
        <f t="shared" si="2"/>
        <v>67.76315789473685</v>
      </c>
    </row>
    <row r="58" spans="1:9" ht="12.95" customHeight="1">
      <c r="A58" s="42" t="s">
        <v>56</v>
      </c>
      <c r="B58" s="449">
        <f t="shared" si="0"/>
        <v>156</v>
      </c>
      <c r="C58" s="454">
        <f t="shared" si="1"/>
        <v>0.70425714414699114</v>
      </c>
      <c r="E58" s="647">
        <v>106</v>
      </c>
      <c r="F58" s="837">
        <f t="shared" si="3"/>
        <v>67.948717948717956</v>
      </c>
      <c r="G58" s="648"/>
      <c r="H58" s="647">
        <v>50</v>
      </c>
      <c r="I58" s="837">
        <f t="shared" si="2"/>
        <v>32.051282051282051</v>
      </c>
    </row>
    <row r="59" spans="1:9" ht="6.95" customHeight="1">
      <c r="A59" s="42"/>
      <c r="B59" s="449" t="str">
        <f t="shared" si="0"/>
        <v/>
      </c>
      <c r="C59" s="454" t="str">
        <f t="shared" si="1"/>
        <v/>
      </c>
      <c r="F59" s="837" t="str">
        <f t="shared" si="3"/>
        <v/>
      </c>
      <c r="I59" s="837" t="str">
        <f t="shared" si="2"/>
        <v/>
      </c>
    </row>
    <row r="60" spans="1:9">
      <c r="A60" s="63" t="s">
        <v>333</v>
      </c>
      <c r="B60" s="449">
        <f t="shared" si="0"/>
        <v>1878</v>
      </c>
      <c r="C60" s="454">
        <f t="shared" si="1"/>
        <v>8.4781725430003156</v>
      </c>
      <c r="E60" s="836">
        <f>E61+E63+E70+E72</f>
        <v>570</v>
      </c>
      <c r="F60" s="837">
        <f t="shared" si="3"/>
        <v>30.35143769968051</v>
      </c>
      <c r="H60" s="836">
        <f>H61+H63+H70+H72</f>
        <v>1308</v>
      </c>
      <c r="I60" s="837">
        <f t="shared" si="2"/>
        <v>69.648562300319497</v>
      </c>
    </row>
    <row r="61" spans="1:9" ht="12.95" customHeight="1">
      <c r="A61" s="42" t="s">
        <v>334</v>
      </c>
      <c r="B61" s="449">
        <f>IF($A61&lt;&gt;0,E61+H61,"")</f>
        <v>265</v>
      </c>
      <c r="C61" s="454">
        <f t="shared" si="1"/>
        <v>1.1963342512753374</v>
      </c>
      <c r="E61" s="647">
        <v>87</v>
      </c>
      <c r="F61" s="837">
        <f t="shared" si="3"/>
        <v>32.830188679245282</v>
      </c>
      <c r="G61" s="648"/>
      <c r="H61" s="647">
        <v>178</v>
      </c>
      <c r="I61" s="837">
        <f>IF($A61&lt;&gt;0,H61/$B61*100,"")</f>
        <v>67.169811320754718</v>
      </c>
    </row>
    <row r="62" spans="1:9" ht="6.95" customHeight="1">
      <c r="A62" s="42"/>
      <c r="B62" s="449" t="str">
        <f t="shared" si="0"/>
        <v/>
      </c>
      <c r="C62" s="454" t="str">
        <f t="shared" si="1"/>
        <v/>
      </c>
      <c r="F62" s="837" t="str">
        <f t="shared" si="3"/>
        <v/>
      </c>
      <c r="I62" s="837" t="str">
        <f t="shared" si="2"/>
        <v/>
      </c>
    </row>
    <row r="63" spans="1:9" ht="12.95" customHeight="1">
      <c r="A63" s="42" t="s">
        <v>60</v>
      </c>
      <c r="B63" s="449">
        <f t="shared" si="0"/>
        <v>1088</v>
      </c>
      <c r="C63" s="454">
        <f t="shared" si="1"/>
        <v>4.9117421335379889</v>
      </c>
      <c r="E63" s="836">
        <f>SUM(E64:E68)</f>
        <v>316</v>
      </c>
      <c r="F63" s="837">
        <f t="shared" si="3"/>
        <v>29.044117647058826</v>
      </c>
      <c r="H63" s="836">
        <f>SUM(H64:H68)</f>
        <v>772</v>
      </c>
      <c r="I63" s="837">
        <f t="shared" si="2"/>
        <v>70.955882352941174</v>
      </c>
    </row>
    <row r="64" spans="1:9" ht="12.95" customHeight="1">
      <c r="A64" s="42" t="s">
        <v>61</v>
      </c>
      <c r="B64" s="449">
        <f t="shared" si="0"/>
        <v>249</v>
      </c>
      <c r="C64" s="454">
        <f t="shared" si="1"/>
        <v>1.1241027493115434</v>
      </c>
      <c r="E64" s="647">
        <v>95</v>
      </c>
      <c r="F64" s="837">
        <f t="shared" si="3"/>
        <v>38.152610441767074</v>
      </c>
      <c r="G64" s="648"/>
      <c r="H64" s="647">
        <v>154</v>
      </c>
      <c r="I64" s="837">
        <f t="shared" si="2"/>
        <v>61.847389558232933</v>
      </c>
    </row>
    <row r="65" spans="1:9" ht="12.95" customHeight="1">
      <c r="A65" s="42" t="s">
        <v>62</v>
      </c>
      <c r="B65" s="449">
        <f t="shared" si="0"/>
        <v>245</v>
      </c>
      <c r="C65" s="454">
        <f t="shared" si="1"/>
        <v>1.106044873820595</v>
      </c>
      <c r="E65" s="647">
        <v>63</v>
      </c>
      <c r="F65" s="837">
        <f t="shared" si="3"/>
        <v>25.714285714285712</v>
      </c>
      <c r="G65" s="648"/>
      <c r="H65" s="647">
        <v>182</v>
      </c>
      <c r="I65" s="837">
        <f t="shared" si="2"/>
        <v>74.285714285714292</v>
      </c>
    </row>
    <row r="66" spans="1:9" ht="12.95" customHeight="1">
      <c r="A66" s="42" t="s">
        <v>64</v>
      </c>
      <c r="B66" s="449">
        <f t="shared" si="0"/>
        <v>122</v>
      </c>
      <c r="C66" s="454">
        <f t="shared" si="1"/>
        <v>0.55076520247392902</v>
      </c>
      <c r="E66" s="647">
        <v>23</v>
      </c>
      <c r="F66" s="837">
        <f t="shared" si="3"/>
        <v>18.852459016393443</v>
      </c>
      <c r="G66" s="648"/>
      <c r="H66" s="647">
        <v>99</v>
      </c>
      <c r="I66" s="837">
        <f t="shared" si="2"/>
        <v>81.147540983606561</v>
      </c>
    </row>
    <row r="67" spans="1:9" ht="12.95" customHeight="1">
      <c r="A67" s="42" t="s">
        <v>63</v>
      </c>
      <c r="B67" s="449">
        <f t="shared" si="0"/>
        <v>89</v>
      </c>
      <c r="C67" s="454">
        <f t="shared" si="1"/>
        <v>0.40178772967360388</v>
      </c>
      <c r="E67" s="647">
        <v>29</v>
      </c>
      <c r="F67" s="837">
        <f t="shared" si="3"/>
        <v>32.584269662921351</v>
      </c>
      <c r="G67" s="648"/>
      <c r="H67" s="647">
        <v>60</v>
      </c>
      <c r="I67" s="837">
        <f t="shared" si="2"/>
        <v>67.415730337078656</v>
      </c>
    </row>
    <row r="68" spans="1:9" ht="12.95" customHeight="1">
      <c r="A68" s="42" t="s">
        <v>1700</v>
      </c>
      <c r="B68" s="449">
        <f>IF($A68&lt;&gt;0,E68+H68,"")</f>
        <v>383</v>
      </c>
      <c r="C68" s="454">
        <f>IF($A68&lt;&gt;0,B68/$B$11*100,"")</f>
        <v>1.7290415782583179</v>
      </c>
      <c r="E68" s="647">
        <v>106</v>
      </c>
      <c r="F68" s="837">
        <f t="shared" si="3"/>
        <v>27.676240208877285</v>
      </c>
      <c r="G68" s="648"/>
      <c r="H68" s="647">
        <v>277</v>
      </c>
      <c r="I68" s="837">
        <f>IF($A68&lt;&gt;0,H68/$B68*100,"")</f>
        <v>72.323759791122711</v>
      </c>
    </row>
    <row r="69" spans="1:9" ht="6.75" customHeight="1">
      <c r="A69" s="42"/>
      <c r="B69" s="449" t="str">
        <f t="shared" si="0"/>
        <v/>
      </c>
      <c r="C69" s="454" t="str">
        <f t="shared" si="1"/>
        <v/>
      </c>
      <c r="E69" s="434"/>
      <c r="F69" s="837" t="str">
        <f t="shared" si="3"/>
        <v/>
      </c>
      <c r="G69" s="809"/>
      <c r="H69" s="434"/>
      <c r="I69" s="837" t="str">
        <f t="shared" si="2"/>
        <v/>
      </c>
    </row>
    <row r="70" spans="1:9" ht="12.95" customHeight="1">
      <c r="A70" s="42" t="s">
        <v>66</v>
      </c>
      <c r="B70" s="449">
        <f>IF($A70&lt;&gt;0,E70+H70,"")</f>
        <v>222</v>
      </c>
      <c r="C70" s="454">
        <f t="shared" si="1"/>
        <v>1.0022120897476412</v>
      </c>
      <c r="E70" s="647">
        <v>85</v>
      </c>
      <c r="F70" s="837">
        <f t="shared" si="3"/>
        <v>38.288288288288285</v>
      </c>
      <c r="G70" s="648"/>
      <c r="H70" s="647">
        <v>137</v>
      </c>
      <c r="I70" s="837">
        <f t="shared" si="2"/>
        <v>61.711711711711715</v>
      </c>
    </row>
    <row r="71" spans="1:9" ht="6.75" customHeight="1">
      <c r="A71" s="42"/>
      <c r="B71" s="449" t="str">
        <f t="shared" si="0"/>
        <v/>
      </c>
      <c r="C71" s="454" t="str">
        <f t="shared" si="1"/>
        <v/>
      </c>
      <c r="E71" s="434"/>
      <c r="F71" s="837" t="str">
        <f t="shared" si="3"/>
        <v/>
      </c>
      <c r="G71" s="809"/>
      <c r="H71" s="434"/>
      <c r="I71" s="837" t="str">
        <f t="shared" si="2"/>
        <v/>
      </c>
    </row>
    <row r="72" spans="1:9" ht="12.95" customHeight="1">
      <c r="A72" s="42" t="s">
        <v>67</v>
      </c>
      <c r="B72" s="449">
        <f t="shared" si="0"/>
        <v>303</v>
      </c>
      <c r="C72" s="454">
        <f t="shared" si="1"/>
        <v>1.3678840684393481</v>
      </c>
      <c r="E72" s="647">
        <v>82</v>
      </c>
      <c r="F72" s="837">
        <f t="shared" si="3"/>
        <v>27.062706270627064</v>
      </c>
      <c r="G72" s="648"/>
      <c r="H72" s="647">
        <v>221</v>
      </c>
      <c r="I72" s="837">
        <f t="shared" si="2"/>
        <v>72.937293729372925</v>
      </c>
    </row>
    <row r="73" spans="1:9" ht="6.75" customHeight="1">
      <c r="A73" s="42"/>
      <c r="B73" s="449" t="str">
        <f t="shared" si="0"/>
        <v/>
      </c>
      <c r="C73" s="454" t="str">
        <f t="shared" si="1"/>
        <v/>
      </c>
      <c r="E73" s="841"/>
      <c r="F73" s="837" t="str">
        <f t="shared" si="3"/>
        <v/>
      </c>
      <c r="G73" s="441"/>
      <c r="H73" s="841"/>
      <c r="I73" s="837" t="str">
        <f t="shared" si="2"/>
        <v/>
      </c>
    </row>
    <row r="74" spans="1:9">
      <c r="A74" s="63" t="s">
        <v>68</v>
      </c>
      <c r="B74" s="449">
        <f>IF($A74&lt;&gt;0,E74+H74,"")</f>
        <v>702</v>
      </c>
      <c r="C74" s="454">
        <f>IF($A74&lt;&gt;0,B74/$B$11*100,"")</f>
        <v>3.1691571486614598</v>
      </c>
      <c r="E74" s="836">
        <f>E75</f>
        <v>342</v>
      </c>
      <c r="F74" s="837">
        <f t="shared" si="3"/>
        <v>48.717948717948715</v>
      </c>
      <c r="H74" s="836">
        <f>H75</f>
        <v>360</v>
      </c>
      <c r="I74" s="837">
        <f>IF($A74&lt;&gt;0,H74/$B74*100,"")</f>
        <v>51.282051282051277</v>
      </c>
    </row>
    <row r="75" spans="1:9" ht="12.95" customHeight="1">
      <c r="A75" s="42" t="s">
        <v>337</v>
      </c>
      <c r="B75" s="449">
        <f t="shared" si="0"/>
        <v>702</v>
      </c>
      <c r="C75" s="454">
        <f t="shared" si="1"/>
        <v>3.1691571486614598</v>
      </c>
      <c r="E75" s="836">
        <f>SUM(E76:E79)</f>
        <v>342</v>
      </c>
      <c r="F75" s="837">
        <f t="shared" si="3"/>
        <v>48.717948717948715</v>
      </c>
      <c r="H75" s="836">
        <f>SUM(H76:H79)</f>
        <v>360</v>
      </c>
      <c r="I75" s="837">
        <f t="shared" si="2"/>
        <v>51.282051282051277</v>
      </c>
    </row>
    <row r="76" spans="1:9" ht="12.95" customHeight="1">
      <c r="A76" s="42" t="s">
        <v>70</v>
      </c>
      <c r="B76" s="449">
        <f t="shared" si="0"/>
        <v>214</v>
      </c>
      <c r="C76" s="454">
        <f t="shared" si="1"/>
        <v>0.96609633876574419</v>
      </c>
      <c r="E76" s="647">
        <v>112</v>
      </c>
      <c r="F76" s="837">
        <f t="shared" si="3"/>
        <v>52.336448598130836</v>
      </c>
      <c r="G76" s="648"/>
      <c r="H76" s="647">
        <v>102</v>
      </c>
      <c r="I76" s="837">
        <f t="shared" si="2"/>
        <v>47.663551401869157</v>
      </c>
    </row>
    <row r="77" spans="1:9" ht="12.95" customHeight="1">
      <c r="A77" s="42" t="s">
        <v>71</v>
      </c>
      <c r="B77" s="449">
        <f t="shared" si="0"/>
        <v>274</v>
      </c>
      <c r="C77" s="454">
        <f t="shared" si="1"/>
        <v>1.2369644711299717</v>
      </c>
      <c r="E77" s="647">
        <v>149</v>
      </c>
      <c r="F77" s="837">
        <f t="shared" si="3"/>
        <v>54.379562043795616</v>
      </c>
      <c r="G77" s="648"/>
      <c r="H77" s="647">
        <v>125</v>
      </c>
      <c r="I77" s="837">
        <f t="shared" si="2"/>
        <v>45.620437956204377</v>
      </c>
    </row>
    <row r="78" spans="1:9" ht="12.95" customHeight="1">
      <c r="A78" s="42" t="s">
        <v>72</v>
      </c>
      <c r="B78" s="449">
        <f t="shared" si="0"/>
        <v>154</v>
      </c>
      <c r="C78" s="454">
        <f t="shared" si="1"/>
        <v>0.69522820640151684</v>
      </c>
      <c r="E78" s="647">
        <v>67</v>
      </c>
      <c r="F78" s="837">
        <f t="shared" si="3"/>
        <v>43.506493506493506</v>
      </c>
      <c r="G78" s="648"/>
      <c r="H78" s="647">
        <v>87</v>
      </c>
      <c r="I78" s="837">
        <f t="shared" si="2"/>
        <v>56.493506493506494</v>
      </c>
    </row>
    <row r="79" spans="1:9" ht="12.95" customHeight="1">
      <c r="A79" s="42" t="s">
        <v>73</v>
      </c>
      <c r="B79" s="449">
        <f t="shared" si="0"/>
        <v>60</v>
      </c>
      <c r="C79" s="454">
        <f t="shared" si="1"/>
        <v>0.27086813236422735</v>
      </c>
      <c r="E79" s="647">
        <v>14</v>
      </c>
      <c r="F79" s="837">
        <f t="shared" si="3"/>
        <v>23.333333333333332</v>
      </c>
      <c r="G79" s="648"/>
      <c r="H79" s="647">
        <v>46</v>
      </c>
      <c r="I79" s="837">
        <f t="shared" si="2"/>
        <v>76.666666666666671</v>
      </c>
    </row>
    <row r="80" spans="1:9" ht="6.95" customHeight="1">
      <c r="A80" s="42"/>
      <c r="F80" s="837" t="str">
        <f t="shared" ref="F80:F101" si="4">IF($A80&lt;&gt;0,E80/$B80*100,"")</f>
        <v/>
      </c>
    </row>
    <row r="81" spans="1:9" ht="12.75" customHeight="1">
      <c r="A81" s="63" t="s">
        <v>396</v>
      </c>
      <c r="B81" s="449">
        <f>IF(A81&lt;&gt;0,E81+H81,"")</f>
        <v>2428</v>
      </c>
      <c r="C81" s="454">
        <f>IF(A81&lt;&gt;0,B81/$B$11*100,"")</f>
        <v>10.961130423005732</v>
      </c>
      <c r="E81" s="836">
        <f>E82</f>
        <v>1683</v>
      </c>
      <c r="F81" s="837">
        <f t="shared" si="4"/>
        <v>69.316309719934097</v>
      </c>
      <c r="H81" s="836">
        <f>H82</f>
        <v>745</v>
      </c>
      <c r="I81" s="837">
        <f>IF(A81&lt;&gt;0,H81/$B81*100,"")</f>
        <v>30.6836902800659</v>
      </c>
    </row>
    <row r="82" spans="1:9" ht="12.95" customHeight="1">
      <c r="A82" s="42" t="s">
        <v>75</v>
      </c>
      <c r="B82" s="449">
        <f t="shared" ref="B82:B101" si="5">IF($A82&lt;&gt;0,E82+H82,"")</f>
        <v>2428</v>
      </c>
      <c r="C82" s="454">
        <f t="shared" ref="C82:C101" si="6">IF($A82&lt;&gt;0,B82/$B$11*100,"")</f>
        <v>10.961130423005732</v>
      </c>
      <c r="E82" s="836">
        <f>SUM(E83:E91)</f>
        <v>1683</v>
      </c>
      <c r="F82" s="837">
        <f t="shared" si="4"/>
        <v>69.316309719934097</v>
      </c>
      <c r="H82" s="836">
        <f>SUM(H83:H91)</f>
        <v>745</v>
      </c>
      <c r="I82" s="837">
        <f t="shared" ref="I82:I101" si="7">IF($A82&lt;&gt;0,H82/$B82*100,"")</f>
        <v>30.6836902800659</v>
      </c>
    </row>
    <row r="83" spans="1:9" ht="12.95" customHeight="1">
      <c r="A83" s="42" t="s">
        <v>338</v>
      </c>
      <c r="B83" s="449">
        <f t="shared" si="5"/>
        <v>241</v>
      </c>
      <c r="C83" s="454">
        <f t="shared" si="6"/>
        <v>1.0879869983296466</v>
      </c>
      <c r="E83" s="647">
        <v>154</v>
      </c>
      <c r="F83" s="837">
        <f t="shared" si="4"/>
        <v>63.900414937759329</v>
      </c>
      <c r="G83" s="648"/>
      <c r="H83" s="647">
        <v>87</v>
      </c>
      <c r="I83" s="837">
        <f t="shared" si="7"/>
        <v>36.099585062240664</v>
      </c>
    </row>
    <row r="84" spans="1:9" ht="12.95" customHeight="1">
      <c r="A84" s="42" t="s">
        <v>76</v>
      </c>
      <c r="B84" s="449">
        <f t="shared" si="5"/>
        <v>332</v>
      </c>
      <c r="C84" s="454">
        <f t="shared" si="6"/>
        <v>1.4988036657487247</v>
      </c>
      <c r="E84" s="647">
        <v>227</v>
      </c>
      <c r="F84" s="837">
        <f t="shared" si="4"/>
        <v>68.373493975903614</v>
      </c>
      <c r="G84" s="648"/>
      <c r="H84" s="647">
        <v>105</v>
      </c>
      <c r="I84" s="837">
        <f t="shared" si="7"/>
        <v>31.626506024096386</v>
      </c>
    </row>
    <row r="85" spans="1:9" ht="12.95" customHeight="1">
      <c r="A85" s="42" t="s">
        <v>78</v>
      </c>
      <c r="B85" s="449">
        <f t="shared" si="5"/>
        <v>445</v>
      </c>
      <c r="C85" s="454">
        <f t="shared" si="6"/>
        <v>2.0089386483680194</v>
      </c>
      <c r="E85" s="647">
        <v>366</v>
      </c>
      <c r="F85" s="837">
        <f t="shared" si="4"/>
        <v>82.247191011235955</v>
      </c>
      <c r="G85" s="648"/>
      <c r="H85" s="647">
        <v>79</v>
      </c>
      <c r="I85" s="837">
        <f t="shared" si="7"/>
        <v>17.752808988764045</v>
      </c>
    </row>
    <row r="86" spans="1:9" ht="12.95" customHeight="1">
      <c r="A86" s="42" t="s">
        <v>80</v>
      </c>
      <c r="B86" s="449">
        <f t="shared" si="5"/>
        <v>131</v>
      </c>
      <c r="C86" s="454">
        <f t="shared" si="6"/>
        <v>0.59139542232856301</v>
      </c>
      <c r="E86" s="647">
        <v>55</v>
      </c>
      <c r="F86" s="837">
        <f t="shared" si="4"/>
        <v>41.984732824427482</v>
      </c>
      <c r="G86" s="648"/>
      <c r="H86" s="647">
        <v>76</v>
      </c>
      <c r="I86" s="837">
        <f t="shared" si="7"/>
        <v>58.015267175572518</v>
      </c>
    </row>
    <row r="87" spans="1:9" ht="12.95" customHeight="1">
      <c r="A87" s="42" t="s">
        <v>79</v>
      </c>
      <c r="B87" s="449">
        <f t="shared" si="5"/>
        <v>181</v>
      </c>
      <c r="C87" s="454">
        <f t="shared" si="6"/>
        <v>0.81711886596541916</v>
      </c>
      <c r="E87" s="647">
        <v>148</v>
      </c>
      <c r="F87" s="837">
        <f t="shared" si="4"/>
        <v>81.767955801104975</v>
      </c>
      <c r="G87" s="648"/>
      <c r="H87" s="647">
        <v>33</v>
      </c>
      <c r="I87" s="837">
        <f t="shared" si="7"/>
        <v>18.232044198895029</v>
      </c>
    </row>
    <row r="88" spans="1:9" ht="12.95" customHeight="1">
      <c r="A88" s="42" t="s">
        <v>77</v>
      </c>
      <c r="B88" s="449">
        <f t="shared" si="5"/>
        <v>285</v>
      </c>
      <c r="C88" s="454">
        <f t="shared" si="6"/>
        <v>1.2866236287300798</v>
      </c>
      <c r="E88" s="647">
        <v>156</v>
      </c>
      <c r="F88" s="837">
        <f t="shared" si="4"/>
        <v>54.736842105263165</v>
      </c>
      <c r="G88" s="648"/>
      <c r="H88" s="647">
        <v>129</v>
      </c>
      <c r="I88" s="837">
        <f t="shared" si="7"/>
        <v>45.263157894736842</v>
      </c>
    </row>
    <row r="89" spans="1:9" ht="12.95" customHeight="1">
      <c r="A89" s="42" t="s">
        <v>81</v>
      </c>
      <c r="B89" s="449">
        <f t="shared" si="5"/>
        <v>301</v>
      </c>
      <c r="C89" s="454">
        <f t="shared" si="6"/>
        <v>1.3588551306938739</v>
      </c>
      <c r="E89" s="647">
        <v>175</v>
      </c>
      <c r="F89" s="837">
        <f t="shared" si="4"/>
        <v>58.139534883720934</v>
      </c>
      <c r="G89" s="648"/>
      <c r="H89" s="647">
        <v>126</v>
      </c>
      <c r="I89" s="837">
        <f t="shared" si="7"/>
        <v>41.860465116279073</v>
      </c>
    </row>
    <row r="90" spans="1:9" ht="12.95" customHeight="1">
      <c r="A90" s="440" t="s">
        <v>1152</v>
      </c>
      <c r="B90" s="449">
        <f t="shared" si="5"/>
        <v>234</v>
      </c>
      <c r="C90" s="454">
        <f t="shared" si="6"/>
        <v>1.0563857162204866</v>
      </c>
      <c r="E90" s="647">
        <v>164</v>
      </c>
      <c r="F90" s="837">
        <f t="shared" si="4"/>
        <v>70.085470085470078</v>
      </c>
      <c r="G90" s="648"/>
      <c r="H90" s="647">
        <v>70</v>
      </c>
      <c r="I90" s="837">
        <f t="shared" si="7"/>
        <v>29.914529914529915</v>
      </c>
    </row>
    <row r="91" spans="1:9" ht="12.95" customHeight="1">
      <c r="A91" s="42" t="s">
        <v>339</v>
      </c>
      <c r="B91" s="449">
        <f t="shared" si="5"/>
        <v>278</v>
      </c>
      <c r="C91" s="454">
        <f t="shared" si="6"/>
        <v>1.25502234662092</v>
      </c>
      <c r="E91" s="647">
        <v>238</v>
      </c>
      <c r="F91" s="837">
        <f t="shared" si="4"/>
        <v>85.611510791366911</v>
      </c>
      <c r="G91" s="648"/>
      <c r="H91" s="647">
        <v>40</v>
      </c>
      <c r="I91" s="837">
        <f t="shared" si="7"/>
        <v>14.388489208633093</v>
      </c>
    </row>
    <row r="92" spans="1:9" ht="7.5" customHeight="1">
      <c r="A92" s="42"/>
      <c r="E92" s="434"/>
      <c r="F92" s="837" t="str">
        <f t="shared" si="4"/>
        <v/>
      </c>
      <c r="G92" s="809"/>
      <c r="H92" s="434"/>
    </row>
    <row r="93" spans="1:9" ht="12.95" customHeight="1">
      <c r="A93" s="434" t="s">
        <v>443</v>
      </c>
      <c r="B93" s="449">
        <f t="shared" si="5"/>
        <v>265</v>
      </c>
      <c r="C93" s="454">
        <f t="shared" si="6"/>
        <v>1.1963342512753374</v>
      </c>
      <c r="E93" s="647">
        <v>115</v>
      </c>
      <c r="F93" s="837">
        <f t="shared" si="4"/>
        <v>43.39622641509434</v>
      </c>
      <c r="G93" s="648"/>
      <c r="H93" s="647">
        <v>150</v>
      </c>
      <c r="I93" s="837">
        <f t="shared" si="7"/>
        <v>56.60377358490566</v>
      </c>
    </row>
    <row r="94" spans="1:9" ht="12.95" customHeight="1">
      <c r="A94" s="434" t="s">
        <v>920</v>
      </c>
      <c r="B94" s="449">
        <f t="shared" si="5"/>
        <v>385</v>
      </c>
      <c r="C94" s="454">
        <f t="shared" si="6"/>
        <v>1.7380705160037919</v>
      </c>
      <c r="E94" s="647">
        <v>226</v>
      </c>
      <c r="F94" s="837">
        <f t="shared" si="4"/>
        <v>58.701298701298697</v>
      </c>
      <c r="G94" s="648"/>
      <c r="H94" s="647">
        <v>159</v>
      </c>
      <c r="I94" s="837">
        <f t="shared" si="7"/>
        <v>41.298701298701303</v>
      </c>
    </row>
    <row r="95" spans="1:9" ht="6" customHeight="1">
      <c r="A95" s="42"/>
      <c r="B95" s="449" t="str">
        <f t="shared" si="5"/>
        <v/>
      </c>
      <c r="C95" s="454" t="str">
        <f t="shared" si="6"/>
        <v/>
      </c>
      <c r="F95" s="837" t="str">
        <f t="shared" si="4"/>
        <v/>
      </c>
      <c r="I95" s="837" t="str">
        <f t="shared" si="7"/>
        <v/>
      </c>
    </row>
    <row r="96" spans="1:9">
      <c r="A96" s="63" t="s">
        <v>1701</v>
      </c>
      <c r="B96" s="449">
        <f t="shared" si="5"/>
        <v>7572</v>
      </c>
      <c r="C96" s="454">
        <f t="shared" si="6"/>
        <v>34.183558304365491</v>
      </c>
      <c r="E96" s="836">
        <f>SUM(E97:E101)</f>
        <v>3375</v>
      </c>
      <c r="F96" s="837">
        <f t="shared" si="4"/>
        <v>44.572107765451662</v>
      </c>
      <c r="H96" s="836">
        <f>SUM(H97:H101)</f>
        <v>4197</v>
      </c>
      <c r="I96" s="837">
        <f t="shared" si="7"/>
        <v>55.427892234548338</v>
      </c>
    </row>
    <row r="97" spans="1:11" ht="12.95" customHeight="1">
      <c r="A97" s="42" t="s">
        <v>347</v>
      </c>
      <c r="B97" s="449">
        <f t="shared" si="5"/>
        <v>2429</v>
      </c>
      <c r="C97" s="454">
        <f t="shared" si="6"/>
        <v>10.965644891878471</v>
      </c>
      <c r="E97" s="647">
        <v>923</v>
      </c>
      <c r="F97" s="837">
        <f t="shared" si="4"/>
        <v>37.999176615891308</v>
      </c>
      <c r="G97" s="648"/>
      <c r="H97" s="647">
        <v>1506</v>
      </c>
      <c r="I97" s="837">
        <f t="shared" si="7"/>
        <v>62.000823384108685</v>
      </c>
    </row>
    <row r="98" spans="1:11" ht="12.95" customHeight="1">
      <c r="A98" s="42" t="s">
        <v>348</v>
      </c>
      <c r="B98" s="449">
        <f t="shared" si="5"/>
        <v>1544</v>
      </c>
      <c r="C98" s="454">
        <f t="shared" si="6"/>
        <v>6.9703399395061174</v>
      </c>
      <c r="E98" s="647">
        <v>781</v>
      </c>
      <c r="F98" s="837">
        <f t="shared" si="4"/>
        <v>50.582901554404145</v>
      </c>
      <c r="G98" s="648"/>
      <c r="H98" s="647">
        <v>763</v>
      </c>
      <c r="I98" s="837">
        <f t="shared" si="7"/>
        <v>49.417098445595855</v>
      </c>
    </row>
    <row r="99" spans="1:11" ht="12.95" customHeight="1">
      <c r="A99" s="42" t="s">
        <v>349</v>
      </c>
      <c r="B99" s="449">
        <f t="shared" si="5"/>
        <v>1520</v>
      </c>
      <c r="C99" s="454">
        <f t="shared" si="6"/>
        <v>6.861992686560427</v>
      </c>
      <c r="E99" s="647">
        <v>667</v>
      </c>
      <c r="F99" s="837">
        <f t="shared" si="4"/>
        <v>43.881578947368425</v>
      </c>
      <c r="G99" s="648"/>
      <c r="H99" s="647">
        <v>853</v>
      </c>
      <c r="I99" s="837">
        <f t="shared" si="7"/>
        <v>56.118421052631582</v>
      </c>
    </row>
    <row r="100" spans="1:11" ht="12.95" customHeight="1">
      <c r="A100" s="42" t="s">
        <v>378</v>
      </c>
      <c r="B100" s="449">
        <f t="shared" si="5"/>
        <v>1139</v>
      </c>
      <c r="C100" s="454">
        <f t="shared" si="6"/>
        <v>5.1419800460475829</v>
      </c>
      <c r="E100" s="647">
        <v>483</v>
      </c>
      <c r="F100" s="837">
        <f t="shared" si="4"/>
        <v>42.405618964003509</v>
      </c>
      <c r="G100" s="648"/>
      <c r="H100" s="647">
        <v>656</v>
      </c>
      <c r="I100" s="837">
        <f t="shared" si="7"/>
        <v>57.594381035996491</v>
      </c>
    </row>
    <row r="101" spans="1:11" ht="12.95" customHeight="1">
      <c r="A101" s="42" t="s">
        <v>351</v>
      </c>
      <c r="B101" s="449">
        <f t="shared" si="5"/>
        <v>940</v>
      </c>
      <c r="C101" s="454">
        <f t="shared" si="6"/>
        <v>4.2436007403728953</v>
      </c>
      <c r="E101" s="647">
        <v>521</v>
      </c>
      <c r="F101" s="837">
        <f t="shared" si="4"/>
        <v>55.425531914893625</v>
      </c>
      <c r="G101" s="648"/>
      <c r="H101" s="647">
        <v>419</v>
      </c>
      <c r="I101" s="837">
        <f t="shared" si="7"/>
        <v>44.574468085106382</v>
      </c>
    </row>
    <row r="102" spans="1:11" ht="9.9499999999999993" customHeight="1" thickBot="1">
      <c r="A102" s="447"/>
      <c r="B102" s="804"/>
      <c r="C102" s="804"/>
      <c r="D102" s="447"/>
      <c r="E102" s="1024"/>
      <c r="F102" s="1024"/>
      <c r="G102" s="447"/>
      <c r="H102" s="1024"/>
      <c r="I102" s="1024"/>
      <c r="J102" s="447"/>
      <c r="K102" s="442"/>
    </row>
    <row r="103" spans="1:11" ht="9.9499999999999993" customHeight="1">
      <c r="A103" s="442"/>
      <c r="B103" s="450"/>
      <c r="C103" s="450"/>
      <c r="D103" s="442"/>
      <c r="E103" s="1025"/>
      <c r="F103" s="1025"/>
      <c r="G103" s="442"/>
      <c r="H103" s="1025"/>
      <c r="I103" s="1025"/>
      <c r="J103" s="442"/>
      <c r="K103" s="442"/>
    </row>
    <row r="104" spans="1:11" ht="12" customHeight="1">
      <c r="A104" s="42" t="s">
        <v>1702</v>
      </c>
      <c r="B104" s="450"/>
      <c r="C104" s="450"/>
      <c r="D104" s="442"/>
      <c r="E104" s="1025"/>
      <c r="F104" s="1025"/>
      <c r="G104" s="442"/>
      <c r="H104" s="1025"/>
      <c r="I104" s="1025"/>
      <c r="J104" s="442"/>
      <c r="K104" s="442"/>
    </row>
    <row r="105" spans="1:11">
      <c r="A105" s="434" t="s">
        <v>1703</v>
      </c>
    </row>
    <row r="106" spans="1:11" ht="9.9499999999999993" customHeight="1"/>
    <row r="107" spans="1:11">
      <c r="A107" s="434" t="s">
        <v>1704</v>
      </c>
    </row>
    <row r="108" spans="1:11">
      <c r="A108" s="434" t="s">
        <v>1705</v>
      </c>
    </row>
  </sheetData>
  <mergeCells count="3">
    <mergeCell ref="B7:C7"/>
    <mergeCell ref="E7:F7"/>
    <mergeCell ref="H7:I7"/>
  </mergeCells>
  <printOptions horizontalCentered="1" verticalCentered="1"/>
  <pageMargins left="0" right="0" top="0" bottom="0" header="0.31496062992125984" footer="0.31496062992125984"/>
  <pageSetup paperSize="9" scale="60" orientation="portrait" r:id="rId1"/>
  <drawing r:id="rId2"/>
</worksheet>
</file>

<file path=xl/worksheets/sheet101.xml><?xml version="1.0" encoding="utf-8"?>
<worksheet xmlns="http://schemas.openxmlformats.org/spreadsheetml/2006/main" xmlns:r="http://schemas.openxmlformats.org/officeDocument/2006/relationships">
  <dimension ref="A1:J59"/>
  <sheetViews>
    <sheetView workbookViewId="0">
      <selection activeCell="C65" sqref="C65"/>
    </sheetView>
  </sheetViews>
  <sheetFormatPr baseColWidth="10" defaultColWidth="9.140625" defaultRowHeight="12.75"/>
  <cols>
    <col min="1" max="1" width="40.42578125" style="434" customWidth="1"/>
    <col min="2" max="2" width="7.5703125" style="449" customWidth="1"/>
    <col min="3" max="3" width="7.42578125" style="436" customWidth="1"/>
    <col min="4" max="4" width="3.85546875" style="435" customWidth="1"/>
    <col min="5" max="5" width="6.28515625" style="836" customWidth="1"/>
    <col min="6" max="6" width="7.7109375" style="436" customWidth="1"/>
    <col min="7" max="7" width="2.7109375" style="435" customWidth="1"/>
    <col min="8" max="8" width="4.85546875" style="836" customWidth="1"/>
    <col min="9" max="9" width="7.28515625" style="436" customWidth="1"/>
    <col min="10" max="10" width="2.7109375" style="434" customWidth="1"/>
    <col min="11" max="256" width="9.140625" style="434"/>
    <col min="257" max="257" width="37.7109375" style="434" customWidth="1"/>
    <col min="258" max="259" width="8.7109375" style="434" customWidth="1"/>
    <col min="260" max="260" width="3.85546875" style="434" customWidth="1"/>
    <col min="261" max="261" width="10.140625" style="434" customWidth="1"/>
    <col min="262" max="262" width="9.28515625" style="434" customWidth="1"/>
    <col min="263" max="263" width="2.7109375" style="434" customWidth="1"/>
    <col min="264" max="265" width="8.7109375" style="434" customWidth="1"/>
    <col min="266" max="266" width="2.7109375" style="434" customWidth="1"/>
    <col min="267" max="512" width="9.140625" style="434"/>
    <col min="513" max="513" width="37.7109375" style="434" customWidth="1"/>
    <col min="514" max="515" width="8.7109375" style="434" customWidth="1"/>
    <col min="516" max="516" width="3.85546875" style="434" customWidth="1"/>
    <col min="517" max="517" width="10.140625" style="434" customWidth="1"/>
    <col min="518" max="518" width="9.28515625" style="434" customWidth="1"/>
    <col min="519" max="519" width="2.7109375" style="434" customWidth="1"/>
    <col min="520" max="521" width="8.7109375" style="434" customWidth="1"/>
    <col min="522" max="522" width="2.7109375" style="434" customWidth="1"/>
    <col min="523" max="768" width="9.140625" style="434"/>
    <col min="769" max="769" width="37.7109375" style="434" customWidth="1"/>
    <col min="770" max="771" width="8.7109375" style="434" customWidth="1"/>
    <col min="772" max="772" width="3.85546875" style="434" customWidth="1"/>
    <col min="773" max="773" width="10.140625" style="434" customWidth="1"/>
    <col min="774" max="774" width="9.28515625" style="434" customWidth="1"/>
    <col min="775" max="775" width="2.7109375" style="434" customWidth="1"/>
    <col min="776" max="777" width="8.7109375" style="434" customWidth="1"/>
    <col min="778" max="778" width="2.7109375" style="434" customWidth="1"/>
    <col min="779" max="1024" width="9.140625" style="434"/>
    <col min="1025" max="1025" width="37.7109375" style="434" customWidth="1"/>
    <col min="1026" max="1027" width="8.7109375" style="434" customWidth="1"/>
    <col min="1028" max="1028" width="3.85546875" style="434" customWidth="1"/>
    <col min="1029" max="1029" width="10.140625" style="434" customWidth="1"/>
    <col min="1030" max="1030" width="9.28515625" style="434" customWidth="1"/>
    <col min="1031" max="1031" width="2.7109375" style="434" customWidth="1"/>
    <col min="1032" max="1033" width="8.7109375" style="434" customWidth="1"/>
    <col min="1034" max="1034" width="2.7109375" style="434" customWidth="1"/>
    <col min="1035" max="1280" width="9.140625" style="434"/>
    <col min="1281" max="1281" width="37.7109375" style="434" customWidth="1"/>
    <col min="1282" max="1283" width="8.7109375" style="434" customWidth="1"/>
    <col min="1284" max="1284" width="3.85546875" style="434" customWidth="1"/>
    <col min="1285" max="1285" width="10.140625" style="434" customWidth="1"/>
    <col min="1286" max="1286" width="9.28515625" style="434" customWidth="1"/>
    <col min="1287" max="1287" width="2.7109375" style="434" customWidth="1"/>
    <col min="1288" max="1289" width="8.7109375" style="434" customWidth="1"/>
    <col min="1290" max="1290" width="2.7109375" style="434" customWidth="1"/>
    <col min="1291" max="1536" width="9.140625" style="434"/>
    <col min="1537" max="1537" width="37.7109375" style="434" customWidth="1"/>
    <col min="1538" max="1539" width="8.7109375" style="434" customWidth="1"/>
    <col min="1540" max="1540" width="3.85546875" style="434" customWidth="1"/>
    <col min="1541" max="1541" width="10.140625" style="434" customWidth="1"/>
    <col min="1542" max="1542" width="9.28515625" style="434" customWidth="1"/>
    <col min="1543" max="1543" width="2.7109375" style="434" customWidth="1"/>
    <col min="1544" max="1545" width="8.7109375" style="434" customWidth="1"/>
    <col min="1546" max="1546" width="2.7109375" style="434" customWidth="1"/>
    <col min="1547" max="1792" width="9.140625" style="434"/>
    <col min="1793" max="1793" width="37.7109375" style="434" customWidth="1"/>
    <col min="1794" max="1795" width="8.7109375" style="434" customWidth="1"/>
    <col min="1796" max="1796" width="3.85546875" style="434" customWidth="1"/>
    <col min="1797" max="1797" width="10.140625" style="434" customWidth="1"/>
    <col min="1798" max="1798" width="9.28515625" style="434" customWidth="1"/>
    <col min="1799" max="1799" width="2.7109375" style="434" customWidth="1"/>
    <col min="1800" max="1801" width="8.7109375" style="434" customWidth="1"/>
    <col min="1802" max="1802" width="2.7109375" style="434" customWidth="1"/>
    <col min="1803" max="2048" width="9.140625" style="434"/>
    <col min="2049" max="2049" width="37.7109375" style="434" customWidth="1"/>
    <col min="2050" max="2051" width="8.7109375" style="434" customWidth="1"/>
    <col min="2052" max="2052" width="3.85546875" style="434" customWidth="1"/>
    <col min="2053" max="2053" width="10.140625" style="434" customWidth="1"/>
    <col min="2054" max="2054" width="9.28515625" style="434" customWidth="1"/>
    <col min="2055" max="2055" width="2.7109375" style="434" customWidth="1"/>
    <col min="2056" max="2057" width="8.7109375" style="434" customWidth="1"/>
    <col min="2058" max="2058" width="2.7109375" style="434" customWidth="1"/>
    <col min="2059" max="2304" width="9.140625" style="434"/>
    <col min="2305" max="2305" width="37.7109375" style="434" customWidth="1"/>
    <col min="2306" max="2307" width="8.7109375" style="434" customWidth="1"/>
    <col min="2308" max="2308" width="3.85546875" style="434" customWidth="1"/>
    <col min="2309" max="2309" width="10.140625" style="434" customWidth="1"/>
    <col min="2310" max="2310" width="9.28515625" style="434" customWidth="1"/>
    <col min="2311" max="2311" width="2.7109375" style="434" customWidth="1"/>
    <col min="2312" max="2313" width="8.7109375" style="434" customWidth="1"/>
    <col min="2314" max="2314" width="2.7109375" style="434" customWidth="1"/>
    <col min="2315" max="2560" width="9.140625" style="434"/>
    <col min="2561" max="2561" width="37.7109375" style="434" customWidth="1"/>
    <col min="2562" max="2563" width="8.7109375" style="434" customWidth="1"/>
    <col min="2564" max="2564" width="3.85546875" style="434" customWidth="1"/>
    <col min="2565" max="2565" width="10.140625" style="434" customWidth="1"/>
    <col min="2566" max="2566" width="9.28515625" style="434" customWidth="1"/>
    <col min="2567" max="2567" width="2.7109375" style="434" customWidth="1"/>
    <col min="2568" max="2569" width="8.7109375" style="434" customWidth="1"/>
    <col min="2570" max="2570" width="2.7109375" style="434" customWidth="1"/>
    <col min="2571" max="2816" width="9.140625" style="434"/>
    <col min="2817" max="2817" width="37.7109375" style="434" customWidth="1"/>
    <col min="2818" max="2819" width="8.7109375" style="434" customWidth="1"/>
    <col min="2820" max="2820" width="3.85546875" style="434" customWidth="1"/>
    <col min="2821" max="2821" width="10.140625" style="434" customWidth="1"/>
    <col min="2822" max="2822" width="9.28515625" style="434" customWidth="1"/>
    <col min="2823" max="2823" width="2.7109375" style="434" customWidth="1"/>
    <col min="2824" max="2825" width="8.7109375" style="434" customWidth="1"/>
    <col min="2826" max="2826" width="2.7109375" style="434" customWidth="1"/>
    <col min="2827" max="3072" width="9.140625" style="434"/>
    <col min="3073" max="3073" width="37.7109375" style="434" customWidth="1"/>
    <col min="3074" max="3075" width="8.7109375" style="434" customWidth="1"/>
    <col min="3076" max="3076" width="3.85546875" style="434" customWidth="1"/>
    <col min="3077" max="3077" width="10.140625" style="434" customWidth="1"/>
    <col min="3078" max="3078" width="9.28515625" style="434" customWidth="1"/>
    <col min="3079" max="3079" width="2.7109375" style="434" customWidth="1"/>
    <col min="3080" max="3081" width="8.7109375" style="434" customWidth="1"/>
    <col min="3082" max="3082" width="2.7109375" style="434" customWidth="1"/>
    <col min="3083" max="3328" width="9.140625" style="434"/>
    <col min="3329" max="3329" width="37.7109375" style="434" customWidth="1"/>
    <col min="3330" max="3331" width="8.7109375" style="434" customWidth="1"/>
    <col min="3332" max="3332" width="3.85546875" style="434" customWidth="1"/>
    <col min="3333" max="3333" width="10.140625" style="434" customWidth="1"/>
    <col min="3334" max="3334" width="9.28515625" style="434" customWidth="1"/>
    <col min="3335" max="3335" width="2.7109375" style="434" customWidth="1"/>
    <col min="3336" max="3337" width="8.7109375" style="434" customWidth="1"/>
    <col min="3338" max="3338" width="2.7109375" style="434" customWidth="1"/>
    <col min="3339" max="3584" width="9.140625" style="434"/>
    <col min="3585" max="3585" width="37.7109375" style="434" customWidth="1"/>
    <col min="3586" max="3587" width="8.7109375" style="434" customWidth="1"/>
    <col min="3588" max="3588" width="3.85546875" style="434" customWidth="1"/>
    <col min="3589" max="3589" width="10.140625" style="434" customWidth="1"/>
    <col min="3590" max="3590" width="9.28515625" style="434" customWidth="1"/>
    <col min="3591" max="3591" width="2.7109375" style="434" customWidth="1"/>
    <col min="3592" max="3593" width="8.7109375" style="434" customWidth="1"/>
    <col min="3594" max="3594" width="2.7109375" style="434" customWidth="1"/>
    <col min="3595" max="3840" width="9.140625" style="434"/>
    <col min="3841" max="3841" width="37.7109375" style="434" customWidth="1"/>
    <col min="3842" max="3843" width="8.7109375" style="434" customWidth="1"/>
    <col min="3844" max="3844" width="3.85546875" style="434" customWidth="1"/>
    <col min="3845" max="3845" width="10.140625" style="434" customWidth="1"/>
    <col min="3846" max="3846" width="9.28515625" style="434" customWidth="1"/>
    <col min="3847" max="3847" width="2.7109375" style="434" customWidth="1"/>
    <col min="3848" max="3849" width="8.7109375" style="434" customWidth="1"/>
    <col min="3850" max="3850" width="2.7109375" style="434" customWidth="1"/>
    <col min="3851" max="4096" width="9.140625" style="434"/>
    <col min="4097" max="4097" width="37.7109375" style="434" customWidth="1"/>
    <col min="4098" max="4099" width="8.7109375" style="434" customWidth="1"/>
    <col min="4100" max="4100" width="3.85546875" style="434" customWidth="1"/>
    <col min="4101" max="4101" width="10.140625" style="434" customWidth="1"/>
    <col min="4102" max="4102" width="9.28515625" style="434" customWidth="1"/>
    <col min="4103" max="4103" width="2.7109375" style="434" customWidth="1"/>
    <col min="4104" max="4105" width="8.7109375" style="434" customWidth="1"/>
    <col min="4106" max="4106" width="2.7109375" style="434" customWidth="1"/>
    <col min="4107" max="4352" width="9.140625" style="434"/>
    <col min="4353" max="4353" width="37.7109375" style="434" customWidth="1"/>
    <col min="4354" max="4355" width="8.7109375" style="434" customWidth="1"/>
    <col min="4356" max="4356" width="3.85546875" style="434" customWidth="1"/>
    <col min="4357" max="4357" width="10.140625" style="434" customWidth="1"/>
    <col min="4358" max="4358" width="9.28515625" style="434" customWidth="1"/>
    <col min="4359" max="4359" width="2.7109375" style="434" customWidth="1"/>
    <col min="4360" max="4361" width="8.7109375" style="434" customWidth="1"/>
    <col min="4362" max="4362" width="2.7109375" style="434" customWidth="1"/>
    <col min="4363" max="4608" width="9.140625" style="434"/>
    <col min="4609" max="4609" width="37.7109375" style="434" customWidth="1"/>
    <col min="4610" max="4611" width="8.7109375" style="434" customWidth="1"/>
    <col min="4612" max="4612" width="3.85546875" style="434" customWidth="1"/>
    <col min="4613" max="4613" width="10.140625" style="434" customWidth="1"/>
    <col min="4614" max="4614" width="9.28515625" style="434" customWidth="1"/>
    <col min="4615" max="4615" width="2.7109375" style="434" customWidth="1"/>
    <col min="4616" max="4617" width="8.7109375" style="434" customWidth="1"/>
    <col min="4618" max="4618" width="2.7109375" style="434" customWidth="1"/>
    <col min="4619" max="4864" width="9.140625" style="434"/>
    <col min="4865" max="4865" width="37.7109375" style="434" customWidth="1"/>
    <col min="4866" max="4867" width="8.7109375" style="434" customWidth="1"/>
    <col min="4868" max="4868" width="3.85546875" style="434" customWidth="1"/>
    <col min="4869" max="4869" width="10.140625" style="434" customWidth="1"/>
    <col min="4870" max="4870" width="9.28515625" style="434" customWidth="1"/>
    <col min="4871" max="4871" width="2.7109375" style="434" customWidth="1"/>
    <col min="4872" max="4873" width="8.7109375" style="434" customWidth="1"/>
    <col min="4874" max="4874" width="2.7109375" style="434" customWidth="1"/>
    <col min="4875" max="5120" width="9.140625" style="434"/>
    <col min="5121" max="5121" width="37.7109375" style="434" customWidth="1"/>
    <col min="5122" max="5123" width="8.7109375" style="434" customWidth="1"/>
    <col min="5124" max="5124" width="3.85546875" style="434" customWidth="1"/>
    <col min="5125" max="5125" width="10.140625" style="434" customWidth="1"/>
    <col min="5126" max="5126" width="9.28515625" style="434" customWidth="1"/>
    <col min="5127" max="5127" width="2.7109375" style="434" customWidth="1"/>
    <col min="5128" max="5129" width="8.7109375" style="434" customWidth="1"/>
    <col min="5130" max="5130" width="2.7109375" style="434" customWidth="1"/>
    <col min="5131" max="5376" width="9.140625" style="434"/>
    <col min="5377" max="5377" width="37.7109375" style="434" customWidth="1"/>
    <col min="5378" max="5379" width="8.7109375" style="434" customWidth="1"/>
    <col min="5380" max="5380" width="3.85546875" style="434" customWidth="1"/>
    <col min="5381" max="5381" width="10.140625" style="434" customWidth="1"/>
    <col min="5382" max="5382" width="9.28515625" style="434" customWidth="1"/>
    <col min="5383" max="5383" width="2.7109375" style="434" customWidth="1"/>
    <col min="5384" max="5385" width="8.7109375" style="434" customWidth="1"/>
    <col min="5386" max="5386" width="2.7109375" style="434" customWidth="1"/>
    <col min="5387" max="5632" width="9.140625" style="434"/>
    <col min="5633" max="5633" width="37.7109375" style="434" customWidth="1"/>
    <col min="5634" max="5635" width="8.7109375" style="434" customWidth="1"/>
    <col min="5636" max="5636" width="3.85546875" style="434" customWidth="1"/>
    <col min="5637" max="5637" width="10.140625" style="434" customWidth="1"/>
    <col min="5638" max="5638" width="9.28515625" style="434" customWidth="1"/>
    <col min="5639" max="5639" width="2.7109375" style="434" customWidth="1"/>
    <col min="5640" max="5641" width="8.7109375" style="434" customWidth="1"/>
    <col min="5642" max="5642" width="2.7109375" style="434" customWidth="1"/>
    <col min="5643" max="5888" width="9.140625" style="434"/>
    <col min="5889" max="5889" width="37.7109375" style="434" customWidth="1"/>
    <col min="5890" max="5891" width="8.7109375" style="434" customWidth="1"/>
    <col min="5892" max="5892" width="3.85546875" style="434" customWidth="1"/>
    <col min="5893" max="5893" width="10.140625" style="434" customWidth="1"/>
    <col min="5894" max="5894" width="9.28515625" style="434" customWidth="1"/>
    <col min="5895" max="5895" width="2.7109375" style="434" customWidth="1"/>
    <col min="5896" max="5897" width="8.7109375" style="434" customWidth="1"/>
    <col min="5898" max="5898" width="2.7109375" style="434" customWidth="1"/>
    <col min="5899" max="6144" width="9.140625" style="434"/>
    <col min="6145" max="6145" width="37.7109375" style="434" customWidth="1"/>
    <col min="6146" max="6147" width="8.7109375" style="434" customWidth="1"/>
    <col min="6148" max="6148" width="3.85546875" style="434" customWidth="1"/>
    <col min="6149" max="6149" width="10.140625" style="434" customWidth="1"/>
    <col min="6150" max="6150" width="9.28515625" style="434" customWidth="1"/>
    <col min="6151" max="6151" width="2.7109375" style="434" customWidth="1"/>
    <col min="6152" max="6153" width="8.7109375" style="434" customWidth="1"/>
    <col min="6154" max="6154" width="2.7109375" style="434" customWidth="1"/>
    <col min="6155" max="6400" width="9.140625" style="434"/>
    <col min="6401" max="6401" width="37.7109375" style="434" customWidth="1"/>
    <col min="6402" max="6403" width="8.7109375" style="434" customWidth="1"/>
    <col min="6404" max="6404" width="3.85546875" style="434" customWidth="1"/>
    <col min="6405" max="6405" width="10.140625" style="434" customWidth="1"/>
    <col min="6406" max="6406" width="9.28515625" style="434" customWidth="1"/>
    <col min="6407" max="6407" width="2.7109375" style="434" customWidth="1"/>
    <col min="6408" max="6409" width="8.7109375" style="434" customWidth="1"/>
    <col min="6410" max="6410" width="2.7109375" style="434" customWidth="1"/>
    <col min="6411" max="6656" width="9.140625" style="434"/>
    <col min="6657" max="6657" width="37.7109375" style="434" customWidth="1"/>
    <col min="6658" max="6659" width="8.7109375" style="434" customWidth="1"/>
    <col min="6660" max="6660" width="3.85546875" style="434" customWidth="1"/>
    <col min="6661" max="6661" width="10.140625" style="434" customWidth="1"/>
    <col min="6662" max="6662" width="9.28515625" style="434" customWidth="1"/>
    <col min="6663" max="6663" width="2.7109375" style="434" customWidth="1"/>
    <col min="6664" max="6665" width="8.7109375" style="434" customWidth="1"/>
    <col min="6666" max="6666" width="2.7109375" style="434" customWidth="1"/>
    <col min="6667" max="6912" width="9.140625" style="434"/>
    <col min="6913" max="6913" width="37.7109375" style="434" customWidth="1"/>
    <col min="6914" max="6915" width="8.7109375" style="434" customWidth="1"/>
    <col min="6916" max="6916" width="3.85546875" style="434" customWidth="1"/>
    <col min="6917" max="6917" width="10.140625" style="434" customWidth="1"/>
    <col min="6918" max="6918" width="9.28515625" style="434" customWidth="1"/>
    <col min="6919" max="6919" width="2.7109375" style="434" customWidth="1"/>
    <col min="6920" max="6921" width="8.7109375" style="434" customWidth="1"/>
    <col min="6922" max="6922" width="2.7109375" style="434" customWidth="1"/>
    <col min="6923" max="7168" width="9.140625" style="434"/>
    <col min="7169" max="7169" width="37.7109375" style="434" customWidth="1"/>
    <col min="7170" max="7171" width="8.7109375" style="434" customWidth="1"/>
    <col min="7172" max="7172" width="3.85546875" style="434" customWidth="1"/>
    <col min="7173" max="7173" width="10.140625" style="434" customWidth="1"/>
    <col min="7174" max="7174" width="9.28515625" style="434" customWidth="1"/>
    <col min="7175" max="7175" width="2.7109375" style="434" customWidth="1"/>
    <col min="7176" max="7177" width="8.7109375" style="434" customWidth="1"/>
    <col min="7178" max="7178" width="2.7109375" style="434" customWidth="1"/>
    <col min="7179" max="7424" width="9.140625" style="434"/>
    <col min="7425" max="7425" width="37.7109375" style="434" customWidth="1"/>
    <col min="7426" max="7427" width="8.7109375" style="434" customWidth="1"/>
    <col min="7428" max="7428" width="3.85546875" style="434" customWidth="1"/>
    <col min="7429" max="7429" width="10.140625" style="434" customWidth="1"/>
    <col min="7430" max="7430" width="9.28515625" style="434" customWidth="1"/>
    <col min="7431" max="7431" width="2.7109375" style="434" customWidth="1"/>
    <col min="7432" max="7433" width="8.7109375" style="434" customWidth="1"/>
    <col min="7434" max="7434" width="2.7109375" style="434" customWidth="1"/>
    <col min="7435" max="7680" width="9.140625" style="434"/>
    <col min="7681" max="7681" width="37.7109375" style="434" customWidth="1"/>
    <col min="7682" max="7683" width="8.7109375" style="434" customWidth="1"/>
    <col min="7684" max="7684" width="3.85546875" style="434" customWidth="1"/>
    <col min="7685" max="7685" width="10.140625" style="434" customWidth="1"/>
    <col min="7686" max="7686" width="9.28515625" style="434" customWidth="1"/>
    <col min="7687" max="7687" width="2.7109375" style="434" customWidth="1"/>
    <col min="7688" max="7689" width="8.7109375" style="434" customWidth="1"/>
    <col min="7690" max="7690" width="2.7109375" style="434" customWidth="1"/>
    <col min="7691" max="7936" width="9.140625" style="434"/>
    <col min="7937" max="7937" width="37.7109375" style="434" customWidth="1"/>
    <col min="7938" max="7939" width="8.7109375" style="434" customWidth="1"/>
    <col min="7940" max="7940" width="3.85546875" style="434" customWidth="1"/>
    <col min="7941" max="7941" width="10.140625" style="434" customWidth="1"/>
    <col min="7942" max="7942" width="9.28515625" style="434" customWidth="1"/>
    <col min="7943" max="7943" width="2.7109375" style="434" customWidth="1"/>
    <col min="7944" max="7945" width="8.7109375" style="434" customWidth="1"/>
    <col min="7946" max="7946" width="2.7109375" style="434" customWidth="1"/>
    <col min="7947" max="8192" width="9.140625" style="434"/>
    <col min="8193" max="8193" width="37.7109375" style="434" customWidth="1"/>
    <col min="8194" max="8195" width="8.7109375" style="434" customWidth="1"/>
    <col min="8196" max="8196" width="3.85546875" style="434" customWidth="1"/>
    <col min="8197" max="8197" width="10.140625" style="434" customWidth="1"/>
    <col min="8198" max="8198" width="9.28515625" style="434" customWidth="1"/>
    <col min="8199" max="8199" width="2.7109375" style="434" customWidth="1"/>
    <col min="8200" max="8201" width="8.7109375" style="434" customWidth="1"/>
    <col min="8202" max="8202" width="2.7109375" style="434" customWidth="1"/>
    <col min="8203" max="8448" width="9.140625" style="434"/>
    <col min="8449" max="8449" width="37.7109375" style="434" customWidth="1"/>
    <col min="8450" max="8451" width="8.7109375" style="434" customWidth="1"/>
    <col min="8452" max="8452" width="3.85546875" style="434" customWidth="1"/>
    <col min="8453" max="8453" width="10.140625" style="434" customWidth="1"/>
    <col min="8454" max="8454" width="9.28515625" style="434" customWidth="1"/>
    <col min="8455" max="8455" width="2.7109375" style="434" customWidth="1"/>
    <col min="8456" max="8457" width="8.7109375" style="434" customWidth="1"/>
    <col min="8458" max="8458" width="2.7109375" style="434" customWidth="1"/>
    <col min="8459" max="8704" width="9.140625" style="434"/>
    <col min="8705" max="8705" width="37.7109375" style="434" customWidth="1"/>
    <col min="8706" max="8707" width="8.7109375" style="434" customWidth="1"/>
    <col min="8708" max="8708" width="3.85546875" style="434" customWidth="1"/>
    <col min="8709" max="8709" width="10.140625" style="434" customWidth="1"/>
    <col min="8710" max="8710" width="9.28515625" style="434" customWidth="1"/>
    <col min="8711" max="8711" width="2.7109375" style="434" customWidth="1"/>
    <col min="8712" max="8713" width="8.7109375" style="434" customWidth="1"/>
    <col min="8714" max="8714" width="2.7109375" style="434" customWidth="1"/>
    <col min="8715" max="8960" width="9.140625" style="434"/>
    <col min="8961" max="8961" width="37.7109375" style="434" customWidth="1"/>
    <col min="8962" max="8963" width="8.7109375" style="434" customWidth="1"/>
    <col min="8964" max="8964" width="3.85546875" style="434" customWidth="1"/>
    <col min="8965" max="8965" width="10.140625" style="434" customWidth="1"/>
    <col min="8966" max="8966" width="9.28515625" style="434" customWidth="1"/>
    <col min="8967" max="8967" width="2.7109375" style="434" customWidth="1"/>
    <col min="8968" max="8969" width="8.7109375" style="434" customWidth="1"/>
    <col min="8970" max="8970" width="2.7109375" style="434" customWidth="1"/>
    <col min="8971" max="9216" width="9.140625" style="434"/>
    <col min="9217" max="9217" width="37.7109375" style="434" customWidth="1"/>
    <col min="9218" max="9219" width="8.7109375" style="434" customWidth="1"/>
    <col min="9220" max="9220" width="3.85546875" style="434" customWidth="1"/>
    <col min="9221" max="9221" width="10.140625" style="434" customWidth="1"/>
    <col min="9222" max="9222" width="9.28515625" style="434" customWidth="1"/>
    <col min="9223" max="9223" width="2.7109375" style="434" customWidth="1"/>
    <col min="9224" max="9225" width="8.7109375" style="434" customWidth="1"/>
    <col min="9226" max="9226" width="2.7109375" style="434" customWidth="1"/>
    <col min="9227" max="9472" width="9.140625" style="434"/>
    <col min="9473" max="9473" width="37.7109375" style="434" customWidth="1"/>
    <col min="9474" max="9475" width="8.7109375" style="434" customWidth="1"/>
    <col min="9476" max="9476" width="3.85546875" style="434" customWidth="1"/>
    <col min="9477" max="9477" width="10.140625" style="434" customWidth="1"/>
    <col min="9478" max="9478" width="9.28515625" style="434" customWidth="1"/>
    <col min="9479" max="9479" width="2.7109375" style="434" customWidth="1"/>
    <col min="9480" max="9481" width="8.7109375" style="434" customWidth="1"/>
    <col min="9482" max="9482" width="2.7109375" style="434" customWidth="1"/>
    <col min="9483" max="9728" width="9.140625" style="434"/>
    <col min="9729" max="9729" width="37.7109375" style="434" customWidth="1"/>
    <col min="9730" max="9731" width="8.7109375" style="434" customWidth="1"/>
    <col min="9732" max="9732" width="3.85546875" style="434" customWidth="1"/>
    <col min="9733" max="9733" width="10.140625" style="434" customWidth="1"/>
    <col min="9734" max="9734" width="9.28515625" style="434" customWidth="1"/>
    <col min="9735" max="9735" width="2.7109375" style="434" customWidth="1"/>
    <col min="9736" max="9737" width="8.7109375" style="434" customWidth="1"/>
    <col min="9738" max="9738" width="2.7109375" style="434" customWidth="1"/>
    <col min="9739" max="9984" width="9.140625" style="434"/>
    <col min="9985" max="9985" width="37.7109375" style="434" customWidth="1"/>
    <col min="9986" max="9987" width="8.7109375" style="434" customWidth="1"/>
    <col min="9988" max="9988" width="3.85546875" style="434" customWidth="1"/>
    <col min="9989" max="9989" width="10.140625" style="434" customWidth="1"/>
    <col min="9990" max="9990" width="9.28515625" style="434" customWidth="1"/>
    <col min="9991" max="9991" width="2.7109375" style="434" customWidth="1"/>
    <col min="9992" max="9993" width="8.7109375" style="434" customWidth="1"/>
    <col min="9994" max="9994" width="2.7109375" style="434" customWidth="1"/>
    <col min="9995" max="10240" width="9.140625" style="434"/>
    <col min="10241" max="10241" width="37.7109375" style="434" customWidth="1"/>
    <col min="10242" max="10243" width="8.7109375" style="434" customWidth="1"/>
    <col min="10244" max="10244" width="3.85546875" style="434" customWidth="1"/>
    <col min="10245" max="10245" width="10.140625" style="434" customWidth="1"/>
    <col min="10246" max="10246" width="9.28515625" style="434" customWidth="1"/>
    <col min="10247" max="10247" width="2.7109375" style="434" customWidth="1"/>
    <col min="10248" max="10249" width="8.7109375" style="434" customWidth="1"/>
    <col min="10250" max="10250" width="2.7109375" style="434" customWidth="1"/>
    <col min="10251" max="10496" width="9.140625" style="434"/>
    <col min="10497" max="10497" width="37.7109375" style="434" customWidth="1"/>
    <col min="10498" max="10499" width="8.7109375" style="434" customWidth="1"/>
    <col min="10500" max="10500" width="3.85546875" style="434" customWidth="1"/>
    <col min="10501" max="10501" width="10.140625" style="434" customWidth="1"/>
    <col min="10502" max="10502" width="9.28515625" style="434" customWidth="1"/>
    <col min="10503" max="10503" width="2.7109375" style="434" customWidth="1"/>
    <col min="10504" max="10505" width="8.7109375" style="434" customWidth="1"/>
    <col min="10506" max="10506" width="2.7109375" style="434" customWidth="1"/>
    <col min="10507" max="10752" width="9.140625" style="434"/>
    <col min="10753" max="10753" width="37.7109375" style="434" customWidth="1"/>
    <col min="10754" max="10755" width="8.7109375" style="434" customWidth="1"/>
    <col min="10756" max="10756" width="3.85546875" style="434" customWidth="1"/>
    <col min="10757" max="10757" width="10.140625" style="434" customWidth="1"/>
    <col min="10758" max="10758" width="9.28515625" style="434" customWidth="1"/>
    <col min="10759" max="10759" width="2.7109375" style="434" customWidth="1"/>
    <col min="10760" max="10761" width="8.7109375" style="434" customWidth="1"/>
    <col min="10762" max="10762" width="2.7109375" style="434" customWidth="1"/>
    <col min="10763" max="11008" width="9.140625" style="434"/>
    <col min="11009" max="11009" width="37.7109375" style="434" customWidth="1"/>
    <col min="11010" max="11011" width="8.7109375" style="434" customWidth="1"/>
    <col min="11012" max="11012" width="3.85546875" style="434" customWidth="1"/>
    <col min="11013" max="11013" width="10.140625" style="434" customWidth="1"/>
    <col min="11014" max="11014" width="9.28515625" style="434" customWidth="1"/>
    <col min="11015" max="11015" width="2.7109375" style="434" customWidth="1"/>
    <col min="11016" max="11017" width="8.7109375" style="434" customWidth="1"/>
    <col min="11018" max="11018" width="2.7109375" style="434" customWidth="1"/>
    <col min="11019" max="11264" width="9.140625" style="434"/>
    <col min="11265" max="11265" width="37.7109375" style="434" customWidth="1"/>
    <col min="11266" max="11267" width="8.7109375" style="434" customWidth="1"/>
    <col min="11268" max="11268" width="3.85546875" style="434" customWidth="1"/>
    <col min="11269" max="11269" width="10.140625" style="434" customWidth="1"/>
    <col min="11270" max="11270" width="9.28515625" style="434" customWidth="1"/>
    <col min="11271" max="11271" width="2.7109375" style="434" customWidth="1"/>
    <col min="11272" max="11273" width="8.7109375" style="434" customWidth="1"/>
    <col min="11274" max="11274" width="2.7109375" style="434" customWidth="1"/>
    <col min="11275" max="11520" width="9.140625" style="434"/>
    <col min="11521" max="11521" width="37.7109375" style="434" customWidth="1"/>
    <col min="11522" max="11523" width="8.7109375" style="434" customWidth="1"/>
    <col min="11524" max="11524" width="3.85546875" style="434" customWidth="1"/>
    <col min="11525" max="11525" width="10.140625" style="434" customWidth="1"/>
    <col min="11526" max="11526" width="9.28515625" style="434" customWidth="1"/>
    <col min="11527" max="11527" width="2.7109375" style="434" customWidth="1"/>
    <col min="11528" max="11529" width="8.7109375" style="434" customWidth="1"/>
    <col min="11530" max="11530" width="2.7109375" style="434" customWidth="1"/>
    <col min="11531" max="11776" width="9.140625" style="434"/>
    <col min="11777" max="11777" width="37.7109375" style="434" customWidth="1"/>
    <col min="11778" max="11779" width="8.7109375" style="434" customWidth="1"/>
    <col min="11780" max="11780" width="3.85546875" style="434" customWidth="1"/>
    <col min="11781" max="11781" width="10.140625" style="434" customWidth="1"/>
    <col min="11782" max="11782" width="9.28515625" style="434" customWidth="1"/>
    <col min="11783" max="11783" width="2.7109375" style="434" customWidth="1"/>
    <col min="11784" max="11785" width="8.7109375" style="434" customWidth="1"/>
    <col min="11786" max="11786" width="2.7109375" style="434" customWidth="1"/>
    <col min="11787" max="12032" width="9.140625" style="434"/>
    <col min="12033" max="12033" width="37.7109375" style="434" customWidth="1"/>
    <col min="12034" max="12035" width="8.7109375" style="434" customWidth="1"/>
    <col min="12036" max="12036" width="3.85546875" style="434" customWidth="1"/>
    <col min="12037" max="12037" width="10.140625" style="434" customWidth="1"/>
    <col min="12038" max="12038" width="9.28515625" style="434" customWidth="1"/>
    <col min="12039" max="12039" width="2.7109375" style="434" customWidth="1"/>
    <col min="12040" max="12041" width="8.7109375" style="434" customWidth="1"/>
    <col min="12042" max="12042" width="2.7109375" style="434" customWidth="1"/>
    <col min="12043" max="12288" width="9.140625" style="434"/>
    <col min="12289" max="12289" width="37.7109375" style="434" customWidth="1"/>
    <col min="12290" max="12291" width="8.7109375" style="434" customWidth="1"/>
    <col min="12292" max="12292" width="3.85546875" style="434" customWidth="1"/>
    <col min="12293" max="12293" width="10.140625" style="434" customWidth="1"/>
    <col min="12294" max="12294" width="9.28515625" style="434" customWidth="1"/>
    <col min="12295" max="12295" width="2.7109375" style="434" customWidth="1"/>
    <col min="12296" max="12297" width="8.7109375" style="434" customWidth="1"/>
    <col min="12298" max="12298" width="2.7109375" style="434" customWidth="1"/>
    <col min="12299" max="12544" width="9.140625" style="434"/>
    <col min="12545" max="12545" width="37.7109375" style="434" customWidth="1"/>
    <col min="12546" max="12547" width="8.7109375" style="434" customWidth="1"/>
    <col min="12548" max="12548" width="3.85546875" style="434" customWidth="1"/>
    <col min="12549" max="12549" width="10.140625" style="434" customWidth="1"/>
    <col min="12550" max="12550" width="9.28515625" style="434" customWidth="1"/>
    <col min="12551" max="12551" width="2.7109375" style="434" customWidth="1"/>
    <col min="12552" max="12553" width="8.7109375" style="434" customWidth="1"/>
    <col min="12554" max="12554" width="2.7109375" style="434" customWidth="1"/>
    <col min="12555" max="12800" width="9.140625" style="434"/>
    <col min="12801" max="12801" width="37.7109375" style="434" customWidth="1"/>
    <col min="12802" max="12803" width="8.7109375" style="434" customWidth="1"/>
    <col min="12804" max="12804" width="3.85546875" style="434" customWidth="1"/>
    <col min="12805" max="12805" width="10.140625" style="434" customWidth="1"/>
    <col min="12806" max="12806" width="9.28515625" style="434" customWidth="1"/>
    <col min="12807" max="12807" width="2.7109375" style="434" customWidth="1"/>
    <col min="12808" max="12809" width="8.7109375" style="434" customWidth="1"/>
    <col min="12810" max="12810" width="2.7109375" style="434" customWidth="1"/>
    <col min="12811" max="13056" width="9.140625" style="434"/>
    <col min="13057" max="13057" width="37.7109375" style="434" customWidth="1"/>
    <col min="13058" max="13059" width="8.7109375" style="434" customWidth="1"/>
    <col min="13060" max="13060" width="3.85546875" style="434" customWidth="1"/>
    <col min="13061" max="13061" width="10.140625" style="434" customWidth="1"/>
    <col min="13062" max="13062" width="9.28515625" style="434" customWidth="1"/>
    <col min="13063" max="13063" width="2.7109375" style="434" customWidth="1"/>
    <col min="13064" max="13065" width="8.7109375" style="434" customWidth="1"/>
    <col min="13066" max="13066" width="2.7109375" style="434" customWidth="1"/>
    <col min="13067" max="13312" width="9.140625" style="434"/>
    <col min="13313" max="13313" width="37.7109375" style="434" customWidth="1"/>
    <col min="13314" max="13315" width="8.7109375" style="434" customWidth="1"/>
    <col min="13316" max="13316" width="3.85546875" style="434" customWidth="1"/>
    <col min="13317" max="13317" width="10.140625" style="434" customWidth="1"/>
    <col min="13318" max="13318" width="9.28515625" style="434" customWidth="1"/>
    <col min="13319" max="13319" width="2.7109375" style="434" customWidth="1"/>
    <col min="13320" max="13321" width="8.7109375" style="434" customWidth="1"/>
    <col min="13322" max="13322" width="2.7109375" style="434" customWidth="1"/>
    <col min="13323" max="13568" width="9.140625" style="434"/>
    <col min="13569" max="13569" width="37.7109375" style="434" customWidth="1"/>
    <col min="13570" max="13571" width="8.7109375" style="434" customWidth="1"/>
    <col min="13572" max="13572" width="3.85546875" style="434" customWidth="1"/>
    <col min="13573" max="13573" width="10.140625" style="434" customWidth="1"/>
    <col min="13574" max="13574" width="9.28515625" style="434" customWidth="1"/>
    <col min="13575" max="13575" width="2.7109375" style="434" customWidth="1"/>
    <col min="13576" max="13577" width="8.7109375" style="434" customWidth="1"/>
    <col min="13578" max="13578" width="2.7109375" style="434" customWidth="1"/>
    <col min="13579" max="13824" width="9.140625" style="434"/>
    <col min="13825" max="13825" width="37.7109375" style="434" customWidth="1"/>
    <col min="13826" max="13827" width="8.7109375" style="434" customWidth="1"/>
    <col min="13828" max="13828" width="3.85546875" style="434" customWidth="1"/>
    <col min="13829" max="13829" width="10.140625" style="434" customWidth="1"/>
    <col min="13830" max="13830" width="9.28515625" style="434" customWidth="1"/>
    <col min="13831" max="13831" width="2.7109375" style="434" customWidth="1"/>
    <col min="13832" max="13833" width="8.7109375" style="434" customWidth="1"/>
    <col min="13834" max="13834" width="2.7109375" style="434" customWidth="1"/>
    <col min="13835" max="14080" width="9.140625" style="434"/>
    <col min="14081" max="14081" width="37.7109375" style="434" customWidth="1"/>
    <col min="14082" max="14083" width="8.7109375" style="434" customWidth="1"/>
    <col min="14084" max="14084" width="3.85546875" style="434" customWidth="1"/>
    <col min="14085" max="14085" width="10.140625" style="434" customWidth="1"/>
    <col min="14086" max="14086" width="9.28515625" style="434" customWidth="1"/>
    <col min="14087" max="14087" width="2.7109375" style="434" customWidth="1"/>
    <col min="14088" max="14089" width="8.7109375" style="434" customWidth="1"/>
    <col min="14090" max="14090" width="2.7109375" style="434" customWidth="1"/>
    <col min="14091" max="14336" width="9.140625" style="434"/>
    <col min="14337" max="14337" width="37.7109375" style="434" customWidth="1"/>
    <col min="14338" max="14339" width="8.7109375" style="434" customWidth="1"/>
    <col min="14340" max="14340" width="3.85546875" style="434" customWidth="1"/>
    <col min="14341" max="14341" width="10.140625" style="434" customWidth="1"/>
    <col min="14342" max="14342" width="9.28515625" style="434" customWidth="1"/>
    <col min="14343" max="14343" width="2.7109375" style="434" customWidth="1"/>
    <col min="14344" max="14345" width="8.7109375" style="434" customWidth="1"/>
    <col min="14346" max="14346" width="2.7109375" style="434" customWidth="1"/>
    <col min="14347" max="14592" width="9.140625" style="434"/>
    <col min="14593" max="14593" width="37.7109375" style="434" customWidth="1"/>
    <col min="14594" max="14595" width="8.7109375" style="434" customWidth="1"/>
    <col min="14596" max="14596" width="3.85546875" style="434" customWidth="1"/>
    <col min="14597" max="14597" width="10.140625" style="434" customWidth="1"/>
    <col min="14598" max="14598" width="9.28515625" style="434" customWidth="1"/>
    <col min="14599" max="14599" width="2.7109375" style="434" customWidth="1"/>
    <col min="14600" max="14601" width="8.7109375" style="434" customWidth="1"/>
    <col min="14602" max="14602" width="2.7109375" style="434" customWidth="1"/>
    <col min="14603" max="14848" width="9.140625" style="434"/>
    <col min="14849" max="14849" width="37.7109375" style="434" customWidth="1"/>
    <col min="14850" max="14851" width="8.7109375" style="434" customWidth="1"/>
    <col min="14852" max="14852" width="3.85546875" style="434" customWidth="1"/>
    <col min="14853" max="14853" width="10.140625" style="434" customWidth="1"/>
    <col min="14854" max="14854" width="9.28515625" style="434" customWidth="1"/>
    <col min="14855" max="14855" width="2.7109375" style="434" customWidth="1"/>
    <col min="14856" max="14857" width="8.7109375" style="434" customWidth="1"/>
    <col min="14858" max="14858" width="2.7109375" style="434" customWidth="1"/>
    <col min="14859" max="15104" width="9.140625" style="434"/>
    <col min="15105" max="15105" width="37.7109375" style="434" customWidth="1"/>
    <col min="15106" max="15107" width="8.7109375" style="434" customWidth="1"/>
    <col min="15108" max="15108" width="3.85546875" style="434" customWidth="1"/>
    <col min="15109" max="15109" width="10.140625" style="434" customWidth="1"/>
    <col min="15110" max="15110" width="9.28515625" style="434" customWidth="1"/>
    <col min="15111" max="15111" width="2.7109375" style="434" customWidth="1"/>
    <col min="15112" max="15113" width="8.7109375" style="434" customWidth="1"/>
    <col min="15114" max="15114" width="2.7109375" style="434" customWidth="1"/>
    <col min="15115" max="15360" width="9.140625" style="434"/>
    <col min="15361" max="15361" width="37.7109375" style="434" customWidth="1"/>
    <col min="15362" max="15363" width="8.7109375" style="434" customWidth="1"/>
    <col min="15364" max="15364" width="3.85546875" style="434" customWidth="1"/>
    <col min="15365" max="15365" width="10.140625" style="434" customWidth="1"/>
    <col min="15366" max="15366" width="9.28515625" style="434" customWidth="1"/>
    <col min="15367" max="15367" width="2.7109375" style="434" customWidth="1"/>
    <col min="15368" max="15369" width="8.7109375" style="434" customWidth="1"/>
    <col min="15370" max="15370" width="2.7109375" style="434" customWidth="1"/>
    <col min="15371" max="15616" width="9.140625" style="434"/>
    <col min="15617" max="15617" width="37.7109375" style="434" customWidth="1"/>
    <col min="15618" max="15619" width="8.7109375" style="434" customWidth="1"/>
    <col min="15620" max="15620" width="3.85546875" style="434" customWidth="1"/>
    <col min="15621" max="15621" width="10.140625" style="434" customWidth="1"/>
    <col min="15622" max="15622" width="9.28515625" style="434" customWidth="1"/>
    <col min="15623" max="15623" width="2.7109375" style="434" customWidth="1"/>
    <col min="15624" max="15625" width="8.7109375" style="434" customWidth="1"/>
    <col min="15626" max="15626" width="2.7109375" style="434" customWidth="1"/>
    <col min="15627" max="15872" width="9.140625" style="434"/>
    <col min="15873" max="15873" width="37.7109375" style="434" customWidth="1"/>
    <col min="15874" max="15875" width="8.7109375" style="434" customWidth="1"/>
    <col min="15876" max="15876" width="3.85546875" style="434" customWidth="1"/>
    <col min="15877" max="15877" width="10.140625" style="434" customWidth="1"/>
    <col min="15878" max="15878" width="9.28515625" style="434" customWidth="1"/>
    <col min="15879" max="15879" width="2.7109375" style="434" customWidth="1"/>
    <col min="15880" max="15881" width="8.7109375" style="434" customWidth="1"/>
    <col min="15882" max="15882" width="2.7109375" style="434" customWidth="1"/>
    <col min="15883" max="16128" width="9.140625" style="434"/>
    <col min="16129" max="16129" width="37.7109375" style="434" customWidth="1"/>
    <col min="16130" max="16131" width="8.7109375" style="434" customWidth="1"/>
    <col min="16132" max="16132" width="3.85546875" style="434" customWidth="1"/>
    <col min="16133" max="16133" width="10.140625" style="434" customWidth="1"/>
    <col min="16134" max="16134" width="9.28515625" style="434" customWidth="1"/>
    <col min="16135" max="16135" width="2.7109375" style="434" customWidth="1"/>
    <col min="16136" max="16137" width="8.7109375" style="434" customWidth="1"/>
    <col min="16138" max="16138" width="2.7109375" style="434" customWidth="1"/>
    <col min="16139" max="16384" width="9.140625" style="434"/>
  </cols>
  <sheetData>
    <row r="1" spans="1:10" ht="12.95" customHeight="1">
      <c r="A1" s="434" t="s">
        <v>936</v>
      </c>
    </row>
    <row r="2" spans="1:10" ht="12.95" customHeight="1">
      <c r="A2" s="434" t="s">
        <v>937</v>
      </c>
    </row>
    <row r="3" spans="1:10" ht="8.25" customHeight="1"/>
    <row r="4" spans="1:10" ht="12.95" customHeight="1">
      <c r="A4" s="42" t="s">
        <v>2144</v>
      </c>
    </row>
    <row r="5" spans="1:10" ht="12.95" customHeight="1">
      <c r="A5" s="42" t="s">
        <v>1950</v>
      </c>
    </row>
    <row r="6" spans="1:10" ht="12.95" customHeight="1" thickBot="1">
      <c r="J6" s="436"/>
    </row>
    <row r="7" spans="1:10" ht="12.95" customHeight="1">
      <c r="A7" s="437"/>
      <c r="B7" s="792"/>
      <c r="C7" s="439"/>
      <c r="D7" s="438"/>
      <c r="E7" s="1020"/>
      <c r="F7" s="439"/>
      <c r="G7" s="438"/>
      <c r="H7" s="1020"/>
      <c r="I7" s="439"/>
      <c r="J7" s="439"/>
    </row>
    <row r="8" spans="1:10" ht="12.95" customHeight="1">
      <c r="A8" s="440" t="s">
        <v>1706</v>
      </c>
      <c r="B8" s="1266" t="s">
        <v>1707</v>
      </c>
      <c r="C8" s="1266"/>
      <c r="D8" s="441"/>
      <c r="E8" s="1268" t="s">
        <v>1269</v>
      </c>
      <c r="F8" s="1266"/>
      <c r="G8" s="441"/>
      <c r="H8" s="1268" t="s">
        <v>1270</v>
      </c>
      <c r="I8" s="1266"/>
    </row>
    <row r="9" spans="1:10" ht="12.95" customHeight="1">
      <c r="B9" s="1027" t="s">
        <v>323</v>
      </c>
      <c r="C9" s="444" t="s">
        <v>324</v>
      </c>
      <c r="D9" s="441"/>
      <c r="E9" s="1022" t="s">
        <v>323</v>
      </c>
      <c r="F9" s="444" t="s">
        <v>324</v>
      </c>
      <c r="G9" s="441"/>
      <c r="H9" s="1022" t="s">
        <v>323</v>
      </c>
      <c r="I9" s="444" t="s">
        <v>324</v>
      </c>
    </row>
    <row r="10" spans="1:10" ht="12.95" customHeight="1" thickBot="1">
      <c r="A10" s="445"/>
      <c r="B10" s="803"/>
      <c r="C10" s="447"/>
      <c r="D10" s="446"/>
      <c r="E10" s="1023"/>
      <c r="F10" s="447"/>
      <c r="G10" s="446"/>
      <c r="H10" s="1023"/>
      <c r="I10" s="447"/>
    </row>
    <row r="11" spans="1:10" ht="12.95" customHeight="1">
      <c r="A11" s="440"/>
      <c r="B11" s="452"/>
      <c r="C11" s="442"/>
      <c r="D11" s="441"/>
      <c r="E11" s="841"/>
      <c r="F11" s="442"/>
      <c r="G11" s="441"/>
      <c r="H11" s="841"/>
      <c r="I11" s="442"/>
      <c r="J11" s="439"/>
    </row>
    <row r="12" spans="1:10" ht="12.95" customHeight="1">
      <c r="A12" s="63" t="s">
        <v>149</v>
      </c>
      <c r="B12" s="843">
        <f>IF($A12&lt;&gt;0,E12+H12,"")</f>
        <v>159</v>
      </c>
      <c r="C12" s="1028">
        <f>SUM(C14:C51)</f>
        <v>100</v>
      </c>
      <c r="D12" s="836"/>
      <c r="E12" s="649">
        <f>SUM(E14:E51)</f>
        <v>77</v>
      </c>
      <c r="F12" s="296">
        <f>IF($A12&lt;&gt;0,E12/B12*100,"")</f>
        <v>48.427672955974842</v>
      </c>
      <c r="G12" s="295"/>
      <c r="H12" s="649">
        <f>SUM(H14:H51)</f>
        <v>82</v>
      </c>
      <c r="I12" s="837">
        <f t="shared" ref="I12:I51" si="0">IF($A12&lt;&gt;0,H12/B12*100,"")</f>
        <v>51.572327044025158</v>
      </c>
    </row>
    <row r="13" spans="1:10" ht="7.5" customHeight="1">
      <c r="A13" s="63"/>
      <c r="B13" s="843"/>
      <c r="C13" s="837"/>
      <c r="D13" s="836"/>
      <c r="E13" s="283"/>
      <c r="F13" s="296" t="str">
        <f t="shared" ref="F13:F51" si="1">IF($A13&lt;&gt;0,E13/B13*100,"")</f>
        <v/>
      </c>
      <c r="G13" s="283"/>
      <c r="H13" s="283"/>
      <c r="I13" s="837"/>
    </row>
    <row r="14" spans="1:10" ht="12.95" customHeight="1">
      <c r="A14" s="42" t="s">
        <v>825</v>
      </c>
      <c r="B14" s="843">
        <f t="shared" ref="B14:B51" si="2">IF($A14&lt;&gt;0,E14+H14,"")</f>
        <v>1</v>
      </c>
      <c r="C14" s="837">
        <f t="shared" ref="C14:C51" si="3">IF(A14&lt;&gt;0,B14/$B$12*100,"")</f>
        <v>0.62893081761006298</v>
      </c>
      <c r="D14" s="836"/>
      <c r="E14" s="1026">
        <v>1</v>
      </c>
      <c r="F14" s="296">
        <f t="shared" si="1"/>
        <v>100</v>
      </c>
      <c r="G14" s="648"/>
      <c r="H14" s="1026">
        <v>0</v>
      </c>
      <c r="I14" s="837">
        <f t="shared" si="0"/>
        <v>0</v>
      </c>
    </row>
    <row r="15" spans="1:10" ht="12.95" customHeight="1">
      <c r="A15" s="42" t="s">
        <v>1708</v>
      </c>
      <c r="B15" s="843">
        <f t="shared" si="2"/>
        <v>1</v>
      </c>
      <c r="C15" s="837">
        <f t="shared" si="3"/>
        <v>0.62893081761006298</v>
      </c>
      <c r="D15" s="836"/>
      <c r="E15" s="1026">
        <v>0</v>
      </c>
      <c r="F15" s="296">
        <f t="shared" si="1"/>
        <v>0</v>
      </c>
      <c r="G15" s="648"/>
      <c r="H15" s="1026">
        <v>1</v>
      </c>
      <c r="I15" s="837">
        <f t="shared" si="0"/>
        <v>100</v>
      </c>
    </row>
    <row r="16" spans="1:10" ht="12.95" customHeight="1">
      <c r="A16" s="42" t="s">
        <v>828</v>
      </c>
      <c r="B16" s="843">
        <f t="shared" si="2"/>
        <v>3</v>
      </c>
      <c r="C16" s="837">
        <f t="shared" si="3"/>
        <v>1.8867924528301887</v>
      </c>
      <c r="D16" s="836"/>
      <c r="E16" s="1026">
        <v>2</v>
      </c>
      <c r="F16" s="296">
        <f t="shared" si="1"/>
        <v>66.666666666666657</v>
      </c>
      <c r="G16" s="648"/>
      <c r="H16" s="1026">
        <v>1</v>
      </c>
      <c r="I16" s="837">
        <f t="shared" si="0"/>
        <v>33.333333333333329</v>
      </c>
    </row>
    <row r="17" spans="1:9" ht="12.95" customHeight="1">
      <c r="A17" s="42" t="s">
        <v>830</v>
      </c>
      <c r="B17" s="843">
        <f t="shared" si="2"/>
        <v>4</v>
      </c>
      <c r="C17" s="837">
        <f t="shared" si="3"/>
        <v>2.5157232704402519</v>
      </c>
      <c r="D17" s="836"/>
      <c r="E17" s="1026">
        <v>2</v>
      </c>
      <c r="F17" s="296">
        <f t="shared" si="1"/>
        <v>50</v>
      </c>
      <c r="G17" s="648"/>
      <c r="H17" s="1026">
        <v>2</v>
      </c>
      <c r="I17" s="837">
        <f t="shared" si="0"/>
        <v>50</v>
      </c>
    </row>
    <row r="18" spans="1:9" ht="12.95" customHeight="1">
      <c r="A18" s="42" t="s">
        <v>832</v>
      </c>
      <c r="B18" s="843">
        <f t="shared" si="2"/>
        <v>12</v>
      </c>
      <c r="C18" s="837">
        <f t="shared" si="3"/>
        <v>7.5471698113207548</v>
      </c>
      <c r="D18" s="836"/>
      <c r="E18" s="1026">
        <v>6</v>
      </c>
      <c r="F18" s="296">
        <f t="shared" si="1"/>
        <v>50</v>
      </c>
      <c r="G18" s="648"/>
      <c r="H18" s="1026">
        <v>6</v>
      </c>
      <c r="I18" s="837">
        <f t="shared" si="0"/>
        <v>50</v>
      </c>
    </row>
    <row r="19" spans="1:9" ht="12.95" customHeight="1">
      <c r="A19" s="42" t="s">
        <v>1709</v>
      </c>
      <c r="B19" s="843">
        <f t="shared" si="2"/>
        <v>2</v>
      </c>
      <c r="C19" s="837">
        <f t="shared" si="3"/>
        <v>1.257861635220126</v>
      </c>
      <c r="D19" s="836"/>
      <c r="E19" s="1026">
        <v>1</v>
      </c>
      <c r="F19" s="296">
        <f t="shared" si="1"/>
        <v>50</v>
      </c>
      <c r="G19" s="648"/>
      <c r="H19" s="1026">
        <v>1</v>
      </c>
      <c r="I19" s="837">
        <f t="shared" si="0"/>
        <v>50</v>
      </c>
    </row>
    <row r="20" spans="1:9" ht="12.95" customHeight="1">
      <c r="A20" s="42" t="s">
        <v>834</v>
      </c>
      <c r="B20" s="843">
        <f t="shared" si="2"/>
        <v>3</v>
      </c>
      <c r="C20" s="837">
        <f t="shared" si="3"/>
        <v>1.8867924528301887</v>
      </c>
      <c r="D20" s="836"/>
      <c r="E20" s="1026">
        <v>2</v>
      </c>
      <c r="F20" s="296">
        <f t="shared" si="1"/>
        <v>66.666666666666657</v>
      </c>
      <c r="G20" s="648"/>
      <c r="H20" s="1026">
        <v>1</v>
      </c>
      <c r="I20" s="837">
        <f t="shared" si="0"/>
        <v>33.333333333333329</v>
      </c>
    </row>
    <row r="21" spans="1:9" ht="12.95" customHeight="1">
      <c r="A21" s="42" t="s">
        <v>835</v>
      </c>
      <c r="B21" s="843">
        <f t="shared" si="2"/>
        <v>5</v>
      </c>
      <c r="C21" s="837">
        <f t="shared" si="3"/>
        <v>3.1446540880503147</v>
      </c>
      <c r="D21" s="836"/>
      <c r="E21" s="1026">
        <v>1</v>
      </c>
      <c r="F21" s="296">
        <f t="shared" si="1"/>
        <v>20</v>
      </c>
      <c r="G21" s="648"/>
      <c r="H21" s="1026">
        <v>4</v>
      </c>
      <c r="I21" s="837">
        <f t="shared" si="0"/>
        <v>80</v>
      </c>
    </row>
    <row r="22" spans="1:9" ht="12.95" customHeight="1">
      <c r="A22" s="42" t="s">
        <v>836</v>
      </c>
      <c r="B22" s="843">
        <f t="shared" si="2"/>
        <v>1</v>
      </c>
      <c r="C22" s="837">
        <f t="shared" si="3"/>
        <v>0.62893081761006298</v>
      </c>
      <c r="D22" s="836"/>
      <c r="E22" s="1026">
        <v>0</v>
      </c>
      <c r="F22" s="296">
        <f t="shared" si="1"/>
        <v>0</v>
      </c>
      <c r="G22" s="648"/>
      <c r="H22" s="1026">
        <v>1</v>
      </c>
      <c r="I22" s="837">
        <f t="shared" si="0"/>
        <v>100</v>
      </c>
    </row>
    <row r="23" spans="1:9" ht="12.95" customHeight="1">
      <c r="A23" s="42" t="s">
        <v>1710</v>
      </c>
      <c r="B23" s="843">
        <f t="shared" si="2"/>
        <v>10</v>
      </c>
      <c r="C23" s="837">
        <f t="shared" si="3"/>
        <v>6.2893081761006293</v>
      </c>
      <c r="D23" s="836"/>
      <c r="E23" s="1026">
        <v>6</v>
      </c>
      <c r="F23" s="296">
        <f t="shared" si="1"/>
        <v>60</v>
      </c>
      <c r="G23" s="648"/>
      <c r="H23" s="1026">
        <v>4</v>
      </c>
      <c r="I23" s="837">
        <f t="shared" si="0"/>
        <v>40</v>
      </c>
    </row>
    <row r="24" spans="1:9" ht="12.95" customHeight="1">
      <c r="A24" s="42" t="s">
        <v>839</v>
      </c>
      <c r="B24" s="843">
        <f t="shared" si="2"/>
        <v>1</v>
      </c>
      <c r="C24" s="837">
        <f t="shared" si="3"/>
        <v>0.62893081761006298</v>
      </c>
      <c r="D24" s="836"/>
      <c r="E24" s="1026">
        <v>1</v>
      </c>
      <c r="F24" s="296">
        <f t="shared" si="1"/>
        <v>100</v>
      </c>
      <c r="G24" s="648"/>
      <c r="H24" s="1026">
        <v>0</v>
      </c>
      <c r="I24" s="837">
        <f t="shared" si="0"/>
        <v>0</v>
      </c>
    </row>
    <row r="25" spans="1:9" ht="12.95" customHeight="1">
      <c r="A25" s="42" t="s">
        <v>840</v>
      </c>
      <c r="B25" s="843">
        <f t="shared" si="2"/>
        <v>1</v>
      </c>
      <c r="C25" s="837">
        <f t="shared" si="3"/>
        <v>0.62893081761006298</v>
      </c>
      <c r="D25" s="836"/>
      <c r="E25" s="1026">
        <v>0</v>
      </c>
      <c r="F25" s="296">
        <f t="shared" si="1"/>
        <v>0</v>
      </c>
      <c r="G25" s="648"/>
      <c r="H25" s="1026">
        <v>1</v>
      </c>
      <c r="I25" s="837">
        <f t="shared" si="0"/>
        <v>100</v>
      </c>
    </row>
    <row r="26" spans="1:9" ht="12.95" customHeight="1">
      <c r="A26" s="42" t="s">
        <v>841</v>
      </c>
      <c r="B26" s="843">
        <f t="shared" si="2"/>
        <v>6</v>
      </c>
      <c r="C26" s="837">
        <f t="shared" si="3"/>
        <v>3.7735849056603774</v>
      </c>
      <c r="D26" s="836"/>
      <c r="E26" s="1026">
        <v>2</v>
      </c>
      <c r="F26" s="296">
        <f t="shared" si="1"/>
        <v>33.333333333333329</v>
      </c>
      <c r="G26" s="648"/>
      <c r="H26" s="1026">
        <v>4</v>
      </c>
      <c r="I26" s="837">
        <f t="shared" si="0"/>
        <v>66.666666666666657</v>
      </c>
    </row>
    <row r="27" spans="1:9" ht="12.95" customHeight="1">
      <c r="A27" s="42" t="s">
        <v>1711</v>
      </c>
      <c r="B27" s="843">
        <f t="shared" si="2"/>
        <v>5</v>
      </c>
      <c r="C27" s="837">
        <f t="shared" si="3"/>
        <v>3.1446540880503147</v>
      </c>
      <c r="D27" s="836"/>
      <c r="E27" s="1026">
        <v>2</v>
      </c>
      <c r="F27" s="296">
        <f t="shared" si="1"/>
        <v>40</v>
      </c>
      <c r="G27" s="648"/>
      <c r="H27" s="1026">
        <v>3</v>
      </c>
      <c r="I27" s="837">
        <f t="shared" si="0"/>
        <v>60</v>
      </c>
    </row>
    <row r="28" spans="1:9" ht="12.95" customHeight="1">
      <c r="A28" s="42" t="s">
        <v>844</v>
      </c>
      <c r="B28" s="843">
        <f t="shared" si="2"/>
        <v>1</v>
      </c>
      <c r="C28" s="837">
        <f t="shared" si="3"/>
        <v>0.62893081761006298</v>
      </c>
      <c r="D28" s="836"/>
      <c r="E28" s="1026">
        <v>1</v>
      </c>
      <c r="F28" s="296">
        <f t="shared" si="1"/>
        <v>100</v>
      </c>
      <c r="G28" s="648"/>
      <c r="H28" s="1026">
        <v>0</v>
      </c>
      <c r="I28" s="837">
        <f t="shared" si="0"/>
        <v>0</v>
      </c>
    </row>
    <row r="29" spans="1:9" ht="12.95" customHeight="1">
      <c r="A29" s="42" t="s">
        <v>845</v>
      </c>
      <c r="B29" s="843">
        <f t="shared" si="2"/>
        <v>5</v>
      </c>
      <c r="C29" s="837">
        <f t="shared" si="3"/>
        <v>3.1446540880503147</v>
      </c>
      <c r="D29" s="836"/>
      <c r="E29" s="1026">
        <v>2</v>
      </c>
      <c r="F29" s="296">
        <f t="shared" si="1"/>
        <v>40</v>
      </c>
      <c r="G29" s="648"/>
      <c r="H29" s="1026">
        <v>3</v>
      </c>
      <c r="I29" s="837">
        <f t="shared" si="0"/>
        <v>60</v>
      </c>
    </row>
    <row r="30" spans="1:9" ht="12.95" customHeight="1">
      <c r="A30" s="42" t="s">
        <v>1712</v>
      </c>
      <c r="B30" s="843">
        <f>IF($A30&lt;&gt;0,E30+H30,"")</f>
        <v>11</v>
      </c>
      <c r="C30" s="837">
        <f t="shared" si="3"/>
        <v>6.9182389937106921</v>
      </c>
      <c r="D30" s="836"/>
      <c r="E30" s="1026">
        <v>4</v>
      </c>
      <c r="F30" s="296">
        <f t="shared" si="1"/>
        <v>36.363636363636367</v>
      </c>
      <c r="G30" s="648"/>
      <c r="H30" s="1026">
        <v>7</v>
      </c>
      <c r="I30" s="837">
        <f t="shared" si="0"/>
        <v>63.636363636363633</v>
      </c>
    </row>
    <row r="31" spans="1:9" ht="12.95" customHeight="1">
      <c r="A31" s="42" t="s">
        <v>847</v>
      </c>
      <c r="B31" s="843">
        <f>IF($A31&lt;&gt;0,E31+H31,"")</f>
        <v>1</v>
      </c>
      <c r="C31" s="837">
        <f>IF(A31&lt;&gt;0,B31/$B$12*100,"")</f>
        <v>0.62893081761006298</v>
      </c>
      <c r="D31" s="836"/>
      <c r="E31" s="1026">
        <v>1</v>
      </c>
      <c r="F31" s="296">
        <f t="shared" si="1"/>
        <v>100</v>
      </c>
      <c r="G31" s="648"/>
      <c r="H31" s="1026">
        <v>0</v>
      </c>
      <c r="I31" s="837">
        <f t="shared" si="0"/>
        <v>0</v>
      </c>
    </row>
    <row r="32" spans="1:9" ht="12.95" customHeight="1">
      <c r="A32" s="42" t="s">
        <v>848</v>
      </c>
      <c r="B32" s="843">
        <f t="shared" si="2"/>
        <v>3</v>
      </c>
      <c r="C32" s="837">
        <f t="shared" si="3"/>
        <v>1.8867924528301887</v>
      </c>
      <c r="D32" s="836"/>
      <c r="E32" s="1026">
        <v>0</v>
      </c>
      <c r="F32" s="296">
        <f t="shared" si="1"/>
        <v>0</v>
      </c>
      <c r="G32" s="648"/>
      <c r="H32" s="1026">
        <v>3</v>
      </c>
      <c r="I32" s="837">
        <f t="shared" si="0"/>
        <v>100</v>
      </c>
    </row>
    <row r="33" spans="1:9" ht="12.95" customHeight="1">
      <c r="A33" s="42" t="s">
        <v>849</v>
      </c>
      <c r="B33" s="843">
        <f t="shared" si="2"/>
        <v>4</v>
      </c>
      <c r="C33" s="837">
        <f t="shared" si="3"/>
        <v>2.5157232704402519</v>
      </c>
      <c r="D33" s="836"/>
      <c r="E33" s="1026">
        <v>1</v>
      </c>
      <c r="F33" s="296">
        <f t="shared" si="1"/>
        <v>25</v>
      </c>
      <c r="G33" s="648"/>
      <c r="H33" s="1026">
        <v>3</v>
      </c>
      <c r="I33" s="837">
        <f t="shared" si="0"/>
        <v>75</v>
      </c>
    </row>
    <row r="34" spans="1:9" ht="12.95" customHeight="1">
      <c r="A34" s="42" t="s">
        <v>1713</v>
      </c>
      <c r="B34" s="843">
        <f t="shared" si="2"/>
        <v>1</v>
      </c>
      <c r="C34" s="837">
        <f t="shared" si="3"/>
        <v>0.62893081761006298</v>
      </c>
      <c r="D34" s="836"/>
      <c r="E34" s="1026">
        <v>0</v>
      </c>
      <c r="F34" s="296">
        <f t="shared" si="1"/>
        <v>0</v>
      </c>
      <c r="G34" s="648"/>
      <c r="H34" s="1026">
        <v>1</v>
      </c>
      <c r="I34" s="837">
        <f t="shared" si="0"/>
        <v>100</v>
      </c>
    </row>
    <row r="35" spans="1:9" ht="12.95" customHeight="1">
      <c r="A35" s="42" t="s">
        <v>855</v>
      </c>
      <c r="B35" s="843">
        <f t="shared" si="2"/>
        <v>5</v>
      </c>
      <c r="C35" s="837">
        <f t="shared" si="3"/>
        <v>3.1446540880503147</v>
      </c>
      <c r="D35" s="836"/>
      <c r="E35" s="1026">
        <v>4</v>
      </c>
      <c r="F35" s="296">
        <f t="shared" si="1"/>
        <v>80</v>
      </c>
      <c r="G35" s="648"/>
      <c r="H35" s="1026">
        <v>1</v>
      </c>
      <c r="I35" s="837">
        <f t="shared" si="0"/>
        <v>20</v>
      </c>
    </row>
    <row r="36" spans="1:9" ht="12.95" customHeight="1">
      <c r="A36" s="42" t="s">
        <v>856</v>
      </c>
      <c r="B36" s="843">
        <f t="shared" si="2"/>
        <v>3</v>
      </c>
      <c r="C36" s="837">
        <f t="shared" si="3"/>
        <v>1.8867924528301887</v>
      </c>
      <c r="D36" s="836"/>
      <c r="E36" s="1026">
        <v>2</v>
      </c>
      <c r="F36" s="296">
        <f t="shared" si="1"/>
        <v>66.666666666666657</v>
      </c>
      <c r="G36" s="648"/>
      <c r="H36" s="1026">
        <v>1</v>
      </c>
      <c r="I36" s="837">
        <f t="shared" si="0"/>
        <v>33.333333333333329</v>
      </c>
    </row>
    <row r="37" spans="1:9" ht="12.95" customHeight="1">
      <c r="A37" s="42" t="s">
        <v>857</v>
      </c>
      <c r="B37" s="843">
        <f>IF($A37&lt;&gt;0,E37+H37,"")</f>
        <v>3</v>
      </c>
      <c r="C37" s="837">
        <f>IF(A37&lt;&gt;0,B37/$B$12*100,"")</f>
        <v>1.8867924528301887</v>
      </c>
      <c r="D37" s="836"/>
      <c r="E37" s="1026">
        <v>3</v>
      </c>
      <c r="F37" s="296">
        <f t="shared" si="1"/>
        <v>100</v>
      </c>
      <c r="G37" s="648"/>
      <c r="H37" s="1026">
        <v>0</v>
      </c>
      <c r="I37" s="837">
        <f t="shared" si="0"/>
        <v>0</v>
      </c>
    </row>
    <row r="38" spans="1:9" ht="12.95" customHeight="1">
      <c r="A38" s="42" t="s">
        <v>858</v>
      </c>
      <c r="B38" s="843">
        <f t="shared" si="2"/>
        <v>1</v>
      </c>
      <c r="C38" s="837">
        <f t="shared" si="3"/>
        <v>0.62893081761006298</v>
      </c>
      <c r="D38" s="836"/>
      <c r="E38" s="1026">
        <v>1</v>
      </c>
      <c r="F38" s="296">
        <f t="shared" si="1"/>
        <v>100</v>
      </c>
      <c r="G38" s="648"/>
      <c r="H38" s="1026">
        <v>0</v>
      </c>
      <c r="I38" s="837">
        <f t="shared" si="0"/>
        <v>0</v>
      </c>
    </row>
    <row r="39" spans="1:9" ht="12.95" customHeight="1">
      <c r="A39" s="42" t="s">
        <v>859</v>
      </c>
      <c r="B39" s="843">
        <f t="shared" si="2"/>
        <v>1</v>
      </c>
      <c r="C39" s="837">
        <f t="shared" si="3"/>
        <v>0.62893081761006298</v>
      </c>
      <c r="D39" s="836"/>
      <c r="E39" s="1026">
        <v>1</v>
      </c>
      <c r="F39" s="296">
        <f t="shared" si="1"/>
        <v>100</v>
      </c>
      <c r="G39" s="648"/>
      <c r="H39" s="1026">
        <v>0</v>
      </c>
      <c r="I39" s="837">
        <f t="shared" si="0"/>
        <v>0</v>
      </c>
    </row>
    <row r="40" spans="1:9" ht="12.95" customHeight="1">
      <c r="A40" s="42" t="s">
        <v>861</v>
      </c>
      <c r="B40" s="843">
        <f t="shared" si="2"/>
        <v>1</v>
      </c>
      <c r="C40" s="837">
        <f t="shared" si="3"/>
        <v>0.62893081761006298</v>
      </c>
      <c r="D40" s="836"/>
      <c r="E40" s="1026">
        <v>1</v>
      </c>
      <c r="F40" s="296">
        <f t="shared" si="1"/>
        <v>100</v>
      </c>
      <c r="G40" s="648"/>
      <c r="H40" s="1026">
        <v>0</v>
      </c>
      <c r="I40" s="837">
        <f t="shared" si="0"/>
        <v>0</v>
      </c>
    </row>
    <row r="41" spans="1:9" ht="12.95" customHeight="1">
      <c r="A41" s="42" t="s">
        <v>1714</v>
      </c>
      <c r="B41" s="843">
        <f t="shared" si="2"/>
        <v>2</v>
      </c>
      <c r="C41" s="837">
        <f t="shared" si="3"/>
        <v>1.257861635220126</v>
      </c>
      <c r="D41" s="836"/>
      <c r="E41" s="1026">
        <v>0</v>
      </c>
      <c r="F41" s="296">
        <f t="shared" si="1"/>
        <v>0</v>
      </c>
      <c r="G41" s="648"/>
      <c r="H41" s="1026">
        <v>2</v>
      </c>
      <c r="I41" s="837">
        <f t="shared" si="0"/>
        <v>100</v>
      </c>
    </row>
    <row r="42" spans="1:9" ht="12.95" customHeight="1">
      <c r="A42" s="42" t="s">
        <v>864</v>
      </c>
      <c r="B42" s="843">
        <f t="shared" si="2"/>
        <v>14</v>
      </c>
      <c r="C42" s="837">
        <f t="shared" si="3"/>
        <v>8.8050314465408803</v>
      </c>
      <c r="D42" s="836"/>
      <c r="E42" s="1026">
        <v>10</v>
      </c>
      <c r="F42" s="296">
        <f t="shared" si="1"/>
        <v>71.428571428571431</v>
      </c>
      <c r="G42" s="648"/>
      <c r="H42" s="1026">
        <v>4</v>
      </c>
      <c r="I42" s="837">
        <f t="shared" si="0"/>
        <v>28.571428571428569</v>
      </c>
    </row>
    <row r="43" spans="1:9" ht="12.95" customHeight="1">
      <c r="A43" s="42" t="s">
        <v>866</v>
      </c>
      <c r="B43" s="843">
        <f t="shared" si="2"/>
        <v>2</v>
      </c>
      <c r="C43" s="837">
        <f t="shared" si="3"/>
        <v>1.257861635220126</v>
      </c>
      <c r="D43" s="836"/>
      <c r="E43" s="1026">
        <v>2</v>
      </c>
      <c r="F43" s="296">
        <f t="shared" si="1"/>
        <v>100</v>
      </c>
      <c r="G43" s="648"/>
      <c r="H43" s="1026">
        <v>0</v>
      </c>
      <c r="I43" s="837">
        <f t="shared" si="0"/>
        <v>0</v>
      </c>
    </row>
    <row r="44" spans="1:9" ht="12.95" customHeight="1">
      <c r="A44" s="42" t="s">
        <v>870</v>
      </c>
      <c r="B44" s="843">
        <f t="shared" si="2"/>
        <v>10</v>
      </c>
      <c r="C44" s="837">
        <f t="shared" si="3"/>
        <v>6.2893081761006293</v>
      </c>
      <c r="D44" s="836"/>
      <c r="E44" s="1026">
        <v>1</v>
      </c>
      <c r="F44" s="296">
        <f t="shared" si="1"/>
        <v>10</v>
      </c>
      <c r="G44" s="648"/>
      <c r="H44" s="1026">
        <v>9</v>
      </c>
      <c r="I44" s="837">
        <f t="shared" si="0"/>
        <v>90</v>
      </c>
    </row>
    <row r="45" spans="1:9" ht="12.95" customHeight="1">
      <c r="A45" s="42" t="s">
        <v>871</v>
      </c>
      <c r="B45" s="843">
        <f t="shared" si="2"/>
        <v>21</v>
      </c>
      <c r="C45" s="837">
        <f t="shared" si="3"/>
        <v>13.20754716981132</v>
      </c>
      <c r="D45" s="836"/>
      <c r="E45" s="1026">
        <v>8</v>
      </c>
      <c r="F45" s="296">
        <f t="shared" si="1"/>
        <v>38.095238095238095</v>
      </c>
      <c r="G45" s="648"/>
      <c r="H45" s="1026">
        <v>13</v>
      </c>
      <c r="I45" s="837">
        <f t="shared" si="0"/>
        <v>61.904761904761905</v>
      </c>
    </row>
    <row r="46" spans="1:9" ht="12.95" customHeight="1">
      <c r="A46" s="42" t="s">
        <v>872</v>
      </c>
      <c r="B46" s="843">
        <f t="shared" si="2"/>
        <v>3</v>
      </c>
      <c r="C46" s="837">
        <f t="shared" si="3"/>
        <v>1.8867924528301887</v>
      </c>
      <c r="D46" s="836"/>
      <c r="E46" s="1026">
        <v>3</v>
      </c>
      <c r="F46" s="296">
        <f t="shared" si="1"/>
        <v>100</v>
      </c>
      <c r="G46" s="648"/>
      <c r="H46" s="1026">
        <v>0</v>
      </c>
      <c r="I46" s="837">
        <f t="shared" si="0"/>
        <v>0</v>
      </c>
    </row>
    <row r="47" spans="1:9" ht="12.95" customHeight="1">
      <c r="A47" s="42" t="s">
        <v>1715</v>
      </c>
      <c r="B47" s="843">
        <f t="shared" si="2"/>
        <v>3</v>
      </c>
      <c r="C47" s="837">
        <f t="shared" si="3"/>
        <v>1.8867924528301887</v>
      </c>
      <c r="D47" s="836"/>
      <c r="E47" s="1026">
        <v>1</v>
      </c>
      <c r="F47" s="296">
        <f t="shared" si="1"/>
        <v>33.333333333333329</v>
      </c>
      <c r="G47" s="648"/>
      <c r="H47" s="1026">
        <v>2</v>
      </c>
      <c r="I47" s="837">
        <f t="shared" si="0"/>
        <v>66.666666666666657</v>
      </c>
    </row>
    <row r="48" spans="1:9" ht="12.95" customHeight="1">
      <c r="A48" s="42" t="s">
        <v>1716</v>
      </c>
      <c r="B48" s="843">
        <f t="shared" si="2"/>
        <v>2</v>
      </c>
      <c r="C48" s="837">
        <f t="shared" si="3"/>
        <v>1.257861635220126</v>
      </c>
      <c r="D48" s="836"/>
      <c r="E48" s="1026">
        <v>1</v>
      </c>
      <c r="F48" s="296">
        <f t="shared" si="1"/>
        <v>50</v>
      </c>
      <c r="G48" s="648"/>
      <c r="H48" s="1026">
        <v>1</v>
      </c>
      <c r="I48" s="837">
        <f t="shared" si="0"/>
        <v>50</v>
      </c>
    </row>
    <row r="49" spans="1:10" ht="12.95" customHeight="1">
      <c r="A49" s="42" t="s">
        <v>878</v>
      </c>
      <c r="B49" s="843">
        <f t="shared" si="2"/>
        <v>4</v>
      </c>
      <c r="C49" s="837">
        <f t="shared" si="3"/>
        <v>2.5157232704402519</v>
      </c>
      <c r="D49" s="836"/>
      <c r="E49" s="1026">
        <v>2</v>
      </c>
      <c r="F49" s="296">
        <f t="shared" si="1"/>
        <v>50</v>
      </c>
      <c r="G49" s="648"/>
      <c r="H49" s="1026">
        <v>2</v>
      </c>
      <c r="I49" s="837">
        <f t="shared" si="0"/>
        <v>50</v>
      </c>
    </row>
    <row r="50" spans="1:10" ht="12.95" customHeight="1">
      <c r="A50" s="42" t="s">
        <v>879</v>
      </c>
      <c r="B50" s="843">
        <f>IF($A50&lt;&gt;0,E50+H50,"")</f>
        <v>1</v>
      </c>
      <c r="C50" s="837">
        <f>IF(A50&lt;&gt;0,B50/$B$12*100,"")</f>
        <v>0.62893081761006298</v>
      </c>
      <c r="D50" s="836"/>
      <c r="E50" s="1026">
        <v>0</v>
      </c>
      <c r="F50" s="296">
        <f t="shared" si="1"/>
        <v>0</v>
      </c>
      <c r="G50" s="648"/>
      <c r="H50" s="1026">
        <v>1</v>
      </c>
      <c r="I50" s="837">
        <f t="shared" si="0"/>
        <v>100</v>
      </c>
    </row>
    <row r="51" spans="1:10" ht="12.95" customHeight="1">
      <c r="A51" s="42" t="s">
        <v>880</v>
      </c>
      <c r="B51" s="843">
        <f t="shared" si="2"/>
        <v>2</v>
      </c>
      <c r="C51" s="837">
        <f t="shared" si="3"/>
        <v>1.257861635220126</v>
      </c>
      <c r="D51" s="836"/>
      <c r="E51" s="1026">
        <v>2</v>
      </c>
      <c r="F51" s="296">
        <f t="shared" si="1"/>
        <v>100</v>
      </c>
      <c r="G51" s="648"/>
      <c r="H51" s="1026">
        <v>0</v>
      </c>
      <c r="I51" s="837">
        <f t="shared" si="0"/>
        <v>0</v>
      </c>
    </row>
    <row r="52" spans="1:10" ht="7.5" customHeight="1" thickBot="1">
      <c r="A52" s="445"/>
      <c r="B52" s="445"/>
      <c r="C52" s="445"/>
      <c r="D52" s="445"/>
      <c r="E52" s="445"/>
      <c r="F52" s="445"/>
      <c r="G52" s="445"/>
      <c r="H52" s="445"/>
      <c r="I52" s="445"/>
      <c r="J52" s="445"/>
    </row>
    <row r="53" spans="1:10" ht="4.5" customHeight="1">
      <c r="A53" s="442"/>
      <c r="H53" s="435"/>
      <c r="I53" s="435"/>
      <c r="J53" s="435"/>
    </row>
    <row r="54" spans="1:10" ht="12.95" customHeight="1">
      <c r="A54" s="42" t="s">
        <v>1702</v>
      </c>
    </row>
    <row r="55" spans="1:10" ht="12.95" customHeight="1">
      <c r="A55" s="434" t="s">
        <v>1952</v>
      </c>
    </row>
    <row r="56" spans="1:10" ht="12.95" customHeight="1">
      <c r="A56" s="434" t="s">
        <v>1951</v>
      </c>
    </row>
    <row r="57" spans="1:10" ht="12.95" customHeight="1"/>
    <row r="58" spans="1:10" ht="12.95" customHeight="1">
      <c r="A58" s="434" t="s">
        <v>1704</v>
      </c>
    </row>
    <row r="59" spans="1:10" ht="12.95" customHeight="1">
      <c r="A59" s="434" t="s">
        <v>1705</v>
      </c>
    </row>
  </sheetData>
  <mergeCells count="3">
    <mergeCell ref="B8:C8"/>
    <mergeCell ref="E8:F8"/>
    <mergeCell ref="H8:I8"/>
  </mergeCells>
  <printOptions horizontalCentered="1" verticalCentered="1"/>
  <pageMargins left="0" right="0" top="0" bottom="0" header="0.31496062992125984" footer="0.31496062992125984"/>
  <pageSetup paperSize="9" orientation="portrait" r:id="rId1"/>
  <drawing r:id="rId2"/>
</worksheet>
</file>

<file path=xl/worksheets/sheet102.xml><?xml version="1.0" encoding="utf-8"?>
<worksheet xmlns="http://schemas.openxmlformats.org/spreadsheetml/2006/main" xmlns:r="http://schemas.openxmlformats.org/officeDocument/2006/relationships">
  <sheetPr>
    <tabColor theme="5" tint="0.59999389629810485"/>
  </sheetPr>
  <dimension ref="B1:I13"/>
  <sheetViews>
    <sheetView workbookViewId="0">
      <selection sqref="A1:XFD1048576"/>
    </sheetView>
  </sheetViews>
  <sheetFormatPr baseColWidth="10" defaultRowHeight="15"/>
  <sheetData>
    <row r="1" spans="2:9">
      <c r="F1" s="24" t="s">
        <v>1924</v>
      </c>
      <c r="G1" s="24" t="s">
        <v>1925</v>
      </c>
    </row>
    <row r="2" spans="2:9">
      <c r="C2" s="42" t="s">
        <v>1270</v>
      </c>
      <c r="D2" s="42" t="s">
        <v>1269</v>
      </c>
      <c r="H2" s="39"/>
      <c r="I2" s="39"/>
    </row>
    <row r="3" spans="2:9">
      <c r="B3" s="42" t="s">
        <v>1926</v>
      </c>
      <c r="C3">
        <v>82</v>
      </c>
      <c r="D3">
        <v>77</v>
      </c>
      <c r="E3" t="s">
        <v>1927</v>
      </c>
      <c r="F3">
        <v>82</v>
      </c>
      <c r="G3">
        <v>77</v>
      </c>
    </row>
    <row r="4" spans="2:9">
      <c r="B4" s="42" t="s">
        <v>1302</v>
      </c>
      <c r="C4" s="647">
        <v>309</v>
      </c>
      <c r="D4" s="647">
        <v>341</v>
      </c>
      <c r="E4" s="63" t="s">
        <v>1928</v>
      </c>
      <c r="F4" s="647">
        <v>309</v>
      </c>
      <c r="G4" s="647">
        <v>341</v>
      </c>
    </row>
    <row r="5" spans="2:9">
      <c r="B5" s="4" t="s">
        <v>1076</v>
      </c>
      <c r="C5" s="258">
        <v>352</v>
      </c>
      <c r="D5" s="258">
        <v>519</v>
      </c>
      <c r="E5" s="42" t="s">
        <v>1929</v>
      </c>
      <c r="F5" s="258">
        <v>352</v>
      </c>
      <c r="G5" s="258">
        <v>519</v>
      </c>
      <c r="H5" s="258"/>
      <c r="I5" s="258"/>
    </row>
    <row r="6" spans="2:9">
      <c r="B6" s="42" t="s">
        <v>1075</v>
      </c>
      <c r="C6" s="258">
        <v>360</v>
      </c>
      <c r="D6" s="258">
        <v>342</v>
      </c>
      <c r="E6" s="63" t="s">
        <v>1930</v>
      </c>
      <c r="F6" s="258">
        <v>360</v>
      </c>
      <c r="G6" s="258">
        <v>342</v>
      </c>
    </row>
    <row r="7" spans="2:9">
      <c r="B7" s="42" t="s">
        <v>1077</v>
      </c>
      <c r="C7" s="258">
        <v>745</v>
      </c>
      <c r="D7" s="258">
        <v>1683</v>
      </c>
      <c r="E7" s="765" t="s">
        <v>1931</v>
      </c>
      <c r="F7" s="258">
        <v>745</v>
      </c>
      <c r="G7" s="258">
        <v>1683</v>
      </c>
      <c r="H7" s="258"/>
      <c r="I7" s="258"/>
    </row>
    <row r="8" spans="2:9">
      <c r="B8" s="4" t="s">
        <v>1078</v>
      </c>
      <c r="C8" s="258">
        <v>827</v>
      </c>
      <c r="D8" s="258">
        <v>604</v>
      </c>
      <c r="E8" s="42" t="s">
        <v>1932</v>
      </c>
      <c r="F8" s="258">
        <v>827</v>
      </c>
      <c r="G8" s="258">
        <v>604</v>
      </c>
      <c r="H8" s="258"/>
    </row>
    <row r="9" spans="2:9">
      <c r="B9" s="42" t="s">
        <v>1079</v>
      </c>
      <c r="C9" s="258">
        <v>1308</v>
      </c>
      <c r="D9" s="258">
        <v>570</v>
      </c>
      <c r="E9" s="63" t="s">
        <v>1933</v>
      </c>
      <c r="F9" s="258">
        <v>1308</v>
      </c>
      <c r="G9" s="258">
        <v>570</v>
      </c>
      <c r="H9" s="258"/>
      <c r="I9" s="258"/>
    </row>
    <row r="10" spans="2:9">
      <c r="B10" s="42" t="s">
        <v>1080</v>
      </c>
      <c r="C10" s="268">
        <v>3763</v>
      </c>
      <c r="D10" s="268">
        <v>2856</v>
      </c>
      <c r="E10" s="63" t="s">
        <v>1934</v>
      </c>
      <c r="F10" s="268">
        <v>3763</v>
      </c>
      <c r="G10" s="268">
        <v>2856</v>
      </c>
      <c r="H10" s="268"/>
      <c r="I10" s="268"/>
    </row>
    <row r="11" spans="2:9">
      <c r="B11" s="42" t="s">
        <v>346</v>
      </c>
      <c r="C11" s="258">
        <v>4197</v>
      </c>
      <c r="D11" s="647">
        <v>3375</v>
      </c>
      <c r="E11" s="63" t="s">
        <v>1935</v>
      </c>
      <c r="F11" s="258">
        <v>4197</v>
      </c>
      <c r="G11" s="647">
        <v>3375</v>
      </c>
      <c r="H11" s="258"/>
      <c r="I11" s="258"/>
    </row>
    <row r="12" spans="2:9">
      <c r="E12" s="42"/>
      <c r="F12" s="1"/>
      <c r="G12" s="1"/>
    </row>
    <row r="13" spans="2:9">
      <c r="E13" s="42"/>
      <c r="F13" s="1"/>
      <c r="G13" s="1"/>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dimension ref="A1:T108"/>
  <sheetViews>
    <sheetView topLeftCell="A70" workbookViewId="0">
      <selection activeCell="F106" sqref="F106"/>
    </sheetView>
  </sheetViews>
  <sheetFormatPr baseColWidth="10" defaultColWidth="9.140625" defaultRowHeight="15"/>
  <cols>
    <col min="1" max="1" width="34.5703125" style="847" customWidth="1"/>
    <col min="2" max="2" width="7.7109375" style="856" customWidth="1"/>
    <col min="3" max="3" width="7.7109375" style="1031" customWidth="1"/>
    <col min="4" max="4" width="1.7109375" style="854" customWidth="1"/>
    <col min="5" max="5" width="7.7109375" style="858" customWidth="1"/>
    <col min="6" max="6" width="8.5703125" style="1031" customWidth="1"/>
    <col min="7" max="7" width="1.7109375" style="854" customWidth="1"/>
    <col min="8" max="8" width="7.7109375" style="858" customWidth="1"/>
    <col min="9" max="9" width="9" style="1031" customWidth="1"/>
    <col min="10" max="10" width="1.7109375" style="1031" customWidth="1"/>
    <col min="11" max="11" width="7.7109375" style="858" customWidth="1"/>
    <col min="12" max="12" width="8" style="854" customWidth="1"/>
    <col min="13" max="13" width="1.7109375" style="854" customWidth="1"/>
    <col min="14" max="14" width="7.7109375" style="858" customWidth="1"/>
    <col min="15" max="15" width="9" style="854" customWidth="1"/>
    <col min="16" max="16" width="1.7109375" style="854" customWidth="1"/>
    <col min="17" max="17" width="7.7109375" style="858" customWidth="1"/>
    <col min="18" max="18" width="7.7109375" style="847" customWidth="1"/>
    <col min="19" max="19" width="1.7109375" style="847" customWidth="1"/>
    <col min="20" max="20" width="5.7109375" style="847" customWidth="1"/>
    <col min="21" max="256" width="9.140625" style="847"/>
    <col min="257" max="257" width="34.5703125" style="847" customWidth="1"/>
    <col min="258" max="259" width="7.7109375" style="847" customWidth="1"/>
    <col min="260" max="260" width="1.7109375" style="847" customWidth="1"/>
    <col min="261" max="261" width="7.7109375" style="847" customWidth="1"/>
    <col min="262" max="262" width="8.5703125" style="847" customWidth="1"/>
    <col min="263" max="263" width="1.7109375" style="847" customWidth="1"/>
    <col min="264" max="264" width="7.7109375" style="847" customWidth="1"/>
    <col min="265" max="265" width="9" style="847" customWidth="1"/>
    <col min="266" max="266" width="1.7109375" style="847" customWidth="1"/>
    <col min="267" max="267" width="7.7109375" style="847" customWidth="1"/>
    <col min="268" max="268" width="8" style="847" customWidth="1"/>
    <col min="269" max="269" width="1.7109375" style="847" customWidth="1"/>
    <col min="270" max="270" width="7.7109375" style="847" customWidth="1"/>
    <col min="271" max="271" width="9" style="847" customWidth="1"/>
    <col min="272" max="272" width="1.7109375" style="847" customWidth="1"/>
    <col min="273" max="274" width="7.7109375" style="847" customWidth="1"/>
    <col min="275" max="275" width="1.7109375" style="847" customWidth="1"/>
    <col min="276" max="276" width="5.7109375" style="847" customWidth="1"/>
    <col min="277" max="512" width="9.140625" style="847"/>
    <col min="513" max="513" width="34.5703125" style="847" customWidth="1"/>
    <col min="514" max="515" width="7.7109375" style="847" customWidth="1"/>
    <col min="516" max="516" width="1.7109375" style="847" customWidth="1"/>
    <col min="517" max="517" width="7.7109375" style="847" customWidth="1"/>
    <col min="518" max="518" width="8.5703125" style="847" customWidth="1"/>
    <col min="519" max="519" width="1.7109375" style="847" customWidth="1"/>
    <col min="520" max="520" width="7.7109375" style="847" customWidth="1"/>
    <col min="521" max="521" width="9" style="847" customWidth="1"/>
    <col min="522" max="522" width="1.7109375" style="847" customWidth="1"/>
    <col min="523" max="523" width="7.7109375" style="847" customWidth="1"/>
    <col min="524" max="524" width="8" style="847" customWidth="1"/>
    <col min="525" max="525" width="1.7109375" style="847" customWidth="1"/>
    <col min="526" max="526" width="7.7109375" style="847" customWidth="1"/>
    <col min="527" max="527" width="9" style="847" customWidth="1"/>
    <col min="528" max="528" width="1.7109375" style="847" customWidth="1"/>
    <col min="529" max="530" width="7.7109375" style="847" customWidth="1"/>
    <col min="531" max="531" width="1.7109375" style="847" customWidth="1"/>
    <col min="532" max="532" width="5.7109375" style="847" customWidth="1"/>
    <col min="533" max="768" width="9.140625" style="847"/>
    <col min="769" max="769" width="34.5703125" style="847" customWidth="1"/>
    <col min="770" max="771" width="7.7109375" style="847" customWidth="1"/>
    <col min="772" max="772" width="1.7109375" style="847" customWidth="1"/>
    <col min="773" max="773" width="7.7109375" style="847" customWidth="1"/>
    <col min="774" max="774" width="8.5703125" style="847" customWidth="1"/>
    <col min="775" max="775" width="1.7109375" style="847" customWidth="1"/>
    <col min="776" max="776" width="7.7109375" style="847" customWidth="1"/>
    <col min="777" max="777" width="9" style="847" customWidth="1"/>
    <col min="778" max="778" width="1.7109375" style="847" customWidth="1"/>
    <col min="779" max="779" width="7.7109375" style="847" customWidth="1"/>
    <col min="780" max="780" width="8" style="847" customWidth="1"/>
    <col min="781" max="781" width="1.7109375" style="847" customWidth="1"/>
    <col min="782" max="782" width="7.7109375" style="847" customWidth="1"/>
    <col min="783" max="783" width="9" style="847" customWidth="1"/>
    <col min="784" max="784" width="1.7109375" style="847" customWidth="1"/>
    <col min="785" max="786" width="7.7109375" style="847" customWidth="1"/>
    <col min="787" max="787" width="1.7109375" style="847" customWidth="1"/>
    <col min="788" max="788" width="5.7109375" style="847" customWidth="1"/>
    <col min="789" max="1024" width="9.140625" style="847"/>
    <col min="1025" max="1025" width="34.5703125" style="847" customWidth="1"/>
    <col min="1026" max="1027" width="7.7109375" style="847" customWidth="1"/>
    <col min="1028" max="1028" width="1.7109375" style="847" customWidth="1"/>
    <col min="1029" max="1029" width="7.7109375" style="847" customWidth="1"/>
    <col min="1030" max="1030" width="8.5703125" style="847" customWidth="1"/>
    <col min="1031" max="1031" width="1.7109375" style="847" customWidth="1"/>
    <col min="1032" max="1032" width="7.7109375" style="847" customWidth="1"/>
    <col min="1033" max="1033" width="9" style="847" customWidth="1"/>
    <col min="1034" max="1034" width="1.7109375" style="847" customWidth="1"/>
    <col min="1035" max="1035" width="7.7109375" style="847" customWidth="1"/>
    <col min="1036" max="1036" width="8" style="847" customWidth="1"/>
    <col min="1037" max="1037" width="1.7109375" style="847" customWidth="1"/>
    <col min="1038" max="1038" width="7.7109375" style="847" customWidth="1"/>
    <col min="1039" max="1039" width="9" style="847" customWidth="1"/>
    <col min="1040" max="1040" width="1.7109375" style="847" customWidth="1"/>
    <col min="1041" max="1042" width="7.7109375" style="847" customWidth="1"/>
    <col min="1043" max="1043" width="1.7109375" style="847" customWidth="1"/>
    <col min="1044" max="1044" width="5.7109375" style="847" customWidth="1"/>
    <col min="1045" max="1280" width="9.140625" style="847"/>
    <col min="1281" max="1281" width="34.5703125" style="847" customWidth="1"/>
    <col min="1282" max="1283" width="7.7109375" style="847" customWidth="1"/>
    <col min="1284" max="1284" width="1.7109375" style="847" customWidth="1"/>
    <col min="1285" max="1285" width="7.7109375" style="847" customWidth="1"/>
    <col min="1286" max="1286" width="8.5703125" style="847" customWidth="1"/>
    <col min="1287" max="1287" width="1.7109375" style="847" customWidth="1"/>
    <col min="1288" max="1288" width="7.7109375" style="847" customWidth="1"/>
    <col min="1289" max="1289" width="9" style="847" customWidth="1"/>
    <col min="1290" max="1290" width="1.7109375" style="847" customWidth="1"/>
    <col min="1291" max="1291" width="7.7109375" style="847" customWidth="1"/>
    <col min="1292" max="1292" width="8" style="847" customWidth="1"/>
    <col min="1293" max="1293" width="1.7109375" style="847" customWidth="1"/>
    <col min="1294" max="1294" width="7.7109375" style="847" customWidth="1"/>
    <col min="1295" max="1295" width="9" style="847" customWidth="1"/>
    <col min="1296" max="1296" width="1.7109375" style="847" customWidth="1"/>
    <col min="1297" max="1298" width="7.7109375" style="847" customWidth="1"/>
    <col min="1299" max="1299" width="1.7109375" style="847" customWidth="1"/>
    <col min="1300" max="1300" width="5.7109375" style="847" customWidth="1"/>
    <col min="1301" max="1536" width="9.140625" style="847"/>
    <col min="1537" max="1537" width="34.5703125" style="847" customWidth="1"/>
    <col min="1538" max="1539" width="7.7109375" style="847" customWidth="1"/>
    <col min="1540" max="1540" width="1.7109375" style="847" customWidth="1"/>
    <col min="1541" max="1541" width="7.7109375" style="847" customWidth="1"/>
    <col min="1542" max="1542" width="8.5703125" style="847" customWidth="1"/>
    <col min="1543" max="1543" width="1.7109375" style="847" customWidth="1"/>
    <col min="1544" max="1544" width="7.7109375" style="847" customWidth="1"/>
    <col min="1545" max="1545" width="9" style="847" customWidth="1"/>
    <col min="1546" max="1546" width="1.7109375" style="847" customWidth="1"/>
    <col min="1547" max="1547" width="7.7109375" style="847" customWidth="1"/>
    <col min="1548" max="1548" width="8" style="847" customWidth="1"/>
    <col min="1549" max="1549" width="1.7109375" style="847" customWidth="1"/>
    <col min="1550" max="1550" width="7.7109375" style="847" customWidth="1"/>
    <col min="1551" max="1551" width="9" style="847" customWidth="1"/>
    <col min="1552" max="1552" width="1.7109375" style="847" customWidth="1"/>
    <col min="1553" max="1554" width="7.7109375" style="847" customWidth="1"/>
    <col min="1555" max="1555" width="1.7109375" style="847" customWidth="1"/>
    <col min="1556" max="1556" width="5.7109375" style="847" customWidth="1"/>
    <col min="1557" max="1792" width="9.140625" style="847"/>
    <col min="1793" max="1793" width="34.5703125" style="847" customWidth="1"/>
    <col min="1794" max="1795" width="7.7109375" style="847" customWidth="1"/>
    <col min="1796" max="1796" width="1.7109375" style="847" customWidth="1"/>
    <col min="1797" max="1797" width="7.7109375" style="847" customWidth="1"/>
    <col min="1798" max="1798" width="8.5703125" style="847" customWidth="1"/>
    <col min="1799" max="1799" width="1.7109375" style="847" customWidth="1"/>
    <col min="1800" max="1800" width="7.7109375" style="847" customWidth="1"/>
    <col min="1801" max="1801" width="9" style="847" customWidth="1"/>
    <col min="1802" max="1802" width="1.7109375" style="847" customWidth="1"/>
    <col min="1803" max="1803" width="7.7109375" style="847" customWidth="1"/>
    <col min="1804" max="1804" width="8" style="847" customWidth="1"/>
    <col min="1805" max="1805" width="1.7109375" style="847" customWidth="1"/>
    <col min="1806" max="1806" width="7.7109375" style="847" customWidth="1"/>
    <col min="1807" max="1807" width="9" style="847" customWidth="1"/>
    <col min="1808" max="1808" width="1.7109375" style="847" customWidth="1"/>
    <col min="1809" max="1810" width="7.7109375" style="847" customWidth="1"/>
    <col min="1811" max="1811" width="1.7109375" style="847" customWidth="1"/>
    <col min="1812" max="1812" width="5.7109375" style="847" customWidth="1"/>
    <col min="1813" max="2048" width="9.140625" style="847"/>
    <col min="2049" max="2049" width="34.5703125" style="847" customWidth="1"/>
    <col min="2050" max="2051" width="7.7109375" style="847" customWidth="1"/>
    <col min="2052" max="2052" width="1.7109375" style="847" customWidth="1"/>
    <col min="2053" max="2053" width="7.7109375" style="847" customWidth="1"/>
    <col min="2054" max="2054" width="8.5703125" style="847" customWidth="1"/>
    <col min="2055" max="2055" width="1.7109375" style="847" customWidth="1"/>
    <col min="2056" max="2056" width="7.7109375" style="847" customWidth="1"/>
    <col min="2057" max="2057" width="9" style="847" customWidth="1"/>
    <col min="2058" max="2058" width="1.7109375" style="847" customWidth="1"/>
    <col min="2059" max="2059" width="7.7109375" style="847" customWidth="1"/>
    <col min="2060" max="2060" width="8" style="847" customWidth="1"/>
    <col min="2061" max="2061" width="1.7109375" style="847" customWidth="1"/>
    <col min="2062" max="2062" width="7.7109375" style="847" customWidth="1"/>
    <col min="2063" max="2063" width="9" style="847" customWidth="1"/>
    <col min="2064" max="2064" width="1.7109375" style="847" customWidth="1"/>
    <col min="2065" max="2066" width="7.7109375" style="847" customWidth="1"/>
    <col min="2067" max="2067" width="1.7109375" style="847" customWidth="1"/>
    <col min="2068" max="2068" width="5.7109375" style="847" customWidth="1"/>
    <col min="2069" max="2304" width="9.140625" style="847"/>
    <col min="2305" max="2305" width="34.5703125" style="847" customWidth="1"/>
    <col min="2306" max="2307" width="7.7109375" style="847" customWidth="1"/>
    <col min="2308" max="2308" width="1.7109375" style="847" customWidth="1"/>
    <col min="2309" max="2309" width="7.7109375" style="847" customWidth="1"/>
    <col min="2310" max="2310" width="8.5703125" style="847" customWidth="1"/>
    <col min="2311" max="2311" width="1.7109375" style="847" customWidth="1"/>
    <col min="2312" max="2312" width="7.7109375" style="847" customWidth="1"/>
    <col min="2313" max="2313" width="9" style="847" customWidth="1"/>
    <col min="2314" max="2314" width="1.7109375" style="847" customWidth="1"/>
    <col min="2315" max="2315" width="7.7109375" style="847" customWidth="1"/>
    <col min="2316" max="2316" width="8" style="847" customWidth="1"/>
    <col min="2317" max="2317" width="1.7109375" style="847" customWidth="1"/>
    <col min="2318" max="2318" width="7.7109375" style="847" customWidth="1"/>
    <col min="2319" max="2319" width="9" style="847" customWidth="1"/>
    <col min="2320" max="2320" width="1.7109375" style="847" customWidth="1"/>
    <col min="2321" max="2322" width="7.7109375" style="847" customWidth="1"/>
    <col min="2323" max="2323" width="1.7109375" style="847" customWidth="1"/>
    <col min="2324" max="2324" width="5.7109375" style="847" customWidth="1"/>
    <col min="2325" max="2560" width="9.140625" style="847"/>
    <col min="2561" max="2561" width="34.5703125" style="847" customWidth="1"/>
    <col min="2562" max="2563" width="7.7109375" style="847" customWidth="1"/>
    <col min="2564" max="2564" width="1.7109375" style="847" customWidth="1"/>
    <col min="2565" max="2565" width="7.7109375" style="847" customWidth="1"/>
    <col min="2566" max="2566" width="8.5703125" style="847" customWidth="1"/>
    <col min="2567" max="2567" width="1.7109375" style="847" customWidth="1"/>
    <col min="2568" max="2568" width="7.7109375" style="847" customWidth="1"/>
    <col min="2569" max="2569" width="9" style="847" customWidth="1"/>
    <col min="2570" max="2570" width="1.7109375" style="847" customWidth="1"/>
    <col min="2571" max="2571" width="7.7109375" style="847" customWidth="1"/>
    <col min="2572" max="2572" width="8" style="847" customWidth="1"/>
    <col min="2573" max="2573" width="1.7109375" style="847" customWidth="1"/>
    <col min="2574" max="2574" width="7.7109375" style="847" customWidth="1"/>
    <col min="2575" max="2575" width="9" style="847" customWidth="1"/>
    <col min="2576" max="2576" width="1.7109375" style="847" customWidth="1"/>
    <col min="2577" max="2578" width="7.7109375" style="847" customWidth="1"/>
    <col min="2579" max="2579" width="1.7109375" style="847" customWidth="1"/>
    <col min="2580" max="2580" width="5.7109375" style="847" customWidth="1"/>
    <col min="2581" max="2816" width="9.140625" style="847"/>
    <col min="2817" max="2817" width="34.5703125" style="847" customWidth="1"/>
    <col min="2818" max="2819" width="7.7109375" style="847" customWidth="1"/>
    <col min="2820" max="2820" width="1.7109375" style="847" customWidth="1"/>
    <col min="2821" max="2821" width="7.7109375" style="847" customWidth="1"/>
    <col min="2822" max="2822" width="8.5703125" style="847" customWidth="1"/>
    <col min="2823" max="2823" width="1.7109375" style="847" customWidth="1"/>
    <col min="2824" max="2824" width="7.7109375" style="847" customWidth="1"/>
    <col min="2825" max="2825" width="9" style="847" customWidth="1"/>
    <col min="2826" max="2826" width="1.7109375" style="847" customWidth="1"/>
    <col min="2827" max="2827" width="7.7109375" style="847" customWidth="1"/>
    <col min="2828" max="2828" width="8" style="847" customWidth="1"/>
    <col min="2829" max="2829" width="1.7109375" style="847" customWidth="1"/>
    <col min="2830" max="2830" width="7.7109375" style="847" customWidth="1"/>
    <col min="2831" max="2831" width="9" style="847" customWidth="1"/>
    <col min="2832" max="2832" width="1.7109375" style="847" customWidth="1"/>
    <col min="2833" max="2834" width="7.7109375" style="847" customWidth="1"/>
    <col min="2835" max="2835" width="1.7109375" style="847" customWidth="1"/>
    <col min="2836" max="2836" width="5.7109375" style="847" customWidth="1"/>
    <col min="2837" max="3072" width="9.140625" style="847"/>
    <col min="3073" max="3073" width="34.5703125" style="847" customWidth="1"/>
    <col min="3074" max="3075" width="7.7109375" style="847" customWidth="1"/>
    <col min="3076" max="3076" width="1.7109375" style="847" customWidth="1"/>
    <col min="3077" max="3077" width="7.7109375" style="847" customWidth="1"/>
    <col min="3078" max="3078" width="8.5703125" style="847" customWidth="1"/>
    <col min="3079" max="3079" width="1.7109375" style="847" customWidth="1"/>
    <col min="3080" max="3080" width="7.7109375" style="847" customWidth="1"/>
    <col min="3081" max="3081" width="9" style="847" customWidth="1"/>
    <col min="3082" max="3082" width="1.7109375" style="847" customWidth="1"/>
    <col min="3083" max="3083" width="7.7109375" style="847" customWidth="1"/>
    <col min="3084" max="3084" width="8" style="847" customWidth="1"/>
    <col min="3085" max="3085" width="1.7109375" style="847" customWidth="1"/>
    <col min="3086" max="3086" width="7.7109375" style="847" customWidth="1"/>
    <col min="3087" max="3087" width="9" style="847" customWidth="1"/>
    <col min="3088" max="3088" width="1.7109375" style="847" customWidth="1"/>
    <col min="3089" max="3090" width="7.7109375" style="847" customWidth="1"/>
    <col min="3091" max="3091" width="1.7109375" style="847" customWidth="1"/>
    <col min="3092" max="3092" width="5.7109375" style="847" customWidth="1"/>
    <col min="3093" max="3328" width="9.140625" style="847"/>
    <col min="3329" max="3329" width="34.5703125" style="847" customWidth="1"/>
    <col min="3330" max="3331" width="7.7109375" style="847" customWidth="1"/>
    <col min="3332" max="3332" width="1.7109375" style="847" customWidth="1"/>
    <col min="3333" max="3333" width="7.7109375" style="847" customWidth="1"/>
    <col min="3334" max="3334" width="8.5703125" style="847" customWidth="1"/>
    <col min="3335" max="3335" width="1.7109375" style="847" customWidth="1"/>
    <col min="3336" max="3336" width="7.7109375" style="847" customWidth="1"/>
    <col min="3337" max="3337" width="9" style="847" customWidth="1"/>
    <col min="3338" max="3338" width="1.7109375" style="847" customWidth="1"/>
    <col min="3339" max="3339" width="7.7109375" style="847" customWidth="1"/>
    <col min="3340" max="3340" width="8" style="847" customWidth="1"/>
    <col min="3341" max="3341" width="1.7109375" style="847" customWidth="1"/>
    <col min="3342" max="3342" width="7.7109375" style="847" customWidth="1"/>
    <col min="3343" max="3343" width="9" style="847" customWidth="1"/>
    <col min="3344" max="3344" width="1.7109375" style="847" customWidth="1"/>
    <col min="3345" max="3346" width="7.7109375" style="847" customWidth="1"/>
    <col min="3347" max="3347" width="1.7109375" style="847" customWidth="1"/>
    <col min="3348" max="3348" width="5.7109375" style="847" customWidth="1"/>
    <col min="3349" max="3584" width="9.140625" style="847"/>
    <col min="3585" max="3585" width="34.5703125" style="847" customWidth="1"/>
    <col min="3586" max="3587" width="7.7109375" style="847" customWidth="1"/>
    <col min="3588" max="3588" width="1.7109375" style="847" customWidth="1"/>
    <col min="3589" max="3589" width="7.7109375" style="847" customWidth="1"/>
    <col min="3590" max="3590" width="8.5703125" style="847" customWidth="1"/>
    <col min="3591" max="3591" width="1.7109375" style="847" customWidth="1"/>
    <col min="3592" max="3592" width="7.7109375" style="847" customWidth="1"/>
    <col min="3593" max="3593" width="9" style="847" customWidth="1"/>
    <col min="3594" max="3594" width="1.7109375" style="847" customWidth="1"/>
    <col min="3595" max="3595" width="7.7109375" style="847" customWidth="1"/>
    <col min="3596" max="3596" width="8" style="847" customWidth="1"/>
    <col min="3597" max="3597" width="1.7109375" style="847" customWidth="1"/>
    <col min="3598" max="3598" width="7.7109375" style="847" customWidth="1"/>
    <col min="3599" max="3599" width="9" style="847" customWidth="1"/>
    <col min="3600" max="3600" width="1.7109375" style="847" customWidth="1"/>
    <col min="3601" max="3602" width="7.7109375" style="847" customWidth="1"/>
    <col min="3603" max="3603" width="1.7109375" style="847" customWidth="1"/>
    <col min="3604" max="3604" width="5.7109375" style="847" customWidth="1"/>
    <col min="3605" max="3840" width="9.140625" style="847"/>
    <col min="3841" max="3841" width="34.5703125" style="847" customWidth="1"/>
    <col min="3842" max="3843" width="7.7109375" style="847" customWidth="1"/>
    <col min="3844" max="3844" width="1.7109375" style="847" customWidth="1"/>
    <col min="3845" max="3845" width="7.7109375" style="847" customWidth="1"/>
    <col min="3846" max="3846" width="8.5703125" style="847" customWidth="1"/>
    <col min="3847" max="3847" width="1.7109375" style="847" customWidth="1"/>
    <col min="3848" max="3848" width="7.7109375" style="847" customWidth="1"/>
    <col min="3849" max="3849" width="9" style="847" customWidth="1"/>
    <col min="3850" max="3850" width="1.7109375" style="847" customWidth="1"/>
    <col min="3851" max="3851" width="7.7109375" style="847" customWidth="1"/>
    <col min="3852" max="3852" width="8" style="847" customWidth="1"/>
    <col min="3853" max="3853" width="1.7109375" style="847" customWidth="1"/>
    <col min="3854" max="3854" width="7.7109375" style="847" customWidth="1"/>
    <col min="3855" max="3855" width="9" style="847" customWidth="1"/>
    <col min="3856" max="3856" width="1.7109375" style="847" customWidth="1"/>
    <col min="3857" max="3858" width="7.7109375" style="847" customWidth="1"/>
    <col min="3859" max="3859" width="1.7109375" style="847" customWidth="1"/>
    <col min="3860" max="3860" width="5.7109375" style="847" customWidth="1"/>
    <col min="3861" max="4096" width="9.140625" style="847"/>
    <col min="4097" max="4097" width="34.5703125" style="847" customWidth="1"/>
    <col min="4098" max="4099" width="7.7109375" style="847" customWidth="1"/>
    <col min="4100" max="4100" width="1.7109375" style="847" customWidth="1"/>
    <col min="4101" max="4101" width="7.7109375" style="847" customWidth="1"/>
    <col min="4102" max="4102" width="8.5703125" style="847" customWidth="1"/>
    <col min="4103" max="4103" width="1.7109375" style="847" customWidth="1"/>
    <col min="4104" max="4104" width="7.7109375" style="847" customWidth="1"/>
    <col min="4105" max="4105" width="9" style="847" customWidth="1"/>
    <col min="4106" max="4106" width="1.7109375" style="847" customWidth="1"/>
    <col min="4107" max="4107" width="7.7109375" style="847" customWidth="1"/>
    <col min="4108" max="4108" width="8" style="847" customWidth="1"/>
    <col min="4109" max="4109" width="1.7109375" style="847" customWidth="1"/>
    <col min="4110" max="4110" width="7.7109375" style="847" customWidth="1"/>
    <col min="4111" max="4111" width="9" style="847" customWidth="1"/>
    <col min="4112" max="4112" width="1.7109375" style="847" customWidth="1"/>
    <col min="4113" max="4114" width="7.7109375" style="847" customWidth="1"/>
    <col min="4115" max="4115" width="1.7109375" style="847" customWidth="1"/>
    <col min="4116" max="4116" width="5.7109375" style="847" customWidth="1"/>
    <col min="4117" max="4352" width="9.140625" style="847"/>
    <col min="4353" max="4353" width="34.5703125" style="847" customWidth="1"/>
    <col min="4354" max="4355" width="7.7109375" style="847" customWidth="1"/>
    <col min="4356" max="4356" width="1.7109375" style="847" customWidth="1"/>
    <col min="4357" max="4357" width="7.7109375" style="847" customWidth="1"/>
    <col min="4358" max="4358" width="8.5703125" style="847" customWidth="1"/>
    <col min="4359" max="4359" width="1.7109375" style="847" customWidth="1"/>
    <col min="4360" max="4360" width="7.7109375" style="847" customWidth="1"/>
    <col min="4361" max="4361" width="9" style="847" customWidth="1"/>
    <col min="4362" max="4362" width="1.7109375" style="847" customWidth="1"/>
    <col min="4363" max="4363" width="7.7109375" style="847" customWidth="1"/>
    <col min="4364" max="4364" width="8" style="847" customWidth="1"/>
    <col min="4365" max="4365" width="1.7109375" style="847" customWidth="1"/>
    <col min="4366" max="4366" width="7.7109375" style="847" customWidth="1"/>
    <col min="4367" max="4367" width="9" style="847" customWidth="1"/>
    <col min="4368" max="4368" width="1.7109375" style="847" customWidth="1"/>
    <col min="4369" max="4370" width="7.7109375" style="847" customWidth="1"/>
    <col min="4371" max="4371" width="1.7109375" style="847" customWidth="1"/>
    <col min="4372" max="4372" width="5.7109375" style="847" customWidth="1"/>
    <col min="4373" max="4608" width="9.140625" style="847"/>
    <col min="4609" max="4609" width="34.5703125" style="847" customWidth="1"/>
    <col min="4610" max="4611" width="7.7109375" style="847" customWidth="1"/>
    <col min="4612" max="4612" width="1.7109375" style="847" customWidth="1"/>
    <col min="4613" max="4613" width="7.7109375" style="847" customWidth="1"/>
    <col min="4614" max="4614" width="8.5703125" style="847" customWidth="1"/>
    <col min="4615" max="4615" width="1.7109375" style="847" customWidth="1"/>
    <col min="4616" max="4616" width="7.7109375" style="847" customWidth="1"/>
    <col min="4617" max="4617" width="9" style="847" customWidth="1"/>
    <col min="4618" max="4618" width="1.7109375" style="847" customWidth="1"/>
    <col min="4619" max="4619" width="7.7109375" style="847" customWidth="1"/>
    <col min="4620" max="4620" width="8" style="847" customWidth="1"/>
    <col min="4621" max="4621" width="1.7109375" style="847" customWidth="1"/>
    <col min="4622" max="4622" width="7.7109375" style="847" customWidth="1"/>
    <col min="4623" max="4623" width="9" style="847" customWidth="1"/>
    <col min="4624" max="4624" width="1.7109375" style="847" customWidth="1"/>
    <col min="4625" max="4626" width="7.7109375" style="847" customWidth="1"/>
    <col min="4627" max="4627" width="1.7109375" style="847" customWidth="1"/>
    <col min="4628" max="4628" width="5.7109375" style="847" customWidth="1"/>
    <col min="4629" max="4864" width="9.140625" style="847"/>
    <col min="4865" max="4865" width="34.5703125" style="847" customWidth="1"/>
    <col min="4866" max="4867" width="7.7109375" style="847" customWidth="1"/>
    <col min="4868" max="4868" width="1.7109375" style="847" customWidth="1"/>
    <col min="4869" max="4869" width="7.7109375" style="847" customWidth="1"/>
    <col min="4870" max="4870" width="8.5703125" style="847" customWidth="1"/>
    <col min="4871" max="4871" width="1.7109375" style="847" customWidth="1"/>
    <col min="4872" max="4872" width="7.7109375" style="847" customWidth="1"/>
    <col min="4873" max="4873" width="9" style="847" customWidth="1"/>
    <col min="4874" max="4874" width="1.7109375" style="847" customWidth="1"/>
    <col min="4875" max="4875" width="7.7109375" style="847" customWidth="1"/>
    <col min="4876" max="4876" width="8" style="847" customWidth="1"/>
    <col min="4877" max="4877" width="1.7109375" style="847" customWidth="1"/>
    <col min="4878" max="4878" width="7.7109375" style="847" customWidth="1"/>
    <col min="4879" max="4879" width="9" style="847" customWidth="1"/>
    <col min="4880" max="4880" width="1.7109375" style="847" customWidth="1"/>
    <col min="4881" max="4882" width="7.7109375" style="847" customWidth="1"/>
    <col min="4883" max="4883" width="1.7109375" style="847" customWidth="1"/>
    <col min="4884" max="4884" width="5.7109375" style="847" customWidth="1"/>
    <col min="4885" max="5120" width="9.140625" style="847"/>
    <col min="5121" max="5121" width="34.5703125" style="847" customWidth="1"/>
    <col min="5122" max="5123" width="7.7109375" style="847" customWidth="1"/>
    <col min="5124" max="5124" width="1.7109375" style="847" customWidth="1"/>
    <col min="5125" max="5125" width="7.7109375" style="847" customWidth="1"/>
    <col min="5126" max="5126" width="8.5703125" style="847" customWidth="1"/>
    <col min="5127" max="5127" width="1.7109375" style="847" customWidth="1"/>
    <col min="5128" max="5128" width="7.7109375" style="847" customWidth="1"/>
    <col min="5129" max="5129" width="9" style="847" customWidth="1"/>
    <col min="5130" max="5130" width="1.7109375" style="847" customWidth="1"/>
    <col min="5131" max="5131" width="7.7109375" style="847" customWidth="1"/>
    <col min="5132" max="5132" width="8" style="847" customWidth="1"/>
    <col min="5133" max="5133" width="1.7109375" style="847" customWidth="1"/>
    <col min="5134" max="5134" width="7.7109375" style="847" customWidth="1"/>
    <col min="5135" max="5135" width="9" style="847" customWidth="1"/>
    <col min="5136" max="5136" width="1.7109375" style="847" customWidth="1"/>
    <col min="5137" max="5138" width="7.7109375" style="847" customWidth="1"/>
    <col min="5139" max="5139" width="1.7109375" style="847" customWidth="1"/>
    <col min="5140" max="5140" width="5.7109375" style="847" customWidth="1"/>
    <col min="5141" max="5376" width="9.140625" style="847"/>
    <col min="5377" max="5377" width="34.5703125" style="847" customWidth="1"/>
    <col min="5378" max="5379" width="7.7109375" style="847" customWidth="1"/>
    <col min="5380" max="5380" width="1.7109375" style="847" customWidth="1"/>
    <col min="5381" max="5381" width="7.7109375" style="847" customWidth="1"/>
    <col min="5382" max="5382" width="8.5703125" style="847" customWidth="1"/>
    <col min="5383" max="5383" width="1.7109375" style="847" customWidth="1"/>
    <col min="5384" max="5384" width="7.7109375" style="847" customWidth="1"/>
    <col min="5385" max="5385" width="9" style="847" customWidth="1"/>
    <col min="5386" max="5386" width="1.7109375" style="847" customWidth="1"/>
    <col min="5387" max="5387" width="7.7109375" style="847" customWidth="1"/>
    <col min="5388" max="5388" width="8" style="847" customWidth="1"/>
    <col min="5389" max="5389" width="1.7109375" style="847" customWidth="1"/>
    <col min="5390" max="5390" width="7.7109375" style="847" customWidth="1"/>
    <col min="5391" max="5391" width="9" style="847" customWidth="1"/>
    <col min="5392" max="5392" width="1.7109375" style="847" customWidth="1"/>
    <col min="5393" max="5394" width="7.7109375" style="847" customWidth="1"/>
    <col min="5395" max="5395" width="1.7109375" style="847" customWidth="1"/>
    <col min="5396" max="5396" width="5.7109375" style="847" customWidth="1"/>
    <col min="5397" max="5632" width="9.140625" style="847"/>
    <col min="5633" max="5633" width="34.5703125" style="847" customWidth="1"/>
    <col min="5634" max="5635" width="7.7109375" style="847" customWidth="1"/>
    <col min="5636" max="5636" width="1.7109375" style="847" customWidth="1"/>
    <col min="5637" max="5637" width="7.7109375" style="847" customWidth="1"/>
    <col min="5638" max="5638" width="8.5703125" style="847" customWidth="1"/>
    <col min="5639" max="5639" width="1.7109375" style="847" customWidth="1"/>
    <col min="5640" max="5640" width="7.7109375" style="847" customWidth="1"/>
    <col min="5641" max="5641" width="9" style="847" customWidth="1"/>
    <col min="5642" max="5642" width="1.7109375" style="847" customWidth="1"/>
    <col min="5643" max="5643" width="7.7109375" style="847" customWidth="1"/>
    <col min="5644" max="5644" width="8" style="847" customWidth="1"/>
    <col min="5645" max="5645" width="1.7109375" style="847" customWidth="1"/>
    <col min="5646" max="5646" width="7.7109375" style="847" customWidth="1"/>
    <col min="5647" max="5647" width="9" style="847" customWidth="1"/>
    <col min="5648" max="5648" width="1.7109375" style="847" customWidth="1"/>
    <col min="5649" max="5650" width="7.7109375" style="847" customWidth="1"/>
    <col min="5651" max="5651" width="1.7109375" style="847" customWidth="1"/>
    <col min="5652" max="5652" width="5.7109375" style="847" customWidth="1"/>
    <col min="5653" max="5888" width="9.140625" style="847"/>
    <col min="5889" max="5889" width="34.5703125" style="847" customWidth="1"/>
    <col min="5890" max="5891" width="7.7109375" style="847" customWidth="1"/>
    <col min="5892" max="5892" width="1.7109375" style="847" customWidth="1"/>
    <col min="5893" max="5893" width="7.7109375" style="847" customWidth="1"/>
    <col min="5894" max="5894" width="8.5703125" style="847" customWidth="1"/>
    <col min="5895" max="5895" width="1.7109375" style="847" customWidth="1"/>
    <col min="5896" max="5896" width="7.7109375" style="847" customWidth="1"/>
    <col min="5897" max="5897" width="9" style="847" customWidth="1"/>
    <col min="5898" max="5898" width="1.7109375" style="847" customWidth="1"/>
    <col min="5899" max="5899" width="7.7109375" style="847" customWidth="1"/>
    <col min="5900" max="5900" width="8" style="847" customWidth="1"/>
    <col min="5901" max="5901" width="1.7109375" style="847" customWidth="1"/>
    <col min="5902" max="5902" width="7.7109375" style="847" customWidth="1"/>
    <col min="5903" max="5903" width="9" style="847" customWidth="1"/>
    <col min="5904" max="5904" width="1.7109375" style="847" customWidth="1"/>
    <col min="5905" max="5906" width="7.7109375" style="847" customWidth="1"/>
    <col min="5907" max="5907" width="1.7109375" style="847" customWidth="1"/>
    <col min="5908" max="5908" width="5.7109375" style="847" customWidth="1"/>
    <col min="5909" max="6144" width="9.140625" style="847"/>
    <col min="6145" max="6145" width="34.5703125" style="847" customWidth="1"/>
    <col min="6146" max="6147" width="7.7109375" style="847" customWidth="1"/>
    <col min="6148" max="6148" width="1.7109375" style="847" customWidth="1"/>
    <col min="6149" max="6149" width="7.7109375" style="847" customWidth="1"/>
    <col min="6150" max="6150" width="8.5703125" style="847" customWidth="1"/>
    <col min="6151" max="6151" width="1.7109375" style="847" customWidth="1"/>
    <col min="6152" max="6152" width="7.7109375" style="847" customWidth="1"/>
    <col min="6153" max="6153" width="9" style="847" customWidth="1"/>
    <col min="6154" max="6154" width="1.7109375" style="847" customWidth="1"/>
    <col min="6155" max="6155" width="7.7109375" style="847" customWidth="1"/>
    <col min="6156" max="6156" width="8" style="847" customWidth="1"/>
    <col min="6157" max="6157" width="1.7109375" style="847" customWidth="1"/>
    <col min="6158" max="6158" width="7.7109375" style="847" customWidth="1"/>
    <col min="6159" max="6159" width="9" style="847" customWidth="1"/>
    <col min="6160" max="6160" width="1.7109375" style="847" customWidth="1"/>
    <col min="6161" max="6162" width="7.7109375" style="847" customWidth="1"/>
    <col min="6163" max="6163" width="1.7109375" style="847" customWidth="1"/>
    <col min="6164" max="6164" width="5.7109375" style="847" customWidth="1"/>
    <col min="6165" max="6400" width="9.140625" style="847"/>
    <col min="6401" max="6401" width="34.5703125" style="847" customWidth="1"/>
    <col min="6402" max="6403" width="7.7109375" style="847" customWidth="1"/>
    <col min="6404" max="6404" width="1.7109375" style="847" customWidth="1"/>
    <col min="6405" max="6405" width="7.7109375" style="847" customWidth="1"/>
    <col min="6406" max="6406" width="8.5703125" style="847" customWidth="1"/>
    <col min="6407" max="6407" width="1.7109375" style="847" customWidth="1"/>
    <col min="6408" max="6408" width="7.7109375" style="847" customWidth="1"/>
    <col min="6409" max="6409" width="9" style="847" customWidth="1"/>
    <col min="6410" max="6410" width="1.7109375" style="847" customWidth="1"/>
    <col min="6411" max="6411" width="7.7109375" style="847" customWidth="1"/>
    <col min="6412" max="6412" width="8" style="847" customWidth="1"/>
    <col min="6413" max="6413" width="1.7109375" style="847" customWidth="1"/>
    <col min="6414" max="6414" width="7.7109375" style="847" customWidth="1"/>
    <col min="6415" max="6415" width="9" style="847" customWidth="1"/>
    <col min="6416" max="6416" width="1.7109375" style="847" customWidth="1"/>
    <col min="6417" max="6418" width="7.7109375" style="847" customWidth="1"/>
    <col min="6419" max="6419" width="1.7109375" style="847" customWidth="1"/>
    <col min="6420" max="6420" width="5.7109375" style="847" customWidth="1"/>
    <col min="6421" max="6656" width="9.140625" style="847"/>
    <col min="6657" max="6657" width="34.5703125" style="847" customWidth="1"/>
    <col min="6658" max="6659" width="7.7109375" style="847" customWidth="1"/>
    <col min="6660" max="6660" width="1.7109375" style="847" customWidth="1"/>
    <col min="6661" max="6661" width="7.7109375" style="847" customWidth="1"/>
    <col min="6662" max="6662" width="8.5703125" style="847" customWidth="1"/>
    <col min="6663" max="6663" width="1.7109375" style="847" customWidth="1"/>
    <col min="6664" max="6664" width="7.7109375" style="847" customWidth="1"/>
    <col min="6665" max="6665" width="9" style="847" customWidth="1"/>
    <col min="6666" max="6666" width="1.7109375" style="847" customWidth="1"/>
    <col min="6667" max="6667" width="7.7109375" style="847" customWidth="1"/>
    <col min="6668" max="6668" width="8" style="847" customWidth="1"/>
    <col min="6669" max="6669" width="1.7109375" style="847" customWidth="1"/>
    <col min="6670" max="6670" width="7.7109375" style="847" customWidth="1"/>
    <col min="6671" max="6671" width="9" style="847" customWidth="1"/>
    <col min="6672" max="6672" width="1.7109375" style="847" customWidth="1"/>
    <col min="6673" max="6674" width="7.7109375" style="847" customWidth="1"/>
    <col min="6675" max="6675" width="1.7109375" style="847" customWidth="1"/>
    <col min="6676" max="6676" width="5.7109375" style="847" customWidth="1"/>
    <col min="6677" max="6912" width="9.140625" style="847"/>
    <col min="6913" max="6913" width="34.5703125" style="847" customWidth="1"/>
    <col min="6914" max="6915" width="7.7109375" style="847" customWidth="1"/>
    <col min="6916" max="6916" width="1.7109375" style="847" customWidth="1"/>
    <col min="6917" max="6917" width="7.7109375" style="847" customWidth="1"/>
    <col min="6918" max="6918" width="8.5703125" style="847" customWidth="1"/>
    <col min="6919" max="6919" width="1.7109375" style="847" customWidth="1"/>
    <col min="6920" max="6920" width="7.7109375" style="847" customWidth="1"/>
    <col min="6921" max="6921" width="9" style="847" customWidth="1"/>
    <col min="6922" max="6922" width="1.7109375" style="847" customWidth="1"/>
    <col min="6923" max="6923" width="7.7109375" style="847" customWidth="1"/>
    <col min="6924" max="6924" width="8" style="847" customWidth="1"/>
    <col min="6925" max="6925" width="1.7109375" style="847" customWidth="1"/>
    <col min="6926" max="6926" width="7.7109375" style="847" customWidth="1"/>
    <col min="6927" max="6927" width="9" style="847" customWidth="1"/>
    <col min="6928" max="6928" width="1.7109375" style="847" customWidth="1"/>
    <col min="6929" max="6930" width="7.7109375" style="847" customWidth="1"/>
    <col min="6931" max="6931" width="1.7109375" style="847" customWidth="1"/>
    <col min="6932" max="6932" width="5.7109375" style="847" customWidth="1"/>
    <col min="6933" max="7168" width="9.140625" style="847"/>
    <col min="7169" max="7169" width="34.5703125" style="847" customWidth="1"/>
    <col min="7170" max="7171" width="7.7109375" style="847" customWidth="1"/>
    <col min="7172" max="7172" width="1.7109375" style="847" customWidth="1"/>
    <col min="7173" max="7173" width="7.7109375" style="847" customWidth="1"/>
    <col min="7174" max="7174" width="8.5703125" style="847" customWidth="1"/>
    <col min="7175" max="7175" width="1.7109375" style="847" customWidth="1"/>
    <col min="7176" max="7176" width="7.7109375" style="847" customWidth="1"/>
    <col min="7177" max="7177" width="9" style="847" customWidth="1"/>
    <col min="7178" max="7178" width="1.7109375" style="847" customWidth="1"/>
    <col min="7179" max="7179" width="7.7109375" style="847" customWidth="1"/>
    <col min="7180" max="7180" width="8" style="847" customWidth="1"/>
    <col min="7181" max="7181" width="1.7109375" style="847" customWidth="1"/>
    <col min="7182" max="7182" width="7.7109375" style="847" customWidth="1"/>
    <col min="7183" max="7183" width="9" style="847" customWidth="1"/>
    <col min="7184" max="7184" width="1.7109375" style="847" customWidth="1"/>
    <col min="7185" max="7186" width="7.7109375" style="847" customWidth="1"/>
    <col min="7187" max="7187" width="1.7109375" style="847" customWidth="1"/>
    <col min="7188" max="7188" width="5.7109375" style="847" customWidth="1"/>
    <col min="7189" max="7424" width="9.140625" style="847"/>
    <col min="7425" max="7425" width="34.5703125" style="847" customWidth="1"/>
    <col min="7426" max="7427" width="7.7109375" style="847" customWidth="1"/>
    <col min="7428" max="7428" width="1.7109375" style="847" customWidth="1"/>
    <col min="7429" max="7429" width="7.7109375" style="847" customWidth="1"/>
    <col min="7430" max="7430" width="8.5703125" style="847" customWidth="1"/>
    <col min="7431" max="7431" width="1.7109375" style="847" customWidth="1"/>
    <col min="7432" max="7432" width="7.7109375" style="847" customWidth="1"/>
    <col min="7433" max="7433" width="9" style="847" customWidth="1"/>
    <col min="7434" max="7434" width="1.7109375" style="847" customWidth="1"/>
    <col min="7435" max="7435" width="7.7109375" style="847" customWidth="1"/>
    <col min="7436" max="7436" width="8" style="847" customWidth="1"/>
    <col min="7437" max="7437" width="1.7109375" style="847" customWidth="1"/>
    <col min="7438" max="7438" width="7.7109375" style="847" customWidth="1"/>
    <col min="7439" max="7439" width="9" style="847" customWidth="1"/>
    <col min="7440" max="7440" width="1.7109375" style="847" customWidth="1"/>
    <col min="7441" max="7442" width="7.7109375" style="847" customWidth="1"/>
    <col min="7443" max="7443" width="1.7109375" style="847" customWidth="1"/>
    <col min="7444" max="7444" width="5.7109375" style="847" customWidth="1"/>
    <col min="7445" max="7680" width="9.140625" style="847"/>
    <col min="7681" max="7681" width="34.5703125" style="847" customWidth="1"/>
    <col min="7682" max="7683" width="7.7109375" style="847" customWidth="1"/>
    <col min="7684" max="7684" width="1.7109375" style="847" customWidth="1"/>
    <col min="7685" max="7685" width="7.7109375" style="847" customWidth="1"/>
    <col min="7686" max="7686" width="8.5703125" style="847" customWidth="1"/>
    <col min="7687" max="7687" width="1.7109375" style="847" customWidth="1"/>
    <col min="7688" max="7688" width="7.7109375" style="847" customWidth="1"/>
    <col min="7689" max="7689" width="9" style="847" customWidth="1"/>
    <col min="7690" max="7690" width="1.7109375" style="847" customWidth="1"/>
    <col min="7691" max="7691" width="7.7109375" style="847" customWidth="1"/>
    <col min="7692" max="7692" width="8" style="847" customWidth="1"/>
    <col min="7693" max="7693" width="1.7109375" style="847" customWidth="1"/>
    <col min="7694" max="7694" width="7.7109375" style="847" customWidth="1"/>
    <col min="7695" max="7695" width="9" style="847" customWidth="1"/>
    <col min="7696" max="7696" width="1.7109375" style="847" customWidth="1"/>
    <col min="7697" max="7698" width="7.7109375" style="847" customWidth="1"/>
    <col min="7699" max="7699" width="1.7109375" style="847" customWidth="1"/>
    <col min="7700" max="7700" width="5.7109375" style="847" customWidth="1"/>
    <col min="7701" max="7936" width="9.140625" style="847"/>
    <col min="7937" max="7937" width="34.5703125" style="847" customWidth="1"/>
    <col min="7938" max="7939" width="7.7109375" style="847" customWidth="1"/>
    <col min="7940" max="7940" width="1.7109375" style="847" customWidth="1"/>
    <col min="7941" max="7941" width="7.7109375" style="847" customWidth="1"/>
    <col min="7942" max="7942" width="8.5703125" style="847" customWidth="1"/>
    <col min="7943" max="7943" width="1.7109375" style="847" customWidth="1"/>
    <col min="7944" max="7944" width="7.7109375" style="847" customWidth="1"/>
    <col min="7945" max="7945" width="9" style="847" customWidth="1"/>
    <col min="7946" max="7946" width="1.7109375" style="847" customWidth="1"/>
    <col min="7947" max="7947" width="7.7109375" style="847" customWidth="1"/>
    <col min="7948" max="7948" width="8" style="847" customWidth="1"/>
    <col min="7949" max="7949" width="1.7109375" style="847" customWidth="1"/>
    <col min="7950" max="7950" width="7.7109375" style="847" customWidth="1"/>
    <col min="7951" max="7951" width="9" style="847" customWidth="1"/>
    <col min="7952" max="7952" width="1.7109375" style="847" customWidth="1"/>
    <col min="7953" max="7954" width="7.7109375" style="847" customWidth="1"/>
    <col min="7955" max="7955" width="1.7109375" style="847" customWidth="1"/>
    <col min="7956" max="7956" width="5.7109375" style="847" customWidth="1"/>
    <col min="7957" max="8192" width="9.140625" style="847"/>
    <col min="8193" max="8193" width="34.5703125" style="847" customWidth="1"/>
    <col min="8194" max="8195" width="7.7109375" style="847" customWidth="1"/>
    <col min="8196" max="8196" width="1.7109375" style="847" customWidth="1"/>
    <col min="8197" max="8197" width="7.7109375" style="847" customWidth="1"/>
    <col min="8198" max="8198" width="8.5703125" style="847" customWidth="1"/>
    <col min="8199" max="8199" width="1.7109375" style="847" customWidth="1"/>
    <col min="8200" max="8200" width="7.7109375" style="847" customWidth="1"/>
    <col min="8201" max="8201" width="9" style="847" customWidth="1"/>
    <col min="8202" max="8202" width="1.7109375" style="847" customWidth="1"/>
    <col min="8203" max="8203" width="7.7109375" style="847" customWidth="1"/>
    <col min="8204" max="8204" width="8" style="847" customWidth="1"/>
    <col min="8205" max="8205" width="1.7109375" style="847" customWidth="1"/>
    <col min="8206" max="8206" width="7.7109375" style="847" customWidth="1"/>
    <col min="8207" max="8207" width="9" style="847" customWidth="1"/>
    <col min="8208" max="8208" width="1.7109375" style="847" customWidth="1"/>
    <col min="8209" max="8210" width="7.7109375" style="847" customWidth="1"/>
    <col min="8211" max="8211" width="1.7109375" style="847" customWidth="1"/>
    <col min="8212" max="8212" width="5.7109375" style="847" customWidth="1"/>
    <col min="8213" max="8448" width="9.140625" style="847"/>
    <col min="8449" max="8449" width="34.5703125" style="847" customWidth="1"/>
    <col min="8450" max="8451" width="7.7109375" style="847" customWidth="1"/>
    <col min="8452" max="8452" width="1.7109375" style="847" customWidth="1"/>
    <col min="8453" max="8453" width="7.7109375" style="847" customWidth="1"/>
    <col min="8454" max="8454" width="8.5703125" style="847" customWidth="1"/>
    <col min="8455" max="8455" width="1.7109375" style="847" customWidth="1"/>
    <col min="8456" max="8456" width="7.7109375" style="847" customWidth="1"/>
    <col min="8457" max="8457" width="9" style="847" customWidth="1"/>
    <col min="8458" max="8458" width="1.7109375" style="847" customWidth="1"/>
    <col min="8459" max="8459" width="7.7109375" style="847" customWidth="1"/>
    <col min="8460" max="8460" width="8" style="847" customWidth="1"/>
    <col min="8461" max="8461" width="1.7109375" style="847" customWidth="1"/>
    <col min="8462" max="8462" width="7.7109375" style="847" customWidth="1"/>
    <col min="8463" max="8463" width="9" style="847" customWidth="1"/>
    <col min="8464" max="8464" width="1.7109375" style="847" customWidth="1"/>
    <col min="8465" max="8466" width="7.7109375" style="847" customWidth="1"/>
    <col min="8467" max="8467" width="1.7109375" style="847" customWidth="1"/>
    <col min="8468" max="8468" width="5.7109375" style="847" customWidth="1"/>
    <col min="8469" max="8704" width="9.140625" style="847"/>
    <col min="8705" max="8705" width="34.5703125" style="847" customWidth="1"/>
    <col min="8706" max="8707" width="7.7109375" style="847" customWidth="1"/>
    <col min="8708" max="8708" width="1.7109375" style="847" customWidth="1"/>
    <col min="8709" max="8709" width="7.7109375" style="847" customWidth="1"/>
    <col min="8710" max="8710" width="8.5703125" style="847" customWidth="1"/>
    <col min="8711" max="8711" width="1.7109375" style="847" customWidth="1"/>
    <col min="8712" max="8712" width="7.7109375" style="847" customWidth="1"/>
    <col min="8713" max="8713" width="9" style="847" customWidth="1"/>
    <col min="8714" max="8714" width="1.7109375" style="847" customWidth="1"/>
    <col min="8715" max="8715" width="7.7109375" style="847" customWidth="1"/>
    <col min="8716" max="8716" width="8" style="847" customWidth="1"/>
    <col min="8717" max="8717" width="1.7109375" style="847" customWidth="1"/>
    <col min="8718" max="8718" width="7.7109375" style="847" customWidth="1"/>
    <col min="8719" max="8719" width="9" style="847" customWidth="1"/>
    <col min="8720" max="8720" width="1.7109375" style="847" customWidth="1"/>
    <col min="8721" max="8722" width="7.7109375" style="847" customWidth="1"/>
    <col min="8723" max="8723" width="1.7109375" style="847" customWidth="1"/>
    <col min="8724" max="8724" width="5.7109375" style="847" customWidth="1"/>
    <col min="8725" max="8960" width="9.140625" style="847"/>
    <col min="8961" max="8961" width="34.5703125" style="847" customWidth="1"/>
    <col min="8962" max="8963" width="7.7109375" style="847" customWidth="1"/>
    <col min="8964" max="8964" width="1.7109375" style="847" customWidth="1"/>
    <col min="8965" max="8965" width="7.7109375" style="847" customWidth="1"/>
    <col min="8966" max="8966" width="8.5703125" style="847" customWidth="1"/>
    <col min="8967" max="8967" width="1.7109375" style="847" customWidth="1"/>
    <col min="8968" max="8968" width="7.7109375" style="847" customWidth="1"/>
    <col min="8969" max="8969" width="9" style="847" customWidth="1"/>
    <col min="8970" max="8970" width="1.7109375" style="847" customWidth="1"/>
    <col min="8971" max="8971" width="7.7109375" style="847" customWidth="1"/>
    <col min="8972" max="8972" width="8" style="847" customWidth="1"/>
    <col min="8973" max="8973" width="1.7109375" style="847" customWidth="1"/>
    <col min="8974" max="8974" width="7.7109375" style="847" customWidth="1"/>
    <col min="8975" max="8975" width="9" style="847" customWidth="1"/>
    <col min="8976" max="8976" width="1.7109375" style="847" customWidth="1"/>
    <col min="8977" max="8978" width="7.7109375" style="847" customWidth="1"/>
    <col min="8979" max="8979" width="1.7109375" style="847" customWidth="1"/>
    <col min="8980" max="8980" width="5.7109375" style="847" customWidth="1"/>
    <col min="8981" max="9216" width="9.140625" style="847"/>
    <col min="9217" max="9217" width="34.5703125" style="847" customWidth="1"/>
    <col min="9218" max="9219" width="7.7109375" style="847" customWidth="1"/>
    <col min="9220" max="9220" width="1.7109375" style="847" customWidth="1"/>
    <col min="9221" max="9221" width="7.7109375" style="847" customWidth="1"/>
    <col min="9222" max="9222" width="8.5703125" style="847" customWidth="1"/>
    <col min="9223" max="9223" width="1.7109375" style="847" customWidth="1"/>
    <col min="9224" max="9224" width="7.7109375" style="847" customWidth="1"/>
    <col min="9225" max="9225" width="9" style="847" customWidth="1"/>
    <col min="9226" max="9226" width="1.7109375" style="847" customWidth="1"/>
    <col min="9227" max="9227" width="7.7109375" style="847" customWidth="1"/>
    <col min="9228" max="9228" width="8" style="847" customWidth="1"/>
    <col min="9229" max="9229" width="1.7109375" style="847" customWidth="1"/>
    <col min="9230" max="9230" width="7.7109375" style="847" customWidth="1"/>
    <col min="9231" max="9231" width="9" style="847" customWidth="1"/>
    <col min="9232" max="9232" width="1.7109375" style="847" customWidth="1"/>
    <col min="9233" max="9234" width="7.7109375" style="847" customWidth="1"/>
    <col min="9235" max="9235" width="1.7109375" style="847" customWidth="1"/>
    <col min="9236" max="9236" width="5.7109375" style="847" customWidth="1"/>
    <col min="9237" max="9472" width="9.140625" style="847"/>
    <col min="9473" max="9473" width="34.5703125" style="847" customWidth="1"/>
    <col min="9474" max="9475" width="7.7109375" style="847" customWidth="1"/>
    <col min="9476" max="9476" width="1.7109375" style="847" customWidth="1"/>
    <col min="9477" max="9477" width="7.7109375" style="847" customWidth="1"/>
    <col min="9478" max="9478" width="8.5703125" style="847" customWidth="1"/>
    <col min="9479" max="9479" width="1.7109375" style="847" customWidth="1"/>
    <col min="9480" max="9480" width="7.7109375" style="847" customWidth="1"/>
    <col min="9481" max="9481" width="9" style="847" customWidth="1"/>
    <col min="9482" max="9482" width="1.7109375" style="847" customWidth="1"/>
    <col min="9483" max="9483" width="7.7109375" style="847" customWidth="1"/>
    <col min="9484" max="9484" width="8" style="847" customWidth="1"/>
    <col min="9485" max="9485" width="1.7109375" style="847" customWidth="1"/>
    <col min="9486" max="9486" width="7.7109375" style="847" customWidth="1"/>
    <col min="9487" max="9487" width="9" style="847" customWidth="1"/>
    <col min="9488" max="9488" width="1.7109375" style="847" customWidth="1"/>
    <col min="9489" max="9490" width="7.7109375" style="847" customWidth="1"/>
    <col min="9491" max="9491" width="1.7109375" style="847" customWidth="1"/>
    <col min="9492" max="9492" width="5.7109375" style="847" customWidth="1"/>
    <col min="9493" max="9728" width="9.140625" style="847"/>
    <col min="9729" max="9729" width="34.5703125" style="847" customWidth="1"/>
    <col min="9730" max="9731" width="7.7109375" style="847" customWidth="1"/>
    <col min="9732" max="9732" width="1.7109375" style="847" customWidth="1"/>
    <col min="9733" max="9733" width="7.7109375" style="847" customWidth="1"/>
    <col min="9734" max="9734" width="8.5703125" style="847" customWidth="1"/>
    <col min="9735" max="9735" width="1.7109375" style="847" customWidth="1"/>
    <col min="9736" max="9736" width="7.7109375" style="847" customWidth="1"/>
    <col min="9737" max="9737" width="9" style="847" customWidth="1"/>
    <col min="9738" max="9738" width="1.7109375" style="847" customWidth="1"/>
    <col min="9739" max="9739" width="7.7109375" style="847" customWidth="1"/>
    <col min="9740" max="9740" width="8" style="847" customWidth="1"/>
    <col min="9741" max="9741" width="1.7109375" style="847" customWidth="1"/>
    <col min="9742" max="9742" width="7.7109375" style="847" customWidth="1"/>
    <col min="9743" max="9743" width="9" style="847" customWidth="1"/>
    <col min="9744" max="9744" width="1.7109375" style="847" customWidth="1"/>
    <col min="9745" max="9746" width="7.7109375" style="847" customWidth="1"/>
    <col min="9747" max="9747" width="1.7109375" style="847" customWidth="1"/>
    <col min="9748" max="9748" width="5.7109375" style="847" customWidth="1"/>
    <col min="9749" max="9984" width="9.140625" style="847"/>
    <col min="9985" max="9985" width="34.5703125" style="847" customWidth="1"/>
    <col min="9986" max="9987" width="7.7109375" style="847" customWidth="1"/>
    <col min="9988" max="9988" width="1.7109375" style="847" customWidth="1"/>
    <col min="9989" max="9989" width="7.7109375" style="847" customWidth="1"/>
    <col min="9990" max="9990" width="8.5703125" style="847" customWidth="1"/>
    <col min="9991" max="9991" width="1.7109375" style="847" customWidth="1"/>
    <col min="9992" max="9992" width="7.7109375" style="847" customWidth="1"/>
    <col min="9993" max="9993" width="9" style="847" customWidth="1"/>
    <col min="9994" max="9994" width="1.7109375" style="847" customWidth="1"/>
    <col min="9995" max="9995" width="7.7109375" style="847" customWidth="1"/>
    <col min="9996" max="9996" width="8" style="847" customWidth="1"/>
    <col min="9997" max="9997" width="1.7109375" style="847" customWidth="1"/>
    <col min="9998" max="9998" width="7.7109375" style="847" customWidth="1"/>
    <col min="9999" max="9999" width="9" style="847" customWidth="1"/>
    <col min="10000" max="10000" width="1.7109375" style="847" customWidth="1"/>
    <col min="10001" max="10002" width="7.7109375" style="847" customWidth="1"/>
    <col min="10003" max="10003" width="1.7109375" style="847" customWidth="1"/>
    <col min="10004" max="10004" width="5.7109375" style="847" customWidth="1"/>
    <col min="10005" max="10240" width="9.140625" style="847"/>
    <col min="10241" max="10241" width="34.5703125" style="847" customWidth="1"/>
    <col min="10242" max="10243" width="7.7109375" style="847" customWidth="1"/>
    <col min="10244" max="10244" width="1.7109375" style="847" customWidth="1"/>
    <col min="10245" max="10245" width="7.7109375" style="847" customWidth="1"/>
    <col min="10246" max="10246" width="8.5703125" style="847" customWidth="1"/>
    <col min="10247" max="10247" width="1.7109375" style="847" customWidth="1"/>
    <col min="10248" max="10248" width="7.7109375" style="847" customWidth="1"/>
    <col min="10249" max="10249" width="9" style="847" customWidth="1"/>
    <col min="10250" max="10250" width="1.7109375" style="847" customWidth="1"/>
    <col min="10251" max="10251" width="7.7109375" style="847" customWidth="1"/>
    <col min="10252" max="10252" width="8" style="847" customWidth="1"/>
    <col min="10253" max="10253" width="1.7109375" style="847" customWidth="1"/>
    <col min="10254" max="10254" width="7.7109375" style="847" customWidth="1"/>
    <col min="10255" max="10255" width="9" style="847" customWidth="1"/>
    <col min="10256" max="10256" width="1.7109375" style="847" customWidth="1"/>
    <col min="10257" max="10258" width="7.7109375" style="847" customWidth="1"/>
    <col min="10259" max="10259" width="1.7109375" style="847" customWidth="1"/>
    <col min="10260" max="10260" width="5.7109375" style="847" customWidth="1"/>
    <col min="10261" max="10496" width="9.140625" style="847"/>
    <col min="10497" max="10497" width="34.5703125" style="847" customWidth="1"/>
    <col min="10498" max="10499" width="7.7109375" style="847" customWidth="1"/>
    <col min="10500" max="10500" width="1.7109375" style="847" customWidth="1"/>
    <col min="10501" max="10501" width="7.7109375" style="847" customWidth="1"/>
    <col min="10502" max="10502" width="8.5703125" style="847" customWidth="1"/>
    <col min="10503" max="10503" width="1.7109375" style="847" customWidth="1"/>
    <col min="10504" max="10504" width="7.7109375" style="847" customWidth="1"/>
    <col min="10505" max="10505" width="9" style="847" customWidth="1"/>
    <col min="10506" max="10506" width="1.7109375" style="847" customWidth="1"/>
    <col min="10507" max="10507" width="7.7109375" style="847" customWidth="1"/>
    <col min="10508" max="10508" width="8" style="847" customWidth="1"/>
    <col min="10509" max="10509" width="1.7109375" style="847" customWidth="1"/>
    <col min="10510" max="10510" width="7.7109375" style="847" customWidth="1"/>
    <col min="10511" max="10511" width="9" style="847" customWidth="1"/>
    <col min="10512" max="10512" width="1.7109375" style="847" customWidth="1"/>
    <col min="10513" max="10514" width="7.7109375" style="847" customWidth="1"/>
    <col min="10515" max="10515" width="1.7109375" style="847" customWidth="1"/>
    <col min="10516" max="10516" width="5.7109375" style="847" customWidth="1"/>
    <col min="10517" max="10752" width="9.140625" style="847"/>
    <col min="10753" max="10753" width="34.5703125" style="847" customWidth="1"/>
    <col min="10754" max="10755" width="7.7109375" style="847" customWidth="1"/>
    <col min="10756" max="10756" width="1.7109375" style="847" customWidth="1"/>
    <col min="10757" max="10757" width="7.7109375" style="847" customWidth="1"/>
    <col min="10758" max="10758" width="8.5703125" style="847" customWidth="1"/>
    <col min="10759" max="10759" width="1.7109375" style="847" customWidth="1"/>
    <col min="10760" max="10760" width="7.7109375" style="847" customWidth="1"/>
    <col min="10761" max="10761" width="9" style="847" customWidth="1"/>
    <col min="10762" max="10762" width="1.7109375" style="847" customWidth="1"/>
    <col min="10763" max="10763" width="7.7109375" style="847" customWidth="1"/>
    <col min="10764" max="10764" width="8" style="847" customWidth="1"/>
    <col min="10765" max="10765" width="1.7109375" style="847" customWidth="1"/>
    <col min="10766" max="10766" width="7.7109375" style="847" customWidth="1"/>
    <col min="10767" max="10767" width="9" style="847" customWidth="1"/>
    <col min="10768" max="10768" width="1.7109375" style="847" customWidth="1"/>
    <col min="10769" max="10770" width="7.7109375" style="847" customWidth="1"/>
    <col min="10771" max="10771" width="1.7109375" style="847" customWidth="1"/>
    <col min="10772" max="10772" width="5.7109375" style="847" customWidth="1"/>
    <col min="10773" max="11008" width="9.140625" style="847"/>
    <col min="11009" max="11009" width="34.5703125" style="847" customWidth="1"/>
    <col min="11010" max="11011" width="7.7109375" style="847" customWidth="1"/>
    <col min="11012" max="11012" width="1.7109375" style="847" customWidth="1"/>
    <col min="11013" max="11013" width="7.7109375" style="847" customWidth="1"/>
    <col min="11014" max="11014" width="8.5703125" style="847" customWidth="1"/>
    <col min="11015" max="11015" width="1.7109375" style="847" customWidth="1"/>
    <col min="11016" max="11016" width="7.7109375" style="847" customWidth="1"/>
    <col min="11017" max="11017" width="9" style="847" customWidth="1"/>
    <col min="11018" max="11018" width="1.7109375" style="847" customWidth="1"/>
    <col min="11019" max="11019" width="7.7109375" style="847" customWidth="1"/>
    <col min="11020" max="11020" width="8" style="847" customWidth="1"/>
    <col min="11021" max="11021" width="1.7109375" style="847" customWidth="1"/>
    <col min="11022" max="11022" width="7.7109375" style="847" customWidth="1"/>
    <col min="11023" max="11023" width="9" style="847" customWidth="1"/>
    <col min="11024" max="11024" width="1.7109375" style="847" customWidth="1"/>
    <col min="11025" max="11026" width="7.7109375" style="847" customWidth="1"/>
    <col min="11027" max="11027" width="1.7109375" style="847" customWidth="1"/>
    <col min="11028" max="11028" width="5.7109375" style="847" customWidth="1"/>
    <col min="11029" max="11264" width="9.140625" style="847"/>
    <col min="11265" max="11265" width="34.5703125" style="847" customWidth="1"/>
    <col min="11266" max="11267" width="7.7109375" style="847" customWidth="1"/>
    <col min="11268" max="11268" width="1.7109375" style="847" customWidth="1"/>
    <col min="11269" max="11269" width="7.7109375" style="847" customWidth="1"/>
    <col min="11270" max="11270" width="8.5703125" style="847" customWidth="1"/>
    <col min="11271" max="11271" width="1.7109375" style="847" customWidth="1"/>
    <col min="11272" max="11272" width="7.7109375" style="847" customWidth="1"/>
    <col min="11273" max="11273" width="9" style="847" customWidth="1"/>
    <col min="11274" max="11274" width="1.7109375" style="847" customWidth="1"/>
    <col min="11275" max="11275" width="7.7109375" style="847" customWidth="1"/>
    <col min="11276" max="11276" width="8" style="847" customWidth="1"/>
    <col min="11277" max="11277" width="1.7109375" style="847" customWidth="1"/>
    <col min="11278" max="11278" width="7.7109375" style="847" customWidth="1"/>
    <col min="11279" max="11279" width="9" style="847" customWidth="1"/>
    <col min="11280" max="11280" width="1.7109375" style="847" customWidth="1"/>
    <col min="11281" max="11282" width="7.7109375" style="847" customWidth="1"/>
    <col min="11283" max="11283" width="1.7109375" style="847" customWidth="1"/>
    <col min="11284" max="11284" width="5.7109375" style="847" customWidth="1"/>
    <col min="11285" max="11520" width="9.140625" style="847"/>
    <col min="11521" max="11521" width="34.5703125" style="847" customWidth="1"/>
    <col min="11522" max="11523" width="7.7109375" style="847" customWidth="1"/>
    <col min="11524" max="11524" width="1.7109375" style="847" customWidth="1"/>
    <col min="11525" max="11525" width="7.7109375" style="847" customWidth="1"/>
    <col min="11526" max="11526" width="8.5703125" style="847" customWidth="1"/>
    <col min="11527" max="11527" width="1.7109375" style="847" customWidth="1"/>
    <col min="11528" max="11528" width="7.7109375" style="847" customWidth="1"/>
    <col min="11529" max="11529" width="9" style="847" customWidth="1"/>
    <col min="11530" max="11530" width="1.7109375" style="847" customWidth="1"/>
    <col min="11531" max="11531" width="7.7109375" style="847" customWidth="1"/>
    <col min="11532" max="11532" width="8" style="847" customWidth="1"/>
    <col min="11533" max="11533" width="1.7109375" style="847" customWidth="1"/>
    <col min="11534" max="11534" width="7.7109375" style="847" customWidth="1"/>
    <col min="11535" max="11535" width="9" style="847" customWidth="1"/>
    <col min="11536" max="11536" width="1.7109375" style="847" customWidth="1"/>
    <col min="11537" max="11538" width="7.7109375" style="847" customWidth="1"/>
    <col min="11539" max="11539" width="1.7109375" style="847" customWidth="1"/>
    <col min="11540" max="11540" width="5.7109375" style="847" customWidth="1"/>
    <col min="11541" max="11776" width="9.140625" style="847"/>
    <col min="11777" max="11777" width="34.5703125" style="847" customWidth="1"/>
    <col min="11778" max="11779" width="7.7109375" style="847" customWidth="1"/>
    <col min="11780" max="11780" width="1.7109375" style="847" customWidth="1"/>
    <col min="11781" max="11781" width="7.7109375" style="847" customWidth="1"/>
    <col min="11782" max="11782" width="8.5703125" style="847" customWidth="1"/>
    <col min="11783" max="11783" width="1.7109375" style="847" customWidth="1"/>
    <col min="11784" max="11784" width="7.7109375" style="847" customWidth="1"/>
    <col min="11785" max="11785" width="9" style="847" customWidth="1"/>
    <col min="11786" max="11786" width="1.7109375" style="847" customWidth="1"/>
    <col min="11787" max="11787" width="7.7109375" style="847" customWidth="1"/>
    <col min="11788" max="11788" width="8" style="847" customWidth="1"/>
    <col min="11789" max="11789" width="1.7109375" style="847" customWidth="1"/>
    <col min="11790" max="11790" width="7.7109375" style="847" customWidth="1"/>
    <col min="11791" max="11791" width="9" style="847" customWidth="1"/>
    <col min="11792" max="11792" width="1.7109375" style="847" customWidth="1"/>
    <col min="11793" max="11794" width="7.7109375" style="847" customWidth="1"/>
    <col min="11795" max="11795" width="1.7109375" style="847" customWidth="1"/>
    <col min="11796" max="11796" width="5.7109375" style="847" customWidth="1"/>
    <col min="11797" max="12032" width="9.140625" style="847"/>
    <col min="12033" max="12033" width="34.5703125" style="847" customWidth="1"/>
    <col min="12034" max="12035" width="7.7109375" style="847" customWidth="1"/>
    <col min="12036" max="12036" width="1.7109375" style="847" customWidth="1"/>
    <col min="12037" max="12037" width="7.7109375" style="847" customWidth="1"/>
    <col min="12038" max="12038" width="8.5703125" style="847" customWidth="1"/>
    <col min="12039" max="12039" width="1.7109375" style="847" customWidth="1"/>
    <col min="12040" max="12040" width="7.7109375" style="847" customWidth="1"/>
    <col min="12041" max="12041" width="9" style="847" customWidth="1"/>
    <col min="12042" max="12042" width="1.7109375" style="847" customWidth="1"/>
    <col min="12043" max="12043" width="7.7109375" style="847" customWidth="1"/>
    <col min="12044" max="12044" width="8" style="847" customWidth="1"/>
    <col min="12045" max="12045" width="1.7109375" style="847" customWidth="1"/>
    <col min="12046" max="12046" width="7.7109375" style="847" customWidth="1"/>
    <col min="12047" max="12047" width="9" style="847" customWidth="1"/>
    <col min="12048" max="12048" width="1.7109375" style="847" customWidth="1"/>
    <col min="12049" max="12050" width="7.7109375" style="847" customWidth="1"/>
    <col min="12051" max="12051" width="1.7109375" style="847" customWidth="1"/>
    <col min="12052" max="12052" width="5.7109375" style="847" customWidth="1"/>
    <col min="12053" max="12288" width="9.140625" style="847"/>
    <col min="12289" max="12289" width="34.5703125" style="847" customWidth="1"/>
    <col min="12290" max="12291" width="7.7109375" style="847" customWidth="1"/>
    <col min="12292" max="12292" width="1.7109375" style="847" customWidth="1"/>
    <col min="12293" max="12293" width="7.7109375" style="847" customWidth="1"/>
    <col min="12294" max="12294" width="8.5703125" style="847" customWidth="1"/>
    <col min="12295" max="12295" width="1.7109375" style="847" customWidth="1"/>
    <col min="12296" max="12296" width="7.7109375" style="847" customWidth="1"/>
    <col min="12297" max="12297" width="9" style="847" customWidth="1"/>
    <col min="12298" max="12298" width="1.7109375" style="847" customWidth="1"/>
    <col min="12299" max="12299" width="7.7109375" style="847" customWidth="1"/>
    <col min="12300" max="12300" width="8" style="847" customWidth="1"/>
    <col min="12301" max="12301" width="1.7109375" style="847" customWidth="1"/>
    <col min="12302" max="12302" width="7.7109375" style="847" customWidth="1"/>
    <col min="12303" max="12303" width="9" style="847" customWidth="1"/>
    <col min="12304" max="12304" width="1.7109375" style="847" customWidth="1"/>
    <col min="12305" max="12306" width="7.7109375" style="847" customWidth="1"/>
    <col min="12307" max="12307" width="1.7109375" style="847" customWidth="1"/>
    <col min="12308" max="12308" width="5.7109375" style="847" customWidth="1"/>
    <col min="12309" max="12544" width="9.140625" style="847"/>
    <col min="12545" max="12545" width="34.5703125" style="847" customWidth="1"/>
    <col min="12546" max="12547" width="7.7109375" style="847" customWidth="1"/>
    <col min="12548" max="12548" width="1.7109375" style="847" customWidth="1"/>
    <col min="12549" max="12549" width="7.7109375" style="847" customWidth="1"/>
    <col min="12550" max="12550" width="8.5703125" style="847" customWidth="1"/>
    <col min="12551" max="12551" width="1.7109375" style="847" customWidth="1"/>
    <col min="12552" max="12552" width="7.7109375" style="847" customWidth="1"/>
    <col min="12553" max="12553" width="9" style="847" customWidth="1"/>
    <col min="12554" max="12554" width="1.7109375" style="847" customWidth="1"/>
    <col min="12555" max="12555" width="7.7109375" style="847" customWidth="1"/>
    <col min="12556" max="12556" width="8" style="847" customWidth="1"/>
    <col min="12557" max="12557" width="1.7109375" style="847" customWidth="1"/>
    <col min="12558" max="12558" width="7.7109375" style="847" customWidth="1"/>
    <col min="12559" max="12559" width="9" style="847" customWidth="1"/>
    <col min="12560" max="12560" width="1.7109375" style="847" customWidth="1"/>
    <col min="12561" max="12562" width="7.7109375" style="847" customWidth="1"/>
    <col min="12563" max="12563" width="1.7109375" style="847" customWidth="1"/>
    <col min="12564" max="12564" width="5.7109375" style="847" customWidth="1"/>
    <col min="12565" max="12800" width="9.140625" style="847"/>
    <col min="12801" max="12801" width="34.5703125" style="847" customWidth="1"/>
    <col min="12802" max="12803" width="7.7109375" style="847" customWidth="1"/>
    <col min="12804" max="12804" width="1.7109375" style="847" customWidth="1"/>
    <col min="12805" max="12805" width="7.7109375" style="847" customWidth="1"/>
    <col min="12806" max="12806" width="8.5703125" style="847" customWidth="1"/>
    <col min="12807" max="12807" width="1.7109375" style="847" customWidth="1"/>
    <col min="12808" max="12808" width="7.7109375" style="847" customWidth="1"/>
    <col min="12809" max="12809" width="9" style="847" customWidth="1"/>
    <col min="12810" max="12810" width="1.7109375" style="847" customWidth="1"/>
    <col min="12811" max="12811" width="7.7109375" style="847" customWidth="1"/>
    <col min="12812" max="12812" width="8" style="847" customWidth="1"/>
    <col min="12813" max="12813" width="1.7109375" style="847" customWidth="1"/>
    <col min="12814" max="12814" width="7.7109375" style="847" customWidth="1"/>
    <col min="12815" max="12815" width="9" style="847" customWidth="1"/>
    <col min="12816" max="12816" width="1.7109375" style="847" customWidth="1"/>
    <col min="12817" max="12818" width="7.7109375" style="847" customWidth="1"/>
    <col min="12819" max="12819" width="1.7109375" style="847" customWidth="1"/>
    <col min="12820" max="12820" width="5.7109375" style="847" customWidth="1"/>
    <col min="12821" max="13056" width="9.140625" style="847"/>
    <col min="13057" max="13057" width="34.5703125" style="847" customWidth="1"/>
    <col min="13058" max="13059" width="7.7109375" style="847" customWidth="1"/>
    <col min="13060" max="13060" width="1.7109375" style="847" customWidth="1"/>
    <col min="13061" max="13061" width="7.7109375" style="847" customWidth="1"/>
    <col min="13062" max="13062" width="8.5703125" style="847" customWidth="1"/>
    <col min="13063" max="13063" width="1.7109375" style="847" customWidth="1"/>
    <col min="13064" max="13064" width="7.7109375" style="847" customWidth="1"/>
    <col min="13065" max="13065" width="9" style="847" customWidth="1"/>
    <col min="13066" max="13066" width="1.7109375" style="847" customWidth="1"/>
    <col min="13067" max="13067" width="7.7109375" style="847" customWidth="1"/>
    <col min="13068" max="13068" width="8" style="847" customWidth="1"/>
    <col min="13069" max="13069" width="1.7109375" style="847" customWidth="1"/>
    <col min="13070" max="13070" width="7.7109375" style="847" customWidth="1"/>
    <col min="13071" max="13071" width="9" style="847" customWidth="1"/>
    <col min="13072" max="13072" width="1.7109375" style="847" customWidth="1"/>
    <col min="13073" max="13074" width="7.7109375" style="847" customWidth="1"/>
    <col min="13075" max="13075" width="1.7109375" style="847" customWidth="1"/>
    <col min="13076" max="13076" width="5.7109375" style="847" customWidth="1"/>
    <col min="13077" max="13312" width="9.140625" style="847"/>
    <col min="13313" max="13313" width="34.5703125" style="847" customWidth="1"/>
    <col min="13314" max="13315" width="7.7109375" style="847" customWidth="1"/>
    <col min="13316" max="13316" width="1.7109375" style="847" customWidth="1"/>
    <col min="13317" max="13317" width="7.7109375" style="847" customWidth="1"/>
    <col min="13318" max="13318" width="8.5703125" style="847" customWidth="1"/>
    <col min="13319" max="13319" width="1.7109375" style="847" customWidth="1"/>
    <col min="13320" max="13320" width="7.7109375" style="847" customWidth="1"/>
    <col min="13321" max="13321" width="9" style="847" customWidth="1"/>
    <col min="13322" max="13322" width="1.7109375" style="847" customWidth="1"/>
    <col min="13323" max="13323" width="7.7109375" style="847" customWidth="1"/>
    <col min="13324" max="13324" width="8" style="847" customWidth="1"/>
    <col min="13325" max="13325" width="1.7109375" style="847" customWidth="1"/>
    <col min="13326" max="13326" width="7.7109375" style="847" customWidth="1"/>
    <col min="13327" max="13327" width="9" style="847" customWidth="1"/>
    <col min="13328" max="13328" width="1.7109375" style="847" customWidth="1"/>
    <col min="13329" max="13330" width="7.7109375" style="847" customWidth="1"/>
    <col min="13331" max="13331" width="1.7109375" style="847" customWidth="1"/>
    <col min="13332" max="13332" width="5.7109375" style="847" customWidth="1"/>
    <col min="13333" max="13568" width="9.140625" style="847"/>
    <col min="13569" max="13569" width="34.5703125" style="847" customWidth="1"/>
    <col min="13570" max="13571" width="7.7109375" style="847" customWidth="1"/>
    <col min="13572" max="13572" width="1.7109375" style="847" customWidth="1"/>
    <col min="13573" max="13573" width="7.7109375" style="847" customWidth="1"/>
    <col min="13574" max="13574" width="8.5703125" style="847" customWidth="1"/>
    <col min="13575" max="13575" width="1.7109375" style="847" customWidth="1"/>
    <col min="13576" max="13576" width="7.7109375" style="847" customWidth="1"/>
    <col min="13577" max="13577" width="9" style="847" customWidth="1"/>
    <col min="13578" max="13578" width="1.7109375" style="847" customWidth="1"/>
    <col min="13579" max="13579" width="7.7109375" style="847" customWidth="1"/>
    <col min="13580" max="13580" width="8" style="847" customWidth="1"/>
    <col min="13581" max="13581" width="1.7109375" style="847" customWidth="1"/>
    <col min="13582" max="13582" width="7.7109375" style="847" customWidth="1"/>
    <col min="13583" max="13583" width="9" style="847" customWidth="1"/>
    <col min="13584" max="13584" width="1.7109375" style="847" customWidth="1"/>
    <col min="13585" max="13586" width="7.7109375" style="847" customWidth="1"/>
    <col min="13587" max="13587" width="1.7109375" style="847" customWidth="1"/>
    <col min="13588" max="13588" width="5.7109375" style="847" customWidth="1"/>
    <col min="13589" max="13824" width="9.140625" style="847"/>
    <col min="13825" max="13825" width="34.5703125" style="847" customWidth="1"/>
    <col min="13826" max="13827" width="7.7109375" style="847" customWidth="1"/>
    <col min="13828" max="13828" width="1.7109375" style="847" customWidth="1"/>
    <col min="13829" max="13829" width="7.7109375" style="847" customWidth="1"/>
    <col min="13830" max="13830" width="8.5703125" style="847" customWidth="1"/>
    <col min="13831" max="13831" width="1.7109375" style="847" customWidth="1"/>
    <col min="13832" max="13832" width="7.7109375" style="847" customWidth="1"/>
    <col min="13833" max="13833" width="9" style="847" customWidth="1"/>
    <col min="13834" max="13834" width="1.7109375" style="847" customWidth="1"/>
    <col min="13835" max="13835" width="7.7109375" style="847" customWidth="1"/>
    <col min="13836" max="13836" width="8" style="847" customWidth="1"/>
    <col min="13837" max="13837" width="1.7109375" style="847" customWidth="1"/>
    <col min="13838" max="13838" width="7.7109375" style="847" customWidth="1"/>
    <col min="13839" max="13839" width="9" style="847" customWidth="1"/>
    <col min="13840" max="13840" width="1.7109375" style="847" customWidth="1"/>
    <col min="13841" max="13842" width="7.7109375" style="847" customWidth="1"/>
    <col min="13843" max="13843" width="1.7109375" style="847" customWidth="1"/>
    <col min="13844" max="13844" width="5.7109375" style="847" customWidth="1"/>
    <col min="13845" max="14080" width="9.140625" style="847"/>
    <col min="14081" max="14081" width="34.5703125" style="847" customWidth="1"/>
    <col min="14082" max="14083" width="7.7109375" style="847" customWidth="1"/>
    <col min="14084" max="14084" width="1.7109375" style="847" customWidth="1"/>
    <col min="14085" max="14085" width="7.7109375" style="847" customWidth="1"/>
    <col min="14086" max="14086" width="8.5703125" style="847" customWidth="1"/>
    <col min="14087" max="14087" width="1.7109375" style="847" customWidth="1"/>
    <col min="14088" max="14088" width="7.7109375" style="847" customWidth="1"/>
    <col min="14089" max="14089" width="9" style="847" customWidth="1"/>
    <col min="14090" max="14090" width="1.7109375" style="847" customWidth="1"/>
    <col min="14091" max="14091" width="7.7109375" style="847" customWidth="1"/>
    <col min="14092" max="14092" width="8" style="847" customWidth="1"/>
    <col min="14093" max="14093" width="1.7109375" style="847" customWidth="1"/>
    <col min="14094" max="14094" width="7.7109375" style="847" customWidth="1"/>
    <col min="14095" max="14095" width="9" style="847" customWidth="1"/>
    <col min="14096" max="14096" width="1.7109375" style="847" customWidth="1"/>
    <col min="14097" max="14098" width="7.7109375" style="847" customWidth="1"/>
    <col min="14099" max="14099" width="1.7109375" style="847" customWidth="1"/>
    <col min="14100" max="14100" width="5.7109375" style="847" customWidth="1"/>
    <col min="14101" max="14336" width="9.140625" style="847"/>
    <col min="14337" max="14337" width="34.5703125" style="847" customWidth="1"/>
    <col min="14338" max="14339" width="7.7109375" style="847" customWidth="1"/>
    <col min="14340" max="14340" width="1.7109375" style="847" customWidth="1"/>
    <col min="14341" max="14341" width="7.7109375" style="847" customWidth="1"/>
    <col min="14342" max="14342" width="8.5703125" style="847" customWidth="1"/>
    <col min="14343" max="14343" width="1.7109375" style="847" customWidth="1"/>
    <col min="14344" max="14344" width="7.7109375" style="847" customWidth="1"/>
    <col min="14345" max="14345" width="9" style="847" customWidth="1"/>
    <col min="14346" max="14346" width="1.7109375" style="847" customWidth="1"/>
    <col min="14347" max="14347" width="7.7109375" style="847" customWidth="1"/>
    <col min="14348" max="14348" width="8" style="847" customWidth="1"/>
    <col min="14349" max="14349" width="1.7109375" style="847" customWidth="1"/>
    <col min="14350" max="14350" width="7.7109375" style="847" customWidth="1"/>
    <col min="14351" max="14351" width="9" style="847" customWidth="1"/>
    <col min="14352" max="14352" width="1.7109375" style="847" customWidth="1"/>
    <col min="14353" max="14354" width="7.7109375" style="847" customWidth="1"/>
    <col min="14355" max="14355" width="1.7109375" style="847" customWidth="1"/>
    <col min="14356" max="14356" width="5.7109375" style="847" customWidth="1"/>
    <col min="14357" max="14592" width="9.140625" style="847"/>
    <col min="14593" max="14593" width="34.5703125" style="847" customWidth="1"/>
    <col min="14594" max="14595" width="7.7109375" style="847" customWidth="1"/>
    <col min="14596" max="14596" width="1.7109375" style="847" customWidth="1"/>
    <col min="14597" max="14597" width="7.7109375" style="847" customWidth="1"/>
    <col min="14598" max="14598" width="8.5703125" style="847" customWidth="1"/>
    <col min="14599" max="14599" width="1.7109375" style="847" customWidth="1"/>
    <col min="14600" max="14600" width="7.7109375" style="847" customWidth="1"/>
    <col min="14601" max="14601" width="9" style="847" customWidth="1"/>
    <col min="14602" max="14602" width="1.7109375" style="847" customWidth="1"/>
    <col min="14603" max="14603" width="7.7109375" style="847" customWidth="1"/>
    <col min="14604" max="14604" width="8" style="847" customWidth="1"/>
    <col min="14605" max="14605" width="1.7109375" style="847" customWidth="1"/>
    <col min="14606" max="14606" width="7.7109375" style="847" customWidth="1"/>
    <col min="14607" max="14607" width="9" style="847" customWidth="1"/>
    <col min="14608" max="14608" width="1.7109375" style="847" customWidth="1"/>
    <col min="14609" max="14610" width="7.7109375" style="847" customWidth="1"/>
    <col min="14611" max="14611" width="1.7109375" style="847" customWidth="1"/>
    <col min="14612" max="14612" width="5.7109375" style="847" customWidth="1"/>
    <col min="14613" max="14848" width="9.140625" style="847"/>
    <col min="14849" max="14849" width="34.5703125" style="847" customWidth="1"/>
    <col min="14850" max="14851" width="7.7109375" style="847" customWidth="1"/>
    <col min="14852" max="14852" width="1.7109375" style="847" customWidth="1"/>
    <col min="14853" max="14853" width="7.7109375" style="847" customWidth="1"/>
    <col min="14854" max="14854" width="8.5703125" style="847" customWidth="1"/>
    <col min="14855" max="14855" width="1.7109375" style="847" customWidth="1"/>
    <col min="14856" max="14856" width="7.7109375" style="847" customWidth="1"/>
    <col min="14857" max="14857" width="9" style="847" customWidth="1"/>
    <col min="14858" max="14858" width="1.7109375" style="847" customWidth="1"/>
    <col min="14859" max="14859" width="7.7109375" style="847" customWidth="1"/>
    <col min="14860" max="14860" width="8" style="847" customWidth="1"/>
    <col min="14861" max="14861" width="1.7109375" style="847" customWidth="1"/>
    <col min="14862" max="14862" width="7.7109375" style="847" customWidth="1"/>
    <col min="14863" max="14863" width="9" style="847" customWidth="1"/>
    <col min="14864" max="14864" width="1.7109375" style="847" customWidth="1"/>
    <col min="14865" max="14866" width="7.7109375" style="847" customWidth="1"/>
    <col min="14867" max="14867" width="1.7109375" style="847" customWidth="1"/>
    <col min="14868" max="14868" width="5.7109375" style="847" customWidth="1"/>
    <col min="14869" max="15104" width="9.140625" style="847"/>
    <col min="15105" max="15105" width="34.5703125" style="847" customWidth="1"/>
    <col min="15106" max="15107" width="7.7109375" style="847" customWidth="1"/>
    <col min="15108" max="15108" width="1.7109375" style="847" customWidth="1"/>
    <col min="15109" max="15109" width="7.7109375" style="847" customWidth="1"/>
    <col min="15110" max="15110" width="8.5703125" style="847" customWidth="1"/>
    <col min="15111" max="15111" width="1.7109375" style="847" customWidth="1"/>
    <col min="15112" max="15112" width="7.7109375" style="847" customWidth="1"/>
    <col min="15113" max="15113" width="9" style="847" customWidth="1"/>
    <col min="15114" max="15114" width="1.7109375" style="847" customWidth="1"/>
    <col min="15115" max="15115" width="7.7109375" style="847" customWidth="1"/>
    <col min="15116" max="15116" width="8" style="847" customWidth="1"/>
    <col min="15117" max="15117" width="1.7109375" style="847" customWidth="1"/>
    <col min="15118" max="15118" width="7.7109375" style="847" customWidth="1"/>
    <col min="15119" max="15119" width="9" style="847" customWidth="1"/>
    <col min="15120" max="15120" width="1.7109375" style="847" customWidth="1"/>
    <col min="15121" max="15122" width="7.7109375" style="847" customWidth="1"/>
    <col min="15123" max="15123" width="1.7109375" style="847" customWidth="1"/>
    <col min="15124" max="15124" width="5.7109375" style="847" customWidth="1"/>
    <col min="15125" max="15360" width="9.140625" style="847"/>
    <col min="15361" max="15361" width="34.5703125" style="847" customWidth="1"/>
    <col min="15362" max="15363" width="7.7109375" style="847" customWidth="1"/>
    <col min="15364" max="15364" width="1.7109375" style="847" customWidth="1"/>
    <col min="15365" max="15365" width="7.7109375" style="847" customWidth="1"/>
    <col min="15366" max="15366" width="8.5703125" style="847" customWidth="1"/>
    <col min="15367" max="15367" width="1.7109375" style="847" customWidth="1"/>
    <col min="15368" max="15368" width="7.7109375" style="847" customWidth="1"/>
    <col min="15369" max="15369" width="9" style="847" customWidth="1"/>
    <col min="15370" max="15370" width="1.7109375" style="847" customWidth="1"/>
    <col min="15371" max="15371" width="7.7109375" style="847" customWidth="1"/>
    <col min="15372" max="15372" width="8" style="847" customWidth="1"/>
    <col min="15373" max="15373" width="1.7109375" style="847" customWidth="1"/>
    <col min="15374" max="15374" width="7.7109375" style="847" customWidth="1"/>
    <col min="15375" max="15375" width="9" style="847" customWidth="1"/>
    <col min="15376" max="15376" width="1.7109375" style="847" customWidth="1"/>
    <col min="15377" max="15378" width="7.7109375" style="847" customWidth="1"/>
    <col min="15379" max="15379" width="1.7109375" style="847" customWidth="1"/>
    <col min="15380" max="15380" width="5.7109375" style="847" customWidth="1"/>
    <col min="15381" max="15616" width="9.140625" style="847"/>
    <col min="15617" max="15617" width="34.5703125" style="847" customWidth="1"/>
    <col min="15618" max="15619" width="7.7109375" style="847" customWidth="1"/>
    <col min="15620" max="15620" width="1.7109375" style="847" customWidth="1"/>
    <col min="15621" max="15621" width="7.7109375" style="847" customWidth="1"/>
    <col min="15622" max="15622" width="8.5703125" style="847" customWidth="1"/>
    <col min="15623" max="15623" width="1.7109375" style="847" customWidth="1"/>
    <col min="15624" max="15624" width="7.7109375" style="847" customWidth="1"/>
    <col min="15625" max="15625" width="9" style="847" customWidth="1"/>
    <col min="15626" max="15626" width="1.7109375" style="847" customWidth="1"/>
    <col min="15627" max="15627" width="7.7109375" style="847" customWidth="1"/>
    <col min="15628" max="15628" width="8" style="847" customWidth="1"/>
    <col min="15629" max="15629" width="1.7109375" style="847" customWidth="1"/>
    <col min="15630" max="15630" width="7.7109375" style="847" customWidth="1"/>
    <col min="15631" max="15631" width="9" style="847" customWidth="1"/>
    <col min="15632" max="15632" width="1.7109375" style="847" customWidth="1"/>
    <col min="15633" max="15634" width="7.7109375" style="847" customWidth="1"/>
    <col min="15635" max="15635" width="1.7109375" style="847" customWidth="1"/>
    <col min="15636" max="15636" width="5.7109375" style="847" customWidth="1"/>
    <col min="15637" max="15872" width="9.140625" style="847"/>
    <col min="15873" max="15873" width="34.5703125" style="847" customWidth="1"/>
    <col min="15874" max="15875" width="7.7109375" style="847" customWidth="1"/>
    <col min="15876" max="15876" width="1.7109375" style="847" customWidth="1"/>
    <col min="15877" max="15877" width="7.7109375" style="847" customWidth="1"/>
    <col min="15878" max="15878" width="8.5703125" style="847" customWidth="1"/>
    <col min="15879" max="15879" width="1.7109375" style="847" customWidth="1"/>
    <col min="15880" max="15880" width="7.7109375" style="847" customWidth="1"/>
    <col min="15881" max="15881" width="9" style="847" customWidth="1"/>
    <col min="15882" max="15882" width="1.7109375" style="847" customWidth="1"/>
    <col min="15883" max="15883" width="7.7109375" style="847" customWidth="1"/>
    <col min="15884" max="15884" width="8" style="847" customWidth="1"/>
    <col min="15885" max="15885" width="1.7109375" style="847" customWidth="1"/>
    <col min="15886" max="15886" width="7.7109375" style="847" customWidth="1"/>
    <col min="15887" max="15887" width="9" style="847" customWidth="1"/>
    <col min="15888" max="15888" width="1.7109375" style="847" customWidth="1"/>
    <col min="15889" max="15890" width="7.7109375" style="847" customWidth="1"/>
    <col min="15891" max="15891" width="1.7109375" style="847" customWidth="1"/>
    <col min="15892" max="15892" width="5.7109375" style="847" customWidth="1"/>
    <col min="15893" max="16128" width="9.140625" style="847"/>
    <col min="16129" max="16129" width="34.5703125" style="847" customWidth="1"/>
    <col min="16130" max="16131" width="7.7109375" style="847" customWidth="1"/>
    <col min="16132" max="16132" width="1.7109375" style="847" customWidth="1"/>
    <col min="16133" max="16133" width="7.7109375" style="847" customWidth="1"/>
    <col min="16134" max="16134" width="8.5703125" style="847" customWidth="1"/>
    <col min="16135" max="16135" width="1.7109375" style="847" customWidth="1"/>
    <col min="16136" max="16136" width="7.7109375" style="847" customWidth="1"/>
    <col min="16137" max="16137" width="9" style="847" customWidth="1"/>
    <col min="16138" max="16138" width="1.7109375" style="847" customWidth="1"/>
    <col min="16139" max="16139" width="7.7109375" style="847" customWidth="1"/>
    <col min="16140" max="16140" width="8" style="847" customWidth="1"/>
    <col min="16141" max="16141" width="1.7109375" style="847" customWidth="1"/>
    <col min="16142" max="16142" width="7.7109375" style="847" customWidth="1"/>
    <col min="16143" max="16143" width="9" style="847" customWidth="1"/>
    <col min="16144" max="16144" width="1.7109375" style="847" customWidth="1"/>
    <col min="16145" max="16146" width="7.7109375" style="847" customWidth="1"/>
    <col min="16147" max="16147" width="1.7109375" style="847" customWidth="1"/>
    <col min="16148" max="16148" width="5.7109375" style="847" customWidth="1"/>
    <col min="16149" max="16384" width="9.140625" style="847"/>
  </cols>
  <sheetData>
    <row r="1" spans="1:19" ht="12.75" customHeight="1">
      <c r="A1" s="847" t="s">
        <v>496</v>
      </c>
    </row>
    <row r="2" spans="1:19" ht="12.75" customHeight="1">
      <c r="A2" s="847" t="s">
        <v>497</v>
      </c>
      <c r="E2" s="856"/>
      <c r="F2" s="1032"/>
    </row>
    <row r="3" spans="1:19" ht="6.75" customHeight="1"/>
    <row r="4" spans="1:19">
      <c r="A4" s="854" t="s">
        <v>1717</v>
      </c>
    </row>
    <row r="5" spans="1:19" ht="10.5" customHeight="1" thickBot="1">
      <c r="L5" s="1031"/>
      <c r="O5" s="1031"/>
      <c r="P5" s="1031"/>
      <c r="R5" s="943"/>
      <c r="S5" s="943"/>
    </row>
    <row r="6" spans="1:19" ht="10.5" customHeight="1">
      <c r="A6" s="850"/>
      <c r="B6" s="1033"/>
      <c r="C6" s="1034"/>
      <c r="D6" s="870"/>
      <c r="E6" s="1035"/>
      <c r="F6" s="1034"/>
      <c r="G6" s="870"/>
      <c r="H6" s="1035"/>
      <c r="I6" s="1034"/>
      <c r="J6" s="1034"/>
      <c r="K6" s="1035"/>
      <c r="L6" s="1034"/>
      <c r="M6" s="870"/>
      <c r="N6" s="1035"/>
      <c r="O6" s="1034"/>
      <c r="P6" s="1034"/>
      <c r="Q6" s="1035"/>
      <c r="R6" s="993"/>
      <c r="S6" s="993"/>
    </row>
    <row r="7" spans="1:19">
      <c r="A7" s="849" t="s">
        <v>1718</v>
      </c>
      <c r="B7" s="857" t="s">
        <v>1719</v>
      </c>
      <c r="C7" s="1036"/>
      <c r="D7" s="877"/>
      <c r="E7" s="1322" t="s">
        <v>1720</v>
      </c>
      <c r="F7" s="1322"/>
      <c r="G7" s="877"/>
      <c r="H7" s="1322" t="s">
        <v>1721</v>
      </c>
      <c r="I7" s="1322"/>
      <c r="J7" s="1036"/>
      <c r="K7" s="1322" t="s">
        <v>1722</v>
      </c>
      <c r="L7" s="1322"/>
      <c r="M7" s="877"/>
      <c r="N7" s="1322" t="s">
        <v>1723</v>
      </c>
      <c r="O7" s="1322"/>
      <c r="Q7" s="1323" t="s">
        <v>1724</v>
      </c>
      <c r="R7" s="1323"/>
    </row>
    <row r="8" spans="1:19">
      <c r="A8" s="847" t="s">
        <v>1725</v>
      </c>
      <c r="B8" s="1037" t="s">
        <v>323</v>
      </c>
      <c r="C8" s="1038" t="s">
        <v>324</v>
      </c>
      <c r="D8" s="877"/>
      <c r="E8" s="1039" t="s">
        <v>323</v>
      </c>
      <c r="F8" s="1038" t="s">
        <v>324</v>
      </c>
      <c r="G8" s="877"/>
      <c r="H8" s="1039" t="s">
        <v>323</v>
      </c>
      <c r="I8" s="1038" t="s">
        <v>324</v>
      </c>
      <c r="J8" s="1038"/>
      <c r="K8" s="1039" t="s">
        <v>323</v>
      </c>
      <c r="L8" s="1038" t="s">
        <v>324</v>
      </c>
      <c r="M8" s="877"/>
      <c r="N8" s="1039" t="s">
        <v>323</v>
      </c>
      <c r="O8" s="1038" t="s">
        <v>324</v>
      </c>
      <c r="Q8" s="1039" t="s">
        <v>323</v>
      </c>
      <c r="R8" s="1029" t="s">
        <v>324</v>
      </c>
    </row>
    <row r="9" spans="1:19" ht="10.5" customHeight="1" thickBot="1">
      <c r="A9" s="848"/>
      <c r="B9" s="1040"/>
      <c r="C9" s="1041"/>
      <c r="D9" s="897"/>
      <c r="E9" s="1042"/>
      <c r="F9" s="1041"/>
      <c r="G9" s="897"/>
      <c r="H9" s="1042"/>
      <c r="I9" s="1041"/>
      <c r="J9" s="1041"/>
      <c r="K9" s="1042"/>
      <c r="L9" s="1041"/>
      <c r="M9" s="897"/>
      <c r="N9" s="1042"/>
      <c r="O9" s="1041"/>
      <c r="P9" s="1041"/>
      <c r="Q9" s="1042"/>
      <c r="R9" s="996"/>
      <c r="S9" s="996"/>
    </row>
    <row r="10" spans="1:19" ht="9.9499999999999993" customHeight="1">
      <c r="A10" s="849"/>
      <c r="B10" s="857"/>
      <c r="C10" s="1036"/>
      <c r="D10" s="877"/>
      <c r="E10" s="859"/>
      <c r="F10" s="1036"/>
      <c r="G10" s="877"/>
      <c r="H10" s="859"/>
      <c r="I10" s="1036"/>
      <c r="J10" s="1036"/>
      <c r="K10" s="859"/>
      <c r="L10" s="1036"/>
      <c r="M10" s="877"/>
      <c r="N10" s="859"/>
      <c r="O10" s="1036"/>
      <c r="Q10" s="859"/>
      <c r="R10" s="999"/>
    </row>
    <row r="11" spans="1:19">
      <c r="A11" s="867" t="s">
        <v>325</v>
      </c>
      <c r="B11" s="857">
        <f>IF(A11&lt;&gt;0,E11+H11+K11+N11+Q11,"")</f>
        <v>22151</v>
      </c>
      <c r="C11" s="1036">
        <f>SUM(C13+C96)</f>
        <v>100</v>
      </c>
      <c r="D11" s="877"/>
      <c r="E11" s="1043">
        <f>SUM(E13+E96)</f>
        <v>8498</v>
      </c>
      <c r="F11" s="1044">
        <f>IF(A11&lt;&gt;0,E11/B11*100,"")</f>
        <v>38.363956480520066</v>
      </c>
      <c r="G11" s="1045"/>
      <c r="H11" s="1043">
        <f>SUM(H13+H96)</f>
        <v>10952</v>
      </c>
      <c r="I11" s="1044">
        <f>IF(A11&lt;&gt;0,H11/B11*100,"")</f>
        <v>49.442463094216968</v>
      </c>
      <c r="J11" s="1044"/>
      <c r="K11" s="1043">
        <f>SUM(K13+K96)</f>
        <v>2165</v>
      </c>
      <c r="L11" s="1044">
        <f>IF(A11&lt;&gt;0,K11/B11*100,"")</f>
        <v>9.7738251094758706</v>
      </c>
      <c r="M11" s="1045"/>
      <c r="N11" s="1043">
        <f>SUM(N13+N96)</f>
        <v>351</v>
      </c>
      <c r="O11" s="1044">
        <f>IF(A11&lt;&gt;0,N11/B11*100,"")</f>
        <v>1.5845785743307299</v>
      </c>
      <c r="P11" s="1046"/>
      <c r="Q11" s="1043">
        <f>SUM(Q13+Q96)</f>
        <v>185</v>
      </c>
      <c r="R11" s="1030">
        <f>IF(A11&lt;&gt;0,Q11/B11*100,"")</f>
        <v>0.83517674145636767</v>
      </c>
    </row>
    <row r="12" spans="1:19" ht="9.9499999999999993" customHeight="1">
      <c r="B12" s="857" t="str">
        <f t="shared" ref="B12:B75" si="0">IF(A12&lt;&gt;0,E12+H12+K12+N12+Q12,"")</f>
        <v/>
      </c>
      <c r="C12" s="1036" t="str">
        <f t="shared" ref="C12:C75" si="1">IF(A12&lt;&gt;0,B12/$B$11*100,"")</f>
        <v/>
      </c>
      <c r="D12" s="877"/>
      <c r="E12" s="1043"/>
      <c r="F12" s="1044" t="str">
        <f t="shared" ref="F12:F75" si="2">IF(A12&lt;&gt;0,E12/B12*100,"")</f>
        <v/>
      </c>
      <c r="G12" s="1045"/>
      <c r="H12" s="1043"/>
      <c r="I12" s="1044" t="str">
        <f t="shared" ref="I12:I75" si="3">IF(A12&lt;&gt;0,H12/B12*100,"")</f>
        <v/>
      </c>
      <c r="J12" s="1044"/>
      <c r="K12" s="1043"/>
      <c r="L12" s="1044" t="str">
        <f t="shared" ref="L12:L75" si="4">IF(A12&lt;&gt;0,K12/B12*100,"")</f>
        <v/>
      </c>
      <c r="M12" s="1045"/>
      <c r="N12" s="1043"/>
      <c r="O12" s="1044" t="str">
        <f t="shared" ref="O12:O75" si="5">IF(A12&lt;&gt;0,N12/B12*100,"")</f>
        <v/>
      </c>
      <c r="P12" s="1046"/>
      <c r="Q12" s="1043"/>
      <c r="R12" s="1030" t="str">
        <f t="shared" ref="R12:R75" si="6">IF(A12&lt;&gt;0,Q12/B12*100,"")</f>
        <v/>
      </c>
    </row>
    <row r="13" spans="1:19">
      <c r="A13" s="867" t="s">
        <v>326</v>
      </c>
      <c r="B13" s="857">
        <f t="shared" si="0"/>
        <v>14579</v>
      </c>
      <c r="C13" s="1036">
        <f t="shared" si="1"/>
        <v>65.816441695634509</v>
      </c>
      <c r="D13" s="877"/>
      <c r="E13" s="1043">
        <f>SUM(E15+E26+E34+E74+E60+E81+E93+E94)</f>
        <v>5307</v>
      </c>
      <c r="F13" s="1044">
        <f t="shared" si="2"/>
        <v>36.401673640167367</v>
      </c>
      <c r="G13" s="1045"/>
      <c r="H13" s="1043">
        <f>SUM(H15+H26+H34+H74+H60+H81+H93+H94)</f>
        <v>7407</v>
      </c>
      <c r="I13" s="1044">
        <f t="shared" si="3"/>
        <v>50.805953769119974</v>
      </c>
      <c r="J13" s="1044"/>
      <c r="K13" s="1043">
        <f>SUM(K15+K26+K34+K74+K60+K81+K93+K94)</f>
        <v>1515</v>
      </c>
      <c r="L13" s="1044">
        <f t="shared" si="4"/>
        <v>10.391659235887236</v>
      </c>
      <c r="M13" s="1045"/>
      <c r="N13" s="1043">
        <f>SUM(N15+N26+N34+N74+N60+N81+N93+N94)</f>
        <v>225</v>
      </c>
      <c r="O13" s="1044">
        <f t="shared" si="5"/>
        <v>1.5433157281020646</v>
      </c>
      <c r="P13" s="1046"/>
      <c r="Q13" s="1043">
        <f>SUM(Q15+Q26+Q34+Q74+Q60+Q81+Q93+Q94)</f>
        <v>125</v>
      </c>
      <c r="R13" s="1030">
        <f t="shared" si="6"/>
        <v>0.85739762672336928</v>
      </c>
    </row>
    <row r="14" spans="1:19" ht="9.9499999999999993" customHeight="1">
      <c r="A14" s="867"/>
      <c r="B14" s="857" t="str">
        <f t="shared" si="0"/>
        <v/>
      </c>
      <c r="C14" s="1036"/>
      <c r="D14" s="877"/>
      <c r="E14" s="1043"/>
      <c r="F14" s="1044"/>
      <c r="G14" s="1045"/>
      <c r="H14" s="1043"/>
      <c r="I14" s="1044"/>
      <c r="J14" s="1044"/>
      <c r="K14" s="1043"/>
      <c r="L14" s="1044"/>
      <c r="M14" s="1045"/>
      <c r="N14" s="1043"/>
      <c r="O14" s="1044"/>
      <c r="P14" s="1046"/>
      <c r="Q14" s="1043"/>
      <c r="R14" s="1030"/>
    </row>
    <row r="15" spans="1:19">
      <c r="A15" s="867" t="s">
        <v>327</v>
      </c>
      <c r="B15" s="857">
        <f t="shared" si="0"/>
        <v>1431</v>
      </c>
      <c r="C15" s="1036">
        <f t="shared" si="1"/>
        <v>6.4602049568868223</v>
      </c>
      <c r="D15" s="877"/>
      <c r="E15" s="1043">
        <f>SUM(E16+E21)</f>
        <v>451</v>
      </c>
      <c r="F15" s="1044">
        <f t="shared" si="2"/>
        <v>31.516422082459815</v>
      </c>
      <c r="G15" s="1045"/>
      <c r="H15" s="1043">
        <f>SUM(H16+H21)</f>
        <v>738</v>
      </c>
      <c r="I15" s="1044">
        <f t="shared" si="3"/>
        <v>51.572327044025158</v>
      </c>
      <c r="J15" s="1044"/>
      <c r="K15" s="1043">
        <f>SUM(K16+K21)</f>
        <v>187</v>
      </c>
      <c r="L15" s="1044">
        <f t="shared" si="4"/>
        <v>13.067784765897974</v>
      </c>
      <c r="M15" s="1045"/>
      <c r="N15" s="1043">
        <f>SUM(N16+N21)</f>
        <v>33</v>
      </c>
      <c r="O15" s="1044">
        <f t="shared" si="5"/>
        <v>2.3060796645702304</v>
      </c>
      <c r="P15" s="1046"/>
      <c r="Q15" s="1043">
        <f>SUM(Q16+Q21)</f>
        <v>22</v>
      </c>
      <c r="R15" s="1030">
        <f t="shared" si="6"/>
        <v>1.5373864430468203</v>
      </c>
    </row>
    <row r="16" spans="1:19" ht="12.95" customHeight="1">
      <c r="A16" s="847" t="s">
        <v>20</v>
      </c>
      <c r="B16" s="857">
        <f t="shared" si="0"/>
        <v>426</v>
      </c>
      <c r="C16" s="1036">
        <f t="shared" si="1"/>
        <v>1.9231637397860144</v>
      </c>
      <c r="D16" s="877"/>
      <c r="E16" s="1043">
        <f>SUM(E17:E19)</f>
        <v>92</v>
      </c>
      <c r="F16" s="1044">
        <f t="shared" si="2"/>
        <v>21.5962441314554</v>
      </c>
      <c r="G16" s="1045"/>
      <c r="H16" s="1043">
        <f>SUM(H17:H19)</f>
        <v>223</v>
      </c>
      <c r="I16" s="1044">
        <f t="shared" si="3"/>
        <v>52.347417840375584</v>
      </c>
      <c r="J16" s="1044"/>
      <c r="K16" s="1043">
        <f>SUM(K17:K19)</f>
        <v>84</v>
      </c>
      <c r="L16" s="1044">
        <f t="shared" si="4"/>
        <v>19.718309859154928</v>
      </c>
      <c r="M16" s="1045"/>
      <c r="N16" s="1043">
        <f>SUM(N17:N19)</f>
        <v>17</v>
      </c>
      <c r="O16" s="1044">
        <f t="shared" si="5"/>
        <v>3.9906103286384975</v>
      </c>
      <c r="P16" s="1046"/>
      <c r="Q16" s="1043">
        <f>SUM(Q17:Q19)</f>
        <v>10</v>
      </c>
      <c r="R16" s="1030">
        <f t="shared" si="6"/>
        <v>2.3474178403755865</v>
      </c>
    </row>
    <row r="17" spans="1:20" ht="12.95" customHeight="1">
      <c r="A17" s="847" t="s">
        <v>21</v>
      </c>
      <c r="B17" s="857">
        <f>IF(A17&lt;&gt;0,E17+H17+K17+N17+Q17,"")</f>
        <v>69</v>
      </c>
      <c r="C17" s="1036">
        <f t="shared" si="1"/>
        <v>0.31149835221886146</v>
      </c>
      <c r="D17" s="877"/>
      <c r="E17" s="1047">
        <v>10</v>
      </c>
      <c r="F17" s="1044">
        <f t="shared" si="2"/>
        <v>14.492753623188406</v>
      </c>
      <c r="G17" s="1047"/>
      <c r="H17" s="1047">
        <v>38</v>
      </c>
      <c r="I17" s="1044">
        <f t="shared" si="3"/>
        <v>55.072463768115945</v>
      </c>
      <c r="J17" s="1047"/>
      <c r="K17" s="1047">
        <v>17</v>
      </c>
      <c r="L17" s="1044">
        <f t="shared" si="4"/>
        <v>24.637681159420293</v>
      </c>
      <c r="M17" s="1047"/>
      <c r="N17" s="1047">
        <v>4</v>
      </c>
      <c r="O17" s="1044">
        <f t="shared" si="5"/>
        <v>5.7971014492753623</v>
      </c>
      <c r="P17" s="1047"/>
      <c r="Q17" s="1047">
        <v>0</v>
      </c>
      <c r="R17" s="1030">
        <f t="shared" si="6"/>
        <v>0</v>
      </c>
    </row>
    <row r="18" spans="1:20" ht="12.95" customHeight="1">
      <c r="A18" s="847" t="s">
        <v>22</v>
      </c>
      <c r="B18" s="857">
        <f>IF(A18&lt;&gt;0,E18+H18+K18+N18+Q18,"")</f>
        <v>91</v>
      </c>
      <c r="C18" s="1036">
        <f t="shared" si="1"/>
        <v>0.41081666741907813</v>
      </c>
      <c r="D18" s="877"/>
      <c r="E18" s="1047">
        <v>21</v>
      </c>
      <c r="F18" s="1044">
        <f t="shared" si="2"/>
        <v>23.076923076923077</v>
      </c>
      <c r="G18" s="1047"/>
      <c r="H18" s="1047">
        <v>48</v>
      </c>
      <c r="I18" s="1044">
        <f t="shared" si="3"/>
        <v>52.747252747252752</v>
      </c>
      <c r="J18" s="1047"/>
      <c r="K18" s="1047">
        <v>20</v>
      </c>
      <c r="L18" s="1044">
        <f t="shared" si="4"/>
        <v>21.978021978021978</v>
      </c>
      <c r="M18" s="1047"/>
      <c r="N18" s="1047">
        <v>1</v>
      </c>
      <c r="O18" s="1044">
        <f t="shared" si="5"/>
        <v>1.098901098901099</v>
      </c>
      <c r="P18" s="1047"/>
      <c r="Q18" s="1047">
        <v>1</v>
      </c>
      <c r="R18" s="1030">
        <f t="shared" si="6"/>
        <v>1.098901098901099</v>
      </c>
      <c r="T18" s="847">
        <v>0</v>
      </c>
    </row>
    <row r="19" spans="1:20" ht="12.95" customHeight="1">
      <c r="A19" s="847" t="s">
        <v>23</v>
      </c>
      <c r="B19" s="857">
        <f>IF(A19&lt;&gt;0,E19+H19+K19+N19+Q19,"")</f>
        <v>266</v>
      </c>
      <c r="C19" s="1036">
        <f t="shared" si="1"/>
        <v>1.2008487201480744</v>
      </c>
      <c r="D19" s="877"/>
      <c r="E19" s="1047">
        <v>61</v>
      </c>
      <c r="F19" s="1044">
        <f t="shared" si="2"/>
        <v>22.932330827067666</v>
      </c>
      <c r="G19" s="1047"/>
      <c r="H19" s="1047">
        <v>137</v>
      </c>
      <c r="I19" s="1044">
        <f t="shared" si="3"/>
        <v>51.503759398496243</v>
      </c>
      <c r="J19" s="1047"/>
      <c r="K19" s="1047">
        <v>47</v>
      </c>
      <c r="L19" s="1044">
        <f t="shared" si="4"/>
        <v>17.669172932330827</v>
      </c>
      <c r="M19" s="1047"/>
      <c r="N19" s="1047">
        <v>12</v>
      </c>
      <c r="O19" s="1044">
        <f t="shared" si="5"/>
        <v>4.5112781954887211</v>
      </c>
      <c r="P19" s="1047"/>
      <c r="Q19" s="1047">
        <v>9</v>
      </c>
      <c r="R19" s="1030">
        <f t="shared" si="6"/>
        <v>3.3834586466165413</v>
      </c>
    </row>
    <row r="20" spans="1:20" ht="9.9499999999999993" customHeight="1">
      <c r="B20" s="857" t="str">
        <f t="shared" si="0"/>
        <v/>
      </c>
      <c r="C20" s="1036" t="str">
        <f t="shared" si="1"/>
        <v/>
      </c>
      <c r="D20" s="877"/>
      <c r="E20" s="1043"/>
      <c r="F20" s="1044" t="str">
        <f t="shared" si="2"/>
        <v/>
      </c>
      <c r="G20" s="1045"/>
      <c r="H20" s="1043"/>
      <c r="I20" s="1044" t="str">
        <f t="shared" si="3"/>
        <v/>
      </c>
      <c r="J20" s="1044"/>
      <c r="K20" s="1043"/>
      <c r="L20" s="1044" t="str">
        <f t="shared" si="4"/>
        <v/>
      </c>
      <c r="M20" s="1045"/>
      <c r="N20" s="1043"/>
      <c r="O20" s="1044" t="str">
        <f t="shared" si="5"/>
        <v/>
      </c>
      <c r="P20" s="1046"/>
      <c r="Q20" s="1043"/>
      <c r="R20" s="1030" t="str">
        <f t="shared" si="6"/>
        <v/>
      </c>
    </row>
    <row r="21" spans="1:20">
      <c r="A21" s="847" t="s">
        <v>24</v>
      </c>
      <c r="B21" s="857">
        <f t="shared" si="0"/>
        <v>1005</v>
      </c>
      <c r="C21" s="1036">
        <f t="shared" si="1"/>
        <v>4.5370412171008079</v>
      </c>
      <c r="D21" s="877"/>
      <c r="E21" s="1043">
        <f>SUM(E22:E24)</f>
        <v>359</v>
      </c>
      <c r="F21" s="1044">
        <f t="shared" si="2"/>
        <v>35.721393034825873</v>
      </c>
      <c r="G21" s="1045"/>
      <c r="H21" s="1043">
        <f>SUM(H22:H24)</f>
        <v>515</v>
      </c>
      <c r="I21" s="1044">
        <f t="shared" si="3"/>
        <v>51.243781094527364</v>
      </c>
      <c r="J21" s="1044"/>
      <c r="K21" s="1043">
        <f>SUM(K22:K24)</f>
        <v>103</v>
      </c>
      <c r="L21" s="1044">
        <f t="shared" si="4"/>
        <v>10.248756218905472</v>
      </c>
      <c r="M21" s="1045"/>
      <c r="N21" s="1043">
        <f>SUM(N22:N24)</f>
        <v>16</v>
      </c>
      <c r="O21" s="1044">
        <f t="shared" si="5"/>
        <v>1.5920398009950247</v>
      </c>
      <c r="P21" s="1046"/>
      <c r="Q21" s="1043">
        <f>SUM(Q22:Q24)</f>
        <v>12</v>
      </c>
      <c r="R21" s="1030">
        <f t="shared" si="6"/>
        <v>1.1940298507462688</v>
      </c>
    </row>
    <row r="22" spans="1:20" ht="12.95" customHeight="1">
      <c r="A22" s="847" t="s">
        <v>25</v>
      </c>
      <c r="B22" s="857">
        <f>IF(A22&lt;&gt;0,E22+H22+K22+N22+Q22,"")</f>
        <v>330</v>
      </c>
      <c r="C22" s="1036">
        <f t="shared" si="1"/>
        <v>1.4897747280032503</v>
      </c>
      <c r="D22" s="877"/>
      <c r="E22" s="1047">
        <v>106</v>
      </c>
      <c r="F22" s="1044">
        <f t="shared" si="2"/>
        <v>32.121212121212125</v>
      </c>
      <c r="G22" s="1047"/>
      <c r="H22" s="1047">
        <v>177</v>
      </c>
      <c r="I22" s="1044">
        <f t="shared" si="3"/>
        <v>53.63636363636364</v>
      </c>
      <c r="J22" s="1047"/>
      <c r="K22" s="1047">
        <v>38</v>
      </c>
      <c r="L22" s="1044">
        <f t="shared" si="4"/>
        <v>11.515151515151516</v>
      </c>
      <c r="M22" s="1047"/>
      <c r="N22" s="1047">
        <v>5</v>
      </c>
      <c r="O22" s="1044">
        <f t="shared" si="5"/>
        <v>1.5151515151515151</v>
      </c>
      <c r="P22" s="1047"/>
      <c r="Q22" s="1047">
        <v>4</v>
      </c>
      <c r="R22" s="1030">
        <f t="shared" si="6"/>
        <v>1.2121212121212122</v>
      </c>
    </row>
    <row r="23" spans="1:20" ht="12.95" customHeight="1">
      <c r="A23" s="847" t="s">
        <v>26</v>
      </c>
      <c r="B23" s="857">
        <f>IF(A23&lt;&gt;0,E23+H23+K23+N23+Q23,"")</f>
        <v>162</v>
      </c>
      <c r="C23" s="1036">
        <f t="shared" si="1"/>
        <v>0.73134395738341385</v>
      </c>
      <c r="D23" s="877"/>
      <c r="E23" s="1047">
        <v>34</v>
      </c>
      <c r="F23" s="1044">
        <f t="shared" si="2"/>
        <v>20.987654320987652</v>
      </c>
      <c r="G23" s="1047"/>
      <c r="H23" s="1047">
        <v>92</v>
      </c>
      <c r="I23" s="1044">
        <f t="shared" si="3"/>
        <v>56.79012345679012</v>
      </c>
      <c r="J23" s="1047"/>
      <c r="K23" s="1047">
        <v>28</v>
      </c>
      <c r="L23" s="1044">
        <f t="shared" si="4"/>
        <v>17.283950617283949</v>
      </c>
      <c r="M23" s="1047"/>
      <c r="N23" s="1047">
        <v>2</v>
      </c>
      <c r="O23" s="1044">
        <f t="shared" si="5"/>
        <v>1.2345679012345678</v>
      </c>
      <c r="P23" s="1047"/>
      <c r="Q23" s="1047">
        <v>6</v>
      </c>
      <c r="R23" s="1030">
        <f t="shared" si="6"/>
        <v>3.7037037037037033</v>
      </c>
    </row>
    <row r="24" spans="1:20" ht="12.95" customHeight="1">
      <c r="A24" s="847" t="s">
        <v>27</v>
      </c>
      <c r="B24" s="857">
        <f>IF(A24&lt;&gt;0,E24+H24+K24+N24+Q24,"")</f>
        <v>513</v>
      </c>
      <c r="C24" s="1036">
        <f t="shared" si="1"/>
        <v>2.3159225317141439</v>
      </c>
      <c r="D24" s="877"/>
      <c r="E24" s="1047">
        <v>219</v>
      </c>
      <c r="F24" s="1044">
        <f t="shared" si="2"/>
        <v>42.690058479532162</v>
      </c>
      <c r="G24" s="1047"/>
      <c r="H24" s="1047">
        <v>246</v>
      </c>
      <c r="I24" s="1044">
        <f t="shared" si="3"/>
        <v>47.953216374269005</v>
      </c>
      <c r="J24" s="1047"/>
      <c r="K24" s="1047">
        <v>37</v>
      </c>
      <c r="L24" s="1044">
        <f t="shared" si="4"/>
        <v>7.2124756335282649</v>
      </c>
      <c r="M24" s="1047"/>
      <c r="N24" s="1047">
        <v>9</v>
      </c>
      <c r="O24" s="1044">
        <f t="shared" si="5"/>
        <v>1.7543859649122806</v>
      </c>
      <c r="P24" s="1047"/>
      <c r="Q24" s="1047">
        <v>2</v>
      </c>
      <c r="R24" s="1030">
        <f t="shared" si="6"/>
        <v>0.38986354775828458</v>
      </c>
    </row>
    <row r="25" spans="1:20" ht="9.9499999999999993" customHeight="1">
      <c r="B25" s="857" t="str">
        <f t="shared" si="0"/>
        <v/>
      </c>
      <c r="C25" s="1036" t="str">
        <f t="shared" si="1"/>
        <v/>
      </c>
      <c r="D25" s="877"/>
      <c r="E25" s="1043"/>
      <c r="F25" s="1044" t="str">
        <f t="shared" si="2"/>
        <v/>
      </c>
      <c r="G25" s="1045"/>
      <c r="H25" s="1043"/>
      <c r="I25" s="1044" t="str">
        <f t="shared" si="3"/>
        <v/>
      </c>
      <c r="J25" s="1044"/>
      <c r="K25" s="1043"/>
      <c r="L25" s="1044" t="str">
        <f t="shared" si="4"/>
        <v/>
      </c>
      <c r="M25" s="1045"/>
      <c r="N25" s="1043"/>
      <c r="O25" s="1044" t="str">
        <f t="shared" si="5"/>
        <v/>
      </c>
      <c r="P25" s="1046"/>
      <c r="Q25" s="1043"/>
      <c r="R25" s="1030" t="str">
        <f t="shared" si="6"/>
        <v/>
      </c>
    </row>
    <row r="26" spans="1:20">
      <c r="A26" s="867" t="s">
        <v>375</v>
      </c>
      <c r="B26" s="857">
        <f t="shared" si="0"/>
        <v>871</v>
      </c>
      <c r="C26" s="1036">
        <f t="shared" si="1"/>
        <v>3.9321023881540338</v>
      </c>
      <c r="D26" s="877"/>
      <c r="E26" s="1043">
        <f>SUM(E27)</f>
        <v>306</v>
      </c>
      <c r="F26" s="1044">
        <f t="shared" si="2"/>
        <v>35.132032146957521</v>
      </c>
      <c r="G26" s="1045"/>
      <c r="H26" s="1043">
        <f>SUM(H27)</f>
        <v>469</v>
      </c>
      <c r="I26" s="1044">
        <f t="shared" si="3"/>
        <v>53.846153846153847</v>
      </c>
      <c r="J26" s="1044"/>
      <c r="K26" s="1043">
        <f>SUM(K27)</f>
        <v>85</v>
      </c>
      <c r="L26" s="1044">
        <f t="shared" si="4"/>
        <v>9.758897818599312</v>
      </c>
      <c r="M26" s="1045"/>
      <c r="N26" s="1043">
        <f>SUM(N27)</f>
        <v>10</v>
      </c>
      <c r="O26" s="1044">
        <f t="shared" si="5"/>
        <v>1.1481056257175661</v>
      </c>
      <c r="P26" s="1046"/>
      <c r="Q26" s="1043">
        <f>SUM(Q27)</f>
        <v>1</v>
      </c>
      <c r="R26" s="1030">
        <f t="shared" si="6"/>
        <v>0.11481056257175661</v>
      </c>
    </row>
    <row r="27" spans="1:20" ht="12.95" customHeight="1">
      <c r="A27" s="847" t="s">
        <v>29</v>
      </c>
      <c r="B27" s="857">
        <f t="shared" si="0"/>
        <v>871</v>
      </c>
      <c r="C27" s="1036">
        <f t="shared" si="1"/>
        <v>3.9321023881540338</v>
      </c>
      <c r="D27" s="877"/>
      <c r="E27" s="1043">
        <f>SUM(E28:E32)</f>
        <v>306</v>
      </c>
      <c r="F27" s="1044">
        <f t="shared" si="2"/>
        <v>35.132032146957521</v>
      </c>
      <c r="G27" s="1045"/>
      <c r="H27" s="1043">
        <f>SUM(H28:H32)</f>
        <v>469</v>
      </c>
      <c r="I27" s="1044">
        <f t="shared" si="3"/>
        <v>53.846153846153847</v>
      </c>
      <c r="J27" s="1044"/>
      <c r="K27" s="1043">
        <f>SUM(K28:K32)</f>
        <v>85</v>
      </c>
      <c r="L27" s="1044">
        <f t="shared" si="4"/>
        <v>9.758897818599312</v>
      </c>
      <c r="M27" s="1045"/>
      <c r="N27" s="1043">
        <f>SUM(N28:N32)</f>
        <v>10</v>
      </c>
      <c r="O27" s="1044">
        <f t="shared" si="5"/>
        <v>1.1481056257175661</v>
      </c>
      <c r="P27" s="1046"/>
      <c r="Q27" s="1043">
        <f>SUM(Q28:Q32)</f>
        <v>1</v>
      </c>
      <c r="R27" s="1030">
        <f t="shared" si="6"/>
        <v>0.11481056257175661</v>
      </c>
    </row>
    <row r="28" spans="1:20" ht="12.95" customHeight="1">
      <c r="A28" s="847" t="s">
        <v>30</v>
      </c>
      <c r="B28" s="857">
        <f t="shared" si="0"/>
        <v>140</v>
      </c>
      <c r="C28" s="1036">
        <f t="shared" si="1"/>
        <v>0.63202564218319712</v>
      </c>
      <c r="D28" s="877"/>
      <c r="E28" s="1047">
        <v>44</v>
      </c>
      <c r="F28" s="1044">
        <f t="shared" si="2"/>
        <v>31.428571428571427</v>
      </c>
      <c r="G28" s="1047"/>
      <c r="H28" s="1047">
        <v>75</v>
      </c>
      <c r="I28" s="1044">
        <f t="shared" si="3"/>
        <v>53.571428571428569</v>
      </c>
      <c r="J28" s="1047"/>
      <c r="K28" s="1047">
        <v>19</v>
      </c>
      <c r="L28" s="1044">
        <f t="shared" si="4"/>
        <v>13.571428571428571</v>
      </c>
      <c r="M28" s="1047"/>
      <c r="N28" s="1047">
        <v>2</v>
      </c>
      <c r="O28" s="1044">
        <f t="shared" si="5"/>
        <v>1.4285714285714286</v>
      </c>
      <c r="P28" s="1047"/>
      <c r="Q28" s="1047">
        <v>0</v>
      </c>
      <c r="R28" s="1030">
        <f t="shared" si="6"/>
        <v>0</v>
      </c>
      <c r="T28" s="1046">
        <v>0</v>
      </c>
    </row>
    <row r="29" spans="1:20" ht="12.95" customHeight="1">
      <c r="A29" s="847" t="s">
        <v>31</v>
      </c>
      <c r="B29" s="857">
        <f t="shared" si="0"/>
        <v>230</v>
      </c>
      <c r="C29" s="1036">
        <f t="shared" si="1"/>
        <v>1.0383278407295382</v>
      </c>
      <c r="D29" s="877"/>
      <c r="E29" s="1047">
        <v>58</v>
      </c>
      <c r="F29" s="1044">
        <f t="shared" si="2"/>
        <v>25.217391304347824</v>
      </c>
      <c r="G29" s="1047"/>
      <c r="H29" s="1047">
        <v>144</v>
      </c>
      <c r="I29" s="1044">
        <f t="shared" si="3"/>
        <v>62.608695652173921</v>
      </c>
      <c r="J29" s="1047"/>
      <c r="K29" s="1047">
        <v>23</v>
      </c>
      <c r="L29" s="1044">
        <f t="shared" si="4"/>
        <v>10</v>
      </c>
      <c r="M29" s="1047"/>
      <c r="N29" s="1047">
        <v>5</v>
      </c>
      <c r="O29" s="1044">
        <f t="shared" si="5"/>
        <v>2.1739130434782608</v>
      </c>
      <c r="P29" s="1047"/>
      <c r="Q29" s="1047">
        <v>0</v>
      </c>
      <c r="R29" s="1030">
        <f t="shared" si="6"/>
        <v>0</v>
      </c>
      <c r="T29" s="1046">
        <v>0</v>
      </c>
    </row>
    <row r="30" spans="1:20" ht="12.95" customHeight="1">
      <c r="A30" s="847" t="s">
        <v>32</v>
      </c>
      <c r="B30" s="857">
        <f t="shared" si="0"/>
        <v>192</v>
      </c>
      <c r="C30" s="1036">
        <f t="shared" si="1"/>
        <v>0.86677802356552747</v>
      </c>
      <c r="D30" s="877"/>
      <c r="E30" s="1047">
        <v>76</v>
      </c>
      <c r="F30" s="1044">
        <f t="shared" si="2"/>
        <v>39.583333333333329</v>
      </c>
      <c r="G30" s="1047"/>
      <c r="H30" s="1047">
        <v>89</v>
      </c>
      <c r="I30" s="1044">
        <f t="shared" si="3"/>
        <v>46.354166666666671</v>
      </c>
      <c r="J30" s="1047"/>
      <c r="K30" s="1047">
        <v>25</v>
      </c>
      <c r="L30" s="1044">
        <f t="shared" si="4"/>
        <v>13.020833333333334</v>
      </c>
      <c r="M30" s="1047"/>
      <c r="N30" s="1047">
        <v>2</v>
      </c>
      <c r="O30" s="1044">
        <f t="shared" si="5"/>
        <v>1.0416666666666665</v>
      </c>
      <c r="P30" s="1047"/>
      <c r="Q30" s="1047">
        <v>0</v>
      </c>
      <c r="R30" s="1030">
        <f t="shared" si="6"/>
        <v>0</v>
      </c>
      <c r="T30" s="1046">
        <v>0</v>
      </c>
    </row>
    <row r="31" spans="1:20" ht="12.95" customHeight="1">
      <c r="A31" s="847" t="s">
        <v>33</v>
      </c>
      <c r="B31" s="857">
        <f t="shared" si="0"/>
        <v>159</v>
      </c>
      <c r="C31" s="1036">
        <f t="shared" si="1"/>
        <v>0.71780055076520244</v>
      </c>
      <c r="D31" s="877"/>
      <c r="E31" s="1047">
        <v>71</v>
      </c>
      <c r="F31" s="1044">
        <f t="shared" si="2"/>
        <v>44.654088050314463</v>
      </c>
      <c r="G31" s="1047"/>
      <c r="H31" s="1047">
        <v>77</v>
      </c>
      <c r="I31" s="1044">
        <f t="shared" si="3"/>
        <v>48.427672955974842</v>
      </c>
      <c r="J31" s="1047"/>
      <c r="K31" s="1047">
        <v>9</v>
      </c>
      <c r="L31" s="1044">
        <f t="shared" si="4"/>
        <v>5.6603773584905666</v>
      </c>
      <c r="M31" s="1047"/>
      <c r="N31" s="1047">
        <v>1</v>
      </c>
      <c r="O31" s="1044">
        <f t="shared" si="5"/>
        <v>0.62893081761006298</v>
      </c>
      <c r="P31" s="1047"/>
      <c r="Q31" s="1047">
        <v>1</v>
      </c>
      <c r="R31" s="1030">
        <f t="shared" si="6"/>
        <v>0.62893081761006298</v>
      </c>
      <c r="T31" s="1046"/>
    </row>
    <row r="32" spans="1:20" ht="12.95" customHeight="1">
      <c r="A32" s="847" t="s">
        <v>34</v>
      </c>
      <c r="B32" s="857">
        <f t="shared" si="0"/>
        <v>150</v>
      </c>
      <c r="C32" s="1036">
        <f t="shared" si="1"/>
        <v>0.67717033091056833</v>
      </c>
      <c r="D32" s="877"/>
      <c r="E32" s="1047">
        <v>57</v>
      </c>
      <c r="F32" s="1044">
        <f t="shared" si="2"/>
        <v>38</v>
      </c>
      <c r="G32" s="1047"/>
      <c r="H32" s="1047">
        <v>84</v>
      </c>
      <c r="I32" s="1044">
        <f t="shared" si="3"/>
        <v>56.000000000000007</v>
      </c>
      <c r="J32" s="1047"/>
      <c r="K32" s="1047">
        <v>9</v>
      </c>
      <c r="L32" s="1044">
        <f t="shared" si="4"/>
        <v>6</v>
      </c>
      <c r="M32" s="1047"/>
      <c r="N32" s="1047">
        <v>0</v>
      </c>
      <c r="O32" s="1044">
        <f t="shared" si="5"/>
        <v>0</v>
      </c>
      <c r="P32" s="1047"/>
      <c r="Q32" s="1047">
        <v>0</v>
      </c>
      <c r="R32" s="1030">
        <f t="shared" si="6"/>
        <v>0</v>
      </c>
      <c r="T32" s="1046">
        <v>0</v>
      </c>
    </row>
    <row r="33" spans="1:18" ht="9.9499999999999993" customHeight="1">
      <c r="B33" s="857" t="str">
        <f t="shared" si="0"/>
        <v/>
      </c>
      <c r="C33" s="1036" t="str">
        <f t="shared" si="1"/>
        <v/>
      </c>
      <c r="D33" s="877"/>
      <c r="E33" s="1043"/>
      <c r="F33" s="1044" t="str">
        <f t="shared" si="2"/>
        <v/>
      </c>
      <c r="G33" s="1045"/>
      <c r="H33" s="1043"/>
      <c r="I33" s="1044" t="str">
        <f t="shared" si="3"/>
        <v/>
      </c>
      <c r="J33" s="1044"/>
      <c r="K33" s="1043"/>
      <c r="L33" s="1044" t="str">
        <f t="shared" si="4"/>
        <v/>
      </c>
      <c r="M33" s="1045"/>
      <c r="N33" s="1043"/>
      <c r="O33" s="1044" t="str">
        <f t="shared" si="5"/>
        <v/>
      </c>
      <c r="P33" s="1046"/>
      <c r="Q33" s="1043"/>
      <c r="R33" s="1030" t="str">
        <f t="shared" si="6"/>
        <v/>
      </c>
    </row>
    <row r="34" spans="1:18">
      <c r="A34" s="867" t="s">
        <v>329</v>
      </c>
      <c r="B34" s="857">
        <f t="shared" si="0"/>
        <v>6619</v>
      </c>
      <c r="C34" s="1036">
        <f t="shared" si="1"/>
        <v>29.881269468647016</v>
      </c>
      <c r="D34" s="877"/>
      <c r="E34" s="1043">
        <f>SUM(E35+E41+E51+E53)</f>
        <v>2282</v>
      </c>
      <c r="F34" s="1044">
        <f t="shared" si="2"/>
        <v>34.476507025230397</v>
      </c>
      <c r="G34" s="1045"/>
      <c r="H34" s="1043">
        <f>SUM(H35+H41+H51+H53)</f>
        <v>3404</v>
      </c>
      <c r="I34" s="1044">
        <f t="shared" si="3"/>
        <v>51.427708113008009</v>
      </c>
      <c r="J34" s="1044"/>
      <c r="K34" s="1043">
        <f>SUM(K35+K41+K51+K53)</f>
        <v>736</v>
      </c>
      <c r="L34" s="1044">
        <f t="shared" si="4"/>
        <v>11.119504456866597</v>
      </c>
      <c r="M34" s="1045"/>
      <c r="N34" s="1043">
        <f>SUM(N35+N41+N51+N53)</f>
        <v>114</v>
      </c>
      <c r="O34" s="1044">
        <f t="shared" si="5"/>
        <v>1.7223145490255325</v>
      </c>
      <c r="P34" s="1046"/>
      <c r="Q34" s="1043">
        <f>SUM(Q35+Q41+Q51+Q53)</f>
        <v>83</v>
      </c>
      <c r="R34" s="1030">
        <f t="shared" si="6"/>
        <v>1.2539658558694666</v>
      </c>
    </row>
    <row r="35" spans="1:18" ht="12.95" customHeight="1">
      <c r="A35" s="847" t="s">
        <v>36</v>
      </c>
      <c r="B35" s="857">
        <f t="shared" si="0"/>
        <v>2223</v>
      </c>
      <c r="C35" s="1036">
        <f t="shared" si="1"/>
        <v>10.035664304094622</v>
      </c>
      <c r="D35" s="877"/>
      <c r="E35" s="1043">
        <f>SUM(E36:E39)</f>
        <v>854</v>
      </c>
      <c r="F35" s="1044">
        <f t="shared" si="2"/>
        <v>38.41655420602789</v>
      </c>
      <c r="G35" s="1045"/>
      <c r="H35" s="1043">
        <f>SUM(H36:H39)</f>
        <v>1145</v>
      </c>
      <c r="I35" s="1044">
        <f t="shared" si="3"/>
        <v>51.506972559604137</v>
      </c>
      <c r="J35" s="1044"/>
      <c r="K35" s="1043">
        <f>SUM(K36:K39)</f>
        <v>186</v>
      </c>
      <c r="L35" s="1044">
        <f t="shared" si="4"/>
        <v>8.3670715249662617</v>
      </c>
      <c r="M35" s="1045"/>
      <c r="N35" s="1043">
        <f>SUM(N36:N39)</f>
        <v>25</v>
      </c>
      <c r="O35" s="1044">
        <f t="shared" si="5"/>
        <v>1.1246063877642825</v>
      </c>
      <c r="P35" s="1046"/>
      <c r="Q35" s="1043">
        <f>SUM(Q36:Q39)</f>
        <v>13</v>
      </c>
      <c r="R35" s="1030">
        <f t="shared" si="6"/>
        <v>0.58479532163742687</v>
      </c>
    </row>
    <row r="36" spans="1:18" ht="12.95" customHeight="1">
      <c r="A36" s="847" t="s">
        <v>37</v>
      </c>
      <c r="B36" s="857">
        <f t="shared" si="0"/>
        <v>1197</v>
      </c>
      <c r="C36" s="1036">
        <f t="shared" si="1"/>
        <v>5.4038192406663352</v>
      </c>
      <c r="D36" s="877"/>
      <c r="E36" s="1047">
        <v>454</v>
      </c>
      <c r="F36" s="1044">
        <f t="shared" si="2"/>
        <v>37.928153717627403</v>
      </c>
      <c r="G36" s="1047"/>
      <c r="H36" s="1047">
        <v>618</v>
      </c>
      <c r="I36" s="1044">
        <f t="shared" si="3"/>
        <v>51.629072681704258</v>
      </c>
      <c r="J36" s="1047"/>
      <c r="K36" s="1047">
        <v>103</v>
      </c>
      <c r="L36" s="1044">
        <f t="shared" si="4"/>
        <v>8.6048454469507103</v>
      </c>
      <c r="M36" s="1047"/>
      <c r="N36" s="1047">
        <v>14</v>
      </c>
      <c r="O36" s="1044">
        <f t="shared" si="5"/>
        <v>1.1695906432748537</v>
      </c>
      <c r="P36" s="1047"/>
      <c r="Q36" s="1047">
        <v>8</v>
      </c>
      <c r="R36" s="1030">
        <f t="shared" si="6"/>
        <v>0.66833751044277356</v>
      </c>
    </row>
    <row r="37" spans="1:18" ht="12.95" customHeight="1">
      <c r="A37" s="847" t="s">
        <v>38</v>
      </c>
      <c r="B37" s="857">
        <f t="shared" si="0"/>
        <v>596</v>
      </c>
      <c r="C37" s="1036">
        <f t="shared" si="1"/>
        <v>2.6906234481513249</v>
      </c>
      <c r="D37" s="877"/>
      <c r="E37" s="1047">
        <v>218</v>
      </c>
      <c r="F37" s="1044">
        <f t="shared" si="2"/>
        <v>36.577181208053695</v>
      </c>
      <c r="G37" s="1047"/>
      <c r="H37" s="1047">
        <v>319</v>
      </c>
      <c r="I37" s="1044">
        <f t="shared" si="3"/>
        <v>53.523489932885902</v>
      </c>
      <c r="J37" s="1047"/>
      <c r="K37" s="1047">
        <v>48</v>
      </c>
      <c r="L37" s="1044">
        <f t="shared" si="4"/>
        <v>8.0536912751677843</v>
      </c>
      <c r="M37" s="1047"/>
      <c r="N37" s="1047">
        <v>6</v>
      </c>
      <c r="O37" s="1044">
        <f t="shared" si="5"/>
        <v>1.006711409395973</v>
      </c>
      <c r="P37" s="1047"/>
      <c r="Q37" s="1047">
        <v>5</v>
      </c>
      <c r="R37" s="1030">
        <f t="shared" si="6"/>
        <v>0.83892617449664431</v>
      </c>
    </row>
    <row r="38" spans="1:18" ht="12.95" customHeight="1">
      <c r="A38" s="847" t="s">
        <v>39</v>
      </c>
      <c r="B38" s="857">
        <f t="shared" si="0"/>
        <v>187</v>
      </c>
      <c r="C38" s="1036">
        <f t="shared" si="1"/>
        <v>0.84420567920184197</v>
      </c>
      <c r="D38" s="877"/>
      <c r="E38" s="1047">
        <v>83</v>
      </c>
      <c r="F38" s="1044">
        <f t="shared" si="2"/>
        <v>44.385026737967912</v>
      </c>
      <c r="G38" s="1047"/>
      <c r="H38" s="1047">
        <v>89</v>
      </c>
      <c r="I38" s="1044">
        <f t="shared" si="3"/>
        <v>47.593582887700535</v>
      </c>
      <c r="J38" s="1047"/>
      <c r="K38" s="1047">
        <v>13</v>
      </c>
      <c r="L38" s="1044">
        <f t="shared" si="4"/>
        <v>6.9518716577540109</v>
      </c>
      <c r="M38" s="1047"/>
      <c r="N38" s="1047">
        <v>2</v>
      </c>
      <c r="O38" s="1044">
        <f t="shared" si="5"/>
        <v>1.0695187165775399</v>
      </c>
      <c r="P38" s="1047"/>
      <c r="Q38" s="1047">
        <v>0</v>
      </c>
      <c r="R38" s="1030">
        <f t="shared" si="6"/>
        <v>0</v>
      </c>
    </row>
    <row r="39" spans="1:18" ht="12.95" customHeight="1">
      <c r="A39" s="847" t="s">
        <v>40</v>
      </c>
      <c r="B39" s="857">
        <f t="shared" si="0"/>
        <v>243</v>
      </c>
      <c r="C39" s="1036">
        <f t="shared" si="1"/>
        <v>1.0970159360751206</v>
      </c>
      <c r="D39" s="877"/>
      <c r="E39" s="1047">
        <v>99</v>
      </c>
      <c r="F39" s="1044">
        <f t="shared" si="2"/>
        <v>40.74074074074074</v>
      </c>
      <c r="G39" s="1047"/>
      <c r="H39" s="1047">
        <v>119</v>
      </c>
      <c r="I39" s="1044">
        <f t="shared" si="3"/>
        <v>48.971193415637856</v>
      </c>
      <c r="J39" s="1047"/>
      <c r="K39" s="1047">
        <v>22</v>
      </c>
      <c r="L39" s="1044">
        <f t="shared" si="4"/>
        <v>9.0534979423868318</v>
      </c>
      <c r="M39" s="1047"/>
      <c r="N39" s="1047">
        <v>3</v>
      </c>
      <c r="O39" s="1044">
        <f t="shared" si="5"/>
        <v>1.2345679012345678</v>
      </c>
      <c r="P39" s="1047"/>
      <c r="Q39" s="1047">
        <v>0</v>
      </c>
      <c r="R39" s="1030">
        <f t="shared" si="6"/>
        <v>0</v>
      </c>
    </row>
    <row r="40" spans="1:18" ht="9.9499999999999993" customHeight="1">
      <c r="B40" s="857" t="str">
        <f t="shared" si="0"/>
        <v/>
      </c>
      <c r="C40" s="1036" t="str">
        <f t="shared" si="1"/>
        <v/>
      </c>
      <c r="D40" s="877"/>
      <c r="E40" s="1043"/>
      <c r="F40" s="1044" t="str">
        <f t="shared" si="2"/>
        <v/>
      </c>
      <c r="G40" s="1045"/>
      <c r="H40" s="1043"/>
      <c r="I40" s="1044" t="str">
        <f t="shared" si="3"/>
        <v/>
      </c>
      <c r="J40" s="1044"/>
      <c r="K40" s="1043"/>
      <c r="L40" s="1044" t="str">
        <f t="shared" si="4"/>
        <v/>
      </c>
      <c r="M40" s="1045"/>
      <c r="N40" s="1043"/>
      <c r="O40" s="1044" t="str">
        <f t="shared" si="5"/>
        <v/>
      </c>
      <c r="P40" s="1046"/>
      <c r="Q40" s="1043"/>
      <c r="R40" s="1030" t="str">
        <f t="shared" si="6"/>
        <v/>
      </c>
    </row>
    <row r="41" spans="1:18">
      <c r="A41" s="847" t="s">
        <v>41</v>
      </c>
      <c r="B41" s="857">
        <f t="shared" si="0"/>
        <v>1955</v>
      </c>
      <c r="C41" s="1036">
        <f t="shared" si="1"/>
        <v>8.8257866462010739</v>
      </c>
      <c r="D41" s="877"/>
      <c r="E41" s="1043">
        <f>SUM(E42:E49)</f>
        <v>662</v>
      </c>
      <c r="F41" s="1044">
        <f t="shared" si="2"/>
        <v>33.861892583120209</v>
      </c>
      <c r="G41" s="1045"/>
      <c r="H41" s="1043">
        <f>SUM(H42:H49)</f>
        <v>1016</v>
      </c>
      <c r="I41" s="1044">
        <f t="shared" si="3"/>
        <v>51.969309462915604</v>
      </c>
      <c r="J41" s="1044"/>
      <c r="K41" s="1043">
        <f>SUM(K42:K49)</f>
        <v>215</v>
      </c>
      <c r="L41" s="1044">
        <f t="shared" si="4"/>
        <v>10.997442455242968</v>
      </c>
      <c r="M41" s="1045"/>
      <c r="N41" s="1043">
        <f>SUM(N42:N49)</f>
        <v>35</v>
      </c>
      <c r="O41" s="1044">
        <f t="shared" si="5"/>
        <v>1.7902813299232736</v>
      </c>
      <c r="P41" s="1046"/>
      <c r="Q41" s="1043">
        <f>SUM(Q42:Q49)</f>
        <v>27</v>
      </c>
      <c r="R41" s="1030">
        <f t="shared" si="6"/>
        <v>1.381074168797954</v>
      </c>
    </row>
    <row r="42" spans="1:18" ht="12.95" customHeight="1">
      <c r="A42" s="847" t="s">
        <v>49</v>
      </c>
      <c r="B42" s="857">
        <f t="shared" si="0"/>
        <v>262</v>
      </c>
      <c r="C42" s="1036">
        <f t="shared" si="1"/>
        <v>1.182790844657126</v>
      </c>
      <c r="D42" s="877"/>
      <c r="E42" s="1047">
        <v>81</v>
      </c>
      <c r="F42" s="1044">
        <f t="shared" si="2"/>
        <v>30.916030534351147</v>
      </c>
      <c r="G42" s="1047"/>
      <c r="H42" s="1047">
        <v>140</v>
      </c>
      <c r="I42" s="1044">
        <f t="shared" si="3"/>
        <v>53.435114503816791</v>
      </c>
      <c r="J42" s="1047"/>
      <c r="K42" s="1047">
        <v>32</v>
      </c>
      <c r="L42" s="1044">
        <f t="shared" si="4"/>
        <v>12.213740458015266</v>
      </c>
      <c r="M42" s="1047"/>
      <c r="N42" s="1047">
        <v>3</v>
      </c>
      <c r="O42" s="1044">
        <f t="shared" si="5"/>
        <v>1.1450381679389312</v>
      </c>
      <c r="P42" s="1047"/>
      <c r="Q42" s="1047">
        <v>6</v>
      </c>
      <c r="R42" s="1030">
        <f t="shared" si="6"/>
        <v>2.2900763358778624</v>
      </c>
    </row>
    <row r="43" spans="1:18" ht="12.95" customHeight="1">
      <c r="A43" s="854" t="s">
        <v>42</v>
      </c>
      <c r="B43" s="857">
        <f t="shared" si="0"/>
        <v>222</v>
      </c>
      <c r="C43" s="1036">
        <f t="shared" si="1"/>
        <v>1.0022120897476412</v>
      </c>
      <c r="D43" s="877"/>
      <c r="E43" s="1047">
        <v>68</v>
      </c>
      <c r="F43" s="1044">
        <f t="shared" si="2"/>
        <v>30.630630630630627</v>
      </c>
      <c r="G43" s="1047"/>
      <c r="H43" s="1047">
        <v>120</v>
      </c>
      <c r="I43" s="1044">
        <f t="shared" si="3"/>
        <v>54.054054054054056</v>
      </c>
      <c r="J43" s="1047"/>
      <c r="K43" s="1047">
        <v>25</v>
      </c>
      <c r="L43" s="1044">
        <f t="shared" si="4"/>
        <v>11.261261261261261</v>
      </c>
      <c r="M43" s="1047"/>
      <c r="N43" s="1047">
        <v>5</v>
      </c>
      <c r="O43" s="1044">
        <f t="shared" si="5"/>
        <v>2.2522522522522523</v>
      </c>
      <c r="P43" s="1047"/>
      <c r="Q43" s="1047">
        <v>4</v>
      </c>
      <c r="R43" s="1030">
        <f t="shared" si="6"/>
        <v>1.8018018018018018</v>
      </c>
    </row>
    <row r="44" spans="1:18" ht="12.95" customHeight="1">
      <c r="A44" s="847" t="s">
        <v>43</v>
      </c>
      <c r="B44" s="857">
        <f t="shared" si="0"/>
        <v>130</v>
      </c>
      <c r="C44" s="1036">
        <f t="shared" si="1"/>
        <v>0.58688095345582592</v>
      </c>
      <c r="D44" s="877"/>
      <c r="E44" s="1047">
        <v>43</v>
      </c>
      <c r="F44" s="1044">
        <f t="shared" si="2"/>
        <v>33.076923076923073</v>
      </c>
      <c r="G44" s="1047"/>
      <c r="H44" s="1047">
        <v>79</v>
      </c>
      <c r="I44" s="1044">
        <f t="shared" si="3"/>
        <v>60.769230769230766</v>
      </c>
      <c r="J44" s="1047"/>
      <c r="K44" s="1047">
        <v>5</v>
      </c>
      <c r="L44" s="1044">
        <f t="shared" si="4"/>
        <v>3.8461538461538463</v>
      </c>
      <c r="M44" s="1047"/>
      <c r="N44" s="1047">
        <v>3</v>
      </c>
      <c r="O44" s="1044">
        <f t="shared" si="5"/>
        <v>2.3076923076923079</v>
      </c>
      <c r="P44" s="1047"/>
      <c r="Q44" s="1047">
        <v>0</v>
      </c>
      <c r="R44" s="1030">
        <f t="shared" si="6"/>
        <v>0</v>
      </c>
    </row>
    <row r="45" spans="1:18" ht="12.95" customHeight="1">
      <c r="A45" s="847" t="s">
        <v>44</v>
      </c>
      <c r="B45" s="857">
        <f t="shared" si="0"/>
        <v>238</v>
      </c>
      <c r="C45" s="1036">
        <f t="shared" si="1"/>
        <v>1.0744435917114352</v>
      </c>
      <c r="D45" s="877"/>
      <c r="E45" s="1047">
        <v>112</v>
      </c>
      <c r="F45" s="1044">
        <f t="shared" si="2"/>
        <v>47.058823529411761</v>
      </c>
      <c r="G45" s="1047"/>
      <c r="H45" s="1047">
        <v>113</v>
      </c>
      <c r="I45" s="1044">
        <f t="shared" si="3"/>
        <v>47.47899159663865</v>
      </c>
      <c r="J45" s="1047"/>
      <c r="K45" s="1047">
        <v>12</v>
      </c>
      <c r="L45" s="1044">
        <f t="shared" si="4"/>
        <v>5.0420168067226889</v>
      </c>
      <c r="M45" s="1047"/>
      <c r="N45" s="1047">
        <v>1</v>
      </c>
      <c r="O45" s="1044">
        <f t="shared" si="5"/>
        <v>0.42016806722689076</v>
      </c>
      <c r="P45" s="1047"/>
      <c r="Q45" s="1047">
        <v>0</v>
      </c>
      <c r="R45" s="1030">
        <f t="shared" si="6"/>
        <v>0</v>
      </c>
    </row>
    <row r="46" spans="1:18" ht="12.95" customHeight="1">
      <c r="A46" s="847" t="s">
        <v>1699</v>
      </c>
      <c r="B46" s="857">
        <f t="shared" si="0"/>
        <v>216</v>
      </c>
      <c r="C46" s="1036">
        <f t="shared" si="1"/>
        <v>0.97512527651121839</v>
      </c>
      <c r="D46" s="877"/>
      <c r="E46" s="1047">
        <v>82</v>
      </c>
      <c r="F46" s="1044">
        <f t="shared" si="2"/>
        <v>37.962962962962962</v>
      </c>
      <c r="G46" s="1047"/>
      <c r="H46" s="1047">
        <v>103</v>
      </c>
      <c r="I46" s="1044">
        <f t="shared" si="3"/>
        <v>47.685185185185183</v>
      </c>
      <c r="J46" s="1047"/>
      <c r="K46" s="1047">
        <v>26</v>
      </c>
      <c r="L46" s="1044">
        <f t="shared" si="4"/>
        <v>12.037037037037036</v>
      </c>
      <c r="M46" s="1047"/>
      <c r="N46" s="1047">
        <v>3</v>
      </c>
      <c r="O46" s="1044">
        <f t="shared" si="5"/>
        <v>1.3888888888888888</v>
      </c>
      <c r="P46" s="1047"/>
      <c r="Q46" s="1047">
        <v>2</v>
      </c>
      <c r="R46" s="1030">
        <f t="shared" si="6"/>
        <v>0.92592592592592582</v>
      </c>
    </row>
    <row r="47" spans="1:18" ht="12.95" customHeight="1">
      <c r="A47" s="847" t="s">
        <v>331</v>
      </c>
      <c r="B47" s="857">
        <f t="shared" si="0"/>
        <v>409</v>
      </c>
      <c r="C47" s="1036">
        <f>IF(A47&lt;&gt;0,B47/$B$11*100,"")</f>
        <v>1.8464177689494832</v>
      </c>
      <c r="D47" s="877"/>
      <c r="E47" s="1047">
        <v>128</v>
      </c>
      <c r="F47" s="1044">
        <f t="shared" si="2"/>
        <v>31.295843520782395</v>
      </c>
      <c r="G47" s="1047"/>
      <c r="H47" s="1047">
        <v>202</v>
      </c>
      <c r="I47" s="1044">
        <f t="shared" si="3"/>
        <v>49.388753056234719</v>
      </c>
      <c r="J47" s="1047"/>
      <c r="K47" s="1047">
        <v>54</v>
      </c>
      <c r="L47" s="1044">
        <f t="shared" si="4"/>
        <v>13.202933985330073</v>
      </c>
      <c r="M47" s="1047"/>
      <c r="N47" s="1047">
        <v>16</v>
      </c>
      <c r="O47" s="1044">
        <f t="shared" si="5"/>
        <v>3.9119804400977993</v>
      </c>
      <c r="P47" s="1047"/>
      <c r="Q47" s="1047">
        <v>9</v>
      </c>
      <c r="R47" s="1030">
        <f>IF(A47&lt;&gt;0,Q47/B47*100,"")</f>
        <v>2.2004889975550124</v>
      </c>
    </row>
    <row r="48" spans="1:18" ht="12.95" customHeight="1">
      <c r="A48" s="847" t="s">
        <v>47</v>
      </c>
      <c r="B48" s="857">
        <f t="shared" si="0"/>
        <v>164</v>
      </c>
      <c r="C48" s="1036">
        <f t="shared" si="1"/>
        <v>0.74037289512888815</v>
      </c>
      <c r="D48" s="877"/>
      <c r="E48" s="1047">
        <v>43</v>
      </c>
      <c r="F48" s="1044">
        <f t="shared" si="2"/>
        <v>26.219512195121951</v>
      </c>
      <c r="G48" s="1047"/>
      <c r="H48" s="1047">
        <v>100</v>
      </c>
      <c r="I48" s="1044">
        <f t="shared" si="3"/>
        <v>60.975609756097562</v>
      </c>
      <c r="J48" s="1047"/>
      <c r="K48" s="1047">
        <v>16</v>
      </c>
      <c r="L48" s="1044">
        <f t="shared" si="4"/>
        <v>9.7560975609756095</v>
      </c>
      <c r="M48" s="1047"/>
      <c r="N48" s="1047">
        <v>2</v>
      </c>
      <c r="O48" s="1044">
        <f t="shared" si="5"/>
        <v>1.2195121951219512</v>
      </c>
      <c r="P48" s="1047"/>
      <c r="Q48" s="1047">
        <v>3</v>
      </c>
      <c r="R48" s="1030">
        <f t="shared" si="6"/>
        <v>1.8292682926829267</v>
      </c>
    </row>
    <row r="49" spans="1:18" ht="12.95" customHeight="1">
      <c r="A49" s="847" t="s">
        <v>46</v>
      </c>
      <c r="B49" s="857">
        <f t="shared" si="0"/>
        <v>314</v>
      </c>
      <c r="C49" s="1036">
        <f t="shared" si="1"/>
        <v>1.4175432260394565</v>
      </c>
      <c r="D49" s="877"/>
      <c r="E49" s="1047">
        <v>105</v>
      </c>
      <c r="F49" s="1044">
        <f t="shared" si="2"/>
        <v>33.439490445859867</v>
      </c>
      <c r="G49" s="1047"/>
      <c r="H49" s="1047">
        <v>159</v>
      </c>
      <c r="I49" s="1044">
        <f t="shared" si="3"/>
        <v>50.636942675159233</v>
      </c>
      <c r="J49" s="1047"/>
      <c r="K49" s="1047">
        <v>45</v>
      </c>
      <c r="L49" s="1044">
        <f t="shared" si="4"/>
        <v>14.331210191082802</v>
      </c>
      <c r="M49" s="1047"/>
      <c r="N49" s="1047">
        <v>2</v>
      </c>
      <c r="O49" s="1044">
        <f t="shared" si="5"/>
        <v>0.63694267515923575</v>
      </c>
      <c r="P49" s="1047"/>
      <c r="Q49" s="1047">
        <v>3</v>
      </c>
      <c r="R49" s="1030">
        <f t="shared" si="6"/>
        <v>0.95541401273885351</v>
      </c>
    </row>
    <row r="50" spans="1:18" ht="9.9499999999999993" customHeight="1">
      <c r="B50" s="857" t="str">
        <f t="shared" si="0"/>
        <v/>
      </c>
      <c r="C50" s="1036" t="str">
        <f t="shared" si="1"/>
        <v/>
      </c>
      <c r="D50" s="877"/>
      <c r="E50" s="1048"/>
      <c r="F50" s="1044" t="str">
        <f t="shared" si="2"/>
        <v/>
      </c>
      <c r="G50" s="1048"/>
      <c r="H50" s="1048"/>
      <c r="I50" s="1044" t="str">
        <f t="shared" si="3"/>
        <v/>
      </c>
      <c r="J50" s="1048"/>
      <c r="K50" s="1048"/>
      <c r="L50" s="1044" t="str">
        <f t="shared" si="4"/>
        <v/>
      </c>
      <c r="M50" s="1048"/>
      <c r="N50" s="1048"/>
      <c r="O50" s="1044" t="str">
        <f t="shared" si="5"/>
        <v/>
      </c>
      <c r="P50" s="1048"/>
      <c r="Q50" s="1048"/>
      <c r="R50" s="1030" t="str">
        <f t="shared" si="6"/>
        <v/>
      </c>
    </row>
    <row r="51" spans="1:18" ht="12.95" customHeight="1">
      <c r="A51" s="847" t="s">
        <v>50</v>
      </c>
      <c r="B51" s="857">
        <f t="shared" si="0"/>
        <v>432</v>
      </c>
      <c r="C51" s="1036">
        <f t="shared" si="1"/>
        <v>1.9502505530224368</v>
      </c>
      <c r="D51" s="877"/>
      <c r="E51" s="1047">
        <v>147</v>
      </c>
      <c r="F51" s="1044">
        <f t="shared" si="2"/>
        <v>34.027777777777779</v>
      </c>
      <c r="G51" s="1047"/>
      <c r="H51" s="1047">
        <v>229</v>
      </c>
      <c r="I51" s="1044">
        <f t="shared" si="3"/>
        <v>53.009259259259252</v>
      </c>
      <c r="J51" s="1047"/>
      <c r="K51" s="1047">
        <v>42</v>
      </c>
      <c r="L51" s="1044">
        <f t="shared" si="4"/>
        <v>9.7222222222222232</v>
      </c>
      <c r="M51" s="1047"/>
      <c r="N51" s="1047">
        <v>6</v>
      </c>
      <c r="O51" s="1044">
        <f t="shared" si="5"/>
        <v>1.3888888888888888</v>
      </c>
      <c r="P51" s="1047"/>
      <c r="Q51" s="1047">
        <v>8</v>
      </c>
      <c r="R51" s="1030">
        <f t="shared" si="6"/>
        <v>1.8518518518518516</v>
      </c>
    </row>
    <row r="52" spans="1:18" ht="9.9499999999999993" customHeight="1">
      <c r="B52" s="857" t="str">
        <f t="shared" si="0"/>
        <v/>
      </c>
      <c r="C52" s="1036" t="str">
        <f t="shared" si="1"/>
        <v/>
      </c>
      <c r="D52" s="877"/>
      <c r="E52" s="1043"/>
      <c r="F52" s="1044" t="str">
        <f t="shared" si="2"/>
        <v/>
      </c>
      <c r="G52" s="1045"/>
      <c r="H52" s="1043"/>
      <c r="I52" s="1044" t="str">
        <f t="shared" si="3"/>
        <v/>
      </c>
      <c r="J52" s="1044"/>
      <c r="K52" s="1043"/>
      <c r="L52" s="1044" t="str">
        <f t="shared" si="4"/>
        <v/>
      </c>
      <c r="M52" s="1045"/>
      <c r="N52" s="1043"/>
      <c r="O52" s="1044" t="str">
        <f t="shared" si="5"/>
        <v/>
      </c>
      <c r="P52" s="1046"/>
      <c r="Q52" s="1043"/>
      <c r="R52" s="1030" t="str">
        <f t="shared" si="6"/>
        <v/>
      </c>
    </row>
    <row r="53" spans="1:18" ht="12.95" customHeight="1">
      <c r="A53" s="847" t="s">
        <v>51</v>
      </c>
      <c r="B53" s="857">
        <f t="shared" si="0"/>
        <v>2009</v>
      </c>
      <c r="C53" s="1036">
        <f t="shared" si="1"/>
        <v>9.0695679653288792</v>
      </c>
      <c r="D53" s="877"/>
      <c r="E53" s="1043">
        <f>SUM(E54:E58)</f>
        <v>619</v>
      </c>
      <c r="F53" s="1044">
        <f t="shared" si="2"/>
        <v>30.811348929815829</v>
      </c>
      <c r="G53" s="1045"/>
      <c r="H53" s="1043">
        <f>SUM(H54:H58)</f>
        <v>1014</v>
      </c>
      <c r="I53" s="1044">
        <f t="shared" si="3"/>
        <v>50.472872075659538</v>
      </c>
      <c r="J53" s="1044"/>
      <c r="K53" s="1043">
        <f>SUM(K54:K58)</f>
        <v>293</v>
      </c>
      <c r="L53" s="1044">
        <f t="shared" si="4"/>
        <v>14.584370333499253</v>
      </c>
      <c r="M53" s="1045"/>
      <c r="N53" s="1043">
        <f>SUM(N54:N58)</f>
        <v>48</v>
      </c>
      <c r="O53" s="1044">
        <f t="shared" si="5"/>
        <v>2.3892483822797415</v>
      </c>
      <c r="P53" s="1046"/>
      <c r="Q53" s="1043">
        <f>SUM(Q54:Q58)</f>
        <v>35</v>
      </c>
      <c r="R53" s="1030">
        <f t="shared" si="6"/>
        <v>1.7421602787456445</v>
      </c>
    </row>
    <row r="54" spans="1:18" ht="12.95" customHeight="1">
      <c r="A54" s="847" t="s">
        <v>52</v>
      </c>
      <c r="B54" s="857">
        <f t="shared" si="0"/>
        <v>35</v>
      </c>
      <c r="C54" s="1036">
        <f t="shared" si="1"/>
        <v>0.15800641054579928</v>
      </c>
      <c r="D54" s="877"/>
      <c r="E54" s="1047">
        <v>0</v>
      </c>
      <c r="F54" s="1044">
        <f t="shared" si="2"/>
        <v>0</v>
      </c>
      <c r="G54" s="1047"/>
      <c r="H54" s="1047">
        <v>19</v>
      </c>
      <c r="I54" s="1044">
        <f t="shared" si="3"/>
        <v>54.285714285714285</v>
      </c>
      <c r="J54" s="1047"/>
      <c r="K54" s="1047">
        <v>13</v>
      </c>
      <c r="L54" s="1044">
        <f t="shared" si="4"/>
        <v>37.142857142857146</v>
      </c>
      <c r="M54" s="1047"/>
      <c r="N54" s="1047">
        <v>2</v>
      </c>
      <c r="O54" s="1044">
        <f t="shared" si="5"/>
        <v>5.7142857142857144</v>
      </c>
      <c r="P54" s="1047"/>
      <c r="Q54" s="1047">
        <v>1</v>
      </c>
      <c r="R54" s="1030">
        <f t="shared" si="6"/>
        <v>2.8571428571428572</v>
      </c>
    </row>
    <row r="55" spans="1:18" ht="12.95" customHeight="1">
      <c r="A55" s="847" t="s">
        <v>53</v>
      </c>
      <c r="B55" s="857">
        <f t="shared" si="0"/>
        <v>1288</v>
      </c>
      <c r="C55" s="1036">
        <f t="shared" si="1"/>
        <v>5.814635908085414</v>
      </c>
      <c r="D55" s="877"/>
      <c r="E55" s="1047">
        <v>408</v>
      </c>
      <c r="F55" s="1044">
        <f t="shared" si="2"/>
        <v>31.677018633540371</v>
      </c>
      <c r="G55" s="1047"/>
      <c r="H55" s="1047">
        <v>624</v>
      </c>
      <c r="I55" s="1044">
        <f t="shared" si="3"/>
        <v>48.447204968944099</v>
      </c>
      <c r="J55" s="1047"/>
      <c r="K55" s="1047">
        <v>203</v>
      </c>
      <c r="L55" s="1044">
        <f t="shared" si="4"/>
        <v>15.760869565217392</v>
      </c>
      <c r="M55" s="1047"/>
      <c r="N55" s="1047">
        <v>32</v>
      </c>
      <c r="O55" s="1044">
        <f t="shared" si="5"/>
        <v>2.4844720496894408</v>
      </c>
      <c r="P55" s="1047"/>
      <c r="Q55" s="1047">
        <v>21</v>
      </c>
      <c r="R55" s="1030">
        <f t="shared" si="6"/>
        <v>1.6304347826086956</v>
      </c>
    </row>
    <row r="56" spans="1:18" ht="12.95" customHeight="1">
      <c r="A56" s="847" t="s">
        <v>54</v>
      </c>
      <c r="B56" s="857">
        <f t="shared" si="0"/>
        <v>226</v>
      </c>
      <c r="C56" s="1036">
        <f t="shared" si="1"/>
        <v>1.0202699652385896</v>
      </c>
      <c r="D56" s="877"/>
      <c r="E56" s="1047">
        <v>76</v>
      </c>
      <c r="F56" s="1044">
        <f t="shared" si="2"/>
        <v>33.628318584070797</v>
      </c>
      <c r="G56" s="1047"/>
      <c r="H56" s="1047">
        <v>127</v>
      </c>
      <c r="I56" s="1044">
        <f t="shared" si="3"/>
        <v>56.194690265486727</v>
      </c>
      <c r="J56" s="1047"/>
      <c r="K56" s="1047">
        <v>17</v>
      </c>
      <c r="L56" s="1044">
        <f t="shared" si="4"/>
        <v>7.5221238938053103</v>
      </c>
      <c r="M56" s="1047"/>
      <c r="N56" s="1047">
        <v>3</v>
      </c>
      <c r="O56" s="1044">
        <f t="shared" si="5"/>
        <v>1.3274336283185841</v>
      </c>
      <c r="P56" s="1047"/>
      <c r="Q56" s="1047">
        <v>3</v>
      </c>
      <c r="R56" s="1030">
        <f t="shared" si="6"/>
        <v>1.3274336283185841</v>
      </c>
    </row>
    <row r="57" spans="1:18" ht="12.95" customHeight="1">
      <c r="A57" s="847" t="s">
        <v>332</v>
      </c>
      <c r="B57" s="857">
        <f t="shared" si="0"/>
        <v>304</v>
      </c>
      <c r="C57" s="1036">
        <f t="shared" si="1"/>
        <v>1.3723985373120853</v>
      </c>
      <c r="D57" s="877"/>
      <c r="E57" s="1047">
        <v>88</v>
      </c>
      <c r="F57" s="1044">
        <f t="shared" si="2"/>
        <v>28.947368421052634</v>
      </c>
      <c r="G57" s="1047"/>
      <c r="H57" s="1047">
        <v>163</v>
      </c>
      <c r="I57" s="1044">
        <f t="shared" si="3"/>
        <v>53.618421052631582</v>
      </c>
      <c r="J57" s="1047"/>
      <c r="K57" s="1047">
        <v>40</v>
      </c>
      <c r="L57" s="1044">
        <f t="shared" si="4"/>
        <v>13.157894736842104</v>
      </c>
      <c r="M57" s="1047"/>
      <c r="N57" s="1047">
        <v>4</v>
      </c>
      <c r="O57" s="1044">
        <f t="shared" si="5"/>
        <v>1.3157894736842104</v>
      </c>
      <c r="P57" s="1047"/>
      <c r="Q57" s="1047">
        <v>9</v>
      </c>
      <c r="R57" s="1030">
        <f t="shared" si="6"/>
        <v>2.9605263157894735</v>
      </c>
    </row>
    <row r="58" spans="1:18" ht="12.95" customHeight="1">
      <c r="A58" s="847" t="s">
        <v>56</v>
      </c>
      <c r="B58" s="857">
        <f t="shared" si="0"/>
        <v>156</v>
      </c>
      <c r="C58" s="1036">
        <f t="shared" si="1"/>
        <v>0.70425714414699114</v>
      </c>
      <c r="D58" s="877"/>
      <c r="E58" s="1047">
        <v>47</v>
      </c>
      <c r="F58" s="1044">
        <f t="shared" si="2"/>
        <v>30.128205128205128</v>
      </c>
      <c r="G58" s="1047"/>
      <c r="H58" s="1047">
        <v>81</v>
      </c>
      <c r="I58" s="1044">
        <f t="shared" si="3"/>
        <v>51.923076923076927</v>
      </c>
      <c r="J58" s="1047"/>
      <c r="K58" s="1047">
        <v>20</v>
      </c>
      <c r="L58" s="1044">
        <f t="shared" si="4"/>
        <v>12.820512820512819</v>
      </c>
      <c r="M58" s="1047"/>
      <c r="N58" s="1047">
        <v>7</v>
      </c>
      <c r="O58" s="1044">
        <f t="shared" si="5"/>
        <v>4.4871794871794872</v>
      </c>
      <c r="P58" s="1047"/>
      <c r="Q58" s="1047">
        <v>1</v>
      </c>
      <c r="R58" s="1030">
        <f t="shared" si="6"/>
        <v>0.64102564102564097</v>
      </c>
    </row>
    <row r="59" spans="1:18" ht="9.9499999999999993" customHeight="1">
      <c r="B59" s="857" t="str">
        <f t="shared" si="0"/>
        <v/>
      </c>
      <c r="C59" s="1036" t="str">
        <f t="shared" si="1"/>
        <v/>
      </c>
      <c r="E59" s="1049"/>
      <c r="F59" s="1044" t="str">
        <f t="shared" si="2"/>
        <v/>
      </c>
      <c r="G59" s="1046"/>
      <c r="H59" s="1049"/>
      <c r="I59" s="1044" t="str">
        <f t="shared" si="3"/>
        <v/>
      </c>
      <c r="J59" s="1046"/>
      <c r="K59" s="1049"/>
      <c r="L59" s="1044" t="str">
        <f t="shared" si="4"/>
        <v/>
      </c>
      <c r="M59" s="1046"/>
      <c r="N59" s="1049"/>
      <c r="O59" s="1044" t="str">
        <f t="shared" si="5"/>
        <v/>
      </c>
      <c r="P59" s="1046"/>
      <c r="Q59" s="1049"/>
      <c r="R59" s="1030" t="str">
        <f t="shared" si="6"/>
        <v/>
      </c>
    </row>
    <row r="60" spans="1:18">
      <c r="A60" s="867" t="s">
        <v>333</v>
      </c>
      <c r="B60" s="857">
        <f t="shared" si="0"/>
        <v>1878</v>
      </c>
      <c r="C60" s="1036">
        <f t="shared" si="1"/>
        <v>8.4781725430003156</v>
      </c>
      <c r="E60" s="1049">
        <f>SUM(E61+E63+E70+E72)</f>
        <v>748</v>
      </c>
      <c r="F60" s="1044">
        <f t="shared" si="2"/>
        <v>39.829605963791266</v>
      </c>
      <c r="G60" s="1046"/>
      <c r="H60" s="1049">
        <f>SUM(H61+H63+H70+H72)</f>
        <v>931</v>
      </c>
      <c r="I60" s="1044">
        <f t="shared" si="3"/>
        <v>49.574014909478173</v>
      </c>
      <c r="J60" s="1050"/>
      <c r="K60" s="1049">
        <f>SUM(K61+K63+K70+K72)</f>
        <v>171</v>
      </c>
      <c r="L60" s="1044">
        <f t="shared" si="4"/>
        <v>9.1054313099041533</v>
      </c>
      <c r="M60" s="1046"/>
      <c r="N60" s="1049">
        <f>SUM(N61+N63+N70+N72)</f>
        <v>22</v>
      </c>
      <c r="O60" s="1044">
        <f t="shared" si="5"/>
        <v>1.1714589989350372</v>
      </c>
      <c r="P60" s="1046"/>
      <c r="Q60" s="1049">
        <f>SUM(Q61+Q63+Q70+Q72)</f>
        <v>6</v>
      </c>
      <c r="R60" s="1030">
        <f t="shared" si="6"/>
        <v>0.31948881789137379</v>
      </c>
    </row>
    <row r="61" spans="1:18" ht="12.95" customHeight="1">
      <c r="A61" s="847" t="s">
        <v>334</v>
      </c>
      <c r="B61" s="857">
        <f t="shared" si="0"/>
        <v>265</v>
      </c>
      <c r="C61" s="1036">
        <f t="shared" si="1"/>
        <v>1.1963342512753374</v>
      </c>
      <c r="E61" s="1047">
        <v>112</v>
      </c>
      <c r="F61" s="1044">
        <f t="shared" si="2"/>
        <v>42.264150943396231</v>
      </c>
      <c r="G61" s="1047"/>
      <c r="H61" s="1047">
        <v>127</v>
      </c>
      <c r="I61" s="1044">
        <f t="shared" si="3"/>
        <v>47.924528301886795</v>
      </c>
      <c r="J61" s="1047"/>
      <c r="K61" s="1047">
        <v>25</v>
      </c>
      <c r="L61" s="1044">
        <f t="shared" si="4"/>
        <v>9.433962264150944</v>
      </c>
      <c r="M61" s="1047"/>
      <c r="N61" s="1047">
        <v>1</v>
      </c>
      <c r="O61" s="1044">
        <f t="shared" si="5"/>
        <v>0.37735849056603776</v>
      </c>
      <c r="P61" s="1047"/>
      <c r="Q61" s="1047">
        <v>0</v>
      </c>
      <c r="R61" s="1030">
        <f t="shared" si="6"/>
        <v>0</v>
      </c>
    </row>
    <row r="62" spans="1:18" ht="9.9499999999999993" customHeight="1">
      <c r="B62" s="857" t="str">
        <f t="shared" si="0"/>
        <v/>
      </c>
      <c r="C62" s="1036" t="str">
        <f t="shared" si="1"/>
        <v/>
      </c>
      <c r="E62" s="1049"/>
      <c r="F62" s="1044" t="str">
        <f t="shared" si="2"/>
        <v/>
      </c>
      <c r="G62" s="1046"/>
      <c r="H62" s="1049"/>
      <c r="I62" s="1044" t="str">
        <f t="shared" si="3"/>
        <v/>
      </c>
      <c r="J62" s="1050"/>
      <c r="K62" s="1049"/>
      <c r="L62" s="1044" t="str">
        <f t="shared" si="4"/>
        <v/>
      </c>
      <c r="M62" s="1046"/>
      <c r="N62" s="1049"/>
      <c r="O62" s="1044" t="str">
        <f t="shared" si="5"/>
        <v/>
      </c>
      <c r="P62" s="1046"/>
      <c r="Q62" s="1049"/>
      <c r="R62" s="1030" t="str">
        <f t="shared" si="6"/>
        <v/>
      </c>
    </row>
    <row r="63" spans="1:18" ht="12.95" customHeight="1">
      <c r="A63" s="847" t="s">
        <v>60</v>
      </c>
      <c r="B63" s="857">
        <f t="shared" si="0"/>
        <v>1088</v>
      </c>
      <c r="C63" s="1036">
        <f t="shared" si="1"/>
        <v>4.9117421335379889</v>
      </c>
      <c r="E63" s="1049">
        <f>SUM(E64:E68)</f>
        <v>448</v>
      </c>
      <c r="F63" s="1044">
        <f t="shared" si="2"/>
        <v>41.17647058823529</v>
      </c>
      <c r="G63" s="1046"/>
      <c r="H63" s="1049">
        <f>SUM(H64:H68)</f>
        <v>543</v>
      </c>
      <c r="I63" s="1044">
        <f t="shared" si="3"/>
        <v>49.908088235294116</v>
      </c>
      <c r="J63" s="1050"/>
      <c r="K63" s="1049">
        <f>SUM(K64:K68)</f>
        <v>82</v>
      </c>
      <c r="L63" s="1044">
        <f t="shared" si="4"/>
        <v>7.5367647058823524</v>
      </c>
      <c r="M63" s="1046"/>
      <c r="N63" s="1049">
        <f>SUM(N64:N68)</f>
        <v>10</v>
      </c>
      <c r="O63" s="1044">
        <f t="shared" si="5"/>
        <v>0.91911764705882359</v>
      </c>
      <c r="P63" s="1046"/>
      <c r="Q63" s="1049">
        <f>SUM(Q64:Q68)</f>
        <v>5</v>
      </c>
      <c r="R63" s="1030">
        <f t="shared" si="6"/>
        <v>0.4595588235294118</v>
      </c>
    </row>
    <row r="64" spans="1:18" ht="12.95" customHeight="1">
      <c r="A64" s="847" t="s">
        <v>61</v>
      </c>
      <c r="B64" s="857">
        <f t="shared" si="0"/>
        <v>249</v>
      </c>
      <c r="C64" s="1036">
        <f t="shared" si="1"/>
        <v>1.1241027493115434</v>
      </c>
      <c r="E64" s="1047">
        <v>92</v>
      </c>
      <c r="F64" s="1044">
        <f t="shared" si="2"/>
        <v>36.947791164658632</v>
      </c>
      <c r="G64" s="1047"/>
      <c r="H64" s="1047">
        <v>134</v>
      </c>
      <c r="I64" s="1044">
        <f t="shared" si="3"/>
        <v>53.815261044176708</v>
      </c>
      <c r="J64" s="1047"/>
      <c r="K64" s="1047">
        <v>21</v>
      </c>
      <c r="L64" s="1044">
        <f t="shared" si="4"/>
        <v>8.4337349397590362</v>
      </c>
      <c r="M64" s="1047"/>
      <c r="N64" s="1047">
        <v>2</v>
      </c>
      <c r="O64" s="1044">
        <f t="shared" si="5"/>
        <v>0.80321285140562237</v>
      </c>
      <c r="P64" s="1047"/>
      <c r="Q64" s="1047">
        <v>0</v>
      </c>
      <c r="R64" s="1030">
        <f t="shared" si="6"/>
        <v>0</v>
      </c>
    </row>
    <row r="65" spans="1:18" ht="12.95" customHeight="1">
      <c r="A65" s="847" t="s">
        <v>62</v>
      </c>
      <c r="B65" s="857">
        <f t="shared" si="0"/>
        <v>245</v>
      </c>
      <c r="C65" s="1036">
        <f t="shared" si="1"/>
        <v>1.106044873820595</v>
      </c>
      <c r="E65" s="1047">
        <v>106</v>
      </c>
      <c r="F65" s="1044">
        <f t="shared" si="2"/>
        <v>43.265306122448983</v>
      </c>
      <c r="G65" s="1047"/>
      <c r="H65" s="1047">
        <v>125</v>
      </c>
      <c r="I65" s="1044">
        <f t="shared" si="3"/>
        <v>51.020408163265309</v>
      </c>
      <c r="J65" s="1047"/>
      <c r="K65" s="1047">
        <v>8</v>
      </c>
      <c r="L65" s="1044">
        <f t="shared" si="4"/>
        <v>3.2653061224489797</v>
      </c>
      <c r="M65" s="1047"/>
      <c r="N65" s="1047">
        <v>3</v>
      </c>
      <c r="O65" s="1044">
        <f t="shared" si="5"/>
        <v>1.2244897959183674</v>
      </c>
      <c r="P65" s="1047"/>
      <c r="Q65" s="1047">
        <v>3</v>
      </c>
      <c r="R65" s="1030">
        <f t="shared" si="6"/>
        <v>1.2244897959183674</v>
      </c>
    </row>
    <row r="66" spans="1:18" ht="12.95" customHeight="1">
      <c r="A66" s="847" t="s">
        <v>64</v>
      </c>
      <c r="B66" s="857">
        <f t="shared" si="0"/>
        <v>122</v>
      </c>
      <c r="C66" s="1036">
        <f t="shared" si="1"/>
        <v>0.55076520247392902</v>
      </c>
      <c r="E66" s="1047">
        <v>57</v>
      </c>
      <c r="F66" s="1044">
        <f t="shared" si="2"/>
        <v>46.721311475409841</v>
      </c>
      <c r="G66" s="1047"/>
      <c r="H66" s="1047">
        <v>55</v>
      </c>
      <c r="I66" s="1044">
        <f t="shared" si="3"/>
        <v>45.081967213114751</v>
      </c>
      <c r="J66" s="1047"/>
      <c r="K66" s="1047">
        <v>9</v>
      </c>
      <c r="L66" s="1044">
        <f t="shared" si="4"/>
        <v>7.3770491803278686</v>
      </c>
      <c r="M66" s="1047"/>
      <c r="N66" s="1047">
        <v>1</v>
      </c>
      <c r="O66" s="1044">
        <f t="shared" si="5"/>
        <v>0.81967213114754101</v>
      </c>
      <c r="P66" s="1047"/>
      <c r="Q66" s="1047">
        <v>0</v>
      </c>
      <c r="R66" s="1030">
        <f t="shared" si="6"/>
        <v>0</v>
      </c>
    </row>
    <row r="67" spans="1:18" ht="12.95" customHeight="1">
      <c r="A67" s="569" t="s">
        <v>879</v>
      </c>
      <c r="B67" s="857">
        <f t="shared" si="0"/>
        <v>89</v>
      </c>
      <c r="C67" s="1036">
        <f t="shared" si="1"/>
        <v>0.40178772967360388</v>
      </c>
      <c r="E67" s="1047">
        <v>32</v>
      </c>
      <c r="F67" s="1044">
        <f t="shared" si="2"/>
        <v>35.955056179775283</v>
      </c>
      <c r="G67" s="1047"/>
      <c r="H67" s="1047">
        <v>43</v>
      </c>
      <c r="I67" s="1044">
        <f t="shared" si="3"/>
        <v>48.314606741573037</v>
      </c>
      <c r="J67" s="1047"/>
      <c r="K67" s="1047">
        <v>12</v>
      </c>
      <c r="L67" s="1044">
        <f t="shared" si="4"/>
        <v>13.48314606741573</v>
      </c>
      <c r="M67" s="1047"/>
      <c r="N67" s="1047">
        <v>1</v>
      </c>
      <c r="O67" s="1044">
        <f t="shared" si="5"/>
        <v>1.1235955056179776</v>
      </c>
      <c r="P67" s="1047"/>
      <c r="Q67" s="1047">
        <v>1</v>
      </c>
      <c r="R67" s="1030">
        <f t="shared" si="6"/>
        <v>1.1235955056179776</v>
      </c>
    </row>
    <row r="68" spans="1:18" ht="12.95" customHeight="1">
      <c r="A68" s="847" t="s">
        <v>1700</v>
      </c>
      <c r="B68" s="857">
        <f t="shared" si="0"/>
        <v>383</v>
      </c>
      <c r="C68" s="1036">
        <f>IF(A68&lt;&gt;0,B68/$B$11*100,"")</f>
        <v>1.7290415782583179</v>
      </c>
      <c r="E68" s="1047">
        <v>161</v>
      </c>
      <c r="F68" s="1044">
        <f t="shared" si="2"/>
        <v>42.036553524804177</v>
      </c>
      <c r="G68" s="1047"/>
      <c r="H68" s="1047">
        <v>186</v>
      </c>
      <c r="I68" s="1044">
        <f t="shared" si="3"/>
        <v>48.563968668407313</v>
      </c>
      <c r="J68" s="1047"/>
      <c r="K68" s="1047">
        <v>32</v>
      </c>
      <c r="L68" s="1044">
        <f t="shared" si="4"/>
        <v>8.3550913838120113</v>
      </c>
      <c r="M68" s="1047"/>
      <c r="N68" s="1047">
        <v>3</v>
      </c>
      <c r="O68" s="1044">
        <f t="shared" si="5"/>
        <v>0.7832898172323759</v>
      </c>
      <c r="P68" s="1047"/>
      <c r="Q68" s="1047">
        <v>1</v>
      </c>
      <c r="R68" s="1030">
        <f>IF(A68&lt;&gt;0,Q68/B68*100,"")</f>
        <v>0.26109660574412535</v>
      </c>
    </row>
    <row r="69" spans="1:18" ht="9.9499999999999993" customHeight="1">
      <c r="B69" s="857" t="str">
        <f t="shared" si="0"/>
        <v/>
      </c>
      <c r="C69" s="1036" t="str">
        <f t="shared" si="1"/>
        <v/>
      </c>
      <c r="E69" s="1048"/>
      <c r="F69" s="1044" t="str">
        <f t="shared" si="2"/>
        <v/>
      </c>
      <c r="G69" s="1048"/>
      <c r="H69" s="1048"/>
      <c r="I69" s="1044" t="str">
        <f t="shared" si="3"/>
        <v/>
      </c>
      <c r="J69" s="1048"/>
      <c r="K69" s="1048"/>
      <c r="L69" s="1044" t="str">
        <f t="shared" si="4"/>
        <v/>
      </c>
      <c r="M69" s="1048"/>
      <c r="N69" s="1048"/>
      <c r="O69" s="1044" t="str">
        <f t="shared" si="5"/>
        <v/>
      </c>
      <c r="P69" s="1048"/>
      <c r="Q69" s="1048"/>
      <c r="R69" s="1030" t="str">
        <f t="shared" si="6"/>
        <v/>
      </c>
    </row>
    <row r="70" spans="1:18" ht="12.95" customHeight="1">
      <c r="A70" s="847" t="s">
        <v>66</v>
      </c>
      <c r="B70" s="857">
        <f t="shared" si="0"/>
        <v>222</v>
      </c>
      <c r="C70" s="1036">
        <f t="shared" si="1"/>
        <v>1.0022120897476412</v>
      </c>
      <c r="E70" s="1047">
        <v>91</v>
      </c>
      <c r="F70" s="1044">
        <f t="shared" si="2"/>
        <v>40.990990990990987</v>
      </c>
      <c r="G70" s="1047"/>
      <c r="H70" s="1047">
        <v>106</v>
      </c>
      <c r="I70" s="1044">
        <f t="shared" si="3"/>
        <v>47.747747747747752</v>
      </c>
      <c r="J70" s="1047"/>
      <c r="K70" s="1047">
        <v>18</v>
      </c>
      <c r="L70" s="1044">
        <f t="shared" si="4"/>
        <v>8.1081081081081088</v>
      </c>
      <c r="M70" s="1047"/>
      <c r="N70" s="1047">
        <v>7</v>
      </c>
      <c r="O70" s="1044">
        <f t="shared" si="5"/>
        <v>3.1531531531531529</v>
      </c>
      <c r="P70" s="1047"/>
      <c r="Q70" s="1047">
        <v>0</v>
      </c>
      <c r="R70" s="1030">
        <f t="shared" si="6"/>
        <v>0</v>
      </c>
    </row>
    <row r="71" spans="1:18" ht="9.9499999999999993" customHeight="1">
      <c r="B71" s="857" t="str">
        <f t="shared" si="0"/>
        <v/>
      </c>
      <c r="C71" s="1036" t="str">
        <f t="shared" si="1"/>
        <v/>
      </c>
      <c r="E71" s="1048"/>
      <c r="F71" s="1044" t="str">
        <f t="shared" si="2"/>
        <v/>
      </c>
      <c r="G71" s="1048"/>
      <c r="H71" s="1048"/>
      <c r="I71" s="1044" t="str">
        <f t="shared" si="3"/>
        <v/>
      </c>
      <c r="J71" s="1048"/>
      <c r="K71" s="1048"/>
      <c r="L71" s="1044" t="str">
        <f t="shared" si="4"/>
        <v/>
      </c>
      <c r="M71" s="1048"/>
      <c r="N71" s="1048"/>
      <c r="O71" s="1044" t="str">
        <f t="shared" si="5"/>
        <v/>
      </c>
      <c r="P71" s="1048"/>
      <c r="Q71" s="1048"/>
      <c r="R71" s="1030" t="str">
        <f t="shared" si="6"/>
        <v/>
      </c>
    </row>
    <row r="72" spans="1:18" ht="12.95" customHeight="1">
      <c r="A72" s="847" t="s">
        <v>67</v>
      </c>
      <c r="B72" s="857">
        <f t="shared" si="0"/>
        <v>303</v>
      </c>
      <c r="C72" s="1036">
        <f t="shared" si="1"/>
        <v>1.3678840684393481</v>
      </c>
      <c r="E72" s="1047">
        <v>97</v>
      </c>
      <c r="F72" s="1044">
        <f t="shared" si="2"/>
        <v>32.013201320132012</v>
      </c>
      <c r="G72" s="1047"/>
      <c r="H72" s="1047">
        <v>155</v>
      </c>
      <c r="I72" s="1044">
        <f t="shared" si="3"/>
        <v>51.155115511551152</v>
      </c>
      <c r="J72" s="1047"/>
      <c r="K72" s="1047">
        <v>46</v>
      </c>
      <c r="L72" s="1044">
        <f t="shared" si="4"/>
        <v>15.181518151815181</v>
      </c>
      <c r="M72" s="1047"/>
      <c r="N72" s="1047">
        <v>4</v>
      </c>
      <c r="O72" s="1044">
        <f t="shared" si="5"/>
        <v>1.3201320132013201</v>
      </c>
      <c r="P72" s="1047"/>
      <c r="Q72" s="1047">
        <v>1</v>
      </c>
      <c r="R72" s="1030">
        <f t="shared" si="6"/>
        <v>0.33003300330033003</v>
      </c>
    </row>
    <row r="73" spans="1:18" ht="9.9499999999999993" customHeight="1">
      <c r="B73" s="857" t="str">
        <f t="shared" si="0"/>
        <v/>
      </c>
      <c r="C73" s="1036" t="str">
        <f t="shared" si="1"/>
        <v/>
      </c>
      <c r="E73" s="1049"/>
      <c r="F73" s="1044" t="str">
        <f t="shared" si="2"/>
        <v/>
      </c>
      <c r="G73" s="1046"/>
      <c r="H73" s="1049"/>
      <c r="I73" s="1044" t="str">
        <f t="shared" si="3"/>
        <v/>
      </c>
      <c r="J73" s="1046"/>
      <c r="K73" s="1049"/>
      <c r="L73" s="1044" t="str">
        <f t="shared" si="4"/>
        <v/>
      </c>
      <c r="M73" s="1046"/>
      <c r="N73" s="1049"/>
      <c r="O73" s="1044" t="str">
        <f t="shared" si="5"/>
        <v/>
      </c>
      <c r="P73" s="1046"/>
      <c r="Q73" s="1049"/>
      <c r="R73" s="1030"/>
    </row>
    <row r="74" spans="1:18" ht="11.45" customHeight="1">
      <c r="A74" s="867" t="s">
        <v>336</v>
      </c>
      <c r="B74" s="857">
        <f t="shared" si="0"/>
        <v>702</v>
      </c>
      <c r="C74" s="1036">
        <f t="shared" si="1"/>
        <v>3.1691571486614598</v>
      </c>
      <c r="E74" s="1049">
        <f>SUM(E75)</f>
        <v>232</v>
      </c>
      <c r="F74" s="1044">
        <f t="shared" si="2"/>
        <v>33.048433048433047</v>
      </c>
      <c r="G74" s="1046"/>
      <c r="H74" s="1049">
        <f>SUM(H75)</f>
        <v>366</v>
      </c>
      <c r="I74" s="1044">
        <f t="shared" si="3"/>
        <v>52.136752136752143</v>
      </c>
      <c r="J74" s="1050"/>
      <c r="K74" s="1049">
        <f>SUM(K75)</f>
        <v>90</v>
      </c>
      <c r="L74" s="1044">
        <f t="shared" si="4"/>
        <v>12.820512820512819</v>
      </c>
      <c r="M74" s="1046"/>
      <c r="N74" s="1049">
        <f>SUM(N75)</f>
        <v>12</v>
      </c>
      <c r="O74" s="1044">
        <f t="shared" si="5"/>
        <v>1.7094017094017095</v>
      </c>
      <c r="P74" s="1046"/>
      <c r="Q74" s="1049">
        <f>SUM(Q75)</f>
        <v>2</v>
      </c>
      <c r="R74" s="1030">
        <f t="shared" si="6"/>
        <v>0.28490028490028491</v>
      </c>
    </row>
    <row r="75" spans="1:18" ht="12.95" customHeight="1">
      <c r="A75" s="847" t="s">
        <v>337</v>
      </c>
      <c r="B75" s="857">
        <f t="shared" si="0"/>
        <v>702</v>
      </c>
      <c r="C75" s="1036">
        <f t="shared" si="1"/>
        <v>3.1691571486614598</v>
      </c>
      <c r="E75" s="1049">
        <f>SUM(E76:E79)</f>
        <v>232</v>
      </c>
      <c r="F75" s="1044">
        <f t="shared" si="2"/>
        <v>33.048433048433047</v>
      </c>
      <c r="G75" s="1046"/>
      <c r="H75" s="1049">
        <f>SUM(H76:H79)</f>
        <v>366</v>
      </c>
      <c r="I75" s="1044">
        <f t="shared" si="3"/>
        <v>52.136752136752143</v>
      </c>
      <c r="J75" s="1050"/>
      <c r="K75" s="1049">
        <f>SUM(K76:K79)</f>
        <v>90</v>
      </c>
      <c r="L75" s="1044">
        <f t="shared" si="4"/>
        <v>12.820512820512819</v>
      </c>
      <c r="M75" s="1046"/>
      <c r="N75" s="1049">
        <f>SUM(N76:N79)</f>
        <v>12</v>
      </c>
      <c r="O75" s="1044">
        <f t="shared" si="5"/>
        <v>1.7094017094017095</v>
      </c>
      <c r="P75" s="1046"/>
      <c r="Q75" s="1049">
        <f>SUM(Q76:Q79)</f>
        <v>2</v>
      </c>
      <c r="R75" s="1030">
        <f t="shared" si="6"/>
        <v>0.28490028490028491</v>
      </c>
    </row>
    <row r="76" spans="1:18" ht="12.95" customHeight="1">
      <c r="A76" s="847" t="s">
        <v>71</v>
      </c>
      <c r="B76" s="857">
        <f t="shared" ref="B76:B101" si="7">IF(A76&lt;&gt;0,E76+H76+K76+N76+Q76,"")</f>
        <v>274</v>
      </c>
      <c r="C76" s="1036">
        <f t="shared" ref="C76:C101" si="8">IF(A76&lt;&gt;0,B76/$B$11*100,"")</f>
        <v>1.2369644711299717</v>
      </c>
      <c r="E76" s="1047">
        <v>68</v>
      </c>
      <c r="F76" s="1044">
        <f t="shared" ref="F76:F101" si="9">IF(A76&lt;&gt;0,E76/B76*100,"")</f>
        <v>24.817518248175183</v>
      </c>
      <c r="G76" s="1047"/>
      <c r="H76" s="1047">
        <v>157</v>
      </c>
      <c r="I76" s="1044">
        <f t="shared" ref="I76:I101" si="10">IF(A76&lt;&gt;0,H76/B76*100,"")</f>
        <v>57.299270072992705</v>
      </c>
      <c r="J76" s="1047"/>
      <c r="K76" s="1047">
        <v>43</v>
      </c>
      <c r="L76" s="1044">
        <f t="shared" ref="L76:L101" si="11">IF(A76&lt;&gt;0,K76/B76*100,"")</f>
        <v>15.693430656934307</v>
      </c>
      <c r="M76" s="1047"/>
      <c r="N76" s="1047">
        <v>6</v>
      </c>
      <c r="O76" s="1044">
        <f t="shared" ref="O76:O101" si="12">IF(A76&lt;&gt;0,N76/B76*100,"")</f>
        <v>2.1897810218978102</v>
      </c>
      <c r="P76" s="1047"/>
      <c r="Q76" s="1047">
        <v>0</v>
      </c>
      <c r="R76" s="1030">
        <f>IF(A76&lt;&gt;0,Q76/B76*100,"")</f>
        <v>0</v>
      </c>
    </row>
    <row r="77" spans="1:18" ht="12.95" customHeight="1">
      <c r="A77" s="847" t="s">
        <v>72</v>
      </c>
      <c r="B77" s="857">
        <f t="shared" si="7"/>
        <v>154</v>
      </c>
      <c r="C77" s="1036">
        <f t="shared" si="8"/>
        <v>0.69522820640151684</v>
      </c>
      <c r="E77" s="1047">
        <v>57</v>
      </c>
      <c r="F77" s="1044">
        <f t="shared" si="9"/>
        <v>37.012987012987011</v>
      </c>
      <c r="G77" s="1047"/>
      <c r="H77" s="1047">
        <v>76</v>
      </c>
      <c r="I77" s="1044">
        <f t="shared" si="10"/>
        <v>49.350649350649348</v>
      </c>
      <c r="J77" s="1047"/>
      <c r="K77" s="1047">
        <v>17</v>
      </c>
      <c r="L77" s="1044">
        <f t="shared" si="11"/>
        <v>11.038961038961039</v>
      </c>
      <c r="M77" s="1047"/>
      <c r="N77" s="1047">
        <v>4</v>
      </c>
      <c r="O77" s="1044">
        <f t="shared" si="12"/>
        <v>2.5974025974025974</v>
      </c>
      <c r="P77" s="1047"/>
      <c r="Q77" s="1047">
        <v>0</v>
      </c>
      <c r="R77" s="1030">
        <f>IF(A77&lt;&gt;0,Q77/B77*100,"")</f>
        <v>0</v>
      </c>
    </row>
    <row r="78" spans="1:18" ht="12.95" customHeight="1">
      <c r="A78" s="847" t="s">
        <v>1726</v>
      </c>
      <c r="B78" s="857">
        <f t="shared" si="7"/>
        <v>214</v>
      </c>
      <c r="C78" s="1036">
        <f t="shared" si="8"/>
        <v>0.96609633876574419</v>
      </c>
      <c r="E78" s="1047">
        <v>81</v>
      </c>
      <c r="F78" s="1044">
        <f t="shared" si="9"/>
        <v>37.850467289719624</v>
      </c>
      <c r="G78" s="1047"/>
      <c r="H78" s="1047">
        <v>106</v>
      </c>
      <c r="I78" s="1044">
        <f t="shared" si="10"/>
        <v>49.532710280373834</v>
      </c>
      <c r="J78" s="1047"/>
      <c r="K78" s="1047">
        <v>24</v>
      </c>
      <c r="L78" s="1044">
        <f t="shared" si="11"/>
        <v>11.214953271028037</v>
      </c>
      <c r="M78" s="1047"/>
      <c r="N78" s="1047">
        <v>1</v>
      </c>
      <c r="O78" s="1044">
        <f t="shared" si="12"/>
        <v>0.46728971962616817</v>
      </c>
      <c r="P78" s="1047"/>
      <c r="Q78" s="1047">
        <v>2</v>
      </c>
      <c r="R78" s="1030">
        <f t="shared" ref="R78:R97" si="13">IF(A78&lt;&gt;0,Q78/B78*100,"")</f>
        <v>0.93457943925233633</v>
      </c>
    </row>
    <row r="79" spans="1:18" ht="12.95" customHeight="1">
      <c r="A79" s="847" t="s">
        <v>1727</v>
      </c>
      <c r="B79" s="857">
        <f t="shared" si="7"/>
        <v>60</v>
      </c>
      <c r="C79" s="1036">
        <f t="shared" si="8"/>
        <v>0.27086813236422735</v>
      </c>
      <c r="E79" s="1047">
        <v>26</v>
      </c>
      <c r="F79" s="1044">
        <f t="shared" si="9"/>
        <v>43.333333333333336</v>
      </c>
      <c r="G79" s="1047"/>
      <c r="H79" s="1047">
        <v>27</v>
      </c>
      <c r="I79" s="1044">
        <f t="shared" si="10"/>
        <v>45</v>
      </c>
      <c r="J79" s="1047"/>
      <c r="K79" s="1047">
        <v>6</v>
      </c>
      <c r="L79" s="1044">
        <f t="shared" si="11"/>
        <v>10</v>
      </c>
      <c r="M79" s="1047"/>
      <c r="N79" s="1047">
        <v>1</v>
      </c>
      <c r="O79" s="1044">
        <f t="shared" si="12"/>
        <v>1.6666666666666667</v>
      </c>
      <c r="P79" s="1047"/>
      <c r="Q79" s="1047">
        <v>0</v>
      </c>
      <c r="R79" s="1030">
        <f t="shared" si="13"/>
        <v>0</v>
      </c>
    </row>
    <row r="80" spans="1:18" ht="9.9499999999999993" customHeight="1">
      <c r="B80" s="857" t="str">
        <f t="shared" si="7"/>
        <v/>
      </c>
      <c r="C80" s="1036" t="str">
        <f t="shared" si="8"/>
        <v/>
      </c>
      <c r="E80" s="1049"/>
      <c r="F80" s="1044" t="str">
        <f t="shared" si="9"/>
        <v/>
      </c>
      <c r="G80" s="1046"/>
      <c r="H80" s="1049"/>
      <c r="I80" s="1044" t="str">
        <f t="shared" si="10"/>
        <v/>
      </c>
      <c r="J80" s="1050"/>
      <c r="K80" s="1049"/>
      <c r="L80" s="1044" t="str">
        <f t="shared" si="11"/>
        <v/>
      </c>
      <c r="M80" s="1046"/>
      <c r="N80" s="1049"/>
      <c r="O80" s="1044" t="str">
        <f t="shared" si="12"/>
        <v/>
      </c>
      <c r="P80" s="1046"/>
      <c r="Q80" s="1049"/>
      <c r="R80" s="1030" t="str">
        <f t="shared" si="13"/>
        <v/>
      </c>
    </row>
    <row r="81" spans="1:19" ht="10.5" customHeight="1">
      <c r="A81" s="867" t="s">
        <v>396</v>
      </c>
      <c r="B81" s="857">
        <f t="shared" si="7"/>
        <v>2428</v>
      </c>
      <c r="C81" s="1036">
        <f t="shared" si="8"/>
        <v>10.961130423005732</v>
      </c>
      <c r="E81" s="1049">
        <f>SUM(E82)</f>
        <v>994</v>
      </c>
      <c r="F81" s="1044">
        <f t="shared" si="9"/>
        <v>40.939044481054367</v>
      </c>
      <c r="G81" s="1046"/>
      <c r="H81" s="1049">
        <f>SUM(H82)</f>
        <v>1198</v>
      </c>
      <c r="I81" s="1044">
        <f t="shared" si="10"/>
        <v>49.341021416803954</v>
      </c>
      <c r="J81" s="1050"/>
      <c r="K81" s="1049">
        <f>SUM(K82)</f>
        <v>199</v>
      </c>
      <c r="L81" s="1044">
        <f t="shared" si="11"/>
        <v>8.1960461285008233</v>
      </c>
      <c r="M81" s="1046"/>
      <c r="N81" s="1049">
        <f>SUM(N82)</f>
        <v>28</v>
      </c>
      <c r="O81" s="1044">
        <f t="shared" si="12"/>
        <v>1.1532125205930808</v>
      </c>
      <c r="P81" s="1046"/>
      <c r="Q81" s="1049">
        <f>SUM(Q82)</f>
        <v>9</v>
      </c>
      <c r="R81" s="1030">
        <f t="shared" si="13"/>
        <v>0.37067545304777594</v>
      </c>
    </row>
    <row r="82" spans="1:19" ht="12.95" customHeight="1">
      <c r="A82" s="847" t="s">
        <v>75</v>
      </c>
      <c r="B82" s="857">
        <f t="shared" si="7"/>
        <v>2428</v>
      </c>
      <c r="C82" s="1036">
        <f t="shared" si="8"/>
        <v>10.961130423005732</v>
      </c>
      <c r="E82" s="1049">
        <f>SUM(E83:E91)</f>
        <v>994</v>
      </c>
      <c r="F82" s="1044">
        <f t="shared" si="9"/>
        <v>40.939044481054367</v>
      </c>
      <c r="G82" s="1046"/>
      <c r="H82" s="1049">
        <f>SUM(H83:H91)</f>
        <v>1198</v>
      </c>
      <c r="I82" s="1044">
        <f t="shared" si="10"/>
        <v>49.341021416803954</v>
      </c>
      <c r="J82" s="1050"/>
      <c r="K82" s="1049">
        <f>SUM(K83:K91)</f>
        <v>199</v>
      </c>
      <c r="L82" s="1044">
        <f t="shared" si="11"/>
        <v>8.1960461285008233</v>
      </c>
      <c r="M82" s="1046"/>
      <c r="N82" s="1049">
        <f>SUM(N83:N91)</f>
        <v>28</v>
      </c>
      <c r="O82" s="1044">
        <f t="shared" si="12"/>
        <v>1.1532125205930808</v>
      </c>
      <c r="P82" s="1046"/>
      <c r="Q82" s="1049">
        <f>SUM(Q83:Q91)</f>
        <v>9</v>
      </c>
      <c r="R82" s="1030">
        <f t="shared" si="13"/>
        <v>0.37067545304777594</v>
      </c>
    </row>
    <row r="83" spans="1:19" ht="12.95" customHeight="1">
      <c r="A83" s="847" t="s">
        <v>338</v>
      </c>
      <c r="B83" s="857">
        <f t="shared" si="7"/>
        <v>241</v>
      </c>
      <c r="C83" s="1036">
        <f t="shared" si="8"/>
        <v>1.0879869983296466</v>
      </c>
      <c r="E83" s="1047">
        <v>134</v>
      </c>
      <c r="F83" s="1044">
        <f t="shared" si="9"/>
        <v>55.601659751037346</v>
      </c>
      <c r="G83" s="1047"/>
      <c r="H83" s="1047">
        <v>88</v>
      </c>
      <c r="I83" s="1044">
        <f t="shared" si="10"/>
        <v>36.514522821576762</v>
      </c>
      <c r="J83" s="1047"/>
      <c r="K83" s="1047">
        <v>17</v>
      </c>
      <c r="L83" s="1044">
        <f t="shared" si="11"/>
        <v>7.0539419087136928</v>
      </c>
      <c r="M83" s="1047"/>
      <c r="N83" s="1047">
        <v>1</v>
      </c>
      <c r="O83" s="1044">
        <f t="shared" si="12"/>
        <v>0.41493775933609961</v>
      </c>
      <c r="P83" s="1047"/>
      <c r="Q83" s="1047">
        <v>1</v>
      </c>
      <c r="R83" s="1030">
        <f t="shared" si="13"/>
        <v>0.41493775933609961</v>
      </c>
    </row>
    <row r="84" spans="1:19" ht="12.95" customHeight="1">
      <c r="A84" s="847" t="s">
        <v>76</v>
      </c>
      <c r="B84" s="857">
        <f t="shared" si="7"/>
        <v>332</v>
      </c>
      <c r="C84" s="1036">
        <f t="shared" si="8"/>
        <v>1.4988036657487247</v>
      </c>
      <c r="E84" s="1047">
        <v>153</v>
      </c>
      <c r="F84" s="1044">
        <f t="shared" si="9"/>
        <v>46.084337349397593</v>
      </c>
      <c r="G84" s="1047"/>
      <c r="H84" s="1047">
        <v>151</v>
      </c>
      <c r="I84" s="1044">
        <f t="shared" si="10"/>
        <v>45.481927710843372</v>
      </c>
      <c r="J84" s="1047"/>
      <c r="K84" s="1047">
        <v>24</v>
      </c>
      <c r="L84" s="1044">
        <f t="shared" si="11"/>
        <v>7.2289156626506017</v>
      </c>
      <c r="M84" s="1047"/>
      <c r="N84" s="1047">
        <v>3</v>
      </c>
      <c r="O84" s="1044">
        <f t="shared" si="12"/>
        <v>0.90361445783132521</v>
      </c>
      <c r="P84" s="1047"/>
      <c r="Q84" s="1047">
        <v>1</v>
      </c>
      <c r="R84" s="1030">
        <f t="shared" si="13"/>
        <v>0.30120481927710846</v>
      </c>
    </row>
    <row r="85" spans="1:19" ht="12.95" customHeight="1">
      <c r="A85" s="847" t="s">
        <v>78</v>
      </c>
      <c r="B85" s="857">
        <f t="shared" si="7"/>
        <v>445</v>
      </c>
      <c r="C85" s="1036">
        <f t="shared" si="8"/>
        <v>2.0089386483680194</v>
      </c>
      <c r="E85" s="1047">
        <v>170</v>
      </c>
      <c r="F85" s="1044">
        <f t="shared" si="9"/>
        <v>38.202247191011232</v>
      </c>
      <c r="G85" s="1047"/>
      <c r="H85" s="1047">
        <v>236</v>
      </c>
      <c r="I85" s="1044">
        <f t="shared" si="10"/>
        <v>53.033707865168545</v>
      </c>
      <c r="J85" s="1047"/>
      <c r="K85" s="1047">
        <v>32</v>
      </c>
      <c r="L85" s="1044">
        <f t="shared" si="11"/>
        <v>7.1910112359550569</v>
      </c>
      <c r="M85" s="1047"/>
      <c r="N85" s="1047">
        <v>7</v>
      </c>
      <c r="O85" s="1044">
        <f t="shared" si="12"/>
        <v>1.5730337078651686</v>
      </c>
      <c r="P85" s="1047"/>
      <c r="Q85" s="1047">
        <v>0</v>
      </c>
      <c r="R85" s="1030">
        <f t="shared" si="13"/>
        <v>0</v>
      </c>
    </row>
    <row r="86" spans="1:19" ht="12.95" customHeight="1">
      <c r="A86" s="847" t="s">
        <v>80</v>
      </c>
      <c r="B86" s="857">
        <f t="shared" si="7"/>
        <v>131</v>
      </c>
      <c r="C86" s="1036">
        <f t="shared" si="8"/>
        <v>0.59139542232856301</v>
      </c>
      <c r="E86" s="1047">
        <v>51</v>
      </c>
      <c r="F86" s="1044">
        <f t="shared" si="9"/>
        <v>38.931297709923662</v>
      </c>
      <c r="G86" s="1047"/>
      <c r="H86" s="1047">
        <v>68</v>
      </c>
      <c r="I86" s="1044">
        <f t="shared" si="10"/>
        <v>51.908396946564885</v>
      </c>
      <c r="J86" s="1047"/>
      <c r="K86" s="1047">
        <v>11</v>
      </c>
      <c r="L86" s="1044">
        <f t="shared" si="11"/>
        <v>8.3969465648854964</v>
      </c>
      <c r="M86" s="1047"/>
      <c r="N86" s="1047">
        <v>1</v>
      </c>
      <c r="O86" s="1044">
        <f t="shared" si="12"/>
        <v>0.76335877862595414</v>
      </c>
      <c r="P86" s="1047"/>
      <c r="Q86" s="1047">
        <v>0</v>
      </c>
      <c r="R86" s="1030">
        <f t="shared" si="13"/>
        <v>0</v>
      </c>
    </row>
    <row r="87" spans="1:19" ht="12.95" customHeight="1">
      <c r="A87" s="847" t="s">
        <v>79</v>
      </c>
      <c r="B87" s="857">
        <f t="shared" si="7"/>
        <v>181</v>
      </c>
      <c r="C87" s="1036">
        <f t="shared" si="8"/>
        <v>0.81711886596541916</v>
      </c>
      <c r="D87" s="877"/>
      <c r="E87" s="1047">
        <v>72</v>
      </c>
      <c r="F87" s="1044">
        <f t="shared" si="9"/>
        <v>39.77900552486188</v>
      </c>
      <c r="G87" s="1047"/>
      <c r="H87" s="1047">
        <v>94</v>
      </c>
      <c r="I87" s="1044">
        <f t="shared" si="10"/>
        <v>51.933701657458563</v>
      </c>
      <c r="J87" s="1047"/>
      <c r="K87" s="1047">
        <v>13</v>
      </c>
      <c r="L87" s="1044">
        <f t="shared" si="11"/>
        <v>7.1823204419889501</v>
      </c>
      <c r="M87" s="1047"/>
      <c r="N87" s="1047">
        <v>2</v>
      </c>
      <c r="O87" s="1044">
        <f t="shared" si="12"/>
        <v>1.1049723756906076</v>
      </c>
      <c r="P87" s="1047"/>
      <c r="Q87" s="1047">
        <v>0</v>
      </c>
      <c r="R87" s="1030">
        <f t="shared" si="13"/>
        <v>0</v>
      </c>
      <c r="S87" s="999"/>
    </row>
    <row r="88" spans="1:19" ht="12.95" customHeight="1">
      <c r="A88" s="847" t="s">
        <v>77</v>
      </c>
      <c r="B88" s="857">
        <f t="shared" si="7"/>
        <v>285</v>
      </c>
      <c r="C88" s="1036">
        <f t="shared" si="8"/>
        <v>1.2866236287300798</v>
      </c>
      <c r="D88" s="877"/>
      <c r="E88" s="1047">
        <v>120</v>
      </c>
      <c r="F88" s="1044">
        <f t="shared" si="9"/>
        <v>42.105263157894733</v>
      </c>
      <c r="G88" s="1047"/>
      <c r="H88" s="1047">
        <v>138</v>
      </c>
      <c r="I88" s="1044">
        <f t="shared" si="10"/>
        <v>48.421052631578945</v>
      </c>
      <c r="J88" s="1047"/>
      <c r="K88" s="1047">
        <v>25</v>
      </c>
      <c r="L88" s="1044">
        <f t="shared" si="11"/>
        <v>8.7719298245614024</v>
      </c>
      <c r="M88" s="1047"/>
      <c r="N88" s="1047">
        <v>2</v>
      </c>
      <c r="O88" s="1044">
        <f t="shared" si="12"/>
        <v>0.70175438596491224</v>
      </c>
      <c r="P88" s="1047"/>
      <c r="Q88" s="1047">
        <v>0</v>
      </c>
      <c r="R88" s="1030">
        <f t="shared" si="13"/>
        <v>0</v>
      </c>
      <c r="S88" s="999"/>
    </row>
    <row r="89" spans="1:19" ht="12.95" customHeight="1">
      <c r="A89" s="847" t="s">
        <v>81</v>
      </c>
      <c r="B89" s="857">
        <f t="shared" si="7"/>
        <v>301</v>
      </c>
      <c r="C89" s="1036">
        <f t="shared" si="8"/>
        <v>1.3588551306938739</v>
      </c>
      <c r="D89" s="877"/>
      <c r="E89" s="1047">
        <v>90</v>
      </c>
      <c r="F89" s="1044">
        <f t="shared" si="9"/>
        <v>29.900332225913623</v>
      </c>
      <c r="G89" s="1047"/>
      <c r="H89" s="1047">
        <v>167</v>
      </c>
      <c r="I89" s="1044">
        <f t="shared" si="10"/>
        <v>55.481727574750828</v>
      </c>
      <c r="J89" s="1047"/>
      <c r="K89" s="1047">
        <v>34</v>
      </c>
      <c r="L89" s="1044">
        <f t="shared" si="11"/>
        <v>11.295681063122924</v>
      </c>
      <c r="M89" s="1047"/>
      <c r="N89" s="1047">
        <v>6</v>
      </c>
      <c r="O89" s="1044">
        <f t="shared" si="12"/>
        <v>1.9933554817275747</v>
      </c>
      <c r="P89" s="1047"/>
      <c r="Q89" s="1047">
        <v>4</v>
      </c>
      <c r="R89" s="1030">
        <f t="shared" si="13"/>
        <v>1.3289036544850499</v>
      </c>
    </row>
    <row r="90" spans="1:19" ht="12.95" customHeight="1">
      <c r="A90" s="847" t="s">
        <v>441</v>
      </c>
      <c r="B90" s="857">
        <f t="shared" si="7"/>
        <v>234</v>
      </c>
      <c r="C90" s="1036">
        <f t="shared" si="8"/>
        <v>1.0563857162204866</v>
      </c>
      <c r="D90" s="877"/>
      <c r="E90" s="1047">
        <v>66</v>
      </c>
      <c r="F90" s="1044">
        <f t="shared" si="9"/>
        <v>28.205128205128204</v>
      </c>
      <c r="G90" s="1047"/>
      <c r="H90" s="1047">
        <v>132</v>
      </c>
      <c r="I90" s="1044">
        <f t="shared" si="10"/>
        <v>56.410256410256409</v>
      </c>
      <c r="J90" s="1047"/>
      <c r="K90" s="1047">
        <v>30</v>
      </c>
      <c r="L90" s="1044">
        <f t="shared" si="11"/>
        <v>12.820512820512819</v>
      </c>
      <c r="M90" s="1047"/>
      <c r="N90" s="1047">
        <v>4</v>
      </c>
      <c r="O90" s="1044">
        <f t="shared" si="12"/>
        <v>1.7094017094017095</v>
      </c>
      <c r="P90" s="1047"/>
      <c r="Q90" s="1047">
        <v>2</v>
      </c>
      <c r="R90" s="1030">
        <f t="shared" si="13"/>
        <v>0.85470085470085477</v>
      </c>
    </row>
    <row r="91" spans="1:19" ht="12.95" customHeight="1">
      <c r="A91" s="847" t="s">
        <v>339</v>
      </c>
      <c r="B91" s="857">
        <f t="shared" si="7"/>
        <v>278</v>
      </c>
      <c r="C91" s="1036">
        <f t="shared" si="8"/>
        <v>1.25502234662092</v>
      </c>
      <c r="E91" s="1047">
        <v>138</v>
      </c>
      <c r="F91" s="1044">
        <f t="shared" si="9"/>
        <v>49.640287769784173</v>
      </c>
      <c r="G91" s="1047"/>
      <c r="H91" s="1047">
        <v>124</v>
      </c>
      <c r="I91" s="1044">
        <f t="shared" si="10"/>
        <v>44.60431654676259</v>
      </c>
      <c r="J91" s="1047"/>
      <c r="K91" s="1047">
        <v>13</v>
      </c>
      <c r="L91" s="1044">
        <f t="shared" si="11"/>
        <v>4.6762589928057556</v>
      </c>
      <c r="M91" s="1047"/>
      <c r="N91" s="1047">
        <v>2</v>
      </c>
      <c r="O91" s="1044">
        <f t="shared" si="12"/>
        <v>0.71942446043165476</v>
      </c>
      <c r="P91" s="1047"/>
      <c r="Q91" s="1047">
        <v>1</v>
      </c>
      <c r="R91" s="1030">
        <f t="shared" si="13"/>
        <v>0.35971223021582738</v>
      </c>
    </row>
    <row r="92" spans="1:19" ht="12.95" customHeight="1">
      <c r="B92" s="857" t="str">
        <f t="shared" si="7"/>
        <v/>
      </c>
      <c r="C92" s="1036" t="str">
        <f t="shared" si="8"/>
        <v/>
      </c>
      <c r="E92" s="1048"/>
      <c r="F92" s="1044" t="str">
        <f t="shared" si="9"/>
        <v/>
      </c>
      <c r="G92" s="1048"/>
      <c r="H92" s="1048"/>
      <c r="I92" s="1044" t="str">
        <f t="shared" si="10"/>
        <v/>
      </c>
      <c r="J92" s="1048"/>
      <c r="K92" s="1048"/>
      <c r="L92" s="1044" t="str">
        <f t="shared" si="11"/>
        <v/>
      </c>
      <c r="M92" s="1048"/>
      <c r="N92" s="1048"/>
      <c r="O92" s="1044" t="str">
        <f t="shared" si="12"/>
        <v/>
      </c>
      <c r="P92" s="1048"/>
      <c r="Q92" s="1048"/>
      <c r="R92" s="1030" t="str">
        <f t="shared" si="13"/>
        <v/>
      </c>
    </row>
    <row r="93" spans="1:19" ht="12.95" customHeight="1">
      <c r="A93" s="847" t="s">
        <v>443</v>
      </c>
      <c r="B93" s="857">
        <f t="shared" si="7"/>
        <v>265</v>
      </c>
      <c r="C93" s="1036">
        <f t="shared" si="8"/>
        <v>1.1963342512753374</v>
      </c>
      <c r="E93" s="1047">
        <v>140</v>
      </c>
      <c r="F93" s="1044">
        <f t="shared" si="9"/>
        <v>52.830188679245282</v>
      </c>
      <c r="G93" s="1047"/>
      <c r="H93" s="1047">
        <v>111</v>
      </c>
      <c r="I93" s="1044">
        <f t="shared" si="10"/>
        <v>41.886792452830193</v>
      </c>
      <c r="J93" s="1047"/>
      <c r="K93" s="1047">
        <v>10</v>
      </c>
      <c r="L93" s="1044">
        <f t="shared" si="11"/>
        <v>3.7735849056603774</v>
      </c>
      <c r="M93" s="1047"/>
      <c r="N93" s="1047">
        <v>3</v>
      </c>
      <c r="O93" s="1044">
        <f t="shared" si="12"/>
        <v>1.1320754716981132</v>
      </c>
      <c r="P93" s="1047"/>
      <c r="Q93" s="1047">
        <v>1</v>
      </c>
      <c r="R93" s="1030">
        <f t="shared" si="13"/>
        <v>0.37735849056603776</v>
      </c>
    </row>
    <row r="94" spans="1:19" ht="12.95" customHeight="1">
      <c r="A94" s="847" t="s">
        <v>920</v>
      </c>
      <c r="B94" s="857">
        <f t="shared" si="7"/>
        <v>385</v>
      </c>
      <c r="C94" s="1036">
        <f t="shared" si="8"/>
        <v>1.7380705160037919</v>
      </c>
      <c r="E94" s="1047">
        <v>154</v>
      </c>
      <c r="F94" s="1044">
        <f t="shared" si="9"/>
        <v>40</v>
      </c>
      <c r="G94" s="1047"/>
      <c r="H94" s="1047">
        <v>190</v>
      </c>
      <c r="I94" s="1044">
        <f t="shared" si="10"/>
        <v>49.350649350649348</v>
      </c>
      <c r="J94" s="1047"/>
      <c r="K94" s="1047">
        <v>37</v>
      </c>
      <c r="L94" s="1044">
        <f t="shared" si="11"/>
        <v>9.6103896103896105</v>
      </c>
      <c r="M94" s="1047"/>
      <c r="N94" s="1047">
        <v>3</v>
      </c>
      <c r="O94" s="1044">
        <f t="shared" si="12"/>
        <v>0.77922077922077926</v>
      </c>
      <c r="P94" s="1047"/>
      <c r="Q94" s="1047">
        <v>1</v>
      </c>
      <c r="R94" s="1030">
        <f t="shared" si="13"/>
        <v>0.25974025974025972</v>
      </c>
    </row>
    <row r="95" spans="1:19" ht="10.5" customHeight="1">
      <c r="B95" s="857" t="str">
        <f t="shared" si="7"/>
        <v/>
      </c>
      <c r="C95" s="1036" t="str">
        <f t="shared" si="8"/>
        <v/>
      </c>
      <c r="E95" s="1049"/>
      <c r="F95" s="1044" t="str">
        <f t="shared" si="9"/>
        <v/>
      </c>
      <c r="G95" s="1046"/>
      <c r="H95" s="1049"/>
      <c r="I95" s="1044" t="str">
        <f t="shared" si="10"/>
        <v/>
      </c>
      <c r="J95" s="1050"/>
      <c r="K95" s="1049"/>
      <c r="L95" s="1044" t="str">
        <f t="shared" si="11"/>
        <v/>
      </c>
      <c r="M95" s="1046"/>
      <c r="N95" s="1049"/>
      <c r="O95" s="1044" t="str">
        <f t="shared" si="12"/>
        <v/>
      </c>
      <c r="P95" s="1046"/>
      <c r="Q95" s="1049"/>
      <c r="R95" s="1030" t="str">
        <f t="shared" si="13"/>
        <v/>
      </c>
    </row>
    <row r="96" spans="1:19">
      <c r="A96" s="867" t="s">
        <v>1701</v>
      </c>
      <c r="B96" s="857">
        <f t="shared" si="7"/>
        <v>7572</v>
      </c>
      <c r="C96" s="1036">
        <f t="shared" si="8"/>
        <v>34.183558304365491</v>
      </c>
      <c r="E96" s="1049">
        <f>SUM(E97:E101)</f>
        <v>3191</v>
      </c>
      <c r="F96" s="1044">
        <f t="shared" si="9"/>
        <v>42.142102482831483</v>
      </c>
      <c r="G96" s="1046"/>
      <c r="H96" s="1049">
        <f>SUM(H97:H101)</f>
        <v>3545</v>
      </c>
      <c r="I96" s="1044">
        <f t="shared" si="10"/>
        <v>46.817221341785526</v>
      </c>
      <c r="J96" s="1050"/>
      <c r="K96" s="1049">
        <f>SUM(K97:K101)</f>
        <v>650</v>
      </c>
      <c r="L96" s="1044">
        <f t="shared" si="11"/>
        <v>8.5842577918647649</v>
      </c>
      <c r="M96" s="1046"/>
      <c r="N96" s="1049">
        <f>SUM(N97:N101)</f>
        <v>126</v>
      </c>
      <c r="O96" s="1044">
        <f t="shared" si="12"/>
        <v>1.6640253565768619</v>
      </c>
      <c r="P96" s="1046"/>
      <c r="Q96" s="1049">
        <f>SUM(Q97:Q101)</f>
        <v>60</v>
      </c>
      <c r="R96" s="1030">
        <f t="shared" si="13"/>
        <v>0.79239302694136293</v>
      </c>
    </row>
    <row r="97" spans="1:19" ht="12.95" customHeight="1">
      <c r="A97" s="847" t="s">
        <v>347</v>
      </c>
      <c r="B97" s="857">
        <f t="shared" si="7"/>
        <v>2429</v>
      </c>
      <c r="C97" s="1036">
        <f t="shared" si="8"/>
        <v>10.965644891878471</v>
      </c>
      <c r="E97" s="1047">
        <v>973</v>
      </c>
      <c r="F97" s="1044">
        <f t="shared" si="9"/>
        <v>40.057636887608069</v>
      </c>
      <c r="G97" s="1047"/>
      <c r="H97" s="1047">
        <v>1171</v>
      </c>
      <c r="I97" s="1044">
        <f t="shared" si="10"/>
        <v>48.209139563606421</v>
      </c>
      <c r="J97" s="1047"/>
      <c r="K97" s="1047">
        <v>234</v>
      </c>
      <c r="L97" s="1044">
        <f t="shared" si="11"/>
        <v>9.6335940716344179</v>
      </c>
      <c r="M97" s="1047"/>
      <c r="N97" s="1047">
        <v>38</v>
      </c>
      <c r="O97" s="1044">
        <f t="shared" si="12"/>
        <v>1.5644298065047344</v>
      </c>
      <c r="P97" s="1047"/>
      <c r="Q97" s="1047">
        <v>13</v>
      </c>
      <c r="R97" s="1030">
        <f t="shared" si="13"/>
        <v>0.53519967064635654</v>
      </c>
    </row>
    <row r="98" spans="1:19" ht="12.95" customHeight="1">
      <c r="A98" s="847" t="s">
        <v>348</v>
      </c>
      <c r="B98" s="857">
        <f t="shared" si="7"/>
        <v>1544</v>
      </c>
      <c r="C98" s="1036">
        <f t="shared" si="8"/>
        <v>6.9703399395061174</v>
      </c>
      <c r="E98" s="1047">
        <v>640</v>
      </c>
      <c r="F98" s="1044">
        <f t="shared" si="9"/>
        <v>41.450777202072537</v>
      </c>
      <c r="G98" s="1047"/>
      <c r="H98" s="1047">
        <v>740</v>
      </c>
      <c r="I98" s="1044">
        <f t="shared" si="10"/>
        <v>47.927461139896373</v>
      </c>
      <c r="J98" s="1047"/>
      <c r="K98" s="1047">
        <v>131</v>
      </c>
      <c r="L98" s="1044">
        <f t="shared" si="11"/>
        <v>8.4844559585492227</v>
      </c>
      <c r="M98" s="1047"/>
      <c r="N98" s="1047">
        <v>21</v>
      </c>
      <c r="O98" s="1044">
        <f t="shared" si="12"/>
        <v>1.3601036269430051</v>
      </c>
      <c r="P98" s="1047"/>
      <c r="Q98" s="1047">
        <v>12</v>
      </c>
      <c r="R98" s="1030">
        <f>IF(A98&lt;&gt;0,Q98/B98*100,"")</f>
        <v>0.77720207253886009</v>
      </c>
    </row>
    <row r="99" spans="1:19" ht="12.95" customHeight="1">
      <c r="A99" s="847" t="s">
        <v>349</v>
      </c>
      <c r="B99" s="857">
        <f t="shared" si="7"/>
        <v>1520</v>
      </c>
      <c r="C99" s="1036">
        <f t="shared" si="8"/>
        <v>6.861992686560427</v>
      </c>
      <c r="E99" s="1047">
        <v>693</v>
      </c>
      <c r="F99" s="1044">
        <f t="shared" si="9"/>
        <v>45.592105263157897</v>
      </c>
      <c r="G99" s="1047"/>
      <c r="H99" s="1047">
        <v>664</v>
      </c>
      <c r="I99" s="1044">
        <f t="shared" si="10"/>
        <v>43.684210526315795</v>
      </c>
      <c r="J99" s="1047"/>
      <c r="K99" s="1047">
        <v>132</v>
      </c>
      <c r="L99" s="1044">
        <f t="shared" si="11"/>
        <v>8.6842105263157894</v>
      </c>
      <c r="M99" s="1047"/>
      <c r="N99" s="1047">
        <v>25</v>
      </c>
      <c r="O99" s="1044">
        <f t="shared" si="12"/>
        <v>1.6447368421052631</v>
      </c>
      <c r="P99" s="1047"/>
      <c r="Q99" s="1047">
        <v>6</v>
      </c>
      <c r="R99" s="1030">
        <f>IF(A99&lt;&gt;0,Q99/B99*100,"")</f>
        <v>0.39473684210526316</v>
      </c>
    </row>
    <row r="100" spans="1:19" ht="12.95" customHeight="1">
      <c r="A100" s="847" t="s">
        <v>378</v>
      </c>
      <c r="B100" s="857">
        <f t="shared" si="7"/>
        <v>1139</v>
      </c>
      <c r="C100" s="1036">
        <f t="shared" si="8"/>
        <v>5.1419800460475829</v>
      </c>
      <c r="E100" s="1047">
        <v>435</v>
      </c>
      <c r="F100" s="1044">
        <f t="shared" si="9"/>
        <v>38.191395961369622</v>
      </c>
      <c r="G100" s="1047"/>
      <c r="H100" s="1047">
        <v>537</v>
      </c>
      <c r="I100" s="1044">
        <f t="shared" si="10"/>
        <v>47.146619841966633</v>
      </c>
      <c r="J100" s="1047"/>
      <c r="K100" s="1047">
        <v>107</v>
      </c>
      <c r="L100" s="1044">
        <f t="shared" si="11"/>
        <v>9.3942054433713782</v>
      </c>
      <c r="M100" s="1047"/>
      <c r="N100" s="1047">
        <v>36</v>
      </c>
      <c r="O100" s="1044">
        <f t="shared" si="12"/>
        <v>3.1606672519754171</v>
      </c>
      <c r="P100" s="1047"/>
      <c r="Q100" s="1047">
        <v>24</v>
      </c>
      <c r="R100" s="1030">
        <f>IF(A100&lt;&gt;0,Q100/B100*100,"")</f>
        <v>2.1071115013169446</v>
      </c>
    </row>
    <row r="101" spans="1:19" ht="12.95" customHeight="1">
      <c r="A101" s="847" t="s">
        <v>1728</v>
      </c>
      <c r="B101" s="857">
        <f t="shared" si="7"/>
        <v>940</v>
      </c>
      <c r="C101" s="1036">
        <f t="shared" si="8"/>
        <v>4.2436007403728953</v>
      </c>
      <c r="E101" s="1047">
        <v>450</v>
      </c>
      <c r="F101" s="1044">
        <f t="shared" si="9"/>
        <v>47.872340425531917</v>
      </c>
      <c r="G101" s="1047"/>
      <c r="H101" s="1047">
        <v>433</v>
      </c>
      <c r="I101" s="1044">
        <f t="shared" si="10"/>
        <v>46.063829787234042</v>
      </c>
      <c r="J101" s="1047"/>
      <c r="K101" s="1047">
        <v>46</v>
      </c>
      <c r="L101" s="1044">
        <f t="shared" si="11"/>
        <v>4.8936170212765955</v>
      </c>
      <c r="M101" s="1047"/>
      <c r="N101" s="1047">
        <v>6</v>
      </c>
      <c r="O101" s="1044">
        <f t="shared" si="12"/>
        <v>0.63829787234042545</v>
      </c>
      <c r="P101" s="1047"/>
      <c r="Q101" s="1047">
        <v>5</v>
      </c>
      <c r="R101" s="1030">
        <f>IF(A101&lt;&gt;0,Q101/B101*100,"")</f>
        <v>0.53191489361702127</v>
      </c>
    </row>
    <row r="102" spans="1:19" ht="9.9499999999999993" customHeight="1" thickBot="1"/>
    <row r="103" spans="1:19" ht="9.75" customHeight="1">
      <c r="A103" s="850"/>
      <c r="B103" s="1033"/>
      <c r="C103" s="1034"/>
      <c r="D103" s="870"/>
      <c r="E103" s="1035"/>
      <c r="F103" s="1034"/>
      <c r="G103" s="870"/>
      <c r="H103" s="1035"/>
      <c r="I103" s="1034"/>
      <c r="J103" s="1034"/>
      <c r="K103" s="1035"/>
      <c r="L103" s="870"/>
      <c r="M103" s="870"/>
      <c r="N103" s="1035"/>
      <c r="O103" s="870"/>
      <c r="P103" s="870"/>
      <c r="Q103" s="1035"/>
      <c r="R103" s="850"/>
      <c r="S103" s="850"/>
    </row>
    <row r="104" spans="1:19">
      <c r="A104" s="854" t="s">
        <v>1702</v>
      </c>
      <c r="D104" s="858"/>
      <c r="G104" s="858"/>
      <c r="J104" s="854"/>
      <c r="K104" s="854"/>
      <c r="N104" s="854"/>
      <c r="Q104" s="854"/>
    </row>
    <row r="105" spans="1:19" ht="10.5" customHeight="1">
      <c r="A105" s="847" t="s">
        <v>1703</v>
      </c>
    </row>
    <row r="107" spans="1:19">
      <c r="A107" s="847" t="s">
        <v>1704</v>
      </c>
    </row>
    <row r="108" spans="1:19">
      <c r="A108" s="847" t="s">
        <v>1705</v>
      </c>
    </row>
  </sheetData>
  <mergeCells count="5">
    <mergeCell ref="E7:F7"/>
    <mergeCell ref="H7:I7"/>
    <mergeCell ref="K7:L7"/>
    <mergeCell ref="N7:O7"/>
    <mergeCell ref="Q7:R7"/>
  </mergeCells>
  <printOptions horizontalCentered="1" verticalCentered="1"/>
  <pageMargins left="0" right="0" top="0" bottom="0" header="0.31496062992125984" footer="0.31496062992125984"/>
  <pageSetup paperSize="9" scale="60" orientation="portrait" r:id="rId1"/>
  <drawing r:id="rId2"/>
</worksheet>
</file>

<file path=xl/worksheets/sheet104.xml><?xml version="1.0" encoding="utf-8"?>
<worksheet xmlns="http://schemas.openxmlformats.org/spreadsheetml/2006/main" xmlns:r="http://schemas.openxmlformats.org/officeDocument/2006/relationships">
  <dimension ref="A1:P57"/>
  <sheetViews>
    <sheetView topLeftCell="A19" workbookViewId="0">
      <selection activeCell="A5" sqref="A5"/>
    </sheetView>
  </sheetViews>
  <sheetFormatPr baseColWidth="10" defaultColWidth="9.140625" defaultRowHeight="12.75"/>
  <cols>
    <col min="1" max="1" width="37.7109375" style="434" customWidth="1"/>
    <col min="2" max="2" width="7.7109375" style="435" customWidth="1"/>
    <col min="3" max="3" width="7.7109375" style="436" customWidth="1"/>
    <col min="4" max="4" width="2.42578125" style="436" customWidth="1"/>
    <col min="5" max="5" width="8.7109375" style="435" customWidth="1"/>
    <col min="6" max="6" width="8.7109375" style="436" customWidth="1"/>
    <col min="7" max="7" width="1.7109375" style="436" customWidth="1"/>
    <col min="8" max="8" width="8.7109375" style="435" customWidth="1"/>
    <col min="9" max="9" width="8.7109375" style="434" customWidth="1"/>
    <col min="10" max="10" width="1.7109375" style="434" customWidth="1"/>
    <col min="11" max="11" width="8.7109375" style="435" customWidth="1"/>
    <col min="12" max="12" width="8.7109375" style="434" customWidth="1"/>
    <col min="13" max="13" width="1.7109375" style="434" customWidth="1"/>
    <col min="14" max="14" width="8.7109375" style="435" customWidth="1"/>
    <col min="15" max="15" width="8.140625" style="434" customWidth="1"/>
    <col min="16" max="16" width="2.42578125" style="434" customWidth="1"/>
    <col min="17" max="256" width="9.140625" style="434"/>
    <col min="257" max="257" width="37.7109375" style="434" customWidth="1"/>
    <col min="258" max="259" width="7.7109375" style="434" customWidth="1"/>
    <col min="260" max="260" width="2.42578125" style="434" customWidth="1"/>
    <col min="261" max="262" width="8.7109375" style="434" customWidth="1"/>
    <col min="263" max="263" width="1.7109375" style="434" customWidth="1"/>
    <col min="264" max="265" width="8.7109375" style="434" customWidth="1"/>
    <col min="266" max="266" width="1.7109375" style="434" customWidth="1"/>
    <col min="267" max="268" width="8.7109375" style="434" customWidth="1"/>
    <col min="269" max="269" width="1.7109375" style="434" customWidth="1"/>
    <col min="270" max="270" width="8.7109375" style="434" customWidth="1"/>
    <col min="271" max="271" width="8.140625" style="434" customWidth="1"/>
    <col min="272" max="272" width="2.42578125" style="434" customWidth="1"/>
    <col min="273" max="512" width="9.140625" style="434"/>
    <col min="513" max="513" width="37.7109375" style="434" customWidth="1"/>
    <col min="514" max="515" width="7.7109375" style="434" customWidth="1"/>
    <col min="516" max="516" width="2.42578125" style="434" customWidth="1"/>
    <col min="517" max="518" width="8.7109375" style="434" customWidth="1"/>
    <col min="519" max="519" width="1.7109375" style="434" customWidth="1"/>
    <col min="520" max="521" width="8.7109375" style="434" customWidth="1"/>
    <col min="522" max="522" width="1.7109375" style="434" customWidth="1"/>
    <col min="523" max="524" width="8.7109375" style="434" customWidth="1"/>
    <col min="525" max="525" width="1.7109375" style="434" customWidth="1"/>
    <col min="526" max="526" width="8.7109375" style="434" customWidth="1"/>
    <col min="527" max="527" width="8.140625" style="434" customWidth="1"/>
    <col min="528" max="528" width="2.42578125" style="434" customWidth="1"/>
    <col min="529" max="768" width="9.140625" style="434"/>
    <col min="769" max="769" width="37.7109375" style="434" customWidth="1"/>
    <col min="770" max="771" width="7.7109375" style="434" customWidth="1"/>
    <col min="772" max="772" width="2.42578125" style="434" customWidth="1"/>
    <col min="773" max="774" width="8.7109375" style="434" customWidth="1"/>
    <col min="775" max="775" width="1.7109375" style="434" customWidth="1"/>
    <col min="776" max="777" width="8.7109375" style="434" customWidth="1"/>
    <col min="778" max="778" width="1.7109375" style="434" customWidth="1"/>
    <col min="779" max="780" width="8.7109375" style="434" customWidth="1"/>
    <col min="781" max="781" width="1.7109375" style="434" customWidth="1"/>
    <col min="782" max="782" width="8.7109375" style="434" customWidth="1"/>
    <col min="783" max="783" width="8.140625" style="434" customWidth="1"/>
    <col min="784" max="784" width="2.42578125" style="434" customWidth="1"/>
    <col min="785" max="1024" width="9.140625" style="434"/>
    <col min="1025" max="1025" width="37.7109375" style="434" customWidth="1"/>
    <col min="1026" max="1027" width="7.7109375" style="434" customWidth="1"/>
    <col min="1028" max="1028" width="2.42578125" style="434" customWidth="1"/>
    <col min="1029" max="1030" width="8.7109375" style="434" customWidth="1"/>
    <col min="1031" max="1031" width="1.7109375" style="434" customWidth="1"/>
    <col min="1032" max="1033" width="8.7109375" style="434" customWidth="1"/>
    <col min="1034" max="1034" width="1.7109375" style="434" customWidth="1"/>
    <col min="1035" max="1036" width="8.7109375" style="434" customWidth="1"/>
    <col min="1037" max="1037" width="1.7109375" style="434" customWidth="1"/>
    <col min="1038" max="1038" width="8.7109375" style="434" customWidth="1"/>
    <col min="1039" max="1039" width="8.140625" style="434" customWidth="1"/>
    <col min="1040" max="1040" width="2.42578125" style="434" customWidth="1"/>
    <col min="1041" max="1280" width="9.140625" style="434"/>
    <col min="1281" max="1281" width="37.7109375" style="434" customWidth="1"/>
    <col min="1282" max="1283" width="7.7109375" style="434" customWidth="1"/>
    <col min="1284" max="1284" width="2.42578125" style="434" customWidth="1"/>
    <col min="1285" max="1286" width="8.7109375" style="434" customWidth="1"/>
    <col min="1287" max="1287" width="1.7109375" style="434" customWidth="1"/>
    <col min="1288" max="1289" width="8.7109375" style="434" customWidth="1"/>
    <col min="1290" max="1290" width="1.7109375" style="434" customWidth="1"/>
    <col min="1291" max="1292" width="8.7109375" style="434" customWidth="1"/>
    <col min="1293" max="1293" width="1.7109375" style="434" customWidth="1"/>
    <col min="1294" max="1294" width="8.7109375" style="434" customWidth="1"/>
    <col min="1295" max="1295" width="8.140625" style="434" customWidth="1"/>
    <col min="1296" max="1296" width="2.42578125" style="434" customWidth="1"/>
    <col min="1297" max="1536" width="9.140625" style="434"/>
    <col min="1537" max="1537" width="37.7109375" style="434" customWidth="1"/>
    <col min="1538" max="1539" width="7.7109375" style="434" customWidth="1"/>
    <col min="1540" max="1540" width="2.42578125" style="434" customWidth="1"/>
    <col min="1541" max="1542" width="8.7109375" style="434" customWidth="1"/>
    <col min="1543" max="1543" width="1.7109375" style="434" customWidth="1"/>
    <col min="1544" max="1545" width="8.7109375" style="434" customWidth="1"/>
    <col min="1546" max="1546" width="1.7109375" style="434" customWidth="1"/>
    <col min="1547" max="1548" width="8.7109375" style="434" customWidth="1"/>
    <col min="1549" max="1549" width="1.7109375" style="434" customWidth="1"/>
    <col min="1550" max="1550" width="8.7109375" style="434" customWidth="1"/>
    <col min="1551" max="1551" width="8.140625" style="434" customWidth="1"/>
    <col min="1552" max="1552" width="2.42578125" style="434" customWidth="1"/>
    <col min="1553" max="1792" width="9.140625" style="434"/>
    <col min="1793" max="1793" width="37.7109375" style="434" customWidth="1"/>
    <col min="1794" max="1795" width="7.7109375" style="434" customWidth="1"/>
    <col min="1796" max="1796" width="2.42578125" style="434" customWidth="1"/>
    <col min="1797" max="1798" width="8.7109375" style="434" customWidth="1"/>
    <col min="1799" max="1799" width="1.7109375" style="434" customWidth="1"/>
    <col min="1800" max="1801" width="8.7109375" style="434" customWidth="1"/>
    <col min="1802" max="1802" width="1.7109375" style="434" customWidth="1"/>
    <col min="1803" max="1804" width="8.7109375" style="434" customWidth="1"/>
    <col min="1805" max="1805" width="1.7109375" style="434" customWidth="1"/>
    <col min="1806" max="1806" width="8.7109375" style="434" customWidth="1"/>
    <col min="1807" max="1807" width="8.140625" style="434" customWidth="1"/>
    <col min="1808" max="1808" width="2.42578125" style="434" customWidth="1"/>
    <col min="1809" max="2048" width="9.140625" style="434"/>
    <col min="2049" max="2049" width="37.7109375" style="434" customWidth="1"/>
    <col min="2050" max="2051" width="7.7109375" style="434" customWidth="1"/>
    <col min="2052" max="2052" width="2.42578125" style="434" customWidth="1"/>
    <col min="2053" max="2054" width="8.7109375" style="434" customWidth="1"/>
    <col min="2055" max="2055" width="1.7109375" style="434" customWidth="1"/>
    <col min="2056" max="2057" width="8.7109375" style="434" customWidth="1"/>
    <col min="2058" max="2058" width="1.7109375" style="434" customWidth="1"/>
    <col min="2059" max="2060" width="8.7109375" style="434" customWidth="1"/>
    <col min="2061" max="2061" width="1.7109375" style="434" customWidth="1"/>
    <col min="2062" max="2062" width="8.7109375" style="434" customWidth="1"/>
    <col min="2063" max="2063" width="8.140625" style="434" customWidth="1"/>
    <col min="2064" max="2064" width="2.42578125" style="434" customWidth="1"/>
    <col min="2065" max="2304" width="9.140625" style="434"/>
    <col min="2305" max="2305" width="37.7109375" style="434" customWidth="1"/>
    <col min="2306" max="2307" width="7.7109375" style="434" customWidth="1"/>
    <col min="2308" max="2308" width="2.42578125" style="434" customWidth="1"/>
    <col min="2309" max="2310" width="8.7109375" style="434" customWidth="1"/>
    <col min="2311" max="2311" width="1.7109375" style="434" customWidth="1"/>
    <col min="2312" max="2313" width="8.7109375" style="434" customWidth="1"/>
    <col min="2314" max="2314" width="1.7109375" style="434" customWidth="1"/>
    <col min="2315" max="2316" width="8.7109375" style="434" customWidth="1"/>
    <col min="2317" max="2317" width="1.7109375" style="434" customWidth="1"/>
    <col min="2318" max="2318" width="8.7109375" style="434" customWidth="1"/>
    <col min="2319" max="2319" width="8.140625" style="434" customWidth="1"/>
    <col min="2320" max="2320" width="2.42578125" style="434" customWidth="1"/>
    <col min="2321" max="2560" width="9.140625" style="434"/>
    <col min="2561" max="2561" width="37.7109375" style="434" customWidth="1"/>
    <col min="2562" max="2563" width="7.7109375" style="434" customWidth="1"/>
    <col min="2564" max="2564" width="2.42578125" style="434" customWidth="1"/>
    <col min="2565" max="2566" width="8.7109375" style="434" customWidth="1"/>
    <col min="2567" max="2567" width="1.7109375" style="434" customWidth="1"/>
    <col min="2568" max="2569" width="8.7109375" style="434" customWidth="1"/>
    <col min="2570" max="2570" width="1.7109375" style="434" customWidth="1"/>
    <col min="2571" max="2572" width="8.7109375" style="434" customWidth="1"/>
    <col min="2573" max="2573" width="1.7109375" style="434" customWidth="1"/>
    <col min="2574" max="2574" width="8.7109375" style="434" customWidth="1"/>
    <col min="2575" max="2575" width="8.140625" style="434" customWidth="1"/>
    <col min="2576" max="2576" width="2.42578125" style="434" customWidth="1"/>
    <col min="2577" max="2816" width="9.140625" style="434"/>
    <col min="2817" max="2817" width="37.7109375" style="434" customWidth="1"/>
    <col min="2818" max="2819" width="7.7109375" style="434" customWidth="1"/>
    <col min="2820" max="2820" width="2.42578125" style="434" customWidth="1"/>
    <col min="2821" max="2822" width="8.7109375" style="434" customWidth="1"/>
    <col min="2823" max="2823" width="1.7109375" style="434" customWidth="1"/>
    <col min="2824" max="2825" width="8.7109375" style="434" customWidth="1"/>
    <col min="2826" max="2826" width="1.7109375" style="434" customWidth="1"/>
    <col min="2827" max="2828" width="8.7109375" style="434" customWidth="1"/>
    <col min="2829" max="2829" width="1.7109375" style="434" customWidth="1"/>
    <col min="2830" max="2830" width="8.7109375" style="434" customWidth="1"/>
    <col min="2831" max="2831" width="8.140625" style="434" customWidth="1"/>
    <col min="2832" max="2832" width="2.42578125" style="434" customWidth="1"/>
    <col min="2833" max="3072" width="9.140625" style="434"/>
    <col min="3073" max="3073" width="37.7109375" style="434" customWidth="1"/>
    <col min="3074" max="3075" width="7.7109375" style="434" customWidth="1"/>
    <col min="3076" max="3076" width="2.42578125" style="434" customWidth="1"/>
    <col min="3077" max="3078" width="8.7109375" style="434" customWidth="1"/>
    <col min="3079" max="3079" width="1.7109375" style="434" customWidth="1"/>
    <col min="3080" max="3081" width="8.7109375" style="434" customWidth="1"/>
    <col min="3082" max="3082" width="1.7109375" style="434" customWidth="1"/>
    <col min="3083" max="3084" width="8.7109375" style="434" customWidth="1"/>
    <col min="3085" max="3085" width="1.7109375" style="434" customWidth="1"/>
    <col min="3086" max="3086" width="8.7109375" style="434" customWidth="1"/>
    <col min="3087" max="3087" width="8.140625" style="434" customWidth="1"/>
    <col min="3088" max="3088" width="2.42578125" style="434" customWidth="1"/>
    <col min="3089" max="3328" width="9.140625" style="434"/>
    <col min="3329" max="3329" width="37.7109375" style="434" customWidth="1"/>
    <col min="3330" max="3331" width="7.7109375" style="434" customWidth="1"/>
    <col min="3332" max="3332" width="2.42578125" style="434" customWidth="1"/>
    <col min="3333" max="3334" width="8.7109375" style="434" customWidth="1"/>
    <col min="3335" max="3335" width="1.7109375" style="434" customWidth="1"/>
    <col min="3336" max="3337" width="8.7109375" style="434" customWidth="1"/>
    <col min="3338" max="3338" width="1.7109375" style="434" customWidth="1"/>
    <col min="3339" max="3340" width="8.7109375" style="434" customWidth="1"/>
    <col min="3341" max="3341" width="1.7109375" style="434" customWidth="1"/>
    <col min="3342" max="3342" width="8.7109375" style="434" customWidth="1"/>
    <col min="3343" max="3343" width="8.140625" style="434" customWidth="1"/>
    <col min="3344" max="3344" width="2.42578125" style="434" customWidth="1"/>
    <col min="3345" max="3584" width="9.140625" style="434"/>
    <col min="3585" max="3585" width="37.7109375" style="434" customWidth="1"/>
    <col min="3586" max="3587" width="7.7109375" style="434" customWidth="1"/>
    <col min="3588" max="3588" width="2.42578125" style="434" customWidth="1"/>
    <col min="3589" max="3590" width="8.7109375" style="434" customWidth="1"/>
    <col min="3591" max="3591" width="1.7109375" style="434" customWidth="1"/>
    <col min="3592" max="3593" width="8.7109375" style="434" customWidth="1"/>
    <col min="3594" max="3594" width="1.7109375" style="434" customWidth="1"/>
    <col min="3595" max="3596" width="8.7109375" style="434" customWidth="1"/>
    <col min="3597" max="3597" width="1.7109375" style="434" customWidth="1"/>
    <col min="3598" max="3598" width="8.7109375" style="434" customWidth="1"/>
    <col min="3599" max="3599" width="8.140625" style="434" customWidth="1"/>
    <col min="3600" max="3600" width="2.42578125" style="434" customWidth="1"/>
    <col min="3601" max="3840" width="9.140625" style="434"/>
    <col min="3841" max="3841" width="37.7109375" style="434" customWidth="1"/>
    <col min="3842" max="3843" width="7.7109375" style="434" customWidth="1"/>
    <col min="3844" max="3844" width="2.42578125" style="434" customWidth="1"/>
    <col min="3845" max="3846" width="8.7109375" style="434" customWidth="1"/>
    <col min="3847" max="3847" width="1.7109375" style="434" customWidth="1"/>
    <col min="3848" max="3849" width="8.7109375" style="434" customWidth="1"/>
    <col min="3850" max="3850" width="1.7109375" style="434" customWidth="1"/>
    <col min="3851" max="3852" width="8.7109375" style="434" customWidth="1"/>
    <col min="3853" max="3853" width="1.7109375" style="434" customWidth="1"/>
    <col min="3854" max="3854" width="8.7109375" style="434" customWidth="1"/>
    <col min="3855" max="3855" width="8.140625" style="434" customWidth="1"/>
    <col min="3856" max="3856" width="2.42578125" style="434" customWidth="1"/>
    <col min="3857" max="4096" width="9.140625" style="434"/>
    <col min="4097" max="4097" width="37.7109375" style="434" customWidth="1"/>
    <col min="4098" max="4099" width="7.7109375" style="434" customWidth="1"/>
    <col min="4100" max="4100" width="2.42578125" style="434" customWidth="1"/>
    <col min="4101" max="4102" width="8.7109375" style="434" customWidth="1"/>
    <col min="4103" max="4103" width="1.7109375" style="434" customWidth="1"/>
    <col min="4104" max="4105" width="8.7109375" style="434" customWidth="1"/>
    <col min="4106" max="4106" width="1.7109375" style="434" customWidth="1"/>
    <col min="4107" max="4108" width="8.7109375" style="434" customWidth="1"/>
    <col min="4109" max="4109" width="1.7109375" style="434" customWidth="1"/>
    <col min="4110" max="4110" width="8.7109375" style="434" customWidth="1"/>
    <col min="4111" max="4111" width="8.140625" style="434" customWidth="1"/>
    <col min="4112" max="4112" width="2.42578125" style="434" customWidth="1"/>
    <col min="4113" max="4352" width="9.140625" style="434"/>
    <col min="4353" max="4353" width="37.7109375" style="434" customWidth="1"/>
    <col min="4354" max="4355" width="7.7109375" style="434" customWidth="1"/>
    <col min="4356" max="4356" width="2.42578125" style="434" customWidth="1"/>
    <col min="4357" max="4358" width="8.7109375" style="434" customWidth="1"/>
    <col min="4359" max="4359" width="1.7109375" style="434" customWidth="1"/>
    <col min="4360" max="4361" width="8.7109375" style="434" customWidth="1"/>
    <col min="4362" max="4362" width="1.7109375" style="434" customWidth="1"/>
    <col min="4363" max="4364" width="8.7109375" style="434" customWidth="1"/>
    <col min="4365" max="4365" width="1.7109375" style="434" customWidth="1"/>
    <col min="4366" max="4366" width="8.7109375" style="434" customWidth="1"/>
    <col min="4367" max="4367" width="8.140625" style="434" customWidth="1"/>
    <col min="4368" max="4368" width="2.42578125" style="434" customWidth="1"/>
    <col min="4369" max="4608" width="9.140625" style="434"/>
    <col min="4609" max="4609" width="37.7109375" style="434" customWidth="1"/>
    <col min="4610" max="4611" width="7.7109375" style="434" customWidth="1"/>
    <col min="4612" max="4612" width="2.42578125" style="434" customWidth="1"/>
    <col min="4613" max="4614" width="8.7109375" style="434" customWidth="1"/>
    <col min="4615" max="4615" width="1.7109375" style="434" customWidth="1"/>
    <col min="4616" max="4617" width="8.7109375" style="434" customWidth="1"/>
    <col min="4618" max="4618" width="1.7109375" style="434" customWidth="1"/>
    <col min="4619" max="4620" width="8.7109375" style="434" customWidth="1"/>
    <col min="4621" max="4621" width="1.7109375" style="434" customWidth="1"/>
    <col min="4622" max="4622" width="8.7109375" style="434" customWidth="1"/>
    <col min="4623" max="4623" width="8.140625" style="434" customWidth="1"/>
    <col min="4624" max="4624" width="2.42578125" style="434" customWidth="1"/>
    <col min="4625" max="4864" width="9.140625" style="434"/>
    <col min="4865" max="4865" width="37.7109375" style="434" customWidth="1"/>
    <col min="4866" max="4867" width="7.7109375" style="434" customWidth="1"/>
    <col min="4868" max="4868" width="2.42578125" style="434" customWidth="1"/>
    <col min="4869" max="4870" width="8.7109375" style="434" customWidth="1"/>
    <col min="4871" max="4871" width="1.7109375" style="434" customWidth="1"/>
    <col min="4872" max="4873" width="8.7109375" style="434" customWidth="1"/>
    <col min="4874" max="4874" width="1.7109375" style="434" customWidth="1"/>
    <col min="4875" max="4876" width="8.7109375" style="434" customWidth="1"/>
    <col min="4877" max="4877" width="1.7109375" style="434" customWidth="1"/>
    <col min="4878" max="4878" width="8.7109375" style="434" customWidth="1"/>
    <col min="4879" max="4879" width="8.140625" style="434" customWidth="1"/>
    <col min="4880" max="4880" width="2.42578125" style="434" customWidth="1"/>
    <col min="4881" max="5120" width="9.140625" style="434"/>
    <col min="5121" max="5121" width="37.7109375" style="434" customWidth="1"/>
    <col min="5122" max="5123" width="7.7109375" style="434" customWidth="1"/>
    <col min="5124" max="5124" width="2.42578125" style="434" customWidth="1"/>
    <col min="5125" max="5126" width="8.7109375" style="434" customWidth="1"/>
    <col min="5127" max="5127" width="1.7109375" style="434" customWidth="1"/>
    <col min="5128" max="5129" width="8.7109375" style="434" customWidth="1"/>
    <col min="5130" max="5130" width="1.7109375" style="434" customWidth="1"/>
    <col min="5131" max="5132" width="8.7109375" style="434" customWidth="1"/>
    <col min="5133" max="5133" width="1.7109375" style="434" customWidth="1"/>
    <col min="5134" max="5134" width="8.7109375" style="434" customWidth="1"/>
    <col min="5135" max="5135" width="8.140625" style="434" customWidth="1"/>
    <col min="5136" max="5136" width="2.42578125" style="434" customWidth="1"/>
    <col min="5137" max="5376" width="9.140625" style="434"/>
    <col min="5377" max="5377" width="37.7109375" style="434" customWidth="1"/>
    <col min="5378" max="5379" width="7.7109375" style="434" customWidth="1"/>
    <col min="5380" max="5380" width="2.42578125" style="434" customWidth="1"/>
    <col min="5381" max="5382" width="8.7109375" style="434" customWidth="1"/>
    <col min="5383" max="5383" width="1.7109375" style="434" customWidth="1"/>
    <col min="5384" max="5385" width="8.7109375" style="434" customWidth="1"/>
    <col min="5386" max="5386" width="1.7109375" style="434" customWidth="1"/>
    <col min="5387" max="5388" width="8.7109375" style="434" customWidth="1"/>
    <col min="5389" max="5389" width="1.7109375" style="434" customWidth="1"/>
    <col min="5390" max="5390" width="8.7109375" style="434" customWidth="1"/>
    <col min="5391" max="5391" width="8.140625" style="434" customWidth="1"/>
    <col min="5392" max="5392" width="2.42578125" style="434" customWidth="1"/>
    <col min="5393" max="5632" width="9.140625" style="434"/>
    <col min="5633" max="5633" width="37.7109375" style="434" customWidth="1"/>
    <col min="5634" max="5635" width="7.7109375" style="434" customWidth="1"/>
    <col min="5636" max="5636" width="2.42578125" style="434" customWidth="1"/>
    <col min="5637" max="5638" width="8.7109375" style="434" customWidth="1"/>
    <col min="5639" max="5639" width="1.7109375" style="434" customWidth="1"/>
    <col min="5640" max="5641" width="8.7109375" style="434" customWidth="1"/>
    <col min="5642" max="5642" width="1.7109375" style="434" customWidth="1"/>
    <col min="5643" max="5644" width="8.7109375" style="434" customWidth="1"/>
    <col min="5645" max="5645" width="1.7109375" style="434" customWidth="1"/>
    <col min="5646" max="5646" width="8.7109375" style="434" customWidth="1"/>
    <col min="5647" max="5647" width="8.140625" style="434" customWidth="1"/>
    <col min="5648" max="5648" width="2.42578125" style="434" customWidth="1"/>
    <col min="5649" max="5888" width="9.140625" style="434"/>
    <col min="5889" max="5889" width="37.7109375" style="434" customWidth="1"/>
    <col min="5890" max="5891" width="7.7109375" style="434" customWidth="1"/>
    <col min="5892" max="5892" width="2.42578125" style="434" customWidth="1"/>
    <col min="5893" max="5894" width="8.7109375" style="434" customWidth="1"/>
    <col min="5895" max="5895" width="1.7109375" style="434" customWidth="1"/>
    <col min="5896" max="5897" width="8.7109375" style="434" customWidth="1"/>
    <col min="5898" max="5898" width="1.7109375" style="434" customWidth="1"/>
    <col min="5899" max="5900" width="8.7109375" style="434" customWidth="1"/>
    <col min="5901" max="5901" width="1.7109375" style="434" customWidth="1"/>
    <col min="5902" max="5902" width="8.7109375" style="434" customWidth="1"/>
    <col min="5903" max="5903" width="8.140625" style="434" customWidth="1"/>
    <col min="5904" max="5904" width="2.42578125" style="434" customWidth="1"/>
    <col min="5905" max="6144" width="9.140625" style="434"/>
    <col min="6145" max="6145" width="37.7109375" style="434" customWidth="1"/>
    <col min="6146" max="6147" width="7.7109375" style="434" customWidth="1"/>
    <col min="6148" max="6148" width="2.42578125" style="434" customWidth="1"/>
    <col min="6149" max="6150" width="8.7109375" style="434" customWidth="1"/>
    <col min="6151" max="6151" width="1.7109375" style="434" customWidth="1"/>
    <col min="6152" max="6153" width="8.7109375" style="434" customWidth="1"/>
    <col min="6154" max="6154" width="1.7109375" style="434" customWidth="1"/>
    <col min="6155" max="6156" width="8.7109375" style="434" customWidth="1"/>
    <col min="6157" max="6157" width="1.7109375" style="434" customWidth="1"/>
    <col min="6158" max="6158" width="8.7109375" style="434" customWidth="1"/>
    <col min="6159" max="6159" width="8.140625" style="434" customWidth="1"/>
    <col min="6160" max="6160" width="2.42578125" style="434" customWidth="1"/>
    <col min="6161" max="6400" width="9.140625" style="434"/>
    <col min="6401" max="6401" width="37.7109375" style="434" customWidth="1"/>
    <col min="6402" max="6403" width="7.7109375" style="434" customWidth="1"/>
    <col min="6404" max="6404" width="2.42578125" style="434" customWidth="1"/>
    <col min="6405" max="6406" width="8.7109375" style="434" customWidth="1"/>
    <col min="6407" max="6407" width="1.7109375" style="434" customWidth="1"/>
    <col min="6408" max="6409" width="8.7109375" style="434" customWidth="1"/>
    <col min="6410" max="6410" width="1.7109375" style="434" customWidth="1"/>
    <col min="6411" max="6412" width="8.7109375" style="434" customWidth="1"/>
    <col min="6413" max="6413" width="1.7109375" style="434" customWidth="1"/>
    <col min="6414" max="6414" width="8.7109375" style="434" customWidth="1"/>
    <col min="6415" max="6415" width="8.140625" style="434" customWidth="1"/>
    <col min="6416" max="6416" width="2.42578125" style="434" customWidth="1"/>
    <col min="6417" max="6656" width="9.140625" style="434"/>
    <col min="6657" max="6657" width="37.7109375" style="434" customWidth="1"/>
    <col min="6658" max="6659" width="7.7109375" style="434" customWidth="1"/>
    <col min="6660" max="6660" width="2.42578125" style="434" customWidth="1"/>
    <col min="6661" max="6662" width="8.7109375" style="434" customWidth="1"/>
    <col min="6663" max="6663" width="1.7109375" style="434" customWidth="1"/>
    <col min="6664" max="6665" width="8.7109375" style="434" customWidth="1"/>
    <col min="6666" max="6666" width="1.7109375" style="434" customWidth="1"/>
    <col min="6667" max="6668" width="8.7109375" style="434" customWidth="1"/>
    <col min="6669" max="6669" width="1.7109375" style="434" customWidth="1"/>
    <col min="6670" max="6670" width="8.7109375" style="434" customWidth="1"/>
    <col min="6671" max="6671" width="8.140625" style="434" customWidth="1"/>
    <col min="6672" max="6672" width="2.42578125" style="434" customWidth="1"/>
    <col min="6673" max="6912" width="9.140625" style="434"/>
    <col min="6913" max="6913" width="37.7109375" style="434" customWidth="1"/>
    <col min="6914" max="6915" width="7.7109375" style="434" customWidth="1"/>
    <col min="6916" max="6916" width="2.42578125" style="434" customWidth="1"/>
    <col min="6917" max="6918" width="8.7109375" style="434" customWidth="1"/>
    <col min="6919" max="6919" width="1.7109375" style="434" customWidth="1"/>
    <col min="6920" max="6921" width="8.7109375" style="434" customWidth="1"/>
    <col min="6922" max="6922" width="1.7109375" style="434" customWidth="1"/>
    <col min="6923" max="6924" width="8.7109375" style="434" customWidth="1"/>
    <col min="6925" max="6925" width="1.7109375" style="434" customWidth="1"/>
    <col min="6926" max="6926" width="8.7109375" style="434" customWidth="1"/>
    <col min="6927" max="6927" width="8.140625" style="434" customWidth="1"/>
    <col min="6928" max="6928" width="2.42578125" style="434" customWidth="1"/>
    <col min="6929" max="7168" width="9.140625" style="434"/>
    <col min="7169" max="7169" width="37.7109375" style="434" customWidth="1"/>
    <col min="7170" max="7171" width="7.7109375" style="434" customWidth="1"/>
    <col min="7172" max="7172" width="2.42578125" style="434" customWidth="1"/>
    <col min="7173" max="7174" width="8.7109375" style="434" customWidth="1"/>
    <col min="7175" max="7175" width="1.7109375" style="434" customWidth="1"/>
    <col min="7176" max="7177" width="8.7109375" style="434" customWidth="1"/>
    <col min="7178" max="7178" width="1.7109375" style="434" customWidth="1"/>
    <col min="7179" max="7180" width="8.7109375" style="434" customWidth="1"/>
    <col min="7181" max="7181" width="1.7109375" style="434" customWidth="1"/>
    <col min="7182" max="7182" width="8.7109375" style="434" customWidth="1"/>
    <col min="7183" max="7183" width="8.140625" style="434" customWidth="1"/>
    <col min="7184" max="7184" width="2.42578125" style="434" customWidth="1"/>
    <col min="7185" max="7424" width="9.140625" style="434"/>
    <col min="7425" max="7425" width="37.7109375" style="434" customWidth="1"/>
    <col min="7426" max="7427" width="7.7109375" style="434" customWidth="1"/>
    <col min="7428" max="7428" width="2.42578125" style="434" customWidth="1"/>
    <col min="7429" max="7430" width="8.7109375" style="434" customWidth="1"/>
    <col min="7431" max="7431" width="1.7109375" style="434" customWidth="1"/>
    <col min="7432" max="7433" width="8.7109375" style="434" customWidth="1"/>
    <col min="7434" max="7434" width="1.7109375" style="434" customWidth="1"/>
    <col min="7435" max="7436" width="8.7109375" style="434" customWidth="1"/>
    <col min="7437" max="7437" width="1.7109375" style="434" customWidth="1"/>
    <col min="7438" max="7438" width="8.7109375" style="434" customWidth="1"/>
    <col min="7439" max="7439" width="8.140625" style="434" customWidth="1"/>
    <col min="7440" max="7440" width="2.42578125" style="434" customWidth="1"/>
    <col min="7441" max="7680" width="9.140625" style="434"/>
    <col min="7681" max="7681" width="37.7109375" style="434" customWidth="1"/>
    <col min="7682" max="7683" width="7.7109375" style="434" customWidth="1"/>
    <col min="7684" max="7684" width="2.42578125" style="434" customWidth="1"/>
    <col min="7685" max="7686" width="8.7109375" style="434" customWidth="1"/>
    <col min="7687" max="7687" width="1.7109375" style="434" customWidth="1"/>
    <col min="7688" max="7689" width="8.7109375" style="434" customWidth="1"/>
    <col min="7690" max="7690" width="1.7109375" style="434" customWidth="1"/>
    <col min="7691" max="7692" width="8.7109375" style="434" customWidth="1"/>
    <col min="7693" max="7693" width="1.7109375" style="434" customWidth="1"/>
    <col min="7694" max="7694" width="8.7109375" style="434" customWidth="1"/>
    <col min="7695" max="7695" width="8.140625" style="434" customWidth="1"/>
    <col min="7696" max="7696" width="2.42578125" style="434" customWidth="1"/>
    <col min="7697" max="7936" width="9.140625" style="434"/>
    <col min="7937" max="7937" width="37.7109375" style="434" customWidth="1"/>
    <col min="7938" max="7939" width="7.7109375" style="434" customWidth="1"/>
    <col min="7940" max="7940" width="2.42578125" style="434" customWidth="1"/>
    <col min="7941" max="7942" width="8.7109375" style="434" customWidth="1"/>
    <col min="7943" max="7943" width="1.7109375" style="434" customWidth="1"/>
    <col min="7944" max="7945" width="8.7109375" style="434" customWidth="1"/>
    <col min="7946" max="7946" width="1.7109375" style="434" customWidth="1"/>
    <col min="7947" max="7948" width="8.7109375" style="434" customWidth="1"/>
    <col min="7949" max="7949" width="1.7109375" style="434" customWidth="1"/>
    <col min="7950" max="7950" width="8.7109375" style="434" customWidth="1"/>
    <col min="7951" max="7951" width="8.140625" style="434" customWidth="1"/>
    <col min="7952" max="7952" width="2.42578125" style="434" customWidth="1"/>
    <col min="7953" max="8192" width="9.140625" style="434"/>
    <col min="8193" max="8193" width="37.7109375" style="434" customWidth="1"/>
    <col min="8194" max="8195" width="7.7109375" style="434" customWidth="1"/>
    <col min="8196" max="8196" width="2.42578125" style="434" customWidth="1"/>
    <col min="8197" max="8198" width="8.7109375" style="434" customWidth="1"/>
    <col min="8199" max="8199" width="1.7109375" style="434" customWidth="1"/>
    <col min="8200" max="8201" width="8.7109375" style="434" customWidth="1"/>
    <col min="8202" max="8202" width="1.7109375" style="434" customWidth="1"/>
    <col min="8203" max="8204" width="8.7109375" style="434" customWidth="1"/>
    <col min="8205" max="8205" width="1.7109375" style="434" customWidth="1"/>
    <col min="8206" max="8206" width="8.7109375" style="434" customWidth="1"/>
    <col min="8207" max="8207" width="8.140625" style="434" customWidth="1"/>
    <col min="8208" max="8208" width="2.42578125" style="434" customWidth="1"/>
    <col min="8209" max="8448" width="9.140625" style="434"/>
    <col min="8449" max="8449" width="37.7109375" style="434" customWidth="1"/>
    <col min="8450" max="8451" width="7.7109375" style="434" customWidth="1"/>
    <col min="8452" max="8452" width="2.42578125" style="434" customWidth="1"/>
    <col min="8453" max="8454" width="8.7109375" style="434" customWidth="1"/>
    <col min="8455" max="8455" width="1.7109375" style="434" customWidth="1"/>
    <col min="8456" max="8457" width="8.7109375" style="434" customWidth="1"/>
    <col min="8458" max="8458" width="1.7109375" style="434" customWidth="1"/>
    <col min="8459" max="8460" width="8.7109375" style="434" customWidth="1"/>
    <col min="8461" max="8461" width="1.7109375" style="434" customWidth="1"/>
    <col min="8462" max="8462" width="8.7109375" style="434" customWidth="1"/>
    <col min="8463" max="8463" width="8.140625" style="434" customWidth="1"/>
    <col min="8464" max="8464" width="2.42578125" style="434" customWidth="1"/>
    <col min="8465" max="8704" width="9.140625" style="434"/>
    <col min="8705" max="8705" width="37.7109375" style="434" customWidth="1"/>
    <col min="8706" max="8707" width="7.7109375" style="434" customWidth="1"/>
    <col min="8708" max="8708" width="2.42578125" style="434" customWidth="1"/>
    <col min="8709" max="8710" width="8.7109375" style="434" customWidth="1"/>
    <col min="8711" max="8711" width="1.7109375" style="434" customWidth="1"/>
    <col min="8712" max="8713" width="8.7109375" style="434" customWidth="1"/>
    <col min="8714" max="8714" width="1.7109375" style="434" customWidth="1"/>
    <col min="8715" max="8716" width="8.7109375" style="434" customWidth="1"/>
    <col min="8717" max="8717" width="1.7109375" style="434" customWidth="1"/>
    <col min="8718" max="8718" width="8.7109375" style="434" customWidth="1"/>
    <col min="8719" max="8719" width="8.140625" style="434" customWidth="1"/>
    <col min="8720" max="8720" width="2.42578125" style="434" customWidth="1"/>
    <col min="8721" max="8960" width="9.140625" style="434"/>
    <col min="8961" max="8961" width="37.7109375" style="434" customWidth="1"/>
    <col min="8962" max="8963" width="7.7109375" style="434" customWidth="1"/>
    <col min="8964" max="8964" width="2.42578125" style="434" customWidth="1"/>
    <col min="8965" max="8966" width="8.7109375" style="434" customWidth="1"/>
    <col min="8967" max="8967" width="1.7109375" style="434" customWidth="1"/>
    <col min="8968" max="8969" width="8.7109375" style="434" customWidth="1"/>
    <col min="8970" max="8970" width="1.7109375" style="434" customWidth="1"/>
    <col min="8971" max="8972" width="8.7109375" style="434" customWidth="1"/>
    <col min="8973" max="8973" width="1.7109375" style="434" customWidth="1"/>
    <col min="8974" max="8974" width="8.7109375" style="434" customWidth="1"/>
    <col min="8975" max="8975" width="8.140625" style="434" customWidth="1"/>
    <col min="8976" max="8976" width="2.42578125" style="434" customWidth="1"/>
    <col min="8977" max="9216" width="9.140625" style="434"/>
    <col min="9217" max="9217" width="37.7109375" style="434" customWidth="1"/>
    <col min="9218" max="9219" width="7.7109375" style="434" customWidth="1"/>
    <col min="9220" max="9220" width="2.42578125" style="434" customWidth="1"/>
    <col min="9221" max="9222" width="8.7109375" style="434" customWidth="1"/>
    <col min="9223" max="9223" width="1.7109375" style="434" customWidth="1"/>
    <col min="9224" max="9225" width="8.7109375" style="434" customWidth="1"/>
    <col min="9226" max="9226" width="1.7109375" style="434" customWidth="1"/>
    <col min="9227" max="9228" width="8.7109375" style="434" customWidth="1"/>
    <col min="9229" max="9229" width="1.7109375" style="434" customWidth="1"/>
    <col min="9230" max="9230" width="8.7109375" style="434" customWidth="1"/>
    <col min="9231" max="9231" width="8.140625" style="434" customWidth="1"/>
    <col min="9232" max="9232" width="2.42578125" style="434" customWidth="1"/>
    <col min="9233" max="9472" width="9.140625" style="434"/>
    <col min="9473" max="9473" width="37.7109375" style="434" customWidth="1"/>
    <col min="9474" max="9475" width="7.7109375" style="434" customWidth="1"/>
    <col min="9476" max="9476" width="2.42578125" style="434" customWidth="1"/>
    <col min="9477" max="9478" width="8.7109375" style="434" customWidth="1"/>
    <col min="9479" max="9479" width="1.7109375" style="434" customWidth="1"/>
    <col min="9480" max="9481" width="8.7109375" style="434" customWidth="1"/>
    <col min="9482" max="9482" width="1.7109375" style="434" customWidth="1"/>
    <col min="9483" max="9484" width="8.7109375" style="434" customWidth="1"/>
    <col min="9485" max="9485" width="1.7109375" style="434" customWidth="1"/>
    <col min="9486" max="9486" width="8.7109375" style="434" customWidth="1"/>
    <col min="9487" max="9487" width="8.140625" style="434" customWidth="1"/>
    <col min="9488" max="9488" width="2.42578125" style="434" customWidth="1"/>
    <col min="9489" max="9728" width="9.140625" style="434"/>
    <col min="9729" max="9729" width="37.7109375" style="434" customWidth="1"/>
    <col min="9730" max="9731" width="7.7109375" style="434" customWidth="1"/>
    <col min="9732" max="9732" width="2.42578125" style="434" customWidth="1"/>
    <col min="9733" max="9734" width="8.7109375" style="434" customWidth="1"/>
    <col min="9735" max="9735" width="1.7109375" style="434" customWidth="1"/>
    <col min="9736" max="9737" width="8.7109375" style="434" customWidth="1"/>
    <col min="9738" max="9738" width="1.7109375" style="434" customWidth="1"/>
    <col min="9739" max="9740" width="8.7109375" style="434" customWidth="1"/>
    <col min="9741" max="9741" width="1.7109375" style="434" customWidth="1"/>
    <col min="9742" max="9742" width="8.7109375" style="434" customWidth="1"/>
    <col min="9743" max="9743" width="8.140625" style="434" customWidth="1"/>
    <col min="9744" max="9744" width="2.42578125" style="434" customWidth="1"/>
    <col min="9745" max="9984" width="9.140625" style="434"/>
    <col min="9985" max="9985" width="37.7109375" style="434" customWidth="1"/>
    <col min="9986" max="9987" width="7.7109375" style="434" customWidth="1"/>
    <col min="9988" max="9988" width="2.42578125" style="434" customWidth="1"/>
    <col min="9989" max="9990" width="8.7109375" style="434" customWidth="1"/>
    <col min="9991" max="9991" width="1.7109375" style="434" customWidth="1"/>
    <col min="9992" max="9993" width="8.7109375" style="434" customWidth="1"/>
    <col min="9994" max="9994" width="1.7109375" style="434" customWidth="1"/>
    <col min="9995" max="9996" width="8.7109375" style="434" customWidth="1"/>
    <col min="9997" max="9997" width="1.7109375" style="434" customWidth="1"/>
    <col min="9998" max="9998" width="8.7109375" style="434" customWidth="1"/>
    <col min="9999" max="9999" width="8.140625" style="434" customWidth="1"/>
    <col min="10000" max="10000" width="2.42578125" style="434" customWidth="1"/>
    <col min="10001" max="10240" width="9.140625" style="434"/>
    <col min="10241" max="10241" width="37.7109375" style="434" customWidth="1"/>
    <col min="10242" max="10243" width="7.7109375" style="434" customWidth="1"/>
    <col min="10244" max="10244" width="2.42578125" style="434" customWidth="1"/>
    <col min="10245" max="10246" width="8.7109375" style="434" customWidth="1"/>
    <col min="10247" max="10247" width="1.7109375" style="434" customWidth="1"/>
    <col min="10248" max="10249" width="8.7109375" style="434" customWidth="1"/>
    <col min="10250" max="10250" width="1.7109375" style="434" customWidth="1"/>
    <col min="10251" max="10252" width="8.7109375" style="434" customWidth="1"/>
    <col min="10253" max="10253" width="1.7109375" style="434" customWidth="1"/>
    <col min="10254" max="10254" width="8.7109375" style="434" customWidth="1"/>
    <col min="10255" max="10255" width="8.140625" style="434" customWidth="1"/>
    <col min="10256" max="10256" width="2.42578125" style="434" customWidth="1"/>
    <col min="10257" max="10496" width="9.140625" style="434"/>
    <col min="10497" max="10497" width="37.7109375" style="434" customWidth="1"/>
    <col min="10498" max="10499" width="7.7109375" style="434" customWidth="1"/>
    <col min="10500" max="10500" width="2.42578125" style="434" customWidth="1"/>
    <col min="10501" max="10502" width="8.7109375" style="434" customWidth="1"/>
    <col min="10503" max="10503" width="1.7109375" style="434" customWidth="1"/>
    <col min="10504" max="10505" width="8.7109375" style="434" customWidth="1"/>
    <col min="10506" max="10506" width="1.7109375" style="434" customWidth="1"/>
    <col min="10507" max="10508" width="8.7109375" style="434" customWidth="1"/>
    <col min="10509" max="10509" width="1.7109375" style="434" customWidth="1"/>
    <col min="10510" max="10510" width="8.7109375" style="434" customWidth="1"/>
    <col min="10511" max="10511" width="8.140625" style="434" customWidth="1"/>
    <col min="10512" max="10512" width="2.42578125" style="434" customWidth="1"/>
    <col min="10513" max="10752" width="9.140625" style="434"/>
    <col min="10753" max="10753" width="37.7109375" style="434" customWidth="1"/>
    <col min="10754" max="10755" width="7.7109375" style="434" customWidth="1"/>
    <col min="10756" max="10756" width="2.42578125" style="434" customWidth="1"/>
    <col min="10757" max="10758" width="8.7109375" style="434" customWidth="1"/>
    <col min="10759" max="10759" width="1.7109375" style="434" customWidth="1"/>
    <col min="10760" max="10761" width="8.7109375" style="434" customWidth="1"/>
    <col min="10762" max="10762" width="1.7109375" style="434" customWidth="1"/>
    <col min="10763" max="10764" width="8.7109375" style="434" customWidth="1"/>
    <col min="10765" max="10765" width="1.7109375" style="434" customWidth="1"/>
    <col min="10766" max="10766" width="8.7109375" style="434" customWidth="1"/>
    <col min="10767" max="10767" width="8.140625" style="434" customWidth="1"/>
    <col min="10768" max="10768" width="2.42578125" style="434" customWidth="1"/>
    <col min="10769" max="11008" width="9.140625" style="434"/>
    <col min="11009" max="11009" width="37.7109375" style="434" customWidth="1"/>
    <col min="11010" max="11011" width="7.7109375" style="434" customWidth="1"/>
    <col min="11012" max="11012" width="2.42578125" style="434" customWidth="1"/>
    <col min="11013" max="11014" width="8.7109375" style="434" customWidth="1"/>
    <col min="11015" max="11015" width="1.7109375" style="434" customWidth="1"/>
    <col min="11016" max="11017" width="8.7109375" style="434" customWidth="1"/>
    <col min="11018" max="11018" width="1.7109375" style="434" customWidth="1"/>
    <col min="11019" max="11020" width="8.7109375" style="434" customWidth="1"/>
    <col min="11021" max="11021" width="1.7109375" style="434" customWidth="1"/>
    <col min="11022" max="11022" width="8.7109375" style="434" customWidth="1"/>
    <col min="11023" max="11023" width="8.140625" style="434" customWidth="1"/>
    <col min="11024" max="11024" width="2.42578125" style="434" customWidth="1"/>
    <col min="11025" max="11264" width="9.140625" style="434"/>
    <col min="11265" max="11265" width="37.7109375" style="434" customWidth="1"/>
    <col min="11266" max="11267" width="7.7109375" style="434" customWidth="1"/>
    <col min="11268" max="11268" width="2.42578125" style="434" customWidth="1"/>
    <col min="11269" max="11270" width="8.7109375" style="434" customWidth="1"/>
    <col min="11271" max="11271" width="1.7109375" style="434" customWidth="1"/>
    <col min="11272" max="11273" width="8.7109375" style="434" customWidth="1"/>
    <col min="11274" max="11274" width="1.7109375" style="434" customWidth="1"/>
    <col min="11275" max="11276" width="8.7109375" style="434" customWidth="1"/>
    <col min="11277" max="11277" width="1.7109375" style="434" customWidth="1"/>
    <col min="11278" max="11278" width="8.7109375" style="434" customWidth="1"/>
    <col min="11279" max="11279" width="8.140625" style="434" customWidth="1"/>
    <col min="11280" max="11280" width="2.42578125" style="434" customWidth="1"/>
    <col min="11281" max="11520" width="9.140625" style="434"/>
    <col min="11521" max="11521" width="37.7109375" style="434" customWidth="1"/>
    <col min="11522" max="11523" width="7.7109375" style="434" customWidth="1"/>
    <col min="11524" max="11524" width="2.42578125" style="434" customWidth="1"/>
    <col min="11525" max="11526" width="8.7109375" style="434" customWidth="1"/>
    <col min="11527" max="11527" width="1.7109375" style="434" customWidth="1"/>
    <col min="11528" max="11529" width="8.7109375" style="434" customWidth="1"/>
    <col min="11530" max="11530" width="1.7109375" style="434" customWidth="1"/>
    <col min="11531" max="11532" width="8.7109375" style="434" customWidth="1"/>
    <col min="11533" max="11533" width="1.7109375" style="434" customWidth="1"/>
    <col min="11534" max="11534" width="8.7109375" style="434" customWidth="1"/>
    <col min="11535" max="11535" width="8.140625" style="434" customWidth="1"/>
    <col min="11536" max="11536" width="2.42578125" style="434" customWidth="1"/>
    <col min="11537" max="11776" width="9.140625" style="434"/>
    <col min="11777" max="11777" width="37.7109375" style="434" customWidth="1"/>
    <col min="11778" max="11779" width="7.7109375" style="434" customWidth="1"/>
    <col min="11780" max="11780" width="2.42578125" style="434" customWidth="1"/>
    <col min="11781" max="11782" width="8.7109375" style="434" customWidth="1"/>
    <col min="11783" max="11783" width="1.7109375" style="434" customWidth="1"/>
    <col min="11784" max="11785" width="8.7109375" style="434" customWidth="1"/>
    <col min="11786" max="11786" width="1.7109375" style="434" customWidth="1"/>
    <col min="11787" max="11788" width="8.7109375" style="434" customWidth="1"/>
    <col min="11789" max="11789" width="1.7109375" style="434" customWidth="1"/>
    <col min="11790" max="11790" width="8.7109375" style="434" customWidth="1"/>
    <col min="11791" max="11791" width="8.140625" style="434" customWidth="1"/>
    <col min="11792" max="11792" width="2.42578125" style="434" customWidth="1"/>
    <col min="11793" max="12032" width="9.140625" style="434"/>
    <col min="12033" max="12033" width="37.7109375" style="434" customWidth="1"/>
    <col min="12034" max="12035" width="7.7109375" style="434" customWidth="1"/>
    <col min="12036" max="12036" width="2.42578125" style="434" customWidth="1"/>
    <col min="12037" max="12038" width="8.7109375" style="434" customWidth="1"/>
    <col min="12039" max="12039" width="1.7109375" style="434" customWidth="1"/>
    <col min="12040" max="12041" width="8.7109375" style="434" customWidth="1"/>
    <col min="12042" max="12042" width="1.7109375" style="434" customWidth="1"/>
    <col min="12043" max="12044" width="8.7109375" style="434" customWidth="1"/>
    <col min="12045" max="12045" width="1.7109375" style="434" customWidth="1"/>
    <col min="12046" max="12046" width="8.7109375" style="434" customWidth="1"/>
    <col min="12047" max="12047" width="8.140625" style="434" customWidth="1"/>
    <col min="12048" max="12048" width="2.42578125" style="434" customWidth="1"/>
    <col min="12049" max="12288" width="9.140625" style="434"/>
    <col min="12289" max="12289" width="37.7109375" style="434" customWidth="1"/>
    <col min="12290" max="12291" width="7.7109375" style="434" customWidth="1"/>
    <col min="12292" max="12292" width="2.42578125" style="434" customWidth="1"/>
    <col min="12293" max="12294" width="8.7109375" style="434" customWidth="1"/>
    <col min="12295" max="12295" width="1.7109375" style="434" customWidth="1"/>
    <col min="12296" max="12297" width="8.7109375" style="434" customWidth="1"/>
    <col min="12298" max="12298" width="1.7109375" style="434" customWidth="1"/>
    <col min="12299" max="12300" width="8.7109375" style="434" customWidth="1"/>
    <col min="12301" max="12301" width="1.7109375" style="434" customWidth="1"/>
    <col min="12302" max="12302" width="8.7109375" style="434" customWidth="1"/>
    <col min="12303" max="12303" width="8.140625" style="434" customWidth="1"/>
    <col min="12304" max="12304" width="2.42578125" style="434" customWidth="1"/>
    <col min="12305" max="12544" width="9.140625" style="434"/>
    <col min="12545" max="12545" width="37.7109375" style="434" customWidth="1"/>
    <col min="12546" max="12547" width="7.7109375" style="434" customWidth="1"/>
    <col min="12548" max="12548" width="2.42578125" style="434" customWidth="1"/>
    <col min="12549" max="12550" width="8.7109375" style="434" customWidth="1"/>
    <col min="12551" max="12551" width="1.7109375" style="434" customWidth="1"/>
    <col min="12552" max="12553" width="8.7109375" style="434" customWidth="1"/>
    <col min="12554" max="12554" width="1.7109375" style="434" customWidth="1"/>
    <col min="12555" max="12556" width="8.7109375" style="434" customWidth="1"/>
    <col min="12557" max="12557" width="1.7109375" style="434" customWidth="1"/>
    <col min="12558" max="12558" width="8.7109375" style="434" customWidth="1"/>
    <col min="12559" max="12559" width="8.140625" style="434" customWidth="1"/>
    <col min="12560" max="12560" width="2.42578125" style="434" customWidth="1"/>
    <col min="12561" max="12800" width="9.140625" style="434"/>
    <col min="12801" max="12801" width="37.7109375" style="434" customWidth="1"/>
    <col min="12802" max="12803" width="7.7109375" style="434" customWidth="1"/>
    <col min="12804" max="12804" width="2.42578125" style="434" customWidth="1"/>
    <col min="12805" max="12806" width="8.7109375" style="434" customWidth="1"/>
    <col min="12807" max="12807" width="1.7109375" style="434" customWidth="1"/>
    <col min="12808" max="12809" width="8.7109375" style="434" customWidth="1"/>
    <col min="12810" max="12810" width="1.7109375" style="434" customWidth="1"/>
    <col min="12811" max="12812" width="8.7109375" style="434" customWidth="1"/>
    <col min="12813" max="12813" width="1.7109375" style="434" customWidth="1"/>
    <col min="12814" max="12814" width="8.7109375" style="434" customWidth="1"/>
    <col min="12815" max="12815" width="8.140625" style="434" customWidth="1"/>
    <col min="12816" max="12816" width="2.42578125" style="434" customWidth="1"/>
    <col min="12817" max="13056" width="9.140625" style="434"/>
    <col min="13057" max="13057" width="37.7109375" style="434" customWidth="1"/>
    <col min="13058" max="13059" width="7.7109375" style="434" customWidth="1"/>
    <col min="13060" max="13060" width="2.42578125" style="434" customWidth="1"/>
    <col min="13061" max="13062" width="8.7109375" style="434" customWidth="1"/>
    <col min="13063" max="13063" width="1.7109375" style="434" customWidth="1"/>
    <col min="13064" max="13065" width="8.7109375" style="434" customWidth="1"/>
    <col min="13066" max="13066" width="1.7109375" style="434" customWidth="1"/>
    <col min="13067" max="13068" width="8.7109375" style="434" customWidth="1"/>
    <col min="13069" max="13069" width="1.7109375" style="434" customWidth="1"/>
    <col min="13070" max="13070" width="8.7109375" style="434" customWidth="1"/>
    <col min="13071" max="13071" width="8.140625" style="434" customWidth="1"/>
    <col min="13072" max="13072" width="2.42578125" style="434" customWidth="1"/>
    <col min="13073" max="13312" width="9.140625" style="434"/>
    <col min="13313" max="13313" width="37.7109375" style="434" customWidth="1"/>
    <col min="13314" max="13315" width="7.7109375" style="434" customWidth="1"/>
    <col min="13316" max="13316" width="2.42578125" style="434" customWidth="1"/>
    <col min="13317" max="13318" width="8.7109375" style="434" customWidth="1"/>
    <col min="13319" max="13319" width="1.7109375" style="434" customWidth="1"/>
    <col min="13320" max="13321" width="8.7109375" style="434" customWidth="1"/>
    <col min="13322" max="13322" width="1.7109375" style="434" customWidth="1"/>
    <col min="13323" max="13324" width="8.7109375" style="434" customWidth="1"/>
    <col min="13325" max="13325" width="1.7109375" style="434" customWidth="1"/>
    <col min="13326" max="13326" width="8.7109375" style="434" customWidth="1"/>
    <col min="13327" max="13327" width="8.140625" style="434" customWidth="1"/>
    <col min="13328" max="13328" width="2.42578125" style="434" customWidth="1"/>
    <col min="13329" max="13568" width="9.140625" style="434"/>
    <col min="13569" max="13569" width="37.7109375" style="434" customWidth="1"/>
    <col min="13570" max="13571" width="7.7109375" style="434" customWidth="1"/>
    <col min="13572" max="13572" width="2.42578125" style="434" customWidth="1"/>
    <col min="13573" max="13574" width="8.7109375" style="434" customWidth="1"/>
    <col min="13575" max="13575" width="1.7109375" style="434" customWidth="1"/>
    <col min="13576" max="13577" width="8.7109375" style="434" customWidth="1"/>
    <col min="13578" max="13578" width="1.7109375" style="434" customWidth="1"/>
    <col min="13579" max="13580" width="8.7109375" style="434" customWidth="1"/>
    <col min="13581" max="13581" width="1.7109375" style="434" customWidth="1"/>
    <col min="13582" max="13582" width="8.7109375" style="434" customWidth="1"/>
    <col min="13583" max="13583" width="8.140625" style="434" customWidth="1"/>
    <col min="13584" max="13584" width="2.42578125" style="434" customWidth="1"/>
    <col min="13585" max="13824" width="9.140625" style="434"/>
    <col min="13825" max="13825" width="37.7109375" style="434" customWidth="1"/>
    <col min="13826" max="13827" width="7.7109375" style="434" customWidth="1"/>
    <col min="13828" max="13828" width="2.42578125" style="434" customWidth="1"/>
    <col min="13829" max="13830" width="8.7109375" style="434" customWidth="1"/>
    <col min="13831" max="13831" width="1.7109375" style="434" customWidth="1"/>
    <col min="13832" max="13833" width="8.7109375" style="434" customWidth="1"/>
    <col min="13834" max="13834" width="1.7109375" style="434" customWidth="1"/>
    <col min="13835" max="13836" width="8.7109375" style="434" customWidth="1"/>
    <col min="13837" max="13837" width="1.7109375" style="434" customWidth="1"/>
    <col min="13838" max="13838" width="8.7109375" style="434" customWidth="1"/>
    <col min="13839" max="13839" width="8.140625" style="434" customWidth="1"/>
    <col min="13840" max="13840" width="2.42578125" style="434" customWidth="1"/>
    <col min="13841" max="14080" width="9.140625" style="434"/>
    <col min="14081" max="14081" width="37.7109375" style="434" customWidth="1"/>
    <col min="14082" max="14083" width="7.7109375" style="434" customWidth="1"/>
    <col min="14084" max="14084" width="2.42578125" style="434" customWidth="1"/>
    <col min="14085" max="14086" width="8.7109375" style="434" customWidth="1"/>
    <col min="14087" max="14087" width="1.7109375" style="434" customWidth="1"/>
    <col min="14088" max="14089" width="8.7109375" style="434" customWidth="1"/>
    <col min="14090" max="14090" width="1.7109375" style="434" customWidth="1"/>
    <col min="14091" max="14092" width="8.7109375" style="434" customWidth="1"/>
    <col min="14093" max="14093" width="1.7109375" style="434" customWidth="1"/>
    <col min="14094" max="14094" width="8.7109375" style="434" customWidth="1"/>
    <col min="14095" max="14095" width="8.140625" style="434" customWidth="1"/>
    <col min="14096" max="14096" width="2.42578125" style="434" customWidth="1"/>
    <col min="14097" max="14336" width="9.140625" style="434"/>
    <col min="14337" max="14337" width="37.7109375" style="434" customWidth="1"/>
    <col min="14338" max="14339" width="7.7109375" style="434" customWidth="1"/>
    <col min="14340" max="14340" width="2.42578125" style="434" customWidth="1"/>
    <col min="14341" max="14342" width="8.7109375" style="434" customWidth="1"/>
    <col min="14343" max="14343" width="1.7109375" style="434" customWidth="1"/>
    <col min="14344" max="14345" width="8.7109375" style="434" customWidth="1"/>
    <col min="14346" max="14346" width="1.7109375" style="434" customWidth="1"/>
    <col min="14347" max="14348" width="8.7109375" style="434" customWidth="1"/>
    <col min="14349" max="14349" width="1.7109375" style="434" customWidth="1"/>
    <col min="14350" max="14350" width="8.7109375" style="434" customWidth="1"/>
    <col min="14351" max="14351" width="8.140625" style="434" customWidth="1"/>
    <col min="14352" max="14352" width="2.42578125" style="434" customWidth="1"/>
    <col min="14353" max="14592" width="9.140625" style="434"/>
    <col min="14593" max="14593" width="37.7109375" style="434" customWidth="1"/>
    <col min="14594" max="14595" width="7.7109375" style="434" customWidth="1"/>
    <col min="14596" max="14596" width="2.42578125" style="434" customWidth="1"/>
    <col min="14597" max="14598" width="8.7109375" style="434" customWidth="1"/>
    <col min="14599" max="14599" width="1.7109375" style="434" customWidth="1"/>
    <col min="14600" max="14601" width="8.7109375" style="434" customWidth="1"/>
    <col min="14602" max="14602" width="1.7109375" style="434" customWidth="1"/>
    <col min="14603" max="14604" width="8.7109375" style="434" customWidth="1"/>
    <col min="14605" max="14605" width="1.7109375" style="434" customWidth="1"/>
    <col min="14606" max="14606" width="8.7109375" style="434" customWidth="1"/>
    <col min="14607" max="14607" width="8.140625" style="434" customWidth="1"/>
    <col min="14608" max="14608" width="2.42578125" style="434" customWidth="1"/>
    <col min="14609" max="14848" width="9.140625" style="434"/>
    <col min="14849" max="14849" width="37.7109375" style="434" customWidth="1"/>
    <col min="14850" max="14851" width="7.7109375" style="434" customWidth="1"/>
    <col min="14852" max="14852" width="2.42578125" style="434" customWidth="1"/>
    <col min="14853" max="14854" width="8.7109375" style="434" customWidth="1"/>
    <col min="14855" max="14855" width="1.7109375" style="434" customWidth="1"/>
    <col min="14856" max="14857" width="8.7109375" style="434" customWidth="1"/>
    <col min="14858" max="14858" width="1.7109375" style="434" customWidth="1"/>
    <col min="14859" max="14860" width="8.7109375" style="434" customWidth="1"/>
    <col min="14861" max="14861" width="1.7109375" style="434" customWidth="1"/>
    <col min="14862" max="14862" width="8.7109375" style="434" customWidth="1"/>
    <col min="14863" max="14863" width="8.140625" style="434" customWidth="1"/>
    <col min="14864" max="14864" width="2.42578125" style="434" customWidth="1"/>
    <col min="14865" max="15104" width="9.140625" style="434"/>
    <col min="15105" max="15105" width="37.7109375" style="434" customWidth="1"/>
    <col min="15106" max="15107" width="7.7109375" style="434" customWidth="1"/>
    <col min="15108" max="15108" width="2.42578125" style="434" customWidth="1"/>
    <col min="15109" max="15110" width="8.7109375" style="434" customWidth="1"/>
    <col min="15111" max="15111" width="1.7109375" style="434" customWidth="1"/>
    <col min="15112" max="15113" width="8.7109375" style="434" customWidth="1"/>
    <col min="15114" max="15114" width="1.7109375" style="434" customWidth="1"/>
    <col min="15115" max="15116" width="8.7109375" style="434" customWidth="1"/>
    <col min="15117" max="15117" width="1.7109375" style="434" customWidth="1"/>
    <col min="15118" max="15118" width="8.7109375" style="434" customWidth="1"/>
    <col min="15119" max="15119" width="8.140625" style="434" customWidth="1"/>
    <col min="15120" max="15120" width="2.42578125" style="434" customWidth="1"/>
    <col min="15121" max="15360" width="9.140625" style="434"/>
    <col min="15361" max="15361" width="37.7109375" style="434" customWidth="1"/>
    <col min="15362" max="15363" width="7.7109375" style="434" customWidth="1"/>
    <col min="15364" max="15364" width="2.42578125" style="434" customWidth="1"/>
    <col min="15365" max="15366" width="8.7109375" style="434" customWidth="1"/>
    <col min="15367" max="15367" width="1.7109375" style="434" customWidth="1"/>
    <col min="15368" max="15369" width="8.7109375" style="434" customWidth="1"/>
    <col min="15370" max="15370" width="1.7109375" style="434" customWidth="1"/>
    <col min="15371" max="15372" width="8.7109375" style="434" customWidth="1"/>
    <col min="15373" max="15373" width="1.7109375" style="434" customWidth="1"/>
    <col min="15374" max="15374" width="8.7109375" style="434" customWidth="1"/>
    <col min="15375" max="15375" width="8.140625" style="434" customWidth="1"/>
    <col min="15376" max="15376" width="2.42578125" style="434" customWidth="1"/>
    <col min="15377" max="15616" width="9.140625" style="434"/>
    <col min="15617" max="15617" width="37.7109375" style="434" customWidth="1"/>
    <col min="15618" max="15619" width="7.7109375" style="434" customWidth="1"/>
    <col min="15620" max="15620" width="2.42578125" style="434" customWidth="1"/>
    <col min="15621" max="15622" width="8.7109375" style="434" customWidth="1"/>
    <col min="15623" max="15623" width="1.7109375" style="434" customWidth="1"/>
    <col min="15624" max="15625" width="8.7109375" style="434" customWidth="1"/>
    <col min="15626" max="15626" width="1.7109375" style="434" customWidth="1"/>
    <col min="15627" max="15628" width="8.7109375" style="434" customWidth="1"/>
    <col min="15629" max="15629" width="1.7109375" style="434" customWidth="1"/>
    <col min="15630" max="15630" width="8.7109375" style="434" customWidth="1"/>
    <col min="15631" max="15631" width="8.140625" style="434" customWidth="1"/>
    <col min="15632" max="15632" width="2.42578125" style="434" customWidth="1"/>
    <col min="15633" max="15872" width="9.140625" style="434"/>
    <col min="15873" max="15873" width="37.7109375" style="434" customWidth="1"/>
    <col min="15874" max="15875" width="7.7109375" style="434" customWidth="1"/>
    <col min="15876" max="15876" width="2.42578125" style="434" customWidth="1"/>
    <col min="15877" max="15878" width="8.7109375" style="434" customWidth="1"/>
    <col min="15879" max="15879" width="1.7109375" style="434" customWidth="1"/>
    <col min="15880" max="15881" width="8.7109375" style="434" customWidth="1"/>
    <col min="15882" max="15882" width="1.7109375" style="434" customWidth="1"/>
    <col min="15883" max="15884" width="8.7109375" style="434" customWidth="1"/>
    <col min="15885" max="15885" width="1.7109375" style="434" customWidth="1"/>
    <col min="15886" max="15886" width="8.7109375" style="434" customWidth="1"/>
    <col min="15887" max="15887" width="8.140625" style="434" customWidth="1"/>
    <col min="15888" max="15888" width="2.42578125" style="434" customWidth="1"/>
    <col min="15889" max="16128" width="9.140625" style="434"/>
    <col min="16129" max="16129" width="37.7109375" style="434" customWidth="1"/>
    <col min="16130" max="16131" width="7.7109375" style="434" customWidth="1"/>
    <col min="16132" max="16132" width="2.42578125" style="434" customWidth="1"/>
    <col min="16133" max="16134" width="8.7109375" style="434" customWidth="1"/>
    <col min="16135" max="16135" width="1.7109375" style="434" customWidth="1"/>
    <col min="16136" max="16137" width="8.7109375" style="434" customWidth="1"/>
    <col min="16138" max="16138" width="1.7109375" style="434" customWidth="1"/>
    <col min="16139" max="16140" width="8.7109375" style="434" customWidth="1"/>
    <col min="16141" max="16141" width="1.7109375" style="434" customWidth="1"/>
    <col min="16142" max="16142" width="8.7109375" style="434" customWidth="1"/>
    <col min="16143" max="16143" width="8.140625" style="434" customWidth="1"/>
    <col min="16144" max="16144" width="2.42578125" style="434" customWidth="1"/>
    <col min="16145" max="16384" width="9.140625" style="434"/>
  </cols>
  <sheetData>
    <row r="1" spans="1:16" ht="12.95" customHeight="1">
      <c r="A1" s="434" t="s">
        <v>366</v>
      </c>
    </row>
    <row r="2" spans="1:16" ht="12.95" customHeight="1">
      <c r="A2" s="434" t="s">
        <v>367</v>
      </c>
    </row>
    <row r="3" spans="1:16" ht="6.75" customHeight="1"/>
    <row r="4" spans="1:16" ht="12.95" customHeight="1">
      <c r="A4" s="42" t="s">
        <v>2222</v>
      </c>
    </row>
    <row r="5" spans="1:16" ht="7.5" customHeight="1" thickBot="1">
      <c r="I5" s="436"/>
      <c r="L5" s="436"/>
      <c r="M5" s="436"/>
      <c r="O5" s="436"/>
      <c r="P5" s="436"/>
    </row>
    <row r="6" spans="1:16" ht="12.95" customHeight="1">
      <c r="A6" s="437"/>
      <c r="B6" s="438"/>
      <c r="C6" s="439"/>
      <c r="D6" s="439"/>
      <c r="E6" s="438"/>
      <c r="F6" s="439"/>
      <c r="G6" s="439"/>
      <c r="H6" s="438"/>
      <c r="I6" s="439"/>
      <c r="J6" s="437"/>
      <c r="K6" s="438"/>
      <c r="L6" s="439"/>
      <c r="M6" s="439"/>
      <c r="N6" s="438"/>
      <c r="O6" s="439"/>
      <c r="P6" s="439"/>
    </row>
    <row r="7" spans="1:16" ht="12.95" customHeight="1">
      <c r="A7" s="434" t="s">
        <v>925</v>
      </c>
      <c r="B7" s="1324" t="s">
        <v>1729</v>
      </c>
      <c r="C7" s="1325"/>
      <c r="D7" s="1051"/>
      <c r="E7" s="1326" t="s">
        <v>1730</v>
      </c>
      <c r="F7" s="1326"/>
      <c r="G7" s="442"/>
      <c r="H7" s="1326" t="s">
        <v>1731</v>
      </c>
      <c r="I7" s="1326"/>
      <c r="J7" s="440"/>
      <c r="K7" s="1266" t="s">
        <v>1732</v>
      </c>
      <c r="L7" s="1266"/>
      <c r="N7" s="1266" t="s">
        <v>1733</v>
      </c>
      <c r="O7" s="1266"/>
    </row>
    <row r="8" spans="1:16" ht="12.95" customHeight="1">
      <c r="A8" s="440" t="s">
        <v>1734</v>
      </c>
      <c r="B8" s="443" t="s">
        <v>323</v>
      </c>
      <c r="C8" s="444" t="s">
        <v>324</v>
      </c>
      <c r="D8" s="802"/>
      <c r="E8" s="812" t="s">
        <v>323</v>
      </c>
      <c r="F8" s="802" t="s">
        <v>324</v>
      </c>
      <c r="G8" s="802"/>
      <c r="H8" s="443" t="s">
        <v>323</v>
      </c>
      <c r="I8" s="444" t="s">
        <v>324</v>
      </c>
      <c r="J8" s="440"/>
      <c r="K8" s="443" t="s">
        <v>323</v>
      </c>
      <c r="L8" s="444" t="s">
        <v>324</v>
      </c>
      <c r="N8" s="443" t="s">
        <v>323</v>
      </c>
      <c r="O8" s="444" t="s">
        <v>324</v>
      </c>
    </row>
    <row r="9" spans="1:16" ht="12.95" customHeight="1" thickBot="1">
      <c r="A9" s="445"/>
      <c r="B9" s="446"/>
      <c r="C9" s="447"/>
      <c r="D9" s="447"/>
      <c r="E9" s="446"/>
      <c r="F9" s="447"/>
      <c r="G9" s="447"/>
      <c r="H9" s="446"/>
      <c r="I9" s="447"/>
      <c r="J9" s="445"/>
      <c r="K9" s="446"/>
      <c r="L9" s="447"/>
      <c r="M9" s="447"/>
      <c r="N9" s="446"/>
      <c r="O9" s="447"/>
    </row>
    <row r="10" spans="1:16" ht="12.95" customHeight="1">
      <c r="A10" s="440"/>
      <c r="B10" s="441"/>
      <c r="C10" s="442"/>
      <c r="D10" s="442"/>
      <c r="E10" s="441"/>
      <c r="F10" s="442"/>
      <c r="G10" s="442"/>
      <c r="H10" s="441"/>
      <c r="I10" s="442"/>
      <c r="J10" s="440"/>
      <c r="K10" s="441"/>
      <c r="L10" s="442"/>
      <c r="N10" s="441"/>
      <c r="O10" s="442"/>
      <c r="P10" s="439"/>
    </row>
    <row r="11" spans="1:16" ht="12.95" customHeight="1">
      <c r="A11" s="63" t="s">
        <v>149</v>
      </c>
      <c r="B11" s="841">
        <f>IF(A11&lt;&gt;0,E11+H11+K11+N11,"")</f>
        <v>159</v>
      </c>
      <c r="C11" s="1025">
        <f>SUM(C12:C50)</f>
        <v>100</v>
      </c>
      <c r="D11" s="1025"/>
      <c r="E11" s="1052">
        <f>SUM(E13:E50)</f>
        <v>67</v>
      </c>
      <c r="F11" s="1025">
        <f>IF($A11&lt;&gt;0,E11/$B11*100,"")</f>
        <v>42.138364779874216</v>
      </c>
      <c r="G11" s="1025"/>
      <c r="H11" s="1052">
        <f>SUM(H13:H50)</f>
        <v>74</v>
      </c>
      <c r="I11" s="1025">
        <f>IF($A11&lt;&gt;0,H11/$B11*100,"")</f>
        <v>46.540880503144656</v>
      </c>
      <c r="J11" s="1052"/>
      <c r="K11" s="1052">
        <f>SUM(K13:K50)</f>
        <v>14</v>
      </c>
      <c r="L11" s="1025">
        <f>IF($A11&lt;&gt;0,K11/$B11*100,"")</f>
        <v>8.8050314465408803</v>
      </c>
      <c r="M11" s="1052"/>
      <c r="N11" s="1052">
        <f>SUM(N13:N50)</f>
        <v>4</v>
      </c>
      <c r="O11" s="1025">
        <f t="shared" ref="O11:O50" si="0">IF($A11&lt;&gt;0,N11/$B11*100,"")</f>
        <v>2.5157232704402519</v>
      </c>
      <c r="P11" s="838"/>
    </row>
    <row r="12" spans="1:16" ht="7.5" customHeight="1">
      <c r="B12" s="841" t="str">
        <f>IF(A12&lt;&gt;0,#REF!+E12+H12+K12+N12,"")</f>
        <v/>
      </c>
      <c r="C12" s="1025" t="str">
        <f t="shared" ref="C12:C50" si="1">IF(A12&lt;&gt;0,B12/$B$11*100,"")</f>
        <v/>
      </c>
      <c r="D12" s="1025"/>
      <c r="E12" s="1052"/>
      <c r="F12" s="1025" t="str">
        <f t="shared" ref="F12:F50" si="2">IF($A12&lt;&gt;0,E12/$B12*100,"")</f>
        <v/>
      </c>
      <c r="G12" s="1025"/>
      <c r="H12" s="1052"/>
      <c r="I12" s="1025" t="str">
        <f t="shared" ref="I12:I50" si="3">IF($A12&lt;&gt;0,H12/$B12*100,"")</f>
        <v/>
      </c>
      <c r="J12" s="1052"/>
      <c r="K12" s="1052"/>
      <c r="L12" s="1025" t="str">
        <f t="shared" ref="L12:L50" si="4">IF($A12&lt;&gt;0,K12/$B12*100,"")</f>
        <v/>
      </c>
      <c r="M12" s="1052"/>
      <c r="N12" s="1052"/>
      <c r="O12" s="1025" t="str">
        <f t="shared" si="0"/>
        <v/>
      </c>
      <c r="P12" s="838"/>
    </row>
    <row r="13" spans="1:16" ht="12.95" customHeight="1">
      <c r="A13" s="42" t="s">
        <v>825</v>
      </c>
      <c r="B13" s="841">
        <f>IF(A13&lt;&gt;0,E13+H13+K13+N13,"")</f>
        <v>1</v>
      </c>
      <c r="C13" s="1025">
        <f t="shared" si="1"/>
        <v>0.62893081761006298</v>
      </c>
      <c r="D13" s="1025"/>
      <c r="E13" s="1026">
        <v>0</v>
      </c>
      <c r="F13" s="1025">
        <f t="shared" si="2"/>
        <v>0</v>
      </c>
      <c r="G13" s="648"/>
      <c r="H13" s="1026">
        <v>1</v>
      </c>
      <c r="I13" s="1025">
        <f t="shared" si="3"/>
        <v>100</v>
      </c>
      <c r="J13" s="648"/>
      <c r="K13" s="1026">
        <v>0</v>
      </c>
      <c r="L13" s="1025">
        <f t="shared" si="4"/>
        <v>0</v>
      </c>
      <c r="M13" s="648"/>
      <c r="N13" s="1026">
        <v>0</v>
      </c>
      <c r="O13" s="1025">
        <f t="shared" si="0"/>
        <v>0</v>
      </c>
      <c r="P13" s="834"/>
    </row>
    <row r="14" spans="1:16" ht="12.95" customHeight="1">
      <c r="A14" s="42" t="s">
        <v>1708</v>
      </c>
      <c r="B14" s="841">
        <f t="shared" ref="B14:B50" si="5">IF(A14&lt;&gt;0,E14+H14+K14+N14,"")</f>
        <v>1</v>
      </c>
      <c r="C14" s="1025">
        <f t="shared" si="1"/>
        <v>0.62893081761006298</v>
      </c>
      <c r="D14" s="1025"/>
      <c r="E14" s="1026">
        <v>0</v>
      </c>
      <c r="F14" s="1025">
        <f t="shared" si="2"/>
        <v>0</v>
      </c>
      <c r="G14" s="648"/>
      <c r="H14" s="1026">
        <v>1</v>
      </c>
      <c r="I14" s="1025">
        <f t="shared" si="3"/>
        <v>100</v>
      </c>
      <c r="J14" s="648"/>
      <c r="K14" s="1026">
        <v>0</v>
      </c>
      <c r="L14" s="1025">
        <f t="shared" si="4"/>
        <v>0</v>
      </c>
      <c r="M14" s="648"/>
      <c r="N14" s="1026">
        <v>0</v>
      </c>
      <c r="O14" s="1025">
        <f t="shared" si="0"/>
        <v>0</v>
      </c>
      <c r="P14" s="834"/>
    </row>
    <row r="15" spans="1:16" ht="12.95" customHeight="1">
      <c r="A15" s="42" t="s">
        <v>828</v>
      </c>
      <c r="B15" s="841">
        <f t="shared" si="5"/>
        <v>3</v>
      </c>
      <c r="C15" s="1025">
        <f t="shared" si="1"/>
        <v>1.8867924528301887</v>
      </c>
      <c r="D15" s="1025"/>
      <c r="E15" s="1026">
        <v>1</v>
      </c>
      <c r="F15" s="1025">
        <f t="shared" si="2"/>
        <v>33.333333333333329</v>
      </c>
      <c r="G15" s="648"/>
      <c r="H15" s="1026">
        <v>1</v>
      </c>
      <c r="I15" s="1025">
        <f t="shared" si="3"/>
        <v>33.333333333333329</v>
      </c>
      <c r="J15" s="648"/>
      <c r="K15" s="1026">
        <v>1</v>
      </c>
      <c r="L15" s="1025">
        <f t="shared" si="4"/>
        <v>33.333333333333329</v>
      </c>
      <c r="M15" s="648"/>
      <c r="N15" s="1026">
        <v>0</v>
      </c>
      <c r="O15" s="1025">
        <f t="shared" si="0"/>
        <v>0</v>
      </c>
      <c r="P15" s="834"/>
    </row>
    <row r="16" spans="1:16" ht="12.95" customHeight="1">
      <c r="A16" s="42" t="s">
        <v>830</v>
      </c>
      <c r="B16" s="841">
        <f t="shared" si="5"/>
        <v>4</v>
      </c>
      <c r="C16" s="1025">
        <f t="shared" si="1"/>
        <v>2.5157232704402519</v>
      </c>
      <c r="D16" s="1025"/>
      <c r="E16" s="1026">
        <v>1</v>
      </c>
      <c r="F16" s="1025">
        <f t="shared" si="2"/>
        <v>25</v>
      </c>
      <c r="G16" s="648"/>
      <c r="H16" s="1026">
        <v>2</v>
      </c>
      <c r="I16" s="1025">
        <f t="shared" si="3"/>
        <v>50</v>
      </c>
      <c r="J16" s="648"/>
      <c r="K16" s="1026">
        <v>1</v>
      </c>
      <c r="L16" s="1025">
        <f t="shared" si="4"/>
        <v>25</v>
      </c>
      <c r="M16" s="648"/>
      <c r="N16" s="1026">
        <v>0</v>
      </c>
      <c r="O16" s="1025">
        <f t="shared" si="0"/>
        <v>0</v>
      </c>
      <c r="P16" s="838"/>
    </row>
    <row r="17" spans="1:16" ht="12.95" customHeight="1">
      <c r="A17" s="42" t="s">
        <v>832</v>
      </c>
      <c r="B17" s="841">
        <f t="shared" si="5"/>
        <v>12</v>
      </c>
      <c r="C17" s="1025">
        <f t="shared" si="1"/>
        <v>7.5471698113207548</v>
      </c>
      <c r="D17" s="1025"/>
      <c r="E17" s="1026">
        <v>4</v>
      </c>
      <c r="F17" s="1025">
        <f t="shared" si="2"/>
        <v>33.333333333333329</v>
      </c>
      <c r="G17" s="648"/>
      <c r="H17" s="1026">
        <v>8</v>
      </c>
      <c r="I17" s="1025">
        <f t="shared" si="3"/>
        <v>66.666666666666657</v>
      </c>
      <c r="J17" s="648"/>
      <c r="K17" s="1026">
        <v>0</v>
      </c>
      <c r="L17" s="1025">
        <f t="shared" si="4"/>
        <v>0</v>
      </c>
      <c r="M17" s="648"/>
      <c r="N17" s="1026">
        <v>0</v>
      </c>
      <c r="O17" s="1025">
        <f t="shared" si="0"/>
        <v>0</v>
      </c>
      <c r="P17" s="838"/>
    </row>
    <row r="18" spans="1:16" ht="12.95" customHeight="1">
      <c r="A18" s="42" t="s">
        <v>1709</v>
      </c>
      <c r="B18" s="841">
        <f t="shared" si="5"/>
        <v>2</v>
      </c>
      <c r="C18" s="1025">
        <f t="shared" si="1"/>
        <v>1.257861635220126</v>
      </c>
      <c r="D18" s="1025"/>
      <c r="E18" s="1026">
        <v>2</v>
      </c>
      <c r="F18" s="1025">
        <f t="shared" si="2"/>
        <v>100</v>
      </c>
      <c r="G18" s="648"/>
      <c r="H18" s="1026">
        <v>0</v>
      </c>
      <c r="I18" s="1025">
        <f t="shared" si="3"/>
        <v>0</v>
      </c>
      <c r="J18" s="648"/>
      <c r="K18" s="1026">
        <v>0</v>
      </c>
      <c r="L18" s="1025">
        <f t="shared" si="4"/>
        <v>0</v>
      </c>
      <c r="M18" s="648"/>
      <c r="N18" s="1026">
        <v>0</v>
      </c>
      <c r="O18" s="1025">
        <f t="shared" si="0"/>
        <v>0</v>
      </c>
      <c r="P18" s="838"/>
    </row>
    <row r="19" spans="1:16" ht="12.95" customHeight="1">
      <c r="A19" s="42" t="s">
        <v>834</v>
      </c>
      <c r="B19" s="841">
        <f t="shared" si="5"/>
        <v>3</v>
      </c>
      <c r="C19" s="1025">
        <f t="shared" si="1"/>
        <v>1.8867924528301887</v>
      </c>
      <c r="D19" s="1025"/>
      <c r="E19" s="1026">
        <v>0</v>
      </c>
      <c r="F19" s="1025">
        <f t="shared" si="2"/>
        <v>0</v>
      </c>
      <c r="G19" s="648"/>
      <c r="H19" s="1026">
        <v>2</v>
      </c>
      <c r="I19" s="1025">
        <f t="shared" si="3"/>
        <v>66.666666666666657</v>
      </c>
      <c r="J19" s="648"/>
      <c r="K19" s="1026">
        <v>1</v>
      </c>
      <c r="L19" s="1025">
        <f t="shared" si="4"/>
        <v>33.333333333333329</v>
      </c>
      <c r="M19" s="648"/>
      <c r="N19" s="1026">
        <v>0</v>
      </c>
      <c r="O19" s="1025">
        <f t="shared" si="0"/>
        <v>0</v>
      </c>
      <c r="P19" s="838"/>
    </row>
    <row r="20" spans="1:16" ht="12.95" customHeight="1">
      <c r="A20" s="42" t="s">
        <v>835</v>
      </c>
      <c r="B20" s="841">
        <f t="shared" si="5"/>
        <v>5</v>
      </c>
      <c r="C20" s="1025">
        <f t="shared" si="1"/>
        <v>3.1446540880503147</v>
      </c>
      <c r="D20" s="1025"/>
      <c r="E20" s="1026">
        <v>1</v>
      </c>
      <c r="F20" s="1025">
        <f t="shared" si="2"/>
        <v>20</v>
      </c>
      <c r="G20" s="648"/>
      <c r="H20" s="1026">
        <v>3</v>
      </c>
      <c r="I20" s="1025">
        <f t="shared" si="3"/>
        <v>60</v>
      </c>
      <c r="J20" s="648"/>
      <c r="K20" s="1026">
        <v>1</v>
      </c>
      <c r="L20" s="1025">
        <f t="shared" si="4"/>
        <v>20</v>
      </c>
      <c r="M20" s="648"/>
      <c r="N20" s="1026">
        <v>0</v>
      </c>
      <c r="O20" s="1025">
        <f t="shared" si="0"/>
        <v>0</v>
      </c>
      <c r="P20" s="838"/>
    </row>
    <row r="21" spans="1:16" ht="12.95" customHeight="1">
      <c r="A21" s="42" t="s">
        <v>836</v>
      </c>
      <c r="B21" s="841">
        <f t="shared" si="5"/>
        <v>1</v>
      </c>
      <c r="C21" s="1025">
        <f t="shared" si="1"/>
        <v>0.62893081761006298</v>
      </c>
      <c r="D21" s="1025"/>
      <c r="E21" s="1026">
        <v>1</v>
      </c>
      <c r="F21" s="1025">
        <f t="shared" si="2"/>
        <v>100</v>
      </c>
      <c r="G21" s="648"/>
      <c r="H21" s="1026">
        <v>0</v>
      </c>
      <c r="I21" s="1025">
        <f t="shared" si="3"/>
        <v>0</v>
      </c>
      <c r="J21" s="648"/>
      <c r="K21" s="1026">
        <v>0</v>
      </c>
      <c r="L21" s="1025">
        <f t="shared" si="4"/>
        <v>0</v>
      </c>
      <c r="M21" s="648"/>
      <c r="N21" s="1026">
        <v>0</v>
      </c>
      <c r="O21" s="1025">
        <f t="shared" si="0"/>
        <v>0</v>
      </c>
      <c r="P21" s="838"/>
    </row>
    <row r="22" spans="1:16" ht="12.95" customHeight="1">
      <c r="A22" s="42" t="s">
        <v>1710</v>
      </c>
      <c r="B22" s="841">
        <f t="shared" si="5"/>
        <v>10</v>
      </c>
      <c r="C22" s="1025">
        <f t="shared" si="1"/>
        <v>6.2893081761006293</v>
      </c>
      <c r="D22" s="1025"/>
      <c r="E22" s="1026">
        <v>5</v>
      </c>
      <c r="F22" s="1025">
        <f t="shared" si="2"/>
        <v>50</v>
      </c>
      <c r="G22" s="648"/>
      <c r="H22" s="1026">
        <v>5</v>
      </c>
      <c r="I22" s="1025">
        <f t="shared" si="3"/>
        <v>50</v>
      </c>
      <c r="J22" s="648"/>
      <c r="K22" s="1026">
        <v>0</v>
      </c>
      <c r="L22" s="1025">
        <f t="shared" si="4"/>
        <v>0</v>
      </c>
      <c r="M22" s="648"/>
      <c r="N22" s="1026">
        <v>0</v>
      </c>
      <c r="O22" s="1025">
        <f t="shared" si="0"/>
        <v>0</v>
      </c>
      <c r="P22" s="838"/>
    </row>
    <row r="23" spans="1:16" ht="12.95" customHeight="1">
      <c r="A23" s="42" t="s">
        <v>839</v>
      </c>
      <c r="B23" s="841">
        <f t="shared" si="5"/>
        <v>1</v>
      </c>
      <c r="C23" s="1025">
        <f t="shared" si="1"/>
        <v>0.62893081761006298</v>
      </c>
      <c r="D23" s="1025"/>
      <c r="E23" s="1026">
        <v>1</v>
      </c>
      <c r="F23" s="1025">
        <f t="shared" si="2"/>
        <v>100</v>
      </c>
      <c r="G23" s="648"/>
      <c r="H23" s="1026">
        <v>0</v>
      </c>
      <c r="I23" s="1025">
        <f t="shared" si="3"/>
        <v>0</v>
      </c>
      <c r="J23" s="648"/>
      <c r="K23" s="1026">
        <v>0</v>
      </c>
      <c r="L23" s="1025">
        <f t="shared" si="4"/>
        <v>0</v>
      </c>
      <c r="M23" s="648"/>
      <c r="N23" s="1026">
        <v>0</v>
      </c>
      <c r="O23" s="1025">
        <f t="shared" si="0"/>
        <v>0</v>
      </c>
      <c r="P23" s="838"/>
    </row>
    <row r="24" spans="1:16" ht="12.95" customHeight="1">
      <c r="A24" s="42" t="s">
        <v>840</v>
      </c>
      <c r="B24" s="841">
        <f t="shared" si="5"/>
        <v>1</v>
      </c>
      <c r="C24" s="1025">
        <f t="shared" si="1"/>
        <v>0.62893081761006298</v>
      </c>
      <c r="D24" s="1025"/>
      <c r="E24" s="1026">
        <v>1</v>
      </c>
      <c r="F24" s="1025">
        <f t="shared" si="2"/>
        <v>100</v>
      </c>
      <c r="G24" s="648"/>
      <c r="H24" s="1026">
        <v>0</v>
      </c>
      <c r="I24" s="1025">
        <f t="shared" si="3"/>
        <v>0</v>
      </c>
      <c r="J24" s="648"/>
      <c r="K24" s="1026">
        <v>0</v>
      </c>
      <c r="L24" s="1025">
        <f t="shared" si="4"/>
        <v>0</v>
      </c>
      <c r="M24" s="648"/>
      <c r="N24" s="1026">
        <v>0</v>
      </c>
      <c r="O24" s="1025">
        <f t="shared" si="0"/>
        <v>0</v>
      </c>
      <c r="P24" s="838"/>
    </row>
    <row r="25" spans="1:16" ht="12.95" customHeight="1">
      <c r="A25" s="42" t="s">
        <v>841</v>
      </c>
      <c r="B25" s="841">
        <f t="shared" si="5"/>
        <v>6</v>
      </c>
      <c r="C25" s="1025">
        <f t="shared" si="1"/>
        <v>3.7735849056603774</v>
      </c>
      <c r="D25" s="1025"/>
      <c r="E25" s="1026">
        <v>2</v>
      </c>
      <c r="F25" s="1025">
        <f t="shared" si="2"/>
        <v>33.333333333333329</v>
      </c>
      <c r="G25" s="648"/>
      <c r="H25" s="1026">
        <v>3</v>
      </c>
      <c r="I25" s="1025">
        <f t="shared" si="3"/>
        <v>50</v>
      </c>
      <c r="J25" s="648"/>
      <c r="K25" s="1026">
        <v>1</v>
      </c>
      <c r="L25" s="1025">
        <f t="shared" si="4"/>
        <v>16.666666666666664</v>
      </c>
      <c r="M25" s="648"/>
      <c r="N25" s="1026">
        <v>0</v>
      </c>
      <c r="O25" s="1025">
        <f t="shared" si="0"/>
        <v>0</v>
      </c>
      <c r="P25" s="838"/>
    </row>
    <row r="26" spans="1:16" ht="12.95" customHeight="1">
      <c r="A26" s="42" t="s">
        <v>1711</v>
      </c>
      <c r="B26" s="841">
        <f t="shared" si="5"/>
        <v>5</v>
      </c>
      <c r="C26" s="1025">
        <f t="shared" si="1"/>
        <v>3.1446540880503147</v>
      </c>
      <c r="D26" s="1025"/>
      <c r="E26" s="1026">
        <v>1</v>
      </c>
      <c r="F26" s="1025">
        <f t="shared" si="2"/>
        <v>20</v>
      </c>
      <c r="G26" s="648"/>
      <c r="H26" s="1026">
        <v>3</v>
      </c>
      <c r="I26" s="1025">
        <f t="shared" si="3"/>
        <v>60</v>
      </c>
      <c r="J26" s="648"/>
      <c r="K26" s="1026">
        <v>1</v>
      </c>
      <c r="L26" s="1025">
        <f t="shared" si="4"/>
        <v>20</v>
      </c>
      <c r="M26" s="648"/>
      <c r="N26" s="1026">
        <v>0</v>
      </c>
      <c r="O26" s="1025">
        <f t="shared" si="0"/>
        <v>0</v>
      </c>
      <c r="P26" s="838"/>
    </row>
    <row r="27" spans="1:16" ht="12.95" customHeight="1">
      <c r="A27" s="42" t="s">
        <v>844</v>
      </c>
      <c r="B27" s="841">
        <f t="shared" si="5"/>
        <v>1</v>
      </c>
      <c r="C27" s="1025">
        <f t="shared" si="1"/>
        <v>0.62893081761006298</v>
      </c>
      <c r="D27" s="1025"/>
      <c r="E27" s="1026">
        <v>0</v>
      </c>
      <c r="F27" s="1025">
        <f t="shared" si="2"/>
        <v>0</v>
      </c>
      <c r="G27" s="648"/>
      <c r="H27" s="1026">
        <v>0</v>
      </c>
      <c r="I27" s="1025">
        <f t="shared" si="3"/>
        <v>0</v>
      </c>
      <c r="J27" s="648"/>
      <c r="K27" s="1026">
        <v>0</v>
      </c>
      <c r="L27" s="1025">
        <f t="shared" si="4"/>
        <v>0</v>
      </c>
      <c r="M27" s="648"/>
      <c r="N27" s="1026">
        <v>1</v>
      </c>
      <c r="O27" s="1025">
        <f t="shared" si="0"/>
        <v>100</v>
      </c>
      <c r="P27" s="838"/>
    </row>
    <row r="28" spans="1:16" ht="12.95" customHeight="1">
      <c r="A28" s="42" t="s">
        <v>845</v>
      </c>
      <c r="B28" s="841">
        <f t="shared" si="5"/>
        <v>5</v>
      </c>
      <c r="C28" s="1025">
        <f t="shared" si="1"/>
        <v>3.1446540880503147</v>
      </c>
      <c r="D28" s="1025"/>
      <c r="E28" s="1026">
        <v>3</v>
      </c>
      <c r="F28" s="1025">
        <f t="shared" si="2"/>
        <v>60</v>
      </c>
      <c r="G28" s="648"/>
      <c r="H28" s="1026">
        <v>2</v>
      </c>
      <c r="I28" s="1025">
        <f t="shared" si="3"/>
        <v>40</v>
      </c>
      <c r="J28" s="648"/>
      <c r="K28" s="1026">
        <v>0</v>
      </c>
      <c r="L28" s="1025">
        <f t="shared" si="4"/>
        <v>0</v>
      </c>
      <c r="M28" s="648"/>
      <c r="N28" s="1026">
        <v>0</v>
      </c>
      <c r="O28" s="1025">
        <f t="shared" si="0"/>
        <v>0</v>
      </c>
      <c r="P28" s="838"/>
    </row>
    <row r="29" spans="1:16" ht="12.95" customHeight="1">
      <c r="A29" s="42" t="s">
        <v>1712</v>
      </c>
      <c r="B29" s="841">
        <f t="shared" si="5"/>
        <v>11</v>
      </c>
      <c r="C29" s="1025">
        <f t="shared" si="1"/>
        <v>6.9182389937106921</v>
      </c>
      <c r="D29" s="1025"/>
      <c r="E29" s="1026">
        <v>7</v>
      </c>
      <c r="F29" s="1025">
        <f t="shared" si="2"/>
        <v>63.636363636363633</v>
      </c>
      <c r="G29" s="648"/>
      <c r="H29" s="1026">
        <v>2</v>
      </c>
      <c r="I29" s="1025">
        <f t="shared" si="3"/>
        <v>18.181818181818183</v>
      </c>
      <c r="J29" s="648"/>
      <c r="K29" s="1026">
        <v>2</v>
      </c>
      <c r="L29" s="1025">
        <f t="shared" si="4"/>
        <v>18.181818181818183</v>
      </c>
      <c r="M29" s="648"/>
      <c r="N29" s="1026">
        <v>0</v>
      </c>
      <c r="O29" s="1025">
        <f t="shared" si="0"/>
        <v>0</v>
      </c>
      <c r="P29" s="838"/>
    </row>
    <row r="30" spans="1:16" ht="12.95" customHeight="1">
      <c r="A30" s="42" t="s">
        <v>847</v>
      </c>
      <c r="B30" s="841">
        <f>IF(A30&lt;&gt;0,E30+H30+K30+N30,"")</f>
        <v>1</v>
      </c>
      <c r="C30" s="1025">
        <f>IF(A30&lt;&gt;0,B30/$B$11*100,"")</f>
        <v>0.62893081761006298</v>
      </c>
      <c r="D30" s="1025"/>
      <c r="E30" s="1026">
        <v>1</v>
      </c>
      <c r="F30" s="1025">
        <f t="shared" si="2"/>
        <v>100</v>
      </c>
      <c r="G30" s="648"/>
      <c r="H30" s="1026">
        <v>0</v>
      </c>
      <c r="I30" s="1025">
        <f t="shared" si="3"/>
        <v>0</v>
      </c>
      <c r="J30" s="648"/>
      <c r="K30" s="1026">
        <v>0</v>
      </c>
      <c r="L30" s="1025">
        <f t="shared" si="4"/>
        <v>0</v>
      </c>
      <c r="M30" s="648"/>
      <c r="N30" s="1026">
        <v>0</v>
      </c>
      <c r="O30" s="1025">
        <f t="shared" si="0"/>
        <v>0</v>
      </c>
      <c r="P30" s="838"/>
    </row>
    <row r="31" spans="1:16" ht="12.95" customHeight="1">
      <c r="A31" s="42" t="s">
        <v>848</v>
      </c>
      <c r="B31" s="841">
        <f>IF(A31&lt;&gt;0,E31+H31+K31+N31,"")</f>
        <v>3</v>
      </c>
      <c r="C31" s="1025">
        <f>IF(A31&lt;&gt;0,B31/$B$11*100,"")</f>
        <v>1.8867924528301887</v>
      </c>
      <c r="D31" s="1025"/>
      <c r="E31" s="1026">
        <v>1</v>
      </c>
      <c r="F31" s="1025">
        <f t="shared" si="2"/>
        <v>33.333333333333329</v>
      </c>
      <c r="G31" s="648"/>
      <c r="H31" s="1026">
        <v>0</v>
      </c>
      <c r="I31" s="1025">
        <f t="shared" si="3"/>
        <v>0</v>
      </c>
      <c r="J31" s="648"/>
      <c r="K31" s="1026">
        <v>2</v>
      </c>
      <c r="L31" s="1025">
        <f t="shared" si="4"/>
        <v>66.666666666666657</v>
      </c>
      <c r="M31" s="648"/>
      <c r="N31" s="1026">
        <v>0</v>
      </c>
      <c r="O31" s="1025">
        <f t="shared" si="0"/>
        <v>0</v>
      </c>
      <c r="P31" s="838"/>
    </row>
    <row r="32" spans="1:16" ht="12.95" customHeight="1">
      <c r="A32" s="42" t="s">
        <v>849</v>
      </c>
      <c r="B32" s="841">
        <f t="shared" si="5"/>
        <v>4</v>
      </c>
      <c r="C32" s="1025">
        <f t="shared" si="1"/>
        <v>2.5157232704402519</v>
      </c>
      <c r="D32" s="1025"/>
      <c r="E32" s="1026">
        <v>2</v>
      </c>
      <c r="F32" s="1025">
        <f t="shared" si="2"/>
        <v>50</v>
      </c>
      <c r="G32" s="648"/>
      <c r="H32" s="1026">
        <v>1</v>
      </c>
      <c r="I32" s="1025">
        <f t="shared" si="3"/>
        <v>25</v>
      </c>
      <c r="J32" s="648"/>
      <c r="K32" s="1026">
        <v>1</v>
      </c>
      <c r="L32" s="1025">
        <f t="shared" si="4"/>
        <v>25</v>
      </c>
      <c r="M32" s="648"/>
      <c r="N32" s="1026">
        <v>0</v>
      </c>
      <c r="O32" s="1025">
        <f t="shared" si="0"/>
        <v>0</v>
      </c>
      <c r="P32" s="838"/>
    </row>
    <row r="33" spans="1:16" ht="12.95" customHeight="1">
      <c r="A33" s="42" t="s">
        <v>1713</v>
      </c>
      <c r="B33" s="841">
        <f t="shared" si="5"/>
        <v>1</v>
      </c>
      <c r="C33" s="1025">
        <f t="shared" si="1"/>
        <v>0.62893081761006298</v>
      </c>
      <c r="D33" s="1025"/>
      <c r="E33" s="1026">
        <v>0</v>
      </c>
      <c r="F33" s="1025">
        <f t="shared" si="2"/>
        <v>0</v>
      </c>
      <c r="G33" s="648"/>
      <c r="H33" s="1026">
        <v>1</v>
      </c>
      <c r="I33" s="1025">
        <f t="shared" si="3"/>
        <v>100</v>
      </c>
      <c r="J33" s="648"/>
      <c r="K33" s="1026">
        <v>0</v>
      </c>
      <c r="L33" s="1025">
        <f t="shared" si="4"/>
        <v>0</v>
      </c>
      <c r="M33" s="648"/>
      <c r="N33" s="1026">
        <v>0</v>
      </c>
      <c r="O33" s="1025">
        <f t="shared" si="0"/>
        <v>0</v>
      </c>
      <c r="P33" s="838"/>
    </row>
    <row r="34" spans="1:16" ht="12.95" customHeight="1">
      <c r="A34" s="42" t="s">
        <v>855</v>
      </c>
      <c r="B34" s="841">
        <f t="shared" si="5"/>
        <v>5</v>
      </c>
      <c r="C34" s="1025">
        <f t="shared" si="1"/>
        <v>3.1446540880503147</v>
      </c>
      <c r="D34" s="1025"/>
      <c r="E34" s="1026">
        <v>0</v>
      </c>
      <c r="F34" s="1025">
        <f t="shared" si="2"/>
        <v>0</v>
      </c>
      <c r="G34" s="648"/>
      <c r="H34" s="1026">
        <v>3</v>
      </c>
      <c r="I34" s="1025">
        <f t="shared" si="3"/>
        <v>60</v>
      </c>
      <c r="J34" s="648"/>
      <c r="K34" s="1026">
        <v>1</v>
      </c>
      <c r="L34" s="1025">
        <f t="shared" si="4"/>
        <v>20</v>
      </c>
      <c r="M34" s="648"/>
      <c r="N34" s="1026">
        <v>1</v>
      </c>
      <c r="O34" s="1025">
        <f t="shared" si="0"/>
        <v>20</v>
      </c>
      <c r="P34" s="838"/>
    </row>
    <row r="35" spans="1:16" ht="12.95" customHeight="1">
      <c r="A35" s="42" t="s">
        <v>856</v>
      </c>
      <c r="B35" s="841">
        <f t="shared" si="5"/>
        <v>3</v>
      </c>
      <c r="C35" s="1025">
        <f t="shared" si="1"/>
        <v>1.8867924528301887</v>
      </c>
      <c r="D35" s="1025"/>
      <c r="E35" s="1026">
        <v>3</v>
      </c>
      <c r="F35" s="1025">
        <f t="shared" si="2"/>
        <v>100</v>
      </c>
      <c r="G35" s="648"/>
      <c r="H35" s="1026">
        <v>0</v>
      </c>
      <c r="I35" s="1025">
        <f t="shared" si="3"/>
        <v>0</v>
      </c>
      <c r="J35" s="648"/>
      <c r="K35" s="1026">
        <v>0</v>
      </c>
      <c r="L35" s="1025">
        <f t="shared" si="4"/>
        <v>0</v>
      </c>
      <c r="M35" s="648"/>
      <c r="N35" s="1026">
        <v>0</v>
      </c>
      <c r="O35" s="1025">
        <f t="shared" si="0"/>
        <v>0</v>
      </c>
      <c r="P35" s="838"/>
    </row>
    <row r="36" spans="1:16" ht="12.95" customHeight="1">
      <c r="A36" s="42" t="s">
        <v>857</v>
      </c>
      <c r="B36" s="841">
        <f>IF(A36&lt;&gt;0,E36+H36+K36+N36,"")</f>
        <v>3</v>
      </c>
      <c r="C36" s="1025">
        <f>IF(A36&lt;&gt;0,B36/$B$11*100,"")</f>
        <v>1.8867924528301887</v>
      </c>
      <c r="D36" s="1025"/>
      <c r="E36" s="1026">
        <v>2</v>
      </c>
      <c r="F36" s="1025">
        <f t="shared" si="2"/>
        <v>66.666666666666657</v>
      </c>
      <c r="G36" s="648"/>
      <c r="H36" s="1026">
        <v>1</v>
      </c>
      <c r="I36" s="1025">
        <f t="shared" si="3"/>
        <v>33.333333333333329</v>
      </c>
      <c r="J36" s="648"/>
      <c r="K36" s="1026">
        <v>0</v>
      </c>
      <c r="L36" s="1025">
        <f t="shared" si="4"/>
        <v>0</v>
      </c>
      <c r="M36" s="648"/>
      <c r="N36" s="1026">
        <v>0</v>
      </c>
      <c r="O36" s="1025">
        <f t="shared" si="0"/>
        <v>0</v>
      </c>
      <c r="P36" s="838"/>
    </row>
    <row r="37" spans="1:16" ht="12.95" customHeight="1">
      <c r="A37" s="42" t="s">
        <v>858</v>
      </c>
      <c r="B37" s="841">
        <f t="shared" si="5"/>
        <v>1</v>
      </c>
      <c r="C37" s="1025">
        <f t="shared" si="1"/>
        <v>0.62893081761006298</v>
      </c>
      <c r="D37" s="1025"/>
      <c r="E37" s="1026">
        <v>0</v>
      </c>
      <c r="F37" s="1025">
        <f t="shared" si="2"/>
        <v>0</v>
      </c>
      <c r="G37" s="648"/>
      <c r="H37" s="1026">
        <v>1</v>
      </c>
      <c r="I37" s="1025">
        <f t="shared" si="3"/>
        <v>100</v>
      </c>
      <c r="J37" s="648"/>
      <c r="K37" s="1026">
        <v>0</v>
      </c>
      <c r="L37" s="1025">
        <f t="shared" si="4"/>
        <v>0</v>
      </c>
      <c r="M37" s="648"/>
      <c r="N37" s="1026">
        <v>0</v>
      </c>
      <c r="O37" s="1025">
        <f t="shared" si="0"/>
        <v>0</v>
      </c>
      <c r="P37" s="838"/>
    </row>
    <row r="38" spans="1:16" ht="12.95" customHeight="1">
      <c r="A38" s="42" t="s">
        <v>859</v>
      </c>
      <c r="B38" s="841">
        <f t="shared" si="5"/>
        <v>1</v>
      </c>
      <c r="C38" s="1025">
        <f t="shared" si="1"/>
        <v>0.62893081761006298</v>
      </c>
      <c r="D38" s="1025"/>
      <c r="E38" s="1026">
        <v>0</v>
      </c>
      <c r="F38" s="1025">
        <f t="shared" si="2"/>
        <v>0</v>
      </c>
      <c r="G38" s="648"/>
      <c r="H38" s="1026">
        <v>1</v>
      </c>
      <c r="I38" s="1025">
        <f t="shared" si="3"/>
        <v>100</v>
      </c>
      <c r="J38" s="648"/>
      <c r="K38" s="1026">
        <v>0</v>
      </c>
      <c r="L38" s="1025">
        <f t="shared" si="4"/>
        <v>0</v>
      </c>
      <c r="M38" s="648"/>
      <c r="N38" s="1026">
        <v>0</v>
      </c>
      <c r="O38" s="1025">
        <f t="shared" si="0"/>
        <v>0</v>
      </c>
      <c r="P38" s="838"/>
    </row>
    <row r="39" spans="1:16" ht="12.95" customHeight="1">
      <c r="A39" s="42" t="s">
        <v>861</v>
      </c>
      <c r="B39" s="841">
        <f t="shared" si="5"/>
        <v>1</v>
      </c>
      <c r="C39" s="1025">
        <f t="shared" si="1"/>
        <v>0.62893081761006298</v>
      </c>
      <c r="D39" s="1025"/>
      <c r="E39" s="1026">
        <v>0</v>
      </c>
      <c r="F39" s="1025">
        <f t="shared" si="2"/>
        <v>0</v>
      </c>
      <c r="G39" s="648"/>
      <c r="H39" s="1026">
        <v>1</v>
      </c>
      <c r="I39" s="1025">
        <f t="shared" si="3"/>
        <v>100</v>
      </c>
      <c r="J39" s="648"/>
      <c r="K39" s="1026">
        <v>0</v>
      </c>
      <c r="L39" s="1025">
        <f t="shared" si="4"/>
        <v>0</v>
      </c>
      <c r="M39" s="648"/>
      <c r="N39" s="1026">
        <v>0</v>
      </c>
      <c r="O39" s="1025">
        <f t="shared" si="0"/>
        <v>0</v>
      </c>
      <c r="P39" s="838"/>
    </row>
    <row r="40" spans="1:16" ht="12.95" customHeight="1">
      <c r="A40" s="42" t="s">
        <v>1714</v>
      </c>
      <c r="B40" s="841">
        <f t="shared" si="5"/>
        <v>2</v>
      </c>
      <c r="C40" s="1025">
        <f t="shared" si="1"/>
        <v>1.257861635220126</v>
      </c>
      <c r="D40" s="1025"/>
      <c r="E40" s="1026">
        <v>0</v>
      </c>
      <c r="F40" s="1025">
        <f t="shared" si="2"/>
        <v>0</v>
      </c>
      <c r="G40" s="648"/>
      <c r="H40" s="1026">
        <v>2</v>
      </c>
      <c r="I40" s="1025">
        <f t="shared" si="3"/>
        <v>100</v>
      </c>
      <c r="J40" s="648"/>
      <c r="K40" s="1026">
        <v>0</v>
      </c>
      <c r="L40" s="1025">
        <f t="shared" si="4"/>
        <v>0</v>
      </c>
      <c r="M40" s="648"/>
      <c r="N40" s="1026">
        <v>0</v>
      </c>
      <c r="O40" s="1025">
        <f t="shared" si="0"/>
        <v>0</v>
      </c>
      <c r="P40" s="838"/>
    </row>
    <row r="41" spans="1:16" ht="12.95" customHeight="1">
      <c r="A41" s="42" t="s">
        <v>864</v>
      </c>
      <c r="B41" s="841">
        <f t="shared" si="5"/>
        <v>14</v>
      </c>
      <c r="C41" s="1025">
        <f t="shared" si="1"/>
        <v>8.8050314465408803</v>
      </c>
      <c r="D41" s="1025"/>
      <c r="E41" s="1026">
        <v>2</v>
      </c>
      <c r="F41" s="1025">
        <f t="shared" si="2"/>
        <v>14.285714285714285</v>
      </c>
      <c r="G41" s="648"/>
      <c r="H41" s="1026">
        <v>11</v>
      </c>
      <c r="I41" s="1025">
        <f t="shared" si="3"/>
        <v>78.571428571428569</v>
      </c>
      <c r="J41" s="648"/>
      <c r="K41" s="1026">
        <v>1</v>
      </c>
      <c r="L41" s="1025">
        <f t="shared" si="4"/>
        <v>7.1428571428571423</v>
      </c>
      <c r="M41" s="648"/>
      <c r="N41" s="1026">
        <v>0</v>
      </c>
      <c r="O41" s="1025">
        <f t="shared" si="0"/>
        <v>0</v>
      </c>
      <c r="P41" s="838"/>
    </row>
    <row r="42" spans="1:16" ht="12.95" customHeight="1">
      <c r="A42" s="42" t="s">
        <v>866</v>
      </c>
      <c r="B42" s="841">
        <f t="shared" si="5"/>
        <v>2</v>
      </c>
      <c r="C42" s="1025">
        <f t="shared" si="1"/>
        <v>1.257861635220126</v>
      </c>
      <c r="D42" s="1025"/>
      <c r="E42" s="1026">
        <v>1</v>
      </c>
      <c r="F42" s="1025">
        <f t="shared" si="2"/>
        <v>50</v>
      </c>
      <c r="G42" s="648"/>
      <c r="H42" s="1026">
        <v>1</v>
      </c>
      <c r="I42" s="1025">
        <f t="shared" si="3"/>
        <v>50</v>
      </c>
      <c r="J42" s="648"/>
      <c r="K42" s="1026">
        <v>0</v>
      </c>
      <c r="L42" s="1025">
        <f t="shared" si="4"/>
        <v>0</v>
      </c>
      <c r="M42" s="648"/>
      <c r="N42" s="1026">
        <v>0</v>
      </c>
      <c r="O42" s="1025">
        <f t="shared" si="0"/>
        <v>0</v>
      </c>
      <c r="P42" s="838"/>
    </row>
    <row r="43" spans="1:16" ht="12.95" customHeight="1">
      <c r="A43" s="42" t="s">
        <v>870</v>
      </c>
      <c r="B43" s="841">
        <f t="shared" si="5"/>
        <v>10</v>
      </c>
      <c r="C43" s="1025">
        <f t="shared" si="1"/>
        <v>6.2893081761006293</v>
      </c>
      <c r="D43" s="1025"/>
      <c r="E43" s="1026">
        <v>6</v>
      </c>
      <c r="F43" s="1025">
        <f t="shared" si="2"/>
        <v>60</v>
      </c>
      <c r="G43" s="648"/>
      <c r="H43" s="1026">
        <v>4</v>
      </c>
      <c r="I43" s="1025">
        <f t="shared" si="3"/>
        <v>40</v>
      </c>
      <c r="J43" s="648"/>
      <c r="K43" s="1026">
        <v>0</v>
      </c>
      <c r="L43" s="1025">
        <f t="shared" si="4"/>
        <v>0</v>
      </c>
      <c r="M43" s="648"/>
      <c r="N43" s="1026">
        <v>0</v>
      </c>
      <c r="O43" s="1025">
        <f t="shared" si="0"/>
        <v>0</v>
      </c>
      <c r="P43" s="838"/>
    </row>
    <row r="44" spans="1:16" ht="12.95" customHeight="1">
      <c r="A44" s="42" t="s">
        <v>871</v>
      </c>
      <c r="B44" s="841">
        <f t="shared" si="5"/>
        <v>21</v>
      </c>
      <c r="C44" s="1025">
        <f t="shared" si="1"/>
        <v>13.20754716981132</v>
      </c>
      <c r="D44" s="1025"/>
      <c r="E44" s="1026">
        <v>10</v>
      </c>
      <c r="F44" s="1025">
        <f t="shared" si="2"/>
        <v>47.619047619047613</v>
      </c>
      <c r="G44" s="648"/>
      <c r="H44" s="1026">
        <v>9</v>
      </c>
      <c r="I44" s="1025">
        <f t="shared" si="3"/>
        <v>42.857142857142854</v>
      </c>
      <c r="J44" s="648"/>
      <c r="K44" s="1026">
        <v>1</v>
      </c>
      <c r="L44" s="1025">
        <f t="shared" si="4"/>
        <v>4.7619047619047619</v>
      </c>
      <c r="M44" s="648"/>
      <c r="N44" s="1026">
        <v>1</v>
      </c>
      <c r="O44" s="1025">
        <f t="shared" si="0"/>
        <v>4.7619047619047619</v>
      </c>
      <c r="P44" s="838"/>
    </row>
    <row r="45" spans="1:16" ht="12.95" customHeight="1">
      <c r="A45" s="42" t="s">
        <v>872</v>
      </c>
      <c r="B45" s="841">
        <f t="shared" si="5"/>
        <v>3</v>
      </c>
      <c r="C45" s="1025">
        <f t="shared" si="1"/>
        <v>1.8867924528301887</v>
      </c>
      <c r="D45" s="1025"/>
      <c r="E45" s="1026">
        <v>2</v>
      </c>
      <c r="F45" s="1025">
        <f t="shared" si="2"/>
        <v>66.666666666666657</v>
      </c>
      <c r="G45" s="648"/>
      <c r="H45" s="1026">
        <v>1</v>
      </c>
      <c r="I45" s="1025">
        <f t="shared" si="3"/>
        <v>33.333333333333329</v>
      </c>
      <c r="J45" s="648"/>
      <c r="K45" s="1026">
        <v>0</v>
      </c>
      <c r="L45" s="1025">
        <f t="shared" si="4"/>
        <v>0</v>
      </c>
      <c r="M45" s="648"/>
      <c r="N45" s="1026">
        <v>0</v>
      </c>
      <c r="O45" s="1025">
        <f t="shared" si="0"/>
        <v>0</v>
      </c>
      <c r="P45" s="838"/>
    </row>
    <row r="46" spans="1:16" ht="12.95" customHeight="1">
      <c r="A46" s="42" t="s">
        <v>1715</v>
      </c>
      <c r="B46" s="841">
        <f t="shared" si="5"/>
        <v>3</v>
      </c>
      <c r="C46" s="1025">
        <f t="shared" si="1"/>
        <v>1.8867924528301887</v>
      </c>
      <c r="D46" s="1025"/>
      <c r="E46" s="1026">
        <v>1</v>
      </c>
      <c r="F46" s="1025">
        <f t="shared" si="2"/>
        <v>33.333333333333329</v>
      </c>
      <c r="G46" s="648"/>
      <c r="H46" s="1026">
        <v>2</v>
      </c>
      <c r="I46" s="1025">
        <f t="shared" si="3"/>
        <v>66.666666666666657</v>
      </c>
      <c r="J46" s="648"/>
      <c r="K46" s="1026">
        <v>0</v>
      </c>
      <c r="L46" s="1025">
        <f t="shared" si="4"/>
        <v>0</v>
      </c>
      <c r="M46" s="648"/>
      <c r="N46" s="1026">
        <v>0</v>
      </c>
      <c r="O46" s="1025">
        <f t="shared" si="0"/>
        <v>0</v>
      </c>
      <c r="P46" s="838"/>
    </row>
    <row r="47" spans="1:16" ht="12.95" customHeight="1">
      <c r="A47" s="42" t="s">
        <v>1716</v>
      </c>
      <c r="B47" s="841">
        <f t="shared" si="5"/>
        <v>2</v>
      </c>
      <c r="C47" s="1025">
        <f t="shared" si="1"/>
        <v>1.257861635220126</v>
      </c>
      <c r="D47" s="1025"/>
      <c r="E47" s="1026">
        <v>1</v>
      </c>
      <c r="F47" s="1025">
        <f t="shared" si="2"/>
        <v>50</v>
      </c>
      <c r="G47" s="648"/>
      <c r="H47" s="1026">
        <v>1</v>
      </c>
      <c r="I47" s="1025">
        <f t="shared" si="3"/>
        <v>50</v>
      </c>
      <c r="J47" s="648"/>
      <c r="K47" s="1026">
        <v>0</v>
      </c>
      <c r="L47" s="1025">
        <f t="shared" si="4"/>
        <v>0</v>
      </c>
      <c r="M47" s="648"/>
      <c r="N47" s="1026">
        <v>0</v>
      </c>
      <c r="O47" s="1025">
        <f t="shared" si="0"/>
        <v>0</v>
      </c>
      <c r="P47" s="838"/>
    </row>
    <row r="48" spans="1:16" ht="12.95" customHeight="1">
      <c r="A48" s="42" t="s">
        <v>878</v>
      </c>
      <c r="B48" s="841">
        <f t="shared" si="5"/>
        <v>4</v>
      </c>
      <c r="C48" s="1025">
        <f t="shared" si="1"/>
        <v>2.5157232704402519</v>
      </c>
      <c r="D48" s="1025"/>
      <c r="E48" s="1026">
        <v>4</v>
      </c>
      <c r="F48" s="1025">
        <f t="shared" si="2"/>
        <v>100</v>
      </c>
      <c r="G48" s="648"/>
      <c r="H48" s="1026">
        <v>0</v>
      </c>
      <c r="I48" s="1025">
        <f t="shared" si="3"/>
        <v>0</v>
      </c>
      <c r="J48" s="648"/>
      <c r="K48" s="1026">
        <v>0</v>
      </c>
      <c r="L48" s="1025">
        <f t="shared" si="4"/>
        <v>0</v>
      </c>
      <c r="M48" s="648"/>
      <c r="N48" s="1026">
        <v>0</v>
      </c>
      <c r="O48" s="1025">
        <f t="shared" si="0"/>
        <v>0</v>
      </c>
      <c r="P48" s="838"/>
    </row>
    <row r="49" spans="1:16" ht="12.95" customHeight="1">
      <c r="A49" s="42" t="s">
        <v>879</v>
      </c>
      <c r="B49" s="841">
        <f>IF(A49&lt;&gt;0,E49+H49+K49+N49,"")</f>
        <v>1</v>
      </c>
      <c r="C49" s="1025">
        <f>IF(A49&lt;&gt;0,B49/$B$11*100,"")</f>
        <v>0.62893081761006298</v>
      </c>
      <c r="D49" s="1025"/>
      <c r="E49" s="1026">
        <v>0</v>
      </c>
      <c r="F49" s="1025">
        <f t="shared" si="2"/>
        <v>0</v>
      </c>
      <c r="G49" s="648"/>
      <c r="H49" s="1026">
        <v>1</v>
      </c>
      <c r="I49" s="1025">
        <f t="shared" si="3"/>
        <v>100</v>
      </c>
      <c r="J49" s="648"/>
      <c r="K49" s="1026">
        <v>0</v>
      </c>
      <c r="L49" s="1025">
        <f t="shared" si="4"/>
        <v>0</v>
      </c>
      <c r="M49" s="648"/>
      <c r="N49" s="1026">
        <v>0</v>
      </c>
      <c r="O49" s="1025">
        <f t="shared" si="0"/>
        <v>0</v>
      </c>
      <c r="P49" s="838"/>
    </row>
    <row r="50" spans="1:16" ht="12.95" customHeight="1">
      <c r="A50" s="42" t="s">
        <v>880</v>
      </c>
      <c r="B50" s="841">
        <f t="shared" si="5"/>
        <v>2</v>
      </c>
      <c r="C50" s="1025">
        <f t="shared" si="1"/>
        <v>1.257861635220126</v>
      </c>
      <c r="D50" s="1025"/>
      <c r="E50" s="1026">
        <v>1</v>
      </c>
      <c r="F50" s="1025">
        <f t="shared" si="2"/>
        <v>50</v>
      </c>
      <c r="G50" s="648"/>
      <c r="H50" s="1026">
        <v>0</v>
      </c>
      <c r="I50" s="1025">
        <f t="shared" si="3"/>
        <v>0</v>
      </c>
      <c r="J50" s="648"/>
      <c r="K50" s="1026">
        <v>0</v>
      </c>
      <c r="L50" s="1025">
        <f t="shared" si="4"/>
        <v>0</v>
      </c>
      <c r="M50" s="648"/>
      <c r="N50" s="1026">
        <v>1</v>
      </c>
      <c r="O50" s="1025">
        <f t="shared" si="0"/>
        <v>50</v>
      </c>
      <c r="P50" s="838"/>
    </row>
    <row r="51" spans="1:16" ht="7.5" customHeight="1" thickBot="1">
      <c r="A51" s="445"/>
      <c r="B51" s="1053"/>
      <c r="C51" s="1053"/>
      <c r="D51" s="1053"/>
      <c r="E51" s="1053"/>
      <c r="F51" s="1053"/>
      <c r="G51" s="1053"/>
      <c r="H51" s="1053"/>
      <c r="I51" s="1053"/>
      <c r="J51" s="1053"/>
      <c r="K51" s="1053"/>
      <c r="L51" s="1053"/>
      <c r="M51" s="1053"/>
      <c r="N51" s="1053"/>
      <c r="O51" s="1053"/>
      <c r="P51" s="838"/>
    </row>
    <row r="52" spans="1:16" ht="8.25" customHeight="1">
      <c r="B52" s="434"/>
      <c r="C52" s="434"/>
      <c r="D52" s="434"/>
      <c r="E52" s="434"/>
      <c r="F52" s="434"/>
      <c r="G52" s="434"/>
      <c r="H52" s="434"/>
      <c r="K52" s="434"/>
      <c r="O52" s="442"/>
      <c r="P52" s="439"/>
    </row>
    <row r="53" spans="1:16" ht="12.95" customHeight="1">
      <c r="A53" s="652" t="s">
        <v>1702</v>
      </c>
      <c r="B53" s="449"/>
      <c r="C53" s="454"/>
      <c r="D53" s="449"/>
      <c r="E53" s="455"/>
      <c r="F53" s="455"/>
      <c r="G53" s="434"/>
      <c r="H53" s="434"/>
      <c r="K53" s="434"/>
      <c r="O53" s="442"/>
      <c r="P53" s="442"/>
    </row>
    <row r="54" spans="1:16" ht="12.95" customHeight="1">
      <c r="A54" s="1054" t="s">
        <v>1703</v>
      </c>
      <c r="G54" s="434"/>
      <c r="H54" s="434"/>
      <c r="K54" s="434"/>
      <c r="N54" s="434"/>
    </row>
    <row r="55" spans="1:16" ht="9" customHeight="1">
      <c r="A55" s="653"/>
      <c r="B55" s="441"/>
      <c r="C55" s="442"/>
      <c r="D55" s="442"/>
      <c r="F55" s="442"/>
      <c r="I55" s="442"/>
      <c r="L55" s="442"/>
      <c r="O55" s="442"/>
    </row>
    <row r="56" spans="1:16" ht="12.95" customHeight="1">
      <c r="A56" s="1054" t="s">
        <v>1704</v>
      </c>
      <c r="B56" s="441"/>
      <c r="C56" s="442"/>
      <c r="D56" s="442"/>
      <c r="F56" s="442"/>
      <c r="I56" s="442"/>
      <c r="L56" s="442"/>
      <c r="O56" s="442"/>
    </row>
    <row r="57" spans="1:16" ht="12.95" customHeight="1">
      <c r="A57" s="1054" t="s">
        <v>1705</v>
      </c>
      <c r="B57" s="441"/>
      <c r="C57" s="442"/>
      <c r="D57" s="442"/>
      <c r="F57" s="442"/>
      <c r="I57" s="442"/>
      <c r="L57" s="442"/>
      <c r="O57" s="442"/>
    </row>
  </sheetData>
  <mergeCells count="5">
    <mergeCell ref="B7:C7"/>
    <mergeCell ref="E7:F7"/>
    <mergeCell ref="H7:I7"/>
    <mergeCell ref="K7:L7"/>
    <mergeCell ref="N7:O7"/>
  </mergeCells>
  <printOptions horizontalCentered="1" verticalCentered="1"/>
  <pageMargins left="0" right="0" top="0" bottom="0" header="0.31496062992125984" footer="0.31496062992125984"/>
  <pageSetup paperSize="9" scale="75" orientation="landscape" r:id="rId1"/>
  <drawing r:id="rId2"/>
</worksheet>
</file>

<file path=xl/worksheets/sheet105.xml><?xml version="1.0" encoding="utf-8"?>
<worksheet xmlns="http://schemas.openxmlformats.org/spreadsheetml/2006/main" xmlns:r="http://schemas.openxmlformats.org/officeDocument/2006/relationships">
  <sheetPr>
    <tabColor theme="5" tint="0.59999389629810485"/>
  </sheetPr>
  <dimension ref="B3:J9"/>
  <sheetViews>
    <sheetView workbookViewId="0">
      <selection activeCell="K28" sqref="K28"/>
    </sheetView>
  </sheetViews>
  <sheetFormatPr baseColWidth="10" defaultRowHeight="15"/>
  <cols>
    <col min="2" max="2" width="16" customWidth="1"/>
    <col min="258" max="258" width="16" customWidth="1"/>
    <col min="514" max="514" width="16" customWidth="1"/>
    <col min="770" max="770" width="16" customWidth="1"/>
    <col min="1026" max="1026" width="16" customWidth="1"/>
    <col min="1282" max="1282" width="16" customWidth="1"/>
    <col min="1538" max="1538" width="16" customWidth="1"/>
    <col min="1794" max="1794" width="16" customWidth="1"/>
    <col min="2050" max="2050" width="16" customWidth="1"/>
    <col min="2306" max="2306" width="16" customWidth="1"/>
    <col min="2562" max="2562" width="16" customWidth="1"/>
    <col min="2818" max="2818" width="16" customWidth="1"/>
    <col min="3074" max="3074" width="16" customWidth="1"/>
    <col min="3330" max="3330" width="16" customWidth="1"/>
    <col min="3586" max="3586" width="16" customWidth="1"/>
    <col min="3842" max="3842" width="16" customWidth="1"/>
    <col min="4098" max="4098" width="16" customWidth="1"/>
    <col min="4354" max="4354" width="16" customWidth="1"/>
    <col min="4610" max="4610" width="16" customWidth="1"/>
    <col min="4866" max="4866" width="16" customWidth="1"/>
    <col min="5122" max="5122" width="16" customWidth="1"/>
    <col min="5378" max="5378" width="16" customWidth="1"/>
    <col min="5634" max="5634" width="16" customWidth="1"/>
    <col min="5890" max="5890" width="16" customWidth="1"/>
    <col min="6146" max="6146" width="16" customWidth="1"/>
    <col min="6402" max="6402" width="16" customWidth="1"/>
    <col min="6658" max="6658" width="16" customWidth="1"/>
    <col min="6914" max="6914" width="16" customWidth="1"/>
    <col min="7170" max="7170" width="16" customWidth="1"/>
    <col min="7426" max="7426" width="16" customWidth="1"/>
    <col min="7682" max="7682" width="16" customWidth="1"/>
    <col min="7938" max="7938" width="16" customWidth="1"/>
    <col min="8194" max="8194" width="16" customWidth="1"/>
    <col min="8450" max="8450" width="16" customWidth="1"/>
    <col min="8706" max="8706" width="16" customWidth="1"/>
    <col min="8962" max="8962" width="16" customWidth="1"/>
    <col min="9218" max="9218" width="16" customWidth="1"/>
    <col min="9474" max="9474" width="16" customWidth="1"/>
    <col min="9730" max="9730" width="16" customWidth="1"/>
    <col min="9986" max="9986" width="16" customWidth="1"/>
    <col min="10242" max="10242" width="16" customWidth="1"/>
    <col min="10498" max="10498" width="16" customWidth="1"/>
    <col min="10754" max="10754" width="16" customWidth="1"/>
    <col min="11010" max="11010" width="16" customWidth="1"/>
    <col min="11266" max="11266" width="16" customWidth="1"/>
    <col min="11522" max="11522" width="16" customWidth="1"/>
    <col min="11778" max="11778" width="16" customWidth="1"/>
    <col min="12034" max="12034" width="16" customWidth="1"/>
    <col min="12290" max="12290" width="16" customWidth="1"/>
    <col min="12546" max="12546" width="16" customWidth="1"/>
    <col min="12802" max="12802" width="16" customWidth="1"/>
    <col min="13058" max="13058" width="16" customWidth="1"/>
    <col min="13314" max="13314" width="16" customWidth="1"/>
    <col min="13570" max="13570" width="16" customWidth="1"/>
    <col min="13826" max="13826" width="16" customWidth="1"/>
    <col min="14082" max="14082" width="16" customWidth="1"/>
    <col min="14338" max="14338" width="16" customWidth="1"/>
    <col min="14594" max="14594" width="16" customWidth="1"/>
    <col min="14850" max="14850" width="16" customWidth="1"/>
    <col min="15106" max="15106" width="16" customWidth="1"/>
    <col min="15362" max="15362" width="16" customWidth="1"/>
    <col min="15618" max="15618" width="16" customWidth="1"/>
    <col min="15874" max="15874" width="16" customWidth="1"/>
    <col min="16130" max="16130" width="16" customWidth="1"/>
  </cols>
  <sheetData>
    <row r="3" spans="2:10">
      <c r="C3" t="s">
        <v>1936</v>
      </c>
      <c r="F3" s="465"/>
      <c r="G3" s="465"/>
      <c r="H3" s="465"/>
      <c r="I3" s="465"/>
      <c r="J3" s="465"/>
    </row>
    <row r="4" spans="2:10">
      <c r="B4" t="s">
        <v>1720</v>
      </c>
      <c r="C4" s="41">
        <v>8498</v>
      </c>
      <c r="D4" s="46"/>
      <c r="E4" s="465"/>
      <c r="F4" s="465"/>
      <c r="H4" s="41"/>
    </row>
    <row r="5" spans="2:10">
      <c r="B5" t="s">
        <v>1937</v>
      </c>
      <c r="C5" s="41">
        <v>11019</v>
      </c>
      <c r="D5" s="46"/>
      <c r="F5" s="465"/>
      <c r="G5" s="651"/>
      <c r="H5" s="41"/>
    </row>
    <row r="6" spans="2:10">
      <c r="B6" t="s">
        <v>1938</v>
      </c>
      <c r="C6" s="41">
        <v>2239</v>
      </c>
      <c r="D6" s="46"/>
      <c r="E6" s="41"/>
      <c r="F6" s="465"/>
      <c r="G6" s="651"/>
      <c r="H6" s="41"/>
    </row>
    <row r="7" spans="2:10">
      <c r="B7" t="s">
        <v>1939</v>
      </c>
      <c r="C7" s="41">
        <v>365</v>
      </c>
      <c r="D7" s="46"/>
      <c r="F7" s="465"/>
      <c r="G7" s="651"/>
      <c r="H7" s="41"/>
    </row>
    <row r="8" spans="2:10">
      <c r="B8" t="s">
        <v>1940</v>
      </c>
      <c r="C8" s="41">
        <v>189</v>
      </c>
      <c r="D8" s="46"/>
      <c r="F8" s="465"/>
      <c r="G8" s="651"/>
      <c r="H8" s="41"/>
    </row>
    <row r="9" spans="2:10">
      <c r="B9" s="31"/>
      <c r="C9" s="31"/>
      <c r="D9" s="31"/>
      <c r="E9" s="31"/>
      <c r="F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dimension ref="A1:M111"/>
  <sheetViews>
    <sheetView topLeftCell="A64" workbookViewId="0">
      <selection activeCell="A114" sqref="A114"/>
    </sheetView>
  </sheetViews>
  <sheetFormatPr baseColWidth="10" defaultColWidth="9.140625" defaultRowHeight="15"/>
  <cols>
    <col min="1" max="1" width="35.7109375" customWidth="1"/>
    <col min="2" max="2" width="7.5703125" style="80" customWidth="1"/>
    <col min="3" max="3" width="7.28515625" style="76" customWidth="1"/>
    <col min="4" max="4" width="2.7109375" style="24" customWidth="1"/>
    <col min="5" max="5" width="7.42578125" style="40" customWidth="1"/>
    <col min="6" max="6" width="7.140625" style="76" customWidth="1"/>
    <col min="7" max="7" width="2.7109375" style="24" customWidth="1"/>
    <col min="8" max="8" width="6.85546875" style="40" customWidth="1"/>
    <col min="9" max="9" width="6.42578125" style="76" customWidth="1"/>
    <col min="10" max="10" width="2.7109375" style="76" customWidth="1"/>
    <col min="11" max="11" width="6.42578125" style="40" customWidth="1"/>
    <col min="12" max="12" width="6.5703125" style="24" customWidth="1"/>
    <col min="13" max="13" width="2.7109375" style="24" customWidth="1"/>
    <col min="257" max="257" width="35.7109375" customWidth="1"/>
    <col min="258" max="259" width="8.28515625" customWidth="1"/>
    <col min="260" max="260" width="2.7109375" customWidth="1"/>
    <col min="261" max="261" width="8.7109375" customWidth="1"/>
    <col min="262" max="262" width="8.28515625" customWidth="1"/>
    <col min="263" max="263" width="2.7109375" customWidth="1"/>
    <col min="264" max="264" width="8.28515625" customWidth="1"/>
    <col min="265" max="265" width="8.140625" customWidth="1"/>
    <col min="266" max="266" width="2.7109375" customWidth="1"/>
    <col min="267" max="268" width="8.7109375" customWidth="1"/>
    <col min="269" max="269" width="2.7109375" customWidth="1"/>
    <col min="513" max="513" width="35.7109375" customWidth="1"/>
    <col min="514" max="515" width="8.28515625" customWidth="1"/>
    <col min="516" max="516" width="2.7109375" customWidth="1"/>
    <col min="517" max="517" width="8.7109375" customWidth="1"/>
    <col min="518" max="518" width="8.28515625" customWidth="1"/>
    <col min="519" max="519" width="2.7109375" customWidth="1"/>
    <col min="520" max="520" width="8.28515625" customWidth="1"/>
    <col min="521" max="521" width="8.140625" customWidth="1"/>
    <col min="522" max="522" width="2.7109375" customWidth="1"/>
    <col min="523" max="524" width="8.7109375" customWidth="1"/>
    <col min="525" max="525" width="2.7109375" customWidth="1"/>
    <col min="769" max="769" width="35.7109375" customWidth="1"/>
    <col min="770" max="771" width="8.28515625" customWidth="1"/>
    <col min="772" max="772" width="2.7109375" customWidth="1"/>
    <col min="773" max="773" width="8.7109375" customWidth="1"/>
    <col min="774" max="774" width="8.28515625" customWidth="1"/>
    <col min="775" max="775" width="2.7109375" customWidth="1"/>
    <col min="776" max="776" width="8.28515625" customWidth="1"/>
    <col min="777" max="777" width="8.140625" customWidth="1"/>
    <col min="778" max="778" width="2.7109375" customWidth="1"/>
    <col min="779" max="780" width="8.7109375" customWidth="1"/>
    <col min="781" max="781" width="2.7109375" customWidth="1"/>
    <col min="1025" max="1025" width="35.7109375" customWidth="1"/>
    <col min="1026" max="1027" width="8.28515625" customWidth="1"/>
    <col min="1028" max="1028" width="2.7109375" customWidth="1"/>
    <col min="1029" max="1029" width="8.7109375" customWidth="1"/>
    <col min="1030" max="1030" width="8.28515625" customWidth="1"/>
    <col min="1031" max="1031" width="2.7109375" customWidth="1"/>
    <col min="1032" max="1032" width="8.28515625" customWidth="1"/>
    <col min="1033" max="1033" width="8.140625" customWidth="1"/>
    <col min="1034" max="1034" width="2.7109375" customWidth="1"/>
    <col min="1035" max="1036" width="8.7109375" customWidth="1"/>
    <col min="1037" max="1037" width="2.7109375" customWidth="1"/>
    <col min="1281" max="1281" width="35.7109375" customWidth="1"/>
    <col min="1282" max="1283" width="8.28515625" customWidth="1"/>
    <col min="1284" max="1284" width="2.7109375" customWidth="1"/>
    <col min="1285" max="1285" width="8.7109375" customWidth="1"/>
    <col min="1286" max="1286" width="8.28515625" customWidth="1"/>
    <col min="1287" max="1287" width="2.7109375" customWidth="1"/>
    <col min="1288" max="1288" width="8.28515625" customWidth="1"/>
    <col min="1289" max="1289" width="8.140625" customWidth="1"/>
    <col min="1290" max="1290" width="2.7109375" customWidth="1"/>
    <col min="1291" max="1292" width="8.7109375" customWidth="1"/>
    <col min="1293" max="1293" width="2.7109375" customWidth="1"/>
    <col min="1537" max="1537" width="35.7109375" customWidth="1"/>
    <col min="1538" max="1539" width="8.28515625" customWidth="1"/>
    <col min="1540" max="1540" width="2.7109375" customWidth="1"/>
    <col min="1541" max="1541" width="8.7109375" customWidth="1"/>
    <col min="1542" max="1542" width="8.28515625" customWidth="1"/>
    <col min="1543" max="1543" width="2.7109375" customWidth="1"/>
    <col min="1544" max="1544" width="8.28515625" customWidth="1"/>
    <col min="1545" max="1545" width="8.140625" customWidth="1"/>
    <col min="1546" max="1546" width="2.7109375" customWidth="1"/>
    <col min="1547" max="1548" width="8.7109375" customWidth="1"/>
    <col min="1549" max="1549" width="2.7109375" customWidth="1"/>
    <col min="1793" max="1793" width="35.7109375" customWidth="1"/>
    <col min="1794" max="1795" width="8.28515625" customWidth="1"/>
    <col min="1796" max="1796" width="2.7109375" customWidth="1"/>
    <col min="1797" max="1797" width="8.7109375" customWidth="1"/>
    <col min="1798" max="1798" width="8.28515625" customWidth="1"/>
    <col min="1799" max="1799" width="2.7109375" customWidth="1"/>
    <col min="1800" max="1800" width="8.28515625" customWidth="1"/>
    <col min="1801" max="1801" width="8.140625" customWidth="1"/>
    <col min="1802" max="1802" width="2.7109375" customWidth="1"/>
    <col min="1803" max="1804" width="8.7109375" customWidth="1"/>
    <col min="1805" max="1805" width="2.7109375" customWidth="1"/>
    <col min="2049" max="2049" width="35.7109375" customWidth="1"/>
    <col min="2050" max="2051" width="8.28515625" customWidth="1"/>
    <col min="2052" max="2052" width="2.7109375" customWidth="1"/>
    <col min="2053" max="2053" width="8.7109375" customWidth="1"/>
    <col min="2054" max="2054" width="8.28515625" customWidth="1"/>
    <col min="2055" max="2055" width="2.7109375" customWidth="1"/>
    <col min="2056" max="2056" width="8.28515625" customWidth="1"/>
    <col min="2057" max="2057" width="8.140625" customWidth="1"/>
    <col min="2058" max="2058" width="2.7109375" customWidth="1"/>
    <col min="2059" max="2060" width="8.7109375" customWidth="1"/>
    <col min="2061" max="2061" width="2.7109375" customWidth="1"/>
    <col min="2305" max="2305" width="35.7109375" customWidth="1"/>
    <col min="2306" max="2307" width="8.28515625" customWidth="1"/>
    <col min="2308" max="2308" width="2.7109375" customWidth="1"/>
    <col min="2309" max="2309" width="8.7109375" customWidth="1"/>
    <col min="2310" max="2310" width="8.28515625" customWidth="1"/>
    <col min="2311" max="2311" width="2.7109375" customWidth="1"/>
    <col min="2312" max="2312" width="8.28515625" customWidth="1"/>
    <col min="2313" max="2313" width="8.140625" customWidth="1"/>
    <col min="2314" max="2314" width="2.7109375" customWidth="1"/>
    <col min="2315" max="2316" width="8.7109375" customWidth="1"/>
    <col min="2317" max="2317" width="2.7109375" customWidth="1"/>
    <col min="2561" max="2561" width="35.7109375" customWidth="1"/>
    <col min="2562" max="2563" width="8.28515625" customWidth="1"/>
    <col min="2564" max="2564" width="2.7109375" customWidth="1"/>
    <col min="2565" max="2565" width="8.7109375" customWidth="1"/>
    <col min="2566" max="2566" width="8.28515625" customWidth="1"/>
    <col min="2567" max="2567" width="2.7109375" customWidth="1"/>
    <col min="2568" max="2568" width="8.28515625" customWidth="1"/>
    <col min="2569" max="2569" width="8.140625" customWidth="1"/>
    <col min="2570" max="2570" width="2.7109375" customWidth="1"/>
    <col min="2571" max="2572" width="8.7109375" customWidth="1"/>
    <col min="2573" max="2573" width="2.7109375" customWidth="1"/>
    <col min="2817" max="2817" width="35.7109375" customWidth="1"/>
    <col min="2818" max="2819" width="8.28515625" customWidth="1"/>
    <col min="2820" max="2820" width="2.7109375" customWidth="1"/>
    <col min="2821" max="2821" width="8.7109375" customWidth="1"/>
    <col min="2822" max="2822" width="8.28515625" customWidth="1"/>
    <col min="2823" max="2823" width="2.7109375" customWidth="1"/>
    <col min="2824" max="2824" width="8.28515625" customWidth="1"/>
    <col min="2825" max="2825" width="8.140625" customWidth="1"/>
    <col min="2826" max="2826" width="2.7109375" customWidth="1"/>
    <col min="2827" max="2828" width="8.7109375" customWidth="1"/>
    <col min="2829" max="2829" width="2.7109375" customWidth="1"/>
    <col min="3073" max="3073" width="35.7109375" customWidth="1"/>
    <col min="3074" max="3075" width="8.28515625" customWidth="1"/>
    <col min="3076" max="3076" width="2.7109375" customWidth="1"/>
    <col min="3077" max="3077" width="8.7109375" customWidth="1"/>
    <col min="3078" max="3078" width="8.28515625" customWidth="1"/>
    <col min="3079" max="3079" width="2.7109375" customWidth="1"/>
    <col min="3080" max="3080" width="8.28515625" customWidth="1"/>
    <col min="3081" max="3081" width="8.140625" customWidth="1"/>
    <col min="3082" max="3082" width="2.7109375" customWidth="1"/>
    <col min="3083" max="3084" width="8.7109375" customWidth="1"/>
    <col min="3085" max="3085" width="2.7109375" customWidth="1"/>
    <col min="3329" max="3329" width="35.7109375" customWidth="1"/>
    <col min="3330" max="3331" width="8.28515625" customWidth="1"/>
    <col min="3332" max="3332" width="2.7109375" customWidth="1"/>
    <col min="3333" max="3333" width="8.7109375" customWidth="1"/>
    <col min="3334" max="3334" width="8.28515625" customWidth="1"/>
    <col min="3335" max="3335" width="2.7109375" customWidth="1"/>
    <col min="3336" max="3336" width="8.28515625" customWidth="1"/>
    <col min="3337" max="3337" width="8.140625" customWidth="1"/>
    <col min="3338" max="3338" width="2.7109375" customWidth="1"/>
    <col min="3339" max="3340" width="8.7109375" customWidth="1"/>
    <col min="3341" max="3341" width="2.7109375" customWidth="1"/>
    <col min="3585" max="3585" width="35.7109375" customWidth="1"/>
    <col min="3586" max="3587" width="8.28515625" customWidth="1"/>
    <col min="3588" max="3588" width="2.7109375" customWidth="1"/>
    <col min="3589" max="3589" width="8.7109375" customWidth="1"/>
    <col min="3590" max="3590" width="8.28515625" customWidth="1"/>
    <col min="3591" max="3591" width="2.7109375" customWidth="1"/>
    <col min="3592" max="3592" width="8.28515625" customWidth="1"/>
    <col min="3593" max="3593" width="8.140625" customWidth="1"/>
    <col min="3594" max="3594" width="2.7109375" customWidth="1"/>
    <col min="3595" max="3596" width="8.7109375" customWidth="1"/>
    <col min="3597" max="3597" width="2.7109375" customWidth="1"/>
    <col min="3841" max="3841" width="35.7109375" customWidth="1"/>
    <col min="3842" max="3843" width="8.28515625" customWidth="1"/>
    <col min="3844" max="3844" width="2.7109375" customWidth="1"/>
    <col min="3845" max="3845" width="8.7109375" customWidth="1"/>
    <col min="3846" max="3846" width="8.28515625" customWidth="1"/>
    <col min="3847" max="3847" width="2.7109375" customWidth="1"/>
    <col min="3848" max="3848" width="8.28515625" customWidth="1"/>
    <col min="3849" max="3849" width="8.140625" customWidth="1"/>
    <col min="3850" max="3850" width="2.7109375" customWidth="1"/>
    <col min="3851" max="3852" width="8.7109375" customWidth="1"/>
    <col min="3853" max="3853" width="2.7109375" customWidth="1"/>
    <col min="4097" max="4097" width="35.7109375" customWidth="1"/>
    <col min="4098" max="4099" width="8.28515625" customWidth="1"/>
    <col min="4100" max="4100" width="2.7109375" customWidth="1"/>
    <col min="4101" max="4101" width="8.7109375" customWidth="1"/>
    <col min="4102" max="4102" width="8.28515625" customWidth="1"/>
    <col min="4103" max="4103" width="2.7109375" customWidth="1"/>
    <col min="4104" max="4104" width="8.28515625" customWidth="1"/>
    <col min="4105" max="4105" width="8.140625" customWidth="1"/>
    <col min="4106" max="4106" width="2.7109375" customWidth="1"/>
    <col min="4107" max="4108" width="8.7109375" customWidth="1"/>
    <col min="4109" max="4109" width="2.7109375" customWidth="1"/>
    <col min="4353" max="4353" width="35.7109375" customWidth="1"/>
    <col min="4354" max="4355" width="8.28515625" customWidth="1"/>
    <col min="4356" max="4356" width="2.7109375" customWidth="1"/>
    <col min="4357" max="4357" width="8.7109375" customWidth="1"/>
    <col min="4358" max="4358" width="8.28515625" customWidth="1"/>
    <col min="4359" max="4359" width="2.7109375" customWidth="1"/>
    <col min="4360" max="4360" width="8.28515625" customWidth="1"/>
    <col min="4361" max="4361" width="8.140625" customWidth="1"/>
    <col min="4362" max="4362" width="2.7109375" customWidth="1"/>
    <col min="4363" max="4364" width="8.7109375" customWidth="1"/>
    <col min="4365" max="4365" width="2.7109375" customWidth="1"/>
    <col min="4609" max="4609" width="35.7109375" customWidth="1"/>
    <col min="4610" max="4611" width="8.28515625" customWidth="1"/>
    <col min="4612" max="4612" width="2.7109375" customWidth="1"/>
    <col min="4613" max="4613" width="8.7109375" customWidth="1"/>
    <col min="4614" max="4614" width="8.28515625" customWidth="1"/>
    <col min="4615" max="4615" width="2.7109375" customWidth="1"/>
    <col min="4616" max="4616" width="8.28515625" customWidth="1"/>
    <col min="4617" max="4617" width="8.140625" customWidth="1"/>
    <col min="4618" max="4618" width="2.7109375" customWidth="1"/>
    <col min="4619" max="4620" width="8.7109375" customWidth="1"/>
    <col min="4621" max="4621" width="2.7109375" customWidth="1"/>
    <col min="4865" max="4865" width="35.7109375" customWidth="1"/>
    <col min="4866" max="4867" width="8.28515625" customWidth="1"/>
    <col min="4868" max="4868" width="2.7109375" customWidth="1"/>
    <col min="4869" max="4869" width="8.7109375" customWidth="1"/>
    <col min="4870" max="4870" width="8.28515625" customWidth="1"/>
    <col min="4871" max="4871" width="2.7109375" customWidth="1"/>
    <col min="4872" max="4872" width="8.28515625" customWidth="1"/>
    <col min="4873" max="4873" width="8.140625" customWidth="1"/>
    <col min="4874" max="4874" width="2.7109375" customWidth="1"/>
    <col min="4875" max="4876" width="8.7109375" customWidth="1"/>
    <col min="4877" max="4877" width="2.7109375" customWidth="1"/>
    <col min="5121" max="5121" width="35.7109375" customWidth="1"/>
    <col min="5122" max="5123" width="8.28515625" customWidth="1"/>
    <col min="5124" max="5124" width="2.7109375" customWidth="1"/>
    <col min="5125" max="5125" width="8.7109375" customWidth="1"/>
    <col min="5126" max="5126" width="8.28515625" customWidth="1"/>
    <col min="5127" max="5127" width="2.7109375" customWidth="1"/>
    <col min="5128" max="5128" width="8.28515625" customWidth="1"/>
    <col min="5129" max="5129" width="8.140625" customWidth="1"/>
    <col min="5130" max="5130" width="2.7109375" customWidth="1"/>
    <col min="5131" max="5132" width="8.7109375" customWidth="1"/>
    <col min="5133" max="5133" width="2.7109375" customWidth="1"/>
    <col min="5377" max="5377" width="35.7109375" customWidth="1"/>
    <col min="5378" max="5379" width="8.28515625" customWidth="1"/>
    <col min="5380" max="5380" width="2.7109375" customWidth="1"/>
    <col min="5381" max="5381" width="8.7109375" customWidth="1"/>
    <col min="5382" max="5382" width="8.28515625" customWidth="1"/>
    <col min="5383" max="5383" width="2.7109375" customWidth="1"/>
    <col min="5384" max="5384" width="8.28515625" customWidth="1"/>
    <col min="5385" max="5385" width="8.140625" customWidth="1"/>
    <col min="5386" max="5386" width="2.7109375" customWidth="1"/>
    <col min="5387" max="5388" width="8.7109375" customWidth="1"/>
    <col min="5389" max="5389" width="2.7109375" customWidth="1"/>
    <col min="5633" max="5633" width="35.7109375" customWidth="1"/>
    <col min="5634" max="5635" width="8.28515625" customWidth="1"/>
    <col min="5636" max="5636" width="2.7109375" customWidth="1"/>
    <col min="5637" max="5637" width="8.7109375" customWidth="1"/>
    <col min="5638" max="5638" width="8.28515625" customWidth="1"/>
    <col min="5639" max="5639" width="2.7109375" customWidth="1"/>
    <col min="5640" max="5640" width="8.28515625" customWidth="1"/>
    <col min="5641" max="5641" width="8.140625" customWidth="1"/>
    <col min="5642" max="5642" width="2.7109375" customWidth="1"/>
    <col min="5643" max="5644" width="8.7109375" customWidth="1"/>
    <col min="5645" max="5645" width="2.7109375" customWidth="1"/>
    <col min="5889" max="5889" width="35.7109375" customWidth="1"/>
    <col min="5890" max="5891" width="8.28515625" customWidth="1"/>
    <col min="5892" max="5892" width="2.7109375" customWidth="1"/>
    <col min="5893" max="5893" width="8.7109375" customWidth="1"/>
    <col min="5894" max="5894" width="8.28515625" customWidth="1"/>
    <col min="5895" max="5895" width="2.7109375" customWidth="1"/>
    <col min="5896" max="5896" width="8.28515625" customWidth="1"/>
    <col min="5897" max="5897" width="8.140625" customWidth="1"/>
    <col min="5898" max="5898" width="2.7109375" customWidth="1"/>
    <col min="5899" max="5900" width="8.7109375" customWidth="1"/>
    <col min="5901" max="5901" width="2.7109375" customWidth="1"/>
    <col min="6145" max="6145" width="35.7109375" customWidth="1"/>
    <col min="6146" max="6147" width="8.28515625" customWidth="1"/>
    <col min="6148" max="6148" width="2.7109375" customWidth="1"/>
    <col min="6149" max="6149" width="8.7109375" customWidth="1"/>
    <col min="6150" max="6150" width="8.28515625" customWidth="1"/>
    <col min="6151" max="6151" width="2.7109375" customWidth="1"/>
    <col min="6152" max="6152" width="8.28515625" customWidth="1"/>
    <col min="6153" max="6153" width="8.140625" customWidth="1"/>
    <col min="6154" max="6154" width="2.7109375" customWidth="1"/>
    <col min="6155" max="6156" width="8.7109375" customWidth="1"/>
    <col min="6157" max="6157" width="2.7109375" customWidth="1"/>
    <col min="6401" max="6401" width="35.7109375" customWidth="1"/>
    <col min="6402" max="6403" width="8.28515625" customWidth="1"/>
    <col min="6404" max="6404" width="2.7109375" customWidth="1"/>
    <col min="6405" max="6405" width="8.7109375" customWidth="1"/>
    <col min="6406" max="6406" width="8.28515625" customWidth="1"/>
    <col min="6407" max="6407" width="2.7109375" customWidth="1"/>
    <col min="6408" max="6408" width="8.28515625" customWidth="1"/>
    <col min="6409" max="6409" width="8.140625" customWidth="1"/>
    <col min="6410" max="6410" width="2.7109375" customWidth="1"/>
    <col min="6411" max="6412" width="8.7109375" customWidth="1"/>
    <col min="6413" max="6413" width="2.7109375" customWidth="1"/>
    <col min="6657" max="6657" width="35.7109375" customWidth="1"/>
    <col min="6658" max="6659" width="8.28515625" customWidth="1"/>
    <col min="6660" max="6660" width="2.7109375" customWidth="1"/>
    <col min="6661" max="6661" width="8.7109375" customWidth="1"/>
    <col min="6662" max="6662" width="8.28515625" customWidth="1"/>
    <col min="6663" max="6663" width="2.7109375" customWidth="1"/>
    <col min="6664" max="6664" width="8.28515625" customWidth="1"/>
    <col min="6665" max="6665" width="8.140625" customWidth="1"/>
    <col min="6666" max="6666" width="2.7109375" customWidth="1"/>
    <col min="6667" max="6668" width="8.7109375" customWidth="1"/>
    <col min="6669" max="6669" width="2.7109375" customWidth="1"/>
    <col min="6913" max="6913" width="35.7109375" customWidth="1"/>
    <col min="6914" max="6915" width="8.28515625" customWidth="1"/>
    <col min="6916" max="6916" width="2.7109375" customWidth="1"/>
    <col min="6917" max="6917" width="8.7109375" customWidth="1"/>
    <col min="6918" max="6918" width="8.28515625" customWidth="1"/>
    <col min="6919" max="6919" width="2.7109375" customWidth="1"/>
    <col min="6920" max="6920" width="8.28515625" customWidth="1"/>
    <col min="6921" max="6921" width="8.140625" customWidth="1"/>
    <col min="6922" max="6922" width="2.7109375" customWidth="1"/>
    <col min="6923" max="6924" width="8.7109375" customWidth="1"/>
    <col min="6925" max="6925" width="2.7109375" customWidth="1"/>
    <col min="7169" max="7169" width="35.7109375" customWidth="1"/>
    <col min="7170" max="7171" width="8.28515625" customWidth="1"/>
    <col min="7172" max="7172" width="2.7109375" customWidth="1"/>
    <col min="7173" max="7173" width="8.7109375" customWidth="1"/>
    <col min="7174" max="7174" width="8.28515625" customWidth="1"/>
    <col min="7175" max="7175" width="2.7109375" customWidth="1"/>
    <col min="7176" max="7176" width="8.28515625" customWidth="1"/>
    <col min="7177" max="7177" width="8.140625" customWidth="1"/>
    <col min="7178" max="7178" width="2.7109375" customWidth="1"/>
    <col min="7179" max="7180" width="8.7109375" customWidth="1"/>
    <col min="7181" max="7181" width="2.7109375" customWidth="1"/>
    <col min="7425" max="7425" width="35.7109375" customWidth="1"/>
    <col min="7426" max="7427" width="8.28515625" customWidth="1"/>
    <col min="7428" max="7428" width="2.7109375" customWidth="1"/>
    <col min="7429" max="7429" width="8.7109375" customWidth="1"/>
    <col min="7430" max="7430" width="8.28515625" customWidth="1"/>
    <col min="7431" max="7431" width="2.7109375" customWidth="1"/>
    <col min="7432" max="7432" width="8.28515625" customWidth="1"/>
    <col min="7433" max="7433" width="8.140625" customWidth="1"/>
    <col min="7434" max="7434" width="2.7109375" customWidth="1"/>
    <col min="7435" max="7436" width="8.7109375" customWidth="1"/>
    <col min="7437" max="7437" width="2.7109375" customWidth="1"/>
    <col min="7681" max="7681" width="35.7109375" customWidth="1"/>
    <col min="7682" max="7683" width="8.28515625" customWidth="1"/>
    <col min="7684" max="7684" width="2.7109375" customWidth="1"/>
    <col min="7685" max="7685" width="8.7109375" customWidth="1"/>
    <col min="7686" max="7686" width="8.28515625" customWidth="1"/>
    <col min="7687" max="7687" width="2.7109375" customWidth="1"/>
    <col min="7688" max="7688" width="8.28515625" customWidth="1"/>
    <col min="7689" max="7689" width="8.140625" customWidth="1"/>
    <col min="7690" max="7690" width="2.7109375" customWidth="1"/>
    <col min="7691" max="7692" width="8.7109375" customWidth="1"/>
    <col min="7693" max="7693" width="2.7109375" customWidth="1"/>
    <col min="7937" max="7937" width="35.7109375" customWidth="1"/>
    <col min="7938" max="7939" width="8.28515625" customWidth="1"/>
    <col min="7940" max="7940" width="2.7109375" customWidth="1"/>
    <col min="7941" max="7941" width="8.7109375" customWidth="1"/>
    <col min="7942" max="7942" width="8.28515625" customWidth="1"/>
    <col min="7943" max="7943" width="2.7109375" customWidth="1"/>
    <col min="7944" max="7944" width="8.28515625" customWidth="1"/>
    <col min="7945" max="7945" width="8.140625" customWidth="1"/>
    <col min="7946" max="7946" width="2.7109375" customWidth="1"/>
    <col min="7947" max="7948" width="8.7109375" customWidth="1"/>
    <col min="7949" max="7949" width="2.7109375" customWidth="1"/>
    <col min="8193" max="8193" width="35.7109375" customWidth="1"/>
    <col min="8194" max="8195" width="8.28515625" customWidth="1"/>
    <col min="8196" max="8196" width="2.7109375" customWidth="1"/>
    <col min="8197" max="8197" width="8.7109375" customWidth="1"/>
    <col min="8198" max="8198" width="8.28515625" customWidth="1"/>
    <col min="8199" max="8199" width="2.7109375" customWidth="1"/>
    <col min="8200" max="8200" width="8.28515625" customWidth="1"/>
    <col min="8201" max="8201" width="8.140625" customWidth="1"/>
    <col min="8202" max="8202" width="2.7109375" customWidth="1"/>
    <col min="8203" max="8204" width="8.7109375" customWidth="1"/>
    <col min="8205" max="8205" width="2.7109375" customWidth="1"/>
    <col min="8449" max="8449" width="35.7109375" customWidth="1"/>
    <col min="8450" max="8451" width="8.28515625" customWidth="1"/>
    <col min="8452" max="8452" width="2.7109375" customWidth="1"/>
    <col min="8453" max="8453" width="8.7109375" customWidth="1"/>
    <col min="8454" max="8454" width="8.28515625" customWidth="1"/>
    <col min="8455" max="8455" width="2.7109375" customWidth="1"/>
    <col min="8456" max="8456" width="8.28515625" customWidth="1"/>
    <col min="8457" max="8457" width="8.140625" customWidth="1"/>
    <col min="8458" max="8458" width="2.7109375" customWidth="1"/>
    <col min="8459" max="8460" width="8.7109375" customWidth="1"/>
    <col min="8461" max="8461" width="2.7109375" customWidth="1"/>
    <col min="8705" max="8705" width="35.7109375" customWidth="1"/>
    <col min="8706" max="8707" width="8.28515625" customWidth="1"/>
    <col min="8708" max="8708" width="2.7109375" customWidth="1"/>
    <col min="8709" max="8709" width="8.7109375" customWidth="1"/>
    <col min="8710" max="8710" width="8.28515625" customWidth="1"/>
    <col min="8711" max="8711" width="2.7109375" customWidth="1"/>
    <col min="8712" max="8712" width="8.28515625" customWidth="1"/>
    <col min="8713" max="8713" width="8.140625" customWidth="1"/>
    <col min="8714" max="8714" width="2.7109375" customWidth="1"/>
    <col min="8715" max="8716" width="8.7109375" customWidth="1"/>
    <col min="8717" max="8717" width="2.7109375" customWidth="1"/>
    <col min="8961" max="8961" width="35.7109375" customWidth="1"/>
    <col min="8962" max="8963" width="8.28515625" customWidth="1"/>
    <col min="8964" max="8964" width="2.7109375" customWidth="1"/>
    <col min="8965" max="8965" width="8.7109375" customWidth="1"/>
    <col min="8966" max="8966" width="8.28515625" customWidth="1"/>
    <col min="8967" max="8967" width="2.7109375" customWidth="1"/>
    <col min="8968" max="8968" width="8.28515625" customWidth="1"/>
    <col min="8969" max="8969" width="8.140625" customWidth="1"/>
    <col min="8970" max="8970" width="2.7109375" customWidth="1"/>
    <col min="8971" max="8972" width="8.7109375" customWidth="1"/>
    <col min="8973" max="8973" width="2.7109375" customWidth="1"/>
    <col min="9217" max="9217" width="35.7109375" customWidth="1"/>
    <col min="9218" max="9219" width="8.28515625" customWidth="1"/>
    <col min="9220" max="9220" width="2.7109375" customWidth="1"/>
    <col min="9221" max="9221" width="8.7109375" customWidth="1"/>
    <col min="9222" max="9222" width="8.28515625" customWidth="1"/>
    <col min="9223" max="9223" width="2.7109375" customWidth="1"/>
    <col min="9224" max="9224" width="8.28515625" customWidth="1"/>
    <col min="9225" max="9225" width="8.140625" customWidth="1"/>
    <col min="9226" max="9226" width="2.7109375" customWidth="1"/>
    <col min="9227" max="9228" width="8.7109375" customWidth="1"/>
    <col min="9229" max="9229" width="2.7109375" customWidth="1"/>
    <col min="9473" max="9473" width="35.7109375" customWidth="1"/>
    <col min="9474" max="9475" width="8.28515625" customWidth="1"/>
    <col min="9476" max="9476" width="2.7109375" customWidth="1"/>
    <col min="9477" max="9477" width="8.7109375" customWidth="1"/>
    <col min="9478" max="9478" width="8.28515625" customWidth="1"/>
    <col min="9479" max="9479" width="2.7109375" customWidth="1"/>
    <col min="9480" max="9480" width="8.28515625" customWidth="1"/>
    <col min="9481" max="9481" width="8.140625" customWidth="1"/>
    <col min="9482" max="9482" width="2.7109375" customWidth="1"/>
    <col min="9483" max="9484" width="8.7109375" customWidth="1"/>
    <col min="9485" max="9485" width="2.7109375" customWidth="1"/>
    <col min="9729" max="9729" width="35.7109375" customWidth="1"/>
    <col min="9730" max="9731" width="8.28515625" customWidth="1"/>
    <col min="9732" max="9732" width="2.7109375" customWidth="1"/>
    <col min="9733" max="9733" width="8.7109375" customWidth="1"/>
    <col min="9734" max="9734" width="8.28515625" customWidth="1"/>
    <col min="9735" max="9735" width="2.7109375" customWidth="1"/>
    <col min="9736" max="9736" width="8.28515625" customWidth="1"/>
    <col min="9737" max="9737" width="8.140625" customWidth="1"/>
    <col min="9738" max="9738" width="2.7109375" customWidth="1"/>
    <col min="9739" max="9740" width="8.7109375" customWidth="1"/>
    <col min="9741" max="9741" width="2.7109375" customWidth="1"/>
    <col min="9985" max="9985" width="35.7109375" customWidth="1"/>
    <col min="9986" max="9987" width="8.28515625" customWidth="1"/>
    <col min="9988" max="9988" width="2.7109375" customWidth="1"/>
    <col min="9989" max="9989" width="8.7109375" customWidth="1"/>
    <col min="9990" max="9990" width="8.28515625" customWidth="1"/>
    <col min="9991" max="9991" width="2.7109375" customWidth="1"/>
    <col min="9992" max="9992" width="8.28515625" customWidth="1"/>
    <col min="9993" max="9993" width="8.140625" customWidth="1"/>
    <col min="9994" max="9994" width="2.7109375" customWidth="1"/>
    <col min="9995" max="9996" width="8.7109375" customWidth="1"/>
    <col min="9997" max="9997" width="2.7109375" customWidth="1"/>
    <col min="10241" max="10241" width="35.7109375" customWidth="1"/>
    <col min="10242" max="10243" width="8.28515625" customWidth="1"/>
    <col min="10244" max="10244" width="2.7109375" customWidth="1"/>
    <col min="10245" max="10245" width="8.7109375" customWidth="1"/>
    <col min="10246" max="10246" width="8.28515625" customWidth="1"/>
    <col min="10247" max="10247" width="2.7109375" customWidth="1"/>
    <col min="10248" max="10248" width="8.28515625" customWidth="1"/>
    <col min="10249" max="10249" width="8.140625" customWidth="1"/>
    <col min="10250" max="10250" width="2.7109375" customWidth="1"/>
    <col min="10251" max="10252" width="8.7109375" customWidth="1"/>
    <col min="10253" max="10253" width="2.7109375" customWidth="1"/>
    <col min="10497" max="10497" width="35.7109375" customWidth="1"/>
    <col min="10498" max="10499" width="8.28515625" customWidth="1"/>
    <col min="10500" max="10500" width="2.7109375" customWidth="1"/>
    <col min="10501" max="10501" width="8.7109375" customWidth="1"/>
    <col min="10502" max="10502" width="8.28515625" customWidth="1"/>
    <col min="10503" max="10503" width="2.7109375" customWidth="1"/>
    <col min="10504" max="10504" width="8.28515625" customWidth="1"/>
    <col min="10505" max="10505" width="8.140625" customWidth="1"/>
    <col min="10506" max="10506" width="2.7109375" customWidth="1"/>
    <col min="10507" max="10508" width="8.7109375" customWidth="1"/>
    <col min="10509" max="10509" width="2.7109375" customWidth="1"/>
    <col min="10753" max="10753" width="35.7109375" customWidth="1"/>
    <col min="10754" max="10755" width="8.28515625" customWidth="1"/>
    <col min="10756" max="10756" width="2.7109375" customWidth="1"/>
    <col min="10757" max="10757" width="8.7109375" customWidth="1"/>
    <col min="10758" max="10758" width="8.28515625" customWidth="1"/>
    <col min="10759" max="10759" width="2.7109375" customWidth="1"/>
    <col min="10760" max="10760" width="8.28515625" customWidth="1"/>
    <col min="10761" max="10761" width="8.140625" customWidth="1"/>
    <col min="10762" max="10762" width="2.7109375" customWidth="1"/>
    <col min="10763" max="10764" width="8.7109375" customWidth="1"/>
    <col min="10765" max="10765" width="2.7109375" customWidth="1"/>
    <col min="11009" max="11009" width="35.7109375" customWidth="1"/>
    <col min="11010" max="11011" width="8.28515625" customWidth="1"/>
    <col min="11012" max="11012" width="2.7109375" customWidth="1"/>
    <col min="11013" max="11013" width="8.7109375" customWidth="1"/>
    <col min="11014" max="11014" width="8.28515625" customWidth="1"/>
    <col min="11015" max="11015" width="2.7109375" customWidth="1"/>
    <col min="11016" max="11016" width="8.28515625" customWidth="1"/>
    <col min="11017" max="11017" width="8.140625" customWidth="1"/>
    <col min="11018" max="11018" width="2.7109375" customWidth="1"/>
    <col min="11019" max="11020" width="8.7109375" customWidth="1"/>
    <col min="11021" max="11021" width="2.7109375" customWidth="1"/>
    <col min="11265" max="11265" width="35.7109375" customWidth="1"/>
    <col min="11266" max="11267" width="8.28515625" customWidth="1"/>
    <col min="11268" max="11268" width="2.7109375" customWidth="1"/>
    <col min="11269" max="11269" width="8.7109375" customWidth="1"/>
    <col min="11270" max="11270" width="8.28515625" customWidth="1"/>
    <col min="11271" max="11271" width="2.7109375" customWidth="1"/>
    <col min="11272" max="11272" width="8.28515625" customWidth="1"/>
    <col min="11273" max="11273" width="8.140625" customWidth="1"/>
    <col min="11274" max="11274" width="2.7109375" customWidth="1"/>
    <col min="11275" max="11276" width="8.7109375" customWidth="1"/>
    <col min="11277" max="11277" width="2.7109375" customWidth="1"/>
    <col min="11521" max="11521" width="35.7109375" customWidth="1"/>
    <col min="11522" max="11523" width="8.28515625" customWidth="1"/>
    <col min="11524" max="11524" width="2.7109375" customWidth="1"/>
    <col min="11525" max="11525" width="8.7109375" customWidth="1"/>
    <col min="11526" max="11526" width="8.28515625" customWidth="1"/>
    <col min="11527" max="11527" width="2.7109375" customWidth="1"/>
    <col min="11528" max="11528" width="8.28515625" customWidth="1"/>
    <col min="11529" max="11529" width="8.140625" customWidth="1"/>
    <col min="11530" max="11530" width="2.7109375" customWidth="1"/>
    <col min="11531" max="11532" width="8.7109375" customWidth="1"/>
    <col min="11533" max="11533" width="2.7109375" customWidth="1"/>
    <col min="11777" max="11777" width="35.7109375" customWidth="1"/>
    <col min="11778" max="11779" width="8.28515625" customWidth="1"/>
    <col min="11780" max="11780" width="2.7109375" customWidth="1"/>
    <col min="11781" max="11781" width="8.7109375" customWidth="1"/>
    <col min="11782" max="11782" width="8.28515625" customWidth="1"/>
    <col min="11783" max="11783" width="2.7109375" customWidth="1"/>
    <col min="11784" max="11784" width="8.28515625" customWidth="1"/>
    <col min="11785" max="11785" width="8.140625" customWidth="1"/>
    <col min="11786" max="11786" width="2.7109375" customWidth="1"/>
    <col min="11787" max="11788" width="8.7109375" customWidth="1"/>
    <col min="11789" max="11789" width="2.7109375" customWidth="1"/>
    <col min="12033" max="12033" width="35.7109375" customWidth="1"/>
    <col min="12034" max="12035" width="8.28515625" customWidth="1"/>
    <col min="12036" max="12036" width="2.7109375" customWidth="1"/>
    <col min="12037" max="12037" width="8.7109375" customWidth="1"/>
    <col min="12038" max="12038" width="8.28515625" customWidth="1"/>
    <col min="12039" max="12039" width="2.7109375" customWidth="1"/>
    <col min="12040" max="12040" width="8.28515625" customWidth="1"/>
    <col min="12041" max="12041" width="8.140625" customWidth="1"/>
    <col min="12042" max="12042" width="2.7109375" customWidth="1"/>
    <col min="12043" max="12044" width="8.7109375" customWidth="1"/>
    <col min="12045" max="12045" width="2.7109375" customWidth="1"/>
    <col min="12289" max="12289" width="35.7109375" customWidth="1"/>
    <col min="12290" max="12291" width="8.28515625" customWidth="1"/>
    <col min="12292" max="12292" width="2.7109375" customWidth="1"/>
    <col min="12293" max="12293" width="8.7109375" customWidth="1"/>
    <col min="12294" max="12294" width="8.28515625" customWidth="1"/>
    <col min="12295" max="12295" width="2.7109375" customWidth="1"/>
    <col min="12296" max="12296" width="8.28515625" customWidth="1"/>
    <col min="12297" max="12297" width="8.140625" customWidth="1"/>
    <col min="12298" max="12298" width="2.7109375" customWidth="1"/>
    <col min="12299" max="12300" width="8.7109375" customWidth="1"/>
    <col min="12301" max="12301" width="2.7109375" customWidth="1"/>
    <col min="12545" max="12545" width="35.7109375" customWidth="1"/>
    <col min="12546" max="12547" width="8.28515625" customWidth="1"/>
    <col min="12548" max="12548" width="2.7109375" customWidth="1"/>
    <col min="12549" max="12549" width="8.7109375" customWidth="1"/>
    <col min="12550" max="12550" width="8.28515625" customWidth="1"/>
    <col min="12551" max="12551" width="2.7109375" customWidth="1"/>
    <col min="12552" max="12552" width="8.28515625" customWidth="1"/>
    <col min="12553" max="12553" width="8.140625" customWidth="1"/>
    <col min="12554" max="12554" width="2.7109375" customWidth="1"/>
    <col min="12555" max="12556" width="8.7109375" customWidth="1"/>
    <col min="12557" max="12557" width="2.7109375" customWidth="1"/>
    <col min="12801" max="12801" width="35.7109375" customWidth="1"/>
    <col min="12802" max="12803" width="8.28515625" customWidth="1"/>
    <col min="12804" max="12804" width="2.7109375" customWidth="1"/>
    <col min="12805" max="12805" width="8.7109375" customWidth="1"/>
    <col min="12806" max="12806" width="8.28515625" customWidth="1"/>
    <col min="12807" max="12807" width="2.7109375" customWidth="1"/>
    <col min="12808" max="12808" width="8.28515625" customWidth="1"/>
    <col min="12809" max="12809" width="8.140625" customWidth="1"/>
    <col min="12810" max="12810" width="2.7109375" customWidth="1"/>
    <col min="12811" max="12812" width="8.7109375" customWidth="1"/>
    <col min="12813" max="12813" width="2.7109375" customWidth="1"/>
    <col min="13057" max="13057" width="35.7109375" customWidth="1"/>
    <col min="13058" max="13059" width="8.28515625" customWidth="1"/>
    <col min="13060" max="13060" width="2.7109375" customWidth="1"/>
    <col min="13061" max="13061" width="8.7109375" customWidth="1"/>
    <col min="13062" max="13062" width="8.28515625" customWidth="1"/>
    <col min="13063" max="13063" width="2.7109375" customWidth="1"/>
    <col min="13064" max="13064" width="8.28515625" customWidth="1"/>
    <col min="13065" max="13065" width="8.140625" customWidth="1"/>
    <col min="13066" max="13066" width="2.7109375" customWidth="1"/>
    <col min="13067" max="13068" width="8.7109375" customWidth="1"/>
    <col min="13069" max="13069" width="2.7109375" customWidth="1"/>
    <col min="13313" max="13313" width="35.7109375" customWidth="1"/>
    <col min="13314" max="13315" width="8.28515625" customWidth="1"/>
    <col min="13316" max="13316" width="2.7109375" customWidth="1"/>
    <col min="13317" max="13317" width="8.7109375" customWidth="1"/>
    <col min="13318" max="13318" width="8.28515625" customWidth="1"/>
    <col min="13319" max="13319" width="2.7109375" customWidth="1"/>
    <col min="13320" max="13320" width="8.28515625" customWidth="1"/>
    <col min="13321" max="13321" width="8.140625" customWidth="1"/>
    <col min="13322" max="13322" width="2.7109375" customWidth="1"/>
    <col min="13323" max="13324" width="8.7109375" customWidth="1"/>
    <col min="13325" max="13325" width="2.7109375" customWidth="1"/>
    <col min="13569" max="13569" width="35.7109375" customWidth="1"/>
    <col min="13570" max="13571" width="8.28515625" customWidth="1"/>
    <col min="13572" max="13572" width="2.7109375" customWidth="1"/>
    <col min="13573" max="13573" width="8.7109375" customWidth="1"/>
    <col min="13574" max="13574" width="8.28515625" customWidth="1"/>
    <col min="13575" max="13575" width="2.7109375" customWidth="1"/>
    <col min="13576" max="13576" width="8.28515625" customWidth="1"/>
    <col min="13577" max="13577" width="8.140625" customWidth="1"/>
    <col min="13578" max="13578" width="2.7109375" customWidth="1"/>
    <col min="13579" max="13580" width="8.7109375" customWidth="1"/>
    <col min="13581" max="13581" width="2.7109375" customWidth="1"/>
    <col min="13825" max="13825" width="35.7109375" customWidth="1"/>
    <col min="13826" max="13827" width="8.28515625" customWidth="1"/>
    <col min="13828" max="13828" width="2.7109375" customWidth="1"/>
    <col min="13829" max="13829" width="8.7109375" customWidth="1"/>
    <col min="13830" max="13830" width="8.28515625" customWidth="1"/>
    <col min="13831" max="13831" width="2.7109375" customWidth="1"/>
    <col min="13832" max="13832" width="8.28515625" customWidth="1"/>
    <col min="13833" max="13833" width="8.140625" customWidth="1"/>
    <col min="13834" max="13834" width="2.7109375" customWidth="1"/>
    <col min="13835" max="13836" width="8.7109375" customWidth="1"/>
    <col min="13837" max="13837" width="2.7109375" customWidth="1"/>
    <col min="14081" max="14081" width="35.7109375" customWidth="1"/>
    <col min="14082" max="14083" width="8.28515625" customWidth="1"/>
    <col min="14084" max="14084" width="2.7109375" customWidth="1"/>
    <col min="14085" max="14085" width="8.7109375" customWidth="1"/>
    <col min="14086" max="14086" width="8.28515625" customWidth="1"/>
    <col min="14087" max="14087" width="2.7109375" customWidth="1"/>
    <col min="14088" max="14088" width="8.28515625" customWidth="1"/>
    <col min="14089" max="14089" width="8.140625" customWidth="1"/>
    <col min="14090" max="14090" width="2.7109375" customWidth="1"/>
    <col min="14091" max="14092" width="8.7109375" customWidth="1"/>
    <col min="14093" max="14093" width="2.7109375" customWidth="1"/>
    <col min="14337" max="14337" width="35.7109375" customWidth="1"/>
    <col min="14338" max="14339" width="8.28515625" customWidth="1"/>
    <col min="14340" max="14340" width="2.7109375" customWidth="1"/>
    <col min="14341" max="14341" width="8.7109375" customWidth="1"/>
    <col min="14342" max="14342" width="8.28515625" customWidth="1"/>
    <col min="14343" max="14343" width="2.7109375" customWidth="1"/>
    <col min="14344" max="14344" width="8.28515625" customWidth="1"/>
    <col min="14345" max="14345" width="8.140625" customWidth="1"/>
    <col min="14346" max="14346" width="2.7109375" customWidth="1"/>
    <col min="14347" max="14348" width="8.7109375" customWidth="1"/>
    <col min="14349" max="14349" width="2.7109375" customWidth="1"/>
    <col min="14593" max="14593" width="35.7109375" customWidth="1"/>
    <col min="14594" max="14595" width="8.28515625" customWidth="1"/>
    <col min="14596" max="14596" width="2.7109375" customWidth="1"/>
    <col min="14597" max="14597" width="8.7109375" customWidth="1"/>
    <col min="14598" max="14598" width="8.28515625" customWidth="1"/>
    <col min="14599" max="14599" width="2.7109375" customWidth="1"/>
    <col min="14600" max="14600" width="8.28515625" customWidth="1"/>
    <col min="14601" max="14601" width="8.140625" customWidth="1"/>
    <col min="14602" max="14602" width="2.7109375" customWidth="1"/>
    <col min="14603" max="14604" width="8.7109375" customWidth="1"/>
    <col min="14605" max="14605" width="2.7109375" customWidth="1"/>
    <col min="14849" max="14849" width="35.7109375" customWidth="1"/>
    <col min="14850" max="14851" width="8.28515625" customWidth="1"/>
    <col min="14852" max="14852" width="2.7109375" customWidth="1"/>
    <col min="14853" max="14853" width="8.7109375" customWidth="1"/>
    <col min="14854" max="14854" width="8.28515625" customWidth="1"/>
    <col min="14855" max="14855" width="2.7109375" customWidth="1"/>
    <col min="14856" max="14856" width="8.28515625" customWidth="1"/>
    <col min="14857" max="14857" width="8.140625" customWidth="1"/>
    <col min="14858" max="14858" width="2.7109375" customWidth="1"/>
    <col min="14859" max="14860" width="8.7109375" customWidth="1"/>
    <col min="14861" max="14861" width="2.7109375" customWidth="1"/>
    <col min="15105" max="15105" width="35.7109375" customWidth="1"/>
    <col min="15106" max="15107" width="8.28515625" customWidth="1"/>
    <col min="15108" max="15108" width="2.7109375" customWidth="1"/>
    <col min="15109" max="15109" width="8.7109375" customWidth="1"/>
    <col min="15110" max="15110" width="8.28515625" customWidth="1"/>
    <col min="15111" max="15111" width="2.7109375" customWidth="1"/>
    <col min="15112" max="15112" width="8.28515625" customWidth="1"/>
    <col min="15113" max="15113" width="8.140625" customWidth="1"/>
    <col min="15114" max="15114" width="2.7109375" customWidth="1"/>
    <col min="15115" max="15116" width="8.7109375" customWidth="1"/>
    <col min="15117" max="15117" width="2.7109375" customWidth="1"/>
    <col min="15361" max="15361" width="35.7109375" customWidth="1"/>
    <col min="15362" max="15363" width="8.28515625" customWidth="1"/>
    <col min="15364" max="15364" width="2.7109375" customWidth="1"/>
    <col min="15365" max="15365" width="8.7109375" customWidth="1"/>
    <col min="15366" max="15366" width="8.28515625" customWidth="1"/>
    <col min="15367" max="15367" width="2.7109375" customWidth="1"/>
    <col min="15368" max="15368" width="8.28515625" customWidth="1"/>
    <col min="15369" max="15369" width="8.140625" customWidth="1"/>
    <col min="15370" max="15370" width="2.7109375" customWidth="1"/>
    <col min="15371" max="15372" width="8.7109375" customWidth="1"/>
    <col min="15373" max="15373" width="2.7109375" customWidth="1"/>
    <col min="15617" max="15617" width="35.7109375" customWidth="1"/>
    <col min="15618" max="15619" width="8.28515625" customWidth="1"/>
    <col min="15620" max="15620" width="2.7109375" customWidth="1"/>
    <col min="15621" max="15621" width="8.7109375" customWidth="1"/>
    <col min="15622" max="15622" width="8.28515625" customWidth="1"/>
    <col min="15623" max="15623" width="2.7109375" customWidth="1"/>
    <col min="15624" max="15624" width="8.28515625" customWidth="1"/>
    <col min="15625" max="15625" width="8.140625" customWidth="1"/>
    <col min="15626" max="15626" width="2.7109375" customWidth="1"/>
    <col min="15627" max="15628" width="8.7109375" customWidth="1"/>
    <col min="15629" max="15629" width="2.7109375" customWidth="1"/>
    <col min="15873" max="15873" width="35.7109375" customWidth="1"/>
    <col min="15874" max="15875" width="8.28515625" customWidth="1"/>
    <col min="15876" max="15876" width="2.7109375" customWidth="1"/>
    <col min="15877" max="15877" width="8.7109375" customWidth="1"/>
    <col min="15878" max="15878" width="8.28515625" customWidth="1"/>
    <col min="15879" max="15879" width="2.7109375" customWidth="1"/>
    <col min="15880" max="15880" width="8.28515625" customWidth="1"/>
    <col min="15881" max="15881" width="8.140625" customWidth="1"/>
    <col min="15882" max="15882" width="2.7109375" customWidth="1"/>
    <col min="15883" max="15884" width="8.7109375" customWidth="1"/>
    <col min="15885" max="15885" width="2.7109375" customWidth="1"/>
    <col min="16129" max="16129" width="35.7109375" customWidth="1"/>
    <col min="16130" max="16131" width="8.28515625" customWidth="1"/>
    <col min="16132" max="16132" width="2.7109375" customWidth="1"/>
    <col min="16133" max="16133" width="8.7109375" customWidth="1"/>
    <col min="16134" max="16134" width="8.28515625" customWidth="1"/>
    <col min="16135" max="16135" width="2.7109375" customWidth="1"/>
    <col min="16136" max="16136" width="8.28515625" customWidth="1"/>
    <col min="16137" max="16137" width="8.140625" customWidth="1"/>
    <col min="16138" max="16138" width="2.7109375" customWidth="1"/>
    <col min="16139" max="16140" width="8.7109375" customWidth="1"/>
    <col min="16141" max="16141" width="2.7109375" customWidth="1"/>
  </cols>
  <sheetData>
    <row r="1" spans="1:13" ht="12" customHeight="1">
      <c r="A1" t="s">
        <v>379</v>
      </c>
    </row>
    <row r="2" spans="1:13" ht="13.15" customHeight="1">
      <c r="A2" t="s">
        <v>380</v>
      </c>
    </row>
    <row r="3" spans="1:13" ht="8.25" customHeight="1"/>
    <row r="4" spans="1:13" ht="13.15" customHeight="1">
      <c r="A4" s="42" t="s">
        <v>1735</v>
      </c>
    </row>
    <row r="5" spans="1:13" ht="9.75" customHeight="1" thickBot="1"/>
    <row r="6" spans="1:13" ht="13.15" customHeight="1">
      <c r="A6" s="6"/>
      <c r="B6" s="654"/>
      <c r="C6" s="655"/>
      <c r="D6" s="515"/>
      <c r="E6" s="620"/>
      <c r="F6" s="655"/>
      <c r="G6" s="515"/>
      <c r="H6" s="620"/>
      <c r="I6" s="655"/>
      <c r="J6" s="655"/>
      <c r="K6" s="620"/>
      <c r="L6" s="515"/>
      <c r="M6" s="515"/>
    </row>
    <row r="7" spans="1:13" ht="13.15" customHeight="1">
      <c r="A7" s="36" t="s">
        <v>1736</v>
      </c>
      <c r="B7" s="1289" t="s">
        <v>1695</v>
      </c>
      <c r="C7" s="1327"/>
      <c r="D7" s="69"/>
      <c r="E7" s="1270" t="s">
        <v>1737</v>
      </c>
      <c r="F7" s="1270"/>
      <c r="G7" s="69"/>
      <c r="H7" s="1270" t="s">
        <v>1738</v>
      </c>
      <c r="I7" s="1270"/>
      <c r="J7" s="57"/>
      <c r="K7" s="1268" t="s">
        <v>1739</v>
      </c>
      <c r="L7" s="1270"/>
      <c r="M7" s="69"/>
    </row>
    <row r="8" spans="1:13" ht="13.15" customHeight="1">
      <c r="A8" t="s">
        <v>1740</v>
      </c>
      <c r="B8" s="54" t="s">
        <v>323</v>
      </c>
      <c r="C8" s="56" t="s">
        <v>324</v>
      </c>
      <c r="D8" s="69"/>
      <c r="E8" s="55" t="s">
        <v>323</v>
      </c>
      <c r="F8" s="56" t="s">
        <v>324</v>
      </c>
      <c r="G8" s="69"/>
      <c r="H8" s="55" t="s">
        <v>323</v>
      </c>
      <c r="I8" s="56" t="s">
        <v>324</v>
      </c>
      <c r="J8" s="57"/>
      <c r="K8" s="55" t="s">
        <v>323</v>
      </c>
      <c r="L8" s="56" t="s">
        <v>324</v>
      </c>
      <c r="M8" s="69"/>
    </row>
    <row r="9" spans="1:13" ht="13.15" customHeight="1" thickBot="1">
      <c r="A9" s="15"/>
      <c r="B9" s="656"/>
      <c r="C9" s="657"/>
      <c r="D9" s="105"/>
      <c r="E9" s="589"/>
      <c r="F9" s="657"/>
      <c r="G9" s="105"/>
      <c r="H9" s="589"/>
      <c r="I9" s="657"/>
      <c r="J9" s="657"/>
      <c r="K9" s="589"/>
      <c r="L9" s="105"/>
      <c r="M9" s="105"/>
    </row>
    <row r="10" spans="1:13" ht="9.9499999999999993" customHeight="1">
      <c r="A10" s="36"/>
      <c r="B10" s="658"/>
      <c r="C10" s="57"/>
      <c r="D10" s="69"/>
      <c r="E10" s="588"/>
      <c r="F10" s="57"/>
      <c r="G10" s="69"/>
      <c r="H10" s="588"/>
      <c r="I10" s="57"/>
      <c r="J10" s="57"/>
      <c r="K10" s="588"/>
      <c r="L10" s="69"/>
      <c r="M10" s="69"/>
    </row>
    <row r="11" spans="1:13" ht="13.15" customHeight="1">
      <c r="A11" s="63" t="s">
        <v>325</v>
      </c>
      <c r="B11" s="659">
        <f>IF($A11&lt;&gt;0,E11+H11+K11,"")</f>
        <v>22151</v>
      </c>
      <c r="C11" s="646">
        <f>SUM(C13+C96)</f>
        <v>100</v>
      </c>
      <c r="D11" s="255"/>
      <c r="E11" s="268">
        <f>SUM(E13+E96)</f>
        <v>21576</v>
      </c>
      <c r="F11" s="259">
        <f>IF($A11&lt;&gt;0,E11/$B11*100,"")</f>
        <v>97.404180398176152</v>
      </c>
      <c r="G11" s="255"/>
      <c r="H11" s="268">
        <f>SUM(H13+H96)</f>
        <v>276</v>
      </c>
      <c r="I11" s="259">
        <f>IF($A11&lt;&gt;0,H11/$B11*100,"")</f>
        <v>1.2459934088754459</v>
      </c>
      <c r="J11" s="646"/>
      <c r="K11" s="268">
        <f>SUM(K13+K96)</f>
        <v>299</v>
      </c>
      <c r="L11" s="76">
        <f>IF($A11&lt;&gt;0,K11/$B11*100,"")</f>
        <v>1.3498261929483997</v>
      </c>
      <c r="M11" s="69"/>
    </row>
    <row r="12" spans="1:13" ht="9.9499999999999993" customHeight="1">
      <c r="A12" s="42"/>
      <c r="B12" s="659" t="str">
        <f>IF(A12&lt;&gt;0,E12+H12+K12,"")</f>
        <v/>
      </c>
      <c r="C12" s="646" t="str">
        <f t="shared" ref="C12:C75" si="0">IF($A12&lt;&gt;0,B12/$B$11*100,"")</f>
        <v/>
      </c>
      <c r="D12" s="255"/>
      <c r="E12" s="258"/>
      <c r="F12" s="259" t="str">
        <f t="shared" ref="F12:F75" si="1">IF($A12&lt;&gt;0,E12/$B12*100,"")</f>
        <v/>
      </c>
      <c r="G12" s="255"/>
      <c r="H12" s="258"/>
      <c r="I12" s="259" t="str">
        <f t="shared" ref="I12:I75" si="2">IF($A12&lt;&gt;0,H12/$B12*100,"")</f>
        <v/>
      </c>
      <c r="J12" s="646"/>
      <c r="K12" s="258"/>
      <c r="L12" s="76" t="str">
        <f t="shared" ref="L12:L75" si="3">IF($A12&lt;&gt;0,K12/$B12*100,"")</f>
        <v/>
      </c>
      <c r="M12" s="69"/>
    </row>
    <row r="13" spans="1:13" ht="13.15" customHeight="1">
      <c r="A13" s="565" t="s">
        <v>1529</v>
      </c>
      <c r="B13" s="659">
        <f>IF(A13&lt;&gt;0,E13+H13+K13,"")</f>
        <v>14579</v>
      </c>
      <c r="C13" s="646">
        <f t="shared" si="0"/>
        <v>65.816441695634509</v>
      </c>
      <c r="D13" s="255"/>
      <c r="E13" s="258">
        <f>E15+E26+E34+E60+E74+E81+E93+E94</f>
        <v>14284</v>
      </c>
      <c r="F13" s="259">
        <f t="shared" si="1"/>
        <v>97.976541600932848</v>
      </c>
      <c r="G13" s="255"/>
      <c r="H13" s="258">
        <f>H15+H26+H34+H60+H74+H81+H93+H94</f>
        <v>140</v>
      </c>
      <c r="I13" s="259">
        <f t="shared" si="2"/>
        <v>0.96028534193017356</v>
      </c>
      <c r="J13" s="646"/>
      <c r="K13" s="258">
        <f>K15+K26+K34+K60+K74+K81+K93+K94</f>
        <v>155</v>
      </c>
      <c r="L13" s="76">
        <f t="shared" si="3"/>
        <v>1.063173057136978</v>
      </c>
      <c r="M13" s="69"/>
    </row>
    <row r="14" spans="1:13" ht="9.9499999999999993" customHeight="1">
      <c r="A14" s="565"/>
      <c r="B14" s="659" t="str">
        <f t="shared" ref="B14:B77" si="4">IF(A14&lt;&gt;0,E14+H14+K14,"")</f>
        <v/>
      </c>
      <c r="C14" s="646"/>
      <c r="D14" s="255"/>
      <c r="E14" s="258"/>
      <c r="F14" s="259"/>
      <c r="G14" s="255"/>
      <c r="H14" s="258"/>
      <c r="I14" s="259"/>
      <c r="J14" s="646"/>
      <c r="K14" s="258"/>
      <c r="L14" s="76"/>
      <c r="M14" s="69"/>
    </row>
    <row r="15" spans="1:13" ht="13.15" customHeight="1">
      <c r="A15" s="63" t="s">
        <v>327</v>
      </c>
      <c r="B15" s="659">
        <f t="shared" si="4"/>
        <v>1431</v>
      </c>
      <c r="C15" s="646">
        <f t="shared" si="0"/>
        <v>6.4602049568868223</v>
      </c>
      <c r="D15" s="255"/>
      <c r="E15" s="258">
        <f>E16+E21</f>
        <v>1403</v>
      </c>
      <c r="F15" s="259">
        <f t="shared" si="1"/>
        <v>98.043326345213131</v>
      </c>
      <c r="G15" s="255"/>
      <c r="H15" s="258">
        <f>H16+H21</f>
        <v>10</v>
      </c>
      <c r="I15" s="259">
        <f t="shared" si="2"/>
        <v>0.69881201956673655</v>
      </c>
      <c r="J15" s="646"/>
      <c r="K15" s="258">
        <f>K16+K21</f>
        <v>18</v>
      </c>
      <c r="L15" s="76">
        <f t="shared" si="3"/>
        <v>1.257861635220126</v>
      </c>
      <c r="M15" s="69"/>
    </row>
    <row r="16" spans="1:13" ht="13.15" customHeight="1">
      <c r="A16" s="42" t="s">
        <v>20</v>
      </c>
      <c r="B16" s="659">
        <f t="shared" si="4"/>
        <v>426</v>
      </c>
      <c r="C16" s="646">
        <f t="shared" si="0"/>
        <v>1.9231637397860144</v>
      </c>
      <c r="D16" s="255"/>
      <c r="E16" s="258">
        <f>SUM(E17:E19)</f>
        <v>412</v>
      </c>
      <c r="F16" s="259">
        <f t="shared" si="1"/>
        <v>96.713615023474176</v>
      </c>
      <c r="G16" s="255"/>
      <c r="H16" s="258">
        <f>SUM(H17:H19)</f>
        <v>5</v>
      </c>
      <c r="I16" s="259">
        <f t="shared" si="2"/>
        <v>1.1737089201877933</v>
      </c>
      <c r="J16" s="646"/>
      <c r="K16" s="258">
        <f>SUM(K17:K19)</f>
        <v>9</v>
      </c>
      <c r="L16" s="76">
        <f t="shared" si="3"/>
        <v>2.112676056338028</v>
      </c>
      <c r="M16" s="69"/>
    </row>
    <row r="17" spans="1:13" ht="13.15" customHeight="1">
      <c r="A17" s="42" t="s">
        <v>21</v>
      </c>
      <c r="B17" s="659">
        <f t="shared" si="4"/>
        <v>69</v>
      </c>
      <c r="C17" s="646">
        <f t="shared" si="0"/>
        <v>0.31149835221886146</v>
      </c>
      <c r="D17" s="255"/>
      <c r="E17" s="650">
        <v>67</v>
      </c>
      <c r="F17" s="259">
        <f t="shared" si="1"/>
        <v>97.101449275362313</v>
      </c>
      <c r="G17" s="650"/>
      <c r="H17" s="650">
        <v>1</v>
      </c>
      <c r="I17" s="259">
        <f t="shared" si="2"/>
        <v>1.4492753623188406</v>
      </c>
      <c r="J17" s="650"/>
      <c r="K17" s="650">
        <v>1</v>
      </c>
      <c r="L17" s="76">
        <f t="shared" si="3"/>
        <v>1.4492753623188406</v>
      </c>
      <c r="M17" s="69"/>
    </row>
    <row r="18" spans="1:13" ht="13.15" customHeight="1">
      <c r="A18" s="42" t="s">
        <v>22</v>
      </c>
      <c r="B18" s="659">
        <f t="shared" si="4"/>
        <v>266</v>
      </c>
      <c r="C18" s="646">
        <f t="shared" si="0"/>
        <v>1.2008487201480744</v>
      </c>
      <c r="D18" s="255"/>
      <c r="E18" s="650">
        <v>255</v>
      </c>
      <c r="F18" s="259">
        <f t="shared" si="1"/>
        <v>95.864661654135347</v>
      </c>
      <c r="G18" s="650"/>
      <c r="H18" s="650">
        <v>3</v>
      </c>
      <c r="I18" s="259">
        <f t="shared" si="2"/>
        <v>1.1278195488721803</v>
      </c>
      <c r="J18" s="650"/>
      <c r="K18" s="650">
        <v>8</v>
      </c>
      <c r="L18" s="76">
        <f t="shared" si="3"/>
        <v>3.007518796992481</v>
      </c>
      <c r="M18" s="69"/>
    </row>
    <row r="19" spans="1:13" ht="13.15" customHeight="1">
      <c r="A19" s="42" t="s">
        <v>23</v>
      </c>
      <c r="B19" s="659">
        <f t="shared" si="4"/>
        <v>91</v>
      </c>
      <c r="C19" s="646">
        <f t="shared" si="0"/>
        <v>0.41081666741907813</v>
      </c>
      <c r="D19" s="255"/>
      <c r="E19" s="650">
        <v>90</v>
      </c>
      <c r="F19" s="259">
        <f t="shared" si="1"/>
        <v>98.901098901098905</v>
      </c>
      <c r="G19" s="650"/>
      <c r="H19" s="650">
        <v>1</v>
      </c>
      <c r="I19" s="259">
        <f t="shared" si="2"/>
        <v>1.098901098901099</v>
      </c>
      <c r="J19" s="650"/>
      <c r="K19" s="650">
        <v>0</v>
      </c>
      <c r="L19" s="76">
        <f t="shared" si="3"/>
        <v>0</v>
      </c>
      <c r="M19" s="69"/>
    </row>
    <row r="20" spans="1:13" ht="9.9499999999999993" customHeight="1">
      <c r="A20" s="42"/>
      <c r="B20" s="659" t="str">
        <f t="shared" si="4"/>
        <v/>
      </c>
      <c r="C20" s="646" t="str">
        <f t="shared" si="0"/>
        <v/>
      </c>
      <c r="D20" s="255"/>
      <c r="E20" s="258"/>
      <c r="F20" s="259" t="str">
        <f t="shared" si="1"/>
        <v/>
      </c>
      <c r="G20" s="255"/>
      <c r="H20" s="258"/>
      <c r="I20" s="259" t="str">
        <f t="shared" si="2"/>
        <v/>
      </c>
      <c r="J20" s="646"/>
      <c r="K20" s="258"/>
      <c r="L20" s="76" t="str">
        <f t="shared" si="3"/>
        <v/>
      </c>
      <c r="M20" s="69"/>
    </row>
    <row r="21" spans="1:13" ht="13.15" customHeight="1">
      <c r="A21" s="42" t="s">
        <v>24</v>
      </c>
      <c r="B21" s="659">
        <f t="shared" si="4"/>
        <v>1005</v>
      </c>
      <c r="C21" s="646">
        <f t="shared" si="0"/>
        <v>4.5370412171008079</v>
      </c>
      <c r="D21" s="255"/>
      <c r="E21" s="258">
        <f>SUM(E22:E24)</f>
        <v>991</v>
      </c>
      <c r="F21" s="259">
        <f t="shared" si="1"/>
        <v>98.606965174129357</v>
      </c>
      <c r="G21" s="255"/>
      <c r="H21" s="258">
        <f>SUM(H22:H24)</f>
        <v>5</v>
      </c>
      <c r="I21" s="259">
        <f t="shared" si="2"/>
        <v>0.49751243781094528</v>
      </c>
      <c r="J21" s="646"/>
      <c r="K21" s="258">
        <f>SUM(K22:K24)</f>
        <v>9</v>
      </c>
      <c r="L21" s="76">
        <f t="shared" si="3"/>
        <v>0.89552238805970152</v>
      </c>
      <c r="M21" s="69"/>
    </row>
    <row r="22" spans="1:13" ht="13.15" customHeight="1">
      <c r="A22" s="42" t="s">
        <v>25</v>
      </c>
      <c r="B22" s="659">
        <f t="shared" si="4"/>
        <v>330</v>
      </c>
      <c r="C22" s="646">
        <f t="shared" si="0"/>
        <v>1.4897747280032503</v>
      </c>
      <c r="D22" s="255"/>
      <c r="E22" s="650">
        <v>323</v>
      </c>
      <c r="F22" s="259">
        <f t="shared" si="1"/>
        <v>97.878787878787875</v>
      </c>
      <c r="G22" s="650"/>
      <c r="H22" s="650">
        <v>2</v>
      </c>
      <c r="I22" s="259">
        <f t="shared" si="2"/>
        <v>0.60606060606060608</v>
      </c>
      <c r="J22" s="650"/>
      <c r="K22" s="650">
        <v>5</v>
      </c>
      <c r="L22" s="76">
        <f t="shared" si="3"/>
        <v>1.5151515151515151</v>
      </c>
      <c r="M22" s="69"/>
    </row>
    <row r="23" spans="1:13" ht="13.15" customHeight="1">
      <c r="A23" s="42" t="s">
        <v>26</v>
      </c>
      <c r="B23" s="659">
        <f t="shared" si="4"/>
        <v>162</v>
      </c>
      <c r="C23" s="646">
        <f t="shared" si="0"/>
        <v>0.73134395738341385</v>
      </c>
      <c r="D23" s="255"/>
      <c r="E23" s="650">
        <v>161</v>
      </c>
      <c r="F23" s="259">
        <f t="shared" si="1"/>
        <v>99.382716049382708</v>
      </c>
      <c r="G23" s="650"/>
      <c r="H23" s="650">
        <v>1</v>
      </c>
      <c r="I23" s="259">
        <f t="shared" si="2"/>
        <v>0.61728395061728392</v>
      </c>
      <c r="J23" s="650"/>
      <c r="K23" s="650">
        <v>0</v>
      </c>
      <c r="L23" s="76">
        <f t="shared" si="3"/>
        <v>0</v>
      </c>
      <c r="M23" s="69"/>
    </row>
    <row r="24" spans="1:13" ht="13.15" customHeight="1">
      <c r="A24" s="42" t="s">
        <v>27</v>
      </c>
      <c r="B24" s="659">
        <f t="shared" si="4"/>
        <v>513</v>
      </c>
      <c r="C24" s="646">
        <f t="shared" si="0"/>
        <v>2.3159225317141439</v>
      </c>
      <c r="D24" s="255"/>
      <c r="E24" s="650">
        <v>507</v>
      </c>
      <c r="F24" s="259">
        <f t="shared" si="1"/>
        <v>98.830409356725141</v>
      </c>
      <c r="G24" s="650"/>
      <c r="H24" s="650">
        <v>2</v>
      </c>
      <c r="I24" s="259">
        <f t="shared" si="2"/>
        <v>0.38986354775828458</v>
      </c>
      <c r="J24" s="650"/>
      <c r="K24" s="650">
        <v>4</v>
      </c>
      <c r="L24" s="76">
        <f t="shared" si="3"/>
        <v>0.77972709551656916</v>
      </c>
      <c r="M24" s="69"/>
    </row>
    <row r="25" spans="1:13" ht="9.9499999999999993" customHeight="1">
      <c r="A25" s="42"/>
      <c r="B25" s="659" t="str">
        <f t="shared" si="4"/>
        <v/>
      </c>
      <c r="C25" s="646" t="str">
        <f t="shared" si="0"/>
        <v/>
      </c>
      <c r="D25" s="255"/>
      <c r="E25" s="258"/>
      <c r="F25" s="259" t="str">
        <f t="shared" si="1"/>
        <v/>
      </c>
      <c r="G25" s="255"/>
      <c r="H25" s="258"/>
      <c r="I25" s="259" t="str">
        <f t="shared" si="2"/>
        <v/>
      </c>
      <c r="J25" s="646"/>
      <c r="K25" s="258"/>
      <c r="L25" s="76" t="str">
        <f t="shared" si="3"/>
        <v/>
      </c>
      <c r="M25" s="69"/>
    </row>
    <row r="26" spans="1:13" ht="13.15" customHeight="1">
      <c r="A26" s="63" t="s">
        <v>375</v>
      </c>
      <c r="B26" s="659">
        <f t="shared" si="4"/>
        <v>871</v>
      </c>
      <c r="C26" s="646">
        <f t="shared" si="0"/>
        <v>3.9321023881540338</v>
      </c>
      <c r="D26" s="255"/>
      <c r="E26" s="258">
        <f>SUM(E27)</f>
        <v>862</v>
      </c>
      <c r="F26" s="259">
        <f t="shared" si="1"/>
        <v>98.966704936854185</v>
      </c>
      <c r="G26" s="255"/>
      <c r="H26" s="258">
        <f>SUM(H27)</f>
        <v>3</v>
      </c>
      <c r="I26" s="259">
        <f t="shared" si="2"/>
        <v>0.34443168771526977</v>
      </c>
      <c r="J26" s="646"/>
      <c r="K26" s="258">
        <f>SUM(K27)</f>
        <v>6</v>
      </c>
      <c r="L26" s="76">
        <f t="shared" si="3"/>
        <v>0.68886337543053955</v>
      </c>
      <c r="M26" s="69"/>
    </row>
    <row r="27" spans="1:13" ht="13.15" customHeight="1">
      <c r="A27" s="42" t="s">
        <v>29</v>
      </c>
      <c r="B27" s="659">
        <f t="shared" si="4"/>
        <v>871</v>
      </c>
      <c r="C27" s="646">
        <f t="shared" si="0"/>
        <v>3.9321023881540338</v>
      </c>
      <c r="D27" s="255"/>
      <c r="E27" s="258">
        <f>SUM(E28:E32)</f>
        <v>862</v>
      </c>
      <c r="F27" s="259">
        <f t="shared" si="1"/>
        <v>98.966704936854185</v>
      </c>
      <c r="G27" s="255"/>
      <c r="H27" s="258">
        <f>SUM(H28:H32)</f>
        <v>3</v>
      </c>
      <c r="I27" s="259">
        <f t="shared" si="2"/>
        <v>0.34443168771526977</v>
      </c>
      <c r="J27" s="646"/>
      <c r="K27" s="258">
        <f>SUM(K28:K32)</f>
        <v>6</v>
      </c>
      <c r="L27" s="76">
        <f t="shared" si="3"/>
        <v>0.68886337543053955</v>
      </c>
      <c r="M27" s="69"/>
    </row>
    <row r="28" spans="1:13" ht="13.15" customHeight="1">
      <c r="A28" s="42" t="s">
        <v>30</v>
      </c>
      <c r="B28" s="659">
        <f t="shared" si="4"/>
        <v>140</v>
      </c>
      <c r="C28" s="646">
        <f t="shared" si="0"/>
        <v>0.63202564218319712</v>
      </c>
      <c r="D28" s="255"/>
      <c r="E28" s="650">
        <v>136</v>
      </c>
      <c r="F28" s="259">
        <f t="shared" si="1"/>
        <v>97.142857142857139</v>
      </c>
      <c r="G28" s="650"/>
      <c r="H28" s="650">
        <v>3</v>
      </c>
      <c r="I28" s="259">
        <f t="shared" si="2"/>
        <v>2.1428571428571428</v>
      </c>
      <c r="J28" s="650"/>
      <c r="K28" s="650">
        <v>1</v>
      </c>
      <c r="L28" s="76">
        <f t="shared" si="3"/>
        <v>0.7142857142857143</v>
      </c>
      <c r="M28" s="69"/>
    </row>
    <row r="29" spans="1:13" ht="13.15" customHeight="1">
      <c r="A29" s="42" t="s">
        <v>31</v>
      </c>
      <c r="B29" s="659">
        <f t="shared" si="4"/>
        <v>230</v>
      </c>
      <c r="C29" s="646">
        <f t="shared" si="0"/>
        <v>1.0383278407295382</v>
      </c>
      <c r="D29" s="255"/>
      <c r="E29" s="650">
        <v>229</v>
      </c>
      <c r="F29" s="259">
        <f t="shared" si="1"/>
        <v>99.565217391304344</v>
      </c>
      <c r="G29" s="650"/>
      <c r="H29" s="650">
        <v>0</v>
      </c>
      <c r="I29" s="259">
        <f t="shared" si="2"/>
        <v>0</v>
      </c>
      <c r="J29" s="650"/>
      <c r="K29" s="650">
        <v>1</v>
      </c>
      <c r="L29" s="76">
        <f t="shared" si="3"/>
        <v>0.43478260869565216</v>
      </c>
      <c r="M29" s="69"/>
    </row>
    <row r="30" spans="1:13" ht="13.15" customHeight="1">
      <c r="A30" s="42" t="s">
        <v>32</v>
      </c>
      <c r="B30" s="659">
        <f t="shared" si="4"/>
        <v>192</v>
      </c>
      <c r="C30" s="646">
        <f t="shared" si="0"/>
        <v>0.86677802356552747</v>
      </c>
      <c r="D30" s="255"/>
      <c r="E30" s="650">
        <v>192</v>
      </c>
      <c r="F30" s="259">
        <f t="shared" si="1"/>
        <v>100</v>
      </c>
      <c r="G30" s="650"/>
      <c r="H30" s="650">
        <v>0</v>
      </c>
      <c r="I30" s="259">
        <f t="shared" si="2"/>
        <v>0</v>
      </c>
      <c r="J30" s="650"/>
      <c r="K30" s="650">
        <v>0</v>
      </c>
      <c r="L30" s="76">
        <f>IF($A30&lt;&gt;0,K30/$B30*100,"")</f>
        <v>0</v>
      </c>
      <c r="M30" s="69"/>
    </row>
    <row r="31" spans="1:13" ht="13.15" customHeight="1">
      <c r="A31" s="42" t="s">
        <v>33</v>
      </c>
      <c r="B31" s="659">
        <f t="shared" si="4"/>
        <v>159</v>
      </c>
      <c r="C31" s="646">
        <f t="shared" si="0"/>
        <v>0.71780055076520244</v>
      </c>
      <c r="D31" s="255"/>
      <c r="E31" s="650">
        <v>155</v>
      </c>
      <c r="F31" s="259">
        <f t="shared" si="1"/>
        <v>97.484276729559753</v>
      </c>
      <c r="G31" s="650"/>
      <c r="H31" s="650">
        <v>0</v>
      </c>
      <c r="I31" s="259">
        <f t="shared" si="2"/>
        <v>0</v>
      </c>
      <c r="J31" s="650"/>
      <c r="K31" s="650">
        <v>4</v>
      </c>
      <c r="L31" s="76">
        <f t="shared" si="3"/>
        <v>2.5157232704402519</v>
      </c>
      <c r="M31" s="69"/>
    </row>
    <row r="32" spans="1:13" ht="13.15" customHeight="1">
      <c r="A32" s="42" t="s">
        <v>34</v>
      </c>
      <c r="B32" s="659">
        <f t="shared" si="4"/>
        <v>150</v>
      </c>
      <c r="C32" s="646">
        <f t="shared" si="0"/>
        <v>0.67717033091056833</v>
      </c>
      <c r="D32" s="255"/>
      <c r="E32" s="650">
        <v>150</v>
      </c>
      <c r="F32" s="259">
        <f t="shared" si="1"/>
        <v>100</v>
      </c>
      <c r="G32" s="650"/>
      <c r="H32" s="650">
        <v>0</v>
      </c>
      <c r="I32" s="259">
        <f t="shared" si="2"/>
        <v>0</v>
      </c>
      <c r="J32" s="650"/>
      <c r="K32" s="650">
        <v>0</v>
      </c>
      <c r="L32" s="76">
        <f t="shared" si="3"/>
        <v>0</v>
      </c>
      <c r="M32" s="69"/>
    </row>
    <row r="33" spans="1:13" ht="9.9499999999999993" customHeight="1">
      <c r="A33" s="42"/>
      <c r="B33" s="659" t="str">
        <f t="shared" si="4"/>
        <v/>
      </c>
      <c r="C33" s="646" t="str">
        <f t="shared" si="0"/>
        <v/>
      </c>
      <c r="D33" s="255"/>
      <c r="E33" s="268"/>
      <c r="F33" s="259" t="str">
        <f t="shared" si="1"/>
        <v/>
      </c>
      <c r="G33" s="255"/>
      <c r="H33" s="258"/>
      <c r="I33" s="259" t="str">
        <f t="shared" si="2"/>
        <v/>
      </c>
      <c r="J33" s="646"/>
      <c r="K33" s="258"/>
      <c r="L33" s="76" t="str">
        <f t="shared" si="3"/>
        <v/>
      </c>
      <c r="M33" s="69"/>
    </row>
    <row r="34" spans="1:13" ht="13.15" customHeight="1">
      <c r="A34" s="63" t="s">
        <v>329</v>
      </c>
      <c r="B34" s="659">
        <f t="shared" si="4"/>
        <v>6619</v>
      </c>
      <c r="C34" s="646">
        <f t="shared" si="0"/>
        <v>29.881269468647016</v>
      </c>
      <c r="D34" s="255"/>
      <c r="E34" s="268">
        <f>E35+E41+E51+E53</f>
        <v>6439</v>
      </c>
      <c r="F34" s="259">
        <f t="shared" si="1"/>
        <v>97.280555975222853</v>
      </c>
      <c r="G34" s="255"/>
      <c r="H34" s="258">
        <f>H35+H41+H51+H53</f>
        <v>92</v>
      </c>
      <c r="I34" s="259">
        <f t="shared" si="2"/>
        <v>1.3899380571083246</v>
      </c>
      <c r="J34" s="646"/>
      <c r="K34" s="258">
        <f>K35+K41+K51+K53</f>
        <v>88</v>
      </c>
      <c r="L34" s="76">
        <f t="shared" si="3"/>
        <v>1.3295059676688321</v>
      </c>
      <c r="M34" s="69"/>
    </row>
    <row r="35" spans="1:13" ht="13.15" customHeight="1">
      <c r="A35" s="42" t="s">
        <v>36</v>
      </c>
      <c r="B35" s="659">
        <f t="shared" si="4"/>
        <v>2223</v>
      </c>
      <c r="C35" s="646">
        <f t="shared" si="0"/>
        <v>10.035664304094622</v>
      </c>
      <c r="D35" s="255"/>
      <c r="E35" s="268">
        <f>SUM(E36:E39)</f>
        <v>2176</v>
      </c>
      <c r="F35" s="259">
        <f t="shared" si="1"/>
        <v>97.885739991003149</v>
      </c>
      <c r="G35" s="255"/>
      <c r="H35" s="258">
        <f>SUM(H36:H39)</f>
        <v>27</v>
      </c>
      <c r="I35" s="259">
        <f t="shared" si="2"/>
        <v>1.214574898785425</v>
      </c>
      <c r="J35" s="646"/>
      <c r="K35" s="258">
        <f>SUM(K36:K39)</f>
        <v>20</v>
      </c>
      <c r="L35" s="76">
        <f t="shared" si="3"/>
        <v>0.89968511021142594</v>
      </c>
      <c r="M35" s="69"/>
    </row>
    <row r="36" spans="1:13" ht="13.15" customHeight="1">
      <c r="A36" s="42" t="s">
        <v>37</v>
      </c>
      <c r="B36" s="659">
        <f t="shared" si="4"/>
        <v>1197</v>
      </c>
      <c r="C36" s="646">
        <f t="shared" si="0"/>
        <v>5.4038192406663352</v>
      </c>
      <c r="D36" s="255"/>
      <c r="E36" s="650">
        <v>1172</v>
      </c>
      <c r="F36" s="259">
        <f t="shared" si="1"/>
        <v>97.911445279866328</v>
      </c>
      <c r="G36" s="650"/>
      <c r="H36" s="650">
        <v>16</v>
      </c>
      <c r="I36" s="259">
        <f t="shared" si="2"/>
        <v>1.3366750208855471</v>
      </c>
      <c r="J36" s="650"/>
      <c r="K36" s="650">
        <v>9</v>
      </c>
      <c r="L36" s="76">
        <f t="shared" si="3"/>
        <v>0.75187969924812026</v>
      </c>
      <c r="M36" s="69"/>
    </row>
    <row r="37" spans="1:13" ht="13.15" customHeight="1">
      <c r="A37" s="42" t="s">
        <v>38</v>
      </c>
      <c r="B37" s="659">
        <f t="shared" si="4"/>
        <v>596</v>
      </c>
      <c r="C37" s="646">
        <f t="shared" si="0"/>
        <v>2.6906234481513249</v>
      </c>
      <c r="D37" s="255"/>
      <c r="E37" s="650">
        <v>576</v>
      </c>
      <c r="F37" s="259">
        <f t="shared" si="1"/>
        <v>96.644295302013433</v>
      </c>
      <c r="G37" s="650"/>
      <c r="H37" s="650">
        <v>10</v>
      </c>
      <c r="I37" s="259">
        <f t="shared" si="2"/>
        <v>1.6778523489932886</v>
      </c>
      <c r="J37" s="650"/>
      <c r="K37" s="650">
        <v>10</v>
      </c>
      <c r="L37" s="76">
        <f t="shared" si="3"/>
        <v>1.6778523489932886</v>
      </c>
      <c r="M37" s="69"/>
    </row>
    <row r="38" spans="1:13" ht="13.15" customHeight="1">
      <c r="A38" s="42" t="s">
        <v>39</v>
      </c>
      <c r="B38" s="659">
        <f t="shared" si="4"/>
        <v>187</v>
      </c>
      <c r="C38" s="646">
        <f t="shared" si="0"/>
        <v>0.84420567920184197</v>
      </c>
      <c r="D38" s="255"/>
      <c r="E38" s="650">
        <v>186</v>
      </c>
      <c r="F38" s="259">
        <f t="shared" si="1"/>
        <v>99.465240641711233</v>
      </c>
      <c r="G38" s="650"/>
      <c r="H38" s="650">
        <v>1</v>
      </c>
      <c r="I38" s="259">
        <f t="shared" si="2"/>
        <v>0.53475935828876997</v>
      </c>
      <c r="J38" s="650"/>
      <c r="K38" s="650">
        <v>0</v>
      </c>
      <c r="L38" s="76">
        <f t="shared" si="3"/>
        <v>0</v>
      </c>
      <c r="M38" s="69"/>
    </row>
    <row r="39" spans="1:13" ht="13.15" customHeight="1">
      <c r="A39" s="42" t="s">
        <v>40</v>
      </c>
      <c r="B39" s="659">
        <f t="shared" si="4"/>
        <v>243</v>
      </c>
      <c r="C39" s="646">
        <f t="shared" si="0"/>
        <v>1.0970159360751206</v>
      </c>
      <c r="D39" s="255"/>
      <c r="E39" s="650">
        <v>242</v>
      </c>
      <c r="F39" s="259">
        <f t="shared" si="1"/>
        <v>99.588477366255148</v>
      </c>
      <c r="G39" s="650"/>
      <c r="H39" s="650">
        <v>0</v>
      </c>
      <c r="I39" s="259">
        <f t="shared" si="2"/>
        <v>0</v>
      </c>
      <c r="J39" s="650"/>
      <c r="K39" s="650">
        <v>1</v>
      </c>
      <c r="L39" s="76">
        <f t="shared" si="3"/>
        <v>0.41152263374485598</v>
      </c>
      <c r="M39" s="69"/>
    </row>
    <row r="40" spans="1:13" ht="9.9499999999999993" customHeight="1">
      <c r="A40" s="42"/>
      <c r="B40" s="659" t="str">
        <f t="shared" si="4"/>
        <v/>
      </c>
      <c r="C40" s="646" t="str">
        <f t="shared" si="0"/>
        <v/>
      </c>
      <c r="D40" s="255"/>
      <c r="E40" s="258"/>
      <c r="F40" s="259" t="str">
        <f t="shared" si="1"/>
        <v/>
      </c>
      <c r="G40" s="255"/>
      <c r="H40" s="258"/>
      <c r="I40" s="259" t="str">
        <f t="shared" si="2"/>
        <v/>
      </c>
      <c r="J40" s="646"/>
      <c r="K40" s="258"/>
      <c r="L40" s="76" t="str">
        <f t="shared" si="3"/>
        <v/>
      </c>
      <c r="M40" s="69"/>
    </row>
    <row r="41" spans="1:13" ht="13.15" customHeight="1">
      <c r="A41" s="42" t="s">
        <v>41</v>
      </c>
      <c r="B41" s="659">
        <f t="shared" si="4"/>
        <v>1955</v>
      </c>
      <c r="C41" s="646">
        <f t="shared" si="0"/>
        <v>8.8257866462010739</v>
      </c>
      <c r="D41" s="255"/>
      <c r="E41" s="258">
        <f>SUM(E42:E49)</f>
        <v>1906</v>
      </c>
      <c r="F41" s="259">
        <f t="shared" si="1"/>
        <v>97.49360613810741</v>
      </c>
      <c r="G41" s="255"/>
      <c r="H41" s="258">
        <f>SUM(H42:H49)</f>
        <v>21</v>
      </c>
      <c r="I41" s="259">
        <f t="shared" si="2"/>
        <v>1.0741687979539642</v>
      </c>
      <c r="J41" s="646"/>
      <c r="K41" s="258">
        <f>SUM(K42:K49)</f>
        <v>28</v>
      </c>
      <c r="L41" s="76">
        <f t="shared" si="3"/>
        <v>1.4322250639386189</v>
      </c>
      <c r="M41" s="69"/>
    </row>
    <row r="42" spans="1:13" ht="13.15" customHeight="1">
      <c r="A42" s="42" t="s">
        <v>49</v>
      </c>
      <c r="B42" s="659">
        <f t="shared" si="4"/>
        <v>262</v>
      </c>
      <c r="C42" s="646">
        <f t="shared" si="0"/>
        <v>1.182790844657126</v>
      </c>
      <c r="D42" s="255"/>
      <c r="E42" s="650">
        <v>253</v>
      </c>
      <c r="F42" s="259">
        <f t="shared" si="1"/>
        <v>96.564885496183209</v>
      </c>
      <c r="G42" s="650"/>
      <c r="H42" s="650">
        <v>2</v>
      </c>
      <c r="I42" s="259">
        <f t="shared" si="2"/>
        <v>0.76335877862595414</v>
      </c>
      <c r="J42" s="650"/>
      <c r="K42" s="650">
        <v>7</v>
      </c>
      <c r="L42" s="76">
        <f t="shared" si="3"/>
        <v>2.6717557251908395</v>
      </c>
      <c r="M42" s="69"/>
    </row>
    <row r="43" spans="1:13" ht="13.15" customHeight="1">
      <c r="A43" s="42" t="s">
        <v>42</v>
      </c>
      <c r="B43" s="659">
        <f t="shared" si="4"/>
        <v>222</v>
      </c>
      <c r="C43" s="646">
        <f t="shared" si="0"/>
        <v>1.0022120897476412</v>
      </c>
      <c r="D43" s="255"/>
      <c r="E43" s="650">
        <v>216</v>
      </c>
      <c r="F43" s="259">
        <f t="shared" si="1"/>
        <v>97.297297297297305</v>
      </c>
      <c r="G43" s="650"/>
      <c r="H43" s="650">
        <v>2</v>
      </c>
      <c r="I43" s="259">
        <f t="shared" si="2"/>
        <v>0.90090090090090091</v>
      </c>
      <c r="J43" s="650"/>
      <c r="K43" s="650">
        <v>4</v>
      </c>
      <c r="L43" s="76">
        <f t="shared" si="3"/>
        <v>1.8018018018018018</v>
      </c>
      <c r="M43" s="69"/>
    </row>
    <row r="44" spans="1:13" ht="13.15" customHeight="1">
      <c r="A44" s="42" t="s">
        <v>43</v>
      </c>
      <c r="B44" s="659">
        <f t="shared" si="4"/>
        <v>130</v>
      </c>
      <c r="C44" s="646">
        <f t="shared" si="0"/>
        <v>0.58688095345582592</v>
      </c>
      <c r="D44" s="255"/>
      <c r="E44" s="650">
        <v>129</v>
      </c>
      <c r="F44" s="259">
        <f t="shared" si="1"/>
        <v>99.230769230769226</v>
      </c>
      <c r="G44" s="650"/>
      <c r="H44" s="650">
        <v>0</v>
      </c>
      <c r="I44" s="259">
        <f t="shared" si="2"/>
        <v>0</v>
      </c>
      <c r="J44" s="650"/>
      <c r="K44" s="650">
        <v>1</v>
      </c>
      <c r="L44" s="76">
        <f t="shared" si="3"/>
        <v>0.76923076923076927</v>
      </c>
      <c r="M44" s="69"/>
    </row>
    <row r="45" spans="1:13" ht="13.15" customHeight="1">
      <c r="A45" s="42" t="s">
        <v>44</v>
      </c>
      <c r="B45" s="659">
        <f t="shared" si="4"/>
        <v>238</v>
      </c>
      <c r="C45" s="646">
        <f t="shared" si="0"/>
        <v>1.0744435917114352</v>
      </c>
      <c r="D45" s="255"/>
      <c r="E45" s="650">
        <v>235</v>
      </c>
      <c r="F45" s="259">
        <f t="shared" si="1"/>
        <v>98.739495798319325</v>
      </c>
      <c r="G45" s="650"/>
      <c r="H45" s="650">
        <v>1</v>
      </c>
      <c r="I45" s="259">
        <f t="shared" si="2"/>
        <v>0.42016806722689076</v>
      </c>
      <c r="J45" s="650"/>
      <c r="K45" s="650">
        <v>2</v>
      </c>
      <c r="L45" s="76">
        <f t="shared" si="3"/>
        <v>0.84033613445378152</v>
      </c>
      <c r="M45" s="69"/>
    </row>
    <row r="46" spans="1:13" ht="13.15" customHeight="1">
      <c r="A46" s="42" t="s">
        <v>331</v>
      </c>
      <c r="B46" s="659">
        <f>IF(A46&lt;&gt;0,E46+H46+K46,"")</f>
        <v>409</v>
      </c>
      <c r="C46" s="646">
        <f>IF($A46&lt;&gt;0,B46/$B$11*100,"")</f>
        <v>1.8464177689494832</v>
      </c>
      <c r="D46" s="255"/>
      <c r="E46" s="650">
        <v>398</v>
      </c>
      <c r="F46" s="259">
        <f t="shared" si="1"/>
        <v>97.310513447432768</v>
      </c>
      <c r="G46" s="650"/>
      <c r="H46" s="650">
        <v>4</v>
      </c>
      <c r="I46" s="259">
        <f t="shared" si="2"/>
        <v>0.97799511002444983</v>
      </c>
      <c r="J46" s="650"/>
      <c r="K46" s="650">
        <v>7</v>
      </c>
      <c r="L46" s="76">
        <f>IF($A46&lt;&gt;0,K46/$B46*100,"")</f>
        <v>1.7114914425427872</v>
      </c>
      <c r="M46" s="69"/>
    </row>
    <row r="47" spans="1:13" ht="13.15" customHeight="1">
      <c r="A47" s="42" t="s">
        <v>48</v>
      </c>
      <c r="B47" s="659">
        <f>IF(A47&lt;&gt;0,E47+H47+K47,"")</f>
        <v>216</v>
      </c>
      <c r="C47" s="646">
        <f>IF($A47&lt;&gt;0,B47/$B$11*100,"")</f>
        <v>0.97512527651121839</v>
      </c>
      <c r="D47" s="255"/>
      <c r="E47" s="650">
        <v>212</v>
      </c>
      <c r="F47" s="259">
        <f t="shared" si="1"/>
        <v>98.148148148148152</v>
      </c>
      <c r="G47" s="650"/>
      <c r="H47" s="650">
        <v>2</v>
      </c>
      <c r="I47" s="259">
        <f t="shared" si="2"/>
        <v>0.92592592592592582</v>
      </c>
      <c r="J47" s="650"/>
      <c r="K47" s="650">
        <v>2</v>
      </c>
      <c r="L47" s="76">
        <f>IF($A47&lt;&gt;0,K47/$B47*100,"")</f>
        <v>0.92592592592592582</v>
      </c>
      <c r="M47" s="69"/>
    </row>
    <row r="48" spans="1:13" ht="13.15" customHeight="1">
      <c r="A48" s="42" t="s">
        <v>47</v>
      </c>
      <c r="B48" s="659">
        <f t="shared" si="4"/>
        <v>164</v>
      </c>
      <c r="C48" s="646">
        <f t="shared" si="0"/>
        <v>0.74037289512888815</v>
      </c>
      <c r="D48" s="255"/>
      <c r="E48" s="650">
        <v>158</v>
      </c>
      <c r="F48" s="259">
        <f t="shared" si="1"/>
        <v>96.341463414634148</v>
      </c>
      <c r="G48" s="650"/>
      <c r="H48" s="650">
        <v>4</v>
      </c>
      <c r="I48" s="259">
        <f t="shared" si="2"/>
        <v>2.4390243902439024</v>
      </c>
      <c r="J48" s="650"/>
      <c r="K48" s="650">
        <v>2</v>
      </c>
      <c r="L48" s="76">
        <f t="shared" si="3"/>
        <v>1.2195121951219512</v>
      </c>
      <c r="M48" s="69"/>
    </row>
    <row r="49" spans="1:13" ht="13.15" customHeight="1">
      <c r="A49" s="42" t="s">
        <v>46</v>
      </c>
      <c r="B49" s="659">
        <f t="shared" si="4"/>
        <v>314</v>
      </c>
      <c r="C49" s="646">
        <f t="shared" si="0"/>
        <v>1.4175432260394565</v>
      </c>
      <c r="D49" s="255"/>
      <c r="E49" s="650">
        <v>305</v>
      </c>
      <c r="F49" s="259">
        <f t="shared" si="1"/>
        <v>97.133757961783445</v>
      </c>
      <c r="G49" s="650"/>
      <c r="H49" s="650">
        <v>6</v>
      </c>
      <c r="I49" s="259">
        <f t="shared" si="2"/>
        <v>1.910828025477707</v>
      </c>
      <c r="J49" s="650"/>
      <c r="K49" s="650">
        <v>3</v>
      </c>
      <c r="L49" s="76">
        <f t="shared" si="3"/>
        <v>0.95541401273885351</v>
      </c>
      <c r="M49" s="69"/>
    </row>
    <row r="50" spans="1:13" ht="9.9499999999999993" customHeight="1">
      <c r="A50" s="42"/>
      <c r="B50" s="659" t="str">
        <f t="shared" si="4"/>
        <v/>
      </c>
      <c r="C50" s="646" t="str">
        <f t="shared" si="0"/>
        <v/>
      </c>
      <c r="D50" s="255"/>
      <c r="E50" s="622"/>
      <c r="F50" s="259" t="str">
        <f t="shared" si="1"/>
        <v/>
      </c>
      <c r="G50" s="622"/>
      <c r="H50" s="622"/>
      <c r="I50" s="259" t="str">
        <f t="shared" si="2"/>
        <v/>
      </c>
      <c r="J50" s="622"/>
      <c r="K50" s="622"/>
      <c r="L50" s="76" t="str">
        <f t="shared" si="3"/>
        <v/>
      </c>
      <c r="M50" s="69"/>
    </row>
    <row r="51" spans="1:13" ht="13.15" customHeight="1">
      <c r="A51" s="42" t="s">
        <v>50</v>
      </c>
      <c r="B51" s="659">
        <f t="shared" si="4"/>
        <v>432</v>
      </c>
      <c r="C51" s="646">
        <f t="shared" si="0"/>
        <v>1.9502505530224368</v>
      </c>
      <c r="D51" s="255"/>
      <c r="E51" s="650">
        <v>423</v>
      </c>
      <c r="F51" s="259">
        <f t="shared" si="1"/>
        <v>97.916666666666657</v>
      </c>
      <c r="G51" s="650"/>
      <c r="H51" s="650">
        <v>4</v>
      </c>
      <c r="I51" s="259">
        <f t="shared" si="2"/>
        <v>0.92592592592592582</v>
      </c>
      <c r="J51" s="650"/>
      <c r="K51" s="650">
        <v>5</v>
      </c>
      <c r="L51" s="76">
        <f t="shared" si="3"/>
        <v>1.1574074074074074</v>
      </c>
      <c r="M51" s="69"/>
    </row>
    <row r="52" spans="1:13" ht="9.9499999999999993" customHeight="1">
      <c r="A52" s="42"/>
      <c r="B52" s="659" t="str">
        <f t="shared" si="4"/>
        <v/>
      </c>
      <c r="C52" s="646" t="str">
        <f t="shared" si="0"/>
        <v/>
      </c>
      <c r="D52" s="255"/>
      <c r="E52" s="258"/>
      <c r="F52" s="259" t="str">
        <f t="shared" si="1"/>
        <v/>
      </c>
      <c r="G52" s="255"/>
      <c r="H52" s="258"/>
      <c r="I52" s="259" t="str">
        <f t="shared" si="2"/>
        <v/>
      </c>
      <c r="J52" s="646"/>
      <c r="K52" s="258"/>
      <c r="L52" s="76" t="str">
        <f t="shared" si="3"/>
        <v/>
      </c>
      <c r="M52" s="69"/>
    </row>
    <row r="53" spans="1:13" ht="13.15" customHeight="1">
      <c r="A53" s="42" t="s">
        <v>51</v>
      </c>
      <c r="B53" s="659">
        <f t="shared" si="4"/>
        <v>2009</v>
      </c>
      <c r="C53" s="646">
        <f t="shared" si="0"/>
        <v>9.0695679653288792</v>
      </c>
      <c r="D53" s="255"/>
      <c r="E53" s="258">
        <f>SUM(E54:E58)</f>
        <v>1934</v>
      </c>
      <c r="F53" s="259">
        <f t="shared" si="1"/>
        <v>96.266799402687909</v>
      </c>
      <c r="G53" s="255"/>
      <c r="H53" s="258">
        <f>SUM(H54:H58)</f>
        <v>40</v>
      </c>
      <c r="I53" s="259">
        <f t="shared" si="2"/>
        <v>1.9910403185664509</v>
      </c>
      <c r="J53" s="646"/>
      <c r="K53" s="258">
        <f>SUM(K54:K58)</f>
        <v>35</v>
      </c>
      <c r="L53" s="76">
        <f t="shared" si="3"/>
        <v>1.7421602787456445</v>
      </c>
      <c r="M53" s="69"/>
    </row>
    <row r="54" spans="1:13" ht="13.15" customHeight="1">
      <c r="A54" s="42" t="s">
        <v>52</v>
      </c>
      <c r="B54" s="659">
        <f t="shared" si="4"/>
        <v>35</v>
      </c>
      <c r="C54" s="646">
        <f t="shared" si="0"/>
        <v>0.15800641054579928</v>
      </c>
      <c r="D54" s="255"/>
      <c r="E54" s="650">
        <v>34</v>
      </c>
      <c r="F54" s="259">
        <f t="shared" si="1"/>
        <v>97.142857142857139</v>
      </c>
      <c r="G54" s="650"/>
      <c r="H54" s="650">
        <v>1</v>
      </c>
      <c r="I54" s="259">
        <f t="shared" si="2"/>
        <v>2.8571428571428572</v>
      </c>
      <c r="J54" s="650"/>
      <c r="K54" s="650">
        <v>0</v>
      </c>
      <c r="L54" s="76">
        <f t="shared" si="3"/>
        <v>0</v>
      </c>
      <c r="M54" s="69"/>
    </row>
    <row r="55" spans="1:13" ht="13.15" customHeight="1">
      <c r="A55" s="42" t="s">
        <v>53</v>
      </c>
      <c r="B55" s="659">
        <f t="shared" si="4"/>
        <v>1288</v>
      </c>
      <c r="C55" s="646">
        <f t="shared" si="0"/>
        <v>5.814635908085414</v>
      </c>
      <c r="D55" s="255"/>
      <c r="E55" s="650">
        <v>1242</v>
      </c>
      <c r="F55" s="259">
        <f t="shared" si="1"/>
        <v>96.428571428571431</v>
      </c>
      <c r="G55" s="650"/>
      <c r="H55" s="650">
        <v>28</v>
      </c>
      <c r="I55" s="259">
        <f t="shared" si="2"/>
        <v>2.1739130434782608</v>
      </c>
      <c r="J55" s="650"/>
      <c r="K55" s="650">
        <v>18</v>
      </c>
      <c r="L55" s="76">
        <f t="shared" si="3"/>
        <v>1.3975155279503106</v>
      </c>
      <c r="M55" s="69"/>
    </row>
    <row r="56" spans="1:13" ht="13.15" customHeight="1">
      <c r="A56" s="42" t="s">
        <v>54</v>
      </c>
      <c r="B56" s="659">
        <f t="shared" si="4"/>
        <v>226</v>
      </c>
      <c r="C56" s="646">
        <f t="shared" si="0"/>
        <v>1.0202699652385896</v>
      </c>
      <c r="D56" s="255"/>
      <c r="E56" s="650">
        <v>214</v>
      </c>
      <c r="F56" s="259">
        <f t="shared" si="1"/>
        <v>94.690265486725664</v>
      </c>
      <c r="G56" s="650"/>
      <c r="H56" s="650">
        <v>5</v>
      </c>
      <c r="I56" s="259">
        <f t="shared" si="2"/>
        <v>2.2123893805309733</v>
      </c>
      <c r="J56" s="650"/>
      <c r="K56" s="650">
        <v>7</v>
      </c>
      <c r="L56" s="76">
        <f t="shared" si="3"/>
        <v>3.0973451327433628</v>
      </c>
      <c r="M56" s="69"/>
    </row>
    <row r="57" spans="1:13" ht="13.15" customHeight="1">
      <c r="A57" s="42" t="s">
        <v>332</v>
      </c>
      <c r="B57" s="659">
        <f t="shared" si="4"/>
        <v>304</v>
      </c>
      <c r="C57" s="646">
        <f t="shared" si="0"/>
        <v>1.3723985373120853</v>
      </c>
      <c r="D57" s="255"/>
      <c r="E57" s="650">
        <v>292</v>
      </c>
      <c r="F57" s="259">
        <f t="shared" si="1"/>
        <v>96.05263157894737</v>
      </c>
      <c r="G57" s="650"/>
      <c r="H57" s="650">
        <v>3</v>
      </c>
      <c r="I57" s="259">
        <f t="shared" si="2"/>
        <v>0.98684210526315785</v>
      </c>
      <c r="J57" s="650"/>
      <c r="K57" s="650">
        <v>9</v>
      </c>
      <c r="L57" s="76">
        <f t="shared" si="3"/>
        <v>2.9605263157894735</v>
      </c>
      <c r="M57" s="69"/>
    </row>
    <row r="58" spans="1:13" ht="13.15" customHeight="1">
      <c r="A58" s="42" t="s">
        <v>56</v>
      </c>
      <c r="B58" s="659">
        <f t="shared" si="4"/>
        <v>156</v>
      </c>
      <c r="C58" s="646">
        <f t="shared" si="0"/>
        <v>0.70425714414699114</v>
      </c>
      <c r="D58" s="255"/>
      <c r="E58" s="650">
        <v>152</v>
      </c>
      <c r="F58" s="259">
        <f t="shared" si="1"/>
        <v>97.435897435897431</v>
      </c>
      <c r="G58" s="650"/>
      <c r="H58" s="650">
        <v>3</v>
      </c>
      <c r="I58" s="259">
        <f t="shared" si="2"/>
        <v>1.9230769230769231</v>
      </c>
      <c r="J58" s="650"/>
      <c r="K58" s="650">
        <v>1</v>
      </c>
      <c r="L58" s="76">
        <f t="shared" si="3"/>
        <v>0.64102564102564097</v>
      </c>
      <c r="M58" s="69"/>
    </row>
    <row r="59" spans="1:13" ht="9.9499999999999993" customHeight="1">
      <c r="A59" s="42"/>
      <c r="B59" s="659" t="str">
        <f t="shared" si="4"/>
        <v/>
      </c>
      <c r="C59" s="646" t="str">
        <f t="shared" si="0"/>
        <v/>
      </c>
      <c r="D59" s="255"/>
      <c r="E59" s="258"/>
      <c r="F59" s="259" t="str">
        <f t="shared" si="1"/>
        <v/>
      </c>
      <c r="G59" s="255"/>
      <c r="H59" s="258"/>
      <c r="I59" s="259" t="str">
        <f t="shared" si="2"/>
        <v/>
      </c>
      <c r="J59" s="646"/>
      <c r="K59" s="258"/>
      <c r="L59" s="76" t="str">
        <f t="shared" si="3"/>
        <v/>
      </c>
      <c r="M59" s="69"/>
    </row>
    <row r="60" spans="1:13" ht="13.15" customHeight="1">
      <c r="A60" s="63" t="s">
        <v>333</v>
      </c>
      <c r="B60" s="659">
        <f t="shared" si="4"/>
        <v>1878</v>
      </c>
      <c r="C60" s="646">
        <f t="shared" si="0"/>
        <v>8.4781725430003156</v>
      </c>
      <c r="D60" s="255"/>
      <c r="E60" s="258">
        <f>SUM(E61+E63+E70+E72)</f>
        <v>1836</v>
      </c>
      <c r="F60" s="259">
        <f t="shared" si="1"/>
        <v>97.763578274760391</v>
      </c>
      <c r="G60" s="255"/>
      <c r="H60" s="258">
        <f>SUM(H61+H63+H70+H72)</f>
        <v>14</v>
      </c>
      <c r="I60" s="259">
        <f t="shared" si="2"/>
        <v>0.7454739084132056</v>
      </c>
      <c r="J60" s="646"/>
      <c r="K60" s="258">
        <f>SUM(K61+K63+K70+K72)</f>
        <v>28</v>
      </c>
      <c r="L60" s="76">
        <f t="shared" si="3"/>
        <v>1.4909478168264112</v>
      </c>
      <c r="M60" s="69"/>
    </row>
    <row r="61" spans="1:13" ht="13.15" customHeight="1">
      <c r="A61" s="42" t="s">
        <v>334</v>
      </c>
      <c r="B61" s="659">
        <f t="shared" si="4"/>
        <v>265</v>
      </c>
      <c r="C61" s="646">
        <f t="shared" si="0"/>
        <v>1.1963342512753374</v>
      </c>
      <c r="D61" s="255"/>
      <c r="E61" s="650">
        <v>261</v>
      </c>
      <c r="F61" s="259">
        <f t="shared" si="1"/>
        <v>98.490566037735846</v>
      </c>
      <c r="G61" s="650"/>
      <c r="H61" s="650">
        <v>2</v>
      </c>
      <c r="I61" s="259">
        <f t="shared" si="2"/>
        <v>0.75471698113207553</v>
      </c>
      <c r="J61" s="650"/>
      <c r="K61" s="650">
        <v>2</v>
      </c>
      <c r="L61" s="76">
        <f t="shared" si="3"/>
        <v>0.75471698113207553</v>
      </c>
      <c r="M61" s="69"/>
    </row>
    <row r="62" spans="1:13" ht="9.9499999999999993" customHeight="1">
      <c r="A62" s="42"/>
      <c r="B62" s="659" t="str">
        <f t="shared" si="4"/>
        <v/>
      </c>
      <c r="C62" s="646"/>
      <c r="D62" s="255"/>
      <c r="E62" s="258"/>
      <c r="F62" s="259" t="str">
        <f t="shared" si="1"/>
        <v/>
      </c>
      <c r="G62" s="255"/>
      <c r="H62" s="258"/>
      <c r="I62" s="259" t="str">
        <f t="shared" si="2"/>
        <v/>
      </c>
      <c r="J62" s="646"/>
      <c r="K62" s="258"/>
      <c r="L62" s="76"/>
      <c r="M62" s="69"/>
    </row>
    <row r="63" spans="1:13" ht="13.15" customHeight="1">
      <c r="A63" s="42" t="s">
        <v>60</v>
      </c>
      <c r="B63" s="659">
        <f t="shared" si="4"/>
        <v>1088</v>
      </c>
      <c r="C63" s="646">
        <f t="shared" si="0"/>
        <v>4.9117421335379889</v>
      </c>
      <c r="D63" s="255"/>
      <c r="E63" s="258">
        <f>SUM(E64:E68)</f>
        <v>1065</v>
      </c>
      <c r="F63" s="259">
        <f t="shared" si="1"/>
        <v>97.88602941176471</v>
      </c>
      <c r="G63" s="255"/>
      <c r="H63" s="258">
        <f>SUM(H64:H68)</f>
        <v>4</v>
      </c>
      <c r="I63" s="259">
        <f t="shared" si="2"/>
        <v>0.36764705882352938</v>
      </c>
      <c r="J63" s="646"/>
      <c r="K63" s="258">
        <f>SUM(K64:K68)</f>
        <v>19</v>
      </c>
      <c r="L63" s="76">
        <f t="shared" si="3"/>
        <v>1.7463235294117647</v>
      </c>
      <c r="M63" s="69"/>
    </row>
    <row r="64" spans="1:13" ht="13.15" customHeight="1">
      <c r="A64" s="42" t="s">
        <v>61</v>
      </c>
      <c r="B64" s="659">
        <f t="shared" si="4"/>
        <v>249</v>
      </c>
      <c r="C64" s="646">
        <f t="shared" si="0"/>
        <v>1.1241027493115434</v>
      </c>
      <c r="D64" s="255"/>
      <c r="E64" s="650">
        <v>245</v>
      </c>
      <c r="F64" s="259">
        <f t="shared" si="1"/>
        <v>98.393574297188763</v>
      </c>
      <c r="G64" s="650"/>
      <c r="H64" s="650">
        <v>0</v>
      </c>
      <c r="I64" s="259">
        <f t="shared" si="2"/>
        <v>0</v>
      </c>
      <c r="J64" s="650"/>
      <c r="K64" s="650">
        <v>4</v>
      </c>
      <c r="L64" s="76">
        <f t="shared" si="3"/>
        <v>1.6064257028112447</v>
      </c>
      <c r="M64" s="69"/>
    </row>
    <row r="65" spans="1:13" ht="13.15" customHeight="1">
      <c r="A65" s="42" t="s">
        <v>62</v>
      </c>
      <c r="B65" s="659">
        <f t="shared" si="4"/>
        <v>245</v>
      </c>
      <c r="C65" s="646">
        <f t="shared" si="0"/>
        <v>1.106044873820595</v>
      </c>
      <c r="D65" s="255"/>
      <c r="E65" s="650">
        <v>233</v>
      </c>
      <c r="F65" s="259">
        <f t="shared" si="1"/>
        <v>95.102040816326522</v>
      </c>
      <c r="G65" s="650"/>
      <c r="H65" s="650">
        <v>3</v>
      </c>
      <c r="I65" s="259">
        <f t="shared" si="2"/>
        <v>1.2244897959183674</v>
      </c>
      <c r="J65" s="650"/>
      <c r="K65" s="650">
        <v>9</v>
      </c>
      <c r="L65" s="76">
        <f t="shared" si="3"/>
        <v>3.6734693877551026</v>
      </c>
      <c r="M65" s="69"/>
    </row>
    <row r="66" spans="1:13" ht="13.15" customHeight="1">
      <c r="A66" s="42" t="s">
        <v>64</v>
      </c>
      <c r="B66" s="659">
        <f>IF(A68&lt;&gt;0,E66+H66+K66,"")</f>
        <v>122</v>
      </c>
      <c r="C66" s="646">
        <f t="shared" si="0"/>
        <v>0.55076520247392902</v>
      </c>
      <c r="D66" s="255"/>
      <c r="E66" s="650">
        <v>121</v>
      </c>
      <c r="F66" s="259">
        <f t="shared" si="1"/>
        <v>99.180327868852459</v>
      </c>
      <c r="G66" s="650"/>
      <c r="H66" s="650">
        <v>0</v>
      </c>
      <c r="I66" s="259">
        <f t="shared" si="2"/>
        <v>0</v>
      </c>
      <c r="J66" s="650"/>
      <c r="K66" s="650">
        <v>1</v>
      </c>
      <c r="L66" s="76">
        <f>IF($A68&lt;&gt;0,K66/$B66*100,"")</f>
        <v>0.81967213114754101</v>
      </c>
      <c r="M66" s="69"/>
    </row>
    <row r="67" spans="1:13" ht="13.15" customHeight="1">
      <c r="A67" t="s">
        <v>63</v>
      </c>
      <c r="B67" s="659">
        <f>IF(A67&lt;&gt;0,E67+H67+K67,"")</f>
        <v>89</v>
      </c>
      <c r="C67" s="646">
        <f t="shared" si="0"/>
        <v>0.40178772967360388</v>
      </c>
      <c r="D67" s="255"/>
      <c r="E67" s="650">
        <v>87</v>
      </c>
      <c r="F67" s="259">
        <f t="shared" si="1"/>
        <v>97.752808988764045</v>
      </c>
      <c r="G67" s="650"/>
      <c r="H67" s="650">
        <v>0</v>
      </c>
      <c r="I67" s="259">
        <f t="shared" si="2"/>
        <v>0</v>
      </c>
      <c r="J67" s="650"/>
      <c r="K67" s="650">
        <v>2</v>
      </c>
      <c r="L67" s="76">
        <f>IF($A68&lt;&gt;0,K67/$B67*100,"")</f>
        <v>2.2471910112359552</v>
      </c>
      <c r="M67" s="69"/>
    </row>
    <row r="68" spans="1:13" ht="13.15" customHeight="1">
      <c r="A68" s="42" t="s">
        <v>65</v>
      </c>
      <c r="B68" s="659">
        <f>IF(A66&lt;&gt;0,E68+H68+K68,"")</f>
        <v>383</v>
      </c>
      <c r="C68" s="646">
        <f t="shared" si="0"/>
        <v>1.7290415782583179</v>
      </c>
      <c r="D68" s="255"/>
      <c r="E68" s="650">
        <v>379</v>
      </c>
      <c r="F68" s="259">
        <f t="shared" si="1"/>
        <v>98.955613577023499</v>
      </c>
      <c r="G68" s="650"/>
      <c r="H68" s="650">
        <v>1</v>
      </c>
      <c r="I68" s="259">
        <f t="shared" si="2"/>
        <v>0.26109660574412535</v>
      </c>
      <c r="J68" s="650"/>
      <c r="K68" s="650">
        <v>3</v>
      </c>
      <c r="L68" s="76">
        <f>IF($A66&lt;&gt;0,K68/$B68*100,"")</f>
        <v>0.7832898172323759</v>
      </c>
      <c r="M68" s="69"/>
    </row>
    <row r="69" spans="1:13" ht="9.9499999999999993" customHeight="1">
      <c r="A69" s="42"/>
      <c r="B69" s="659" t="str">
        <f t="shared" si="4"/>
        <v/>
      </c>
      <c r="C69" s="646"/>
      <c r="D69" s="255"/>
      <c r="E69" s="622"/>
      <c r="F69" s="259" t="str">
        <f t="shared" si="1"/>
        <v/>
      </c>
      <c r="G69" s="622"/>
      <c r="H69" s="622"/>
      <c r="I69" s="259" t="str">
        <f t="shared" si="2"/>
        <v/>
      </c>
      <c r="J69" s="622"/>
      <c r="K69" s="622"/>
      <c r="L69" s="76"/>
      <c r="M69" s="69"/>
    </row>
    <row r="70" spans="1:13" ht="13.15" customHeight="1">
      <c r="A70" s="42" t="s">
        <v>66</v>
      </c>
      <c r="B70" s="659">
        <f t="shared" si="4"/>
        <v>222</v>
      </c>
      <c r="C70" s="646">
        <f t="shared" si="0"/>
        <v>1.0022120897476412</v>
      </c>
      <c r="D70" s="255"/>
      <c r="E70" s="650">
        <v>219</v>
      </c>
      <c r="F70" s="259">
        <f t="shared" si="1"/>
        <v>98.648648648648646</v>
      </c>
      <c r="G70" s="650"/>
      <c r="H70" s="650">
        <v>1</v>
      </c>
      <c r="I70" s="259">
        <f t="shared" si="2"/>
        <v>0.45045045045045046</v>
      </c>
      <c r="J70" s="650"/>
      <c r="K70" s="650">
        <v>2</v>
      </c>
      <c r="L70" s="76">
        <f t="shared" si="3"/>
        <v>0.90090090090090091</v>
      </c>
      <c r="M70" s="69"/>
    </row>
    <row r="71" spans="1:13" ht="11.1" customHeight="1">
      <c r="A71" s="42"/>
      <c r="B71" s="659" t="str">
        <f t="shared" si="4"/>
        <v/>
      </c>
      <c r="C71" s="646" t="str">
        <f t="shared" si="0"/>
        <v/>
      </c>
      <c r="D71" s="255"/>
      <c r="E71" s="622"/>
      <c r="F71" s="259" t="str">
        <f t="shared" si="1"/>
        <v/>
      </c>
      <c r="G71" s="622"/>
      <c r="H71" s="622"/>
      <c r="I71" s="259" t="str">
        <f t="shared" si="2"/>
        <v/>
      </c>
      <c r="J71" s="622"/>
      <c r="K71" s="622"/>
      <c r="L71" s="76" t="str">
        <f t="shared" si="3"/>
        <v/>
      </c>
      <c r="M71" s="69"/>
    </row>
    <row r="72" spans="1:13" ht="13.15" customHeight="1">
      <c r="A72" s="42" t="s">
        <v>67</v>
      </c>
      <c r="B72" s="659">
        <f t="shared" si="4"/>
        <v>303</v>
      </c>
      <c r="C72" s="646">
        <f t="shared" si="0"/>
        <v>1.3678840684393481</v>
      </c>
      <c r="D72" s="255"/>
      <c r="E72" s="650">
        <v>291</v>
      </c>
      <c r="F72" s="259">
        <f t="shared" si="1"/>
        <v>96.039603960396036</v>
      </c>
      <c r="G72" s="650"/>
      <c r="H72" s="650">
        <v>7</v>
      </c>
      <c r="I72" s="259">
        <f t="shared" si="2"/>
        <v>2.3102310231023102</v>
      </c>
      <c r="J72" s="650"/>
      <c r="K72" s="650">
        <v>5</v>
      </c>
      <c r="L72" s="76">
        <f t="shared" si="3"/>
        <v>1.6501650165016499</v>
      </c>
      <c r="M72" s="69"/>
    </row>
    <row r="73" spans="1:13" ht="9.9499999999999993" customHeight="1">
      <c r="A73" s="42"/>
      <c r="B73" s="659" t="str">
        <f t="shared" si="4"/>
        <v/>
      </c>
      <c r="C73" s="646" t="str">
        <f t="shared" si="0"/>
        <v/>
      </c>
      <c r="D73" s="255"/>
      <c r="E73" s="258"/>
      <c r="F73" s="259" t="str">
        <f t="shared" si="1"/>
        <v/>
      </c>
      <c r="G73" s="255"/>
      <c r="H73" s="258"/>
      <c r="I73" s="259" t="str">
        <f t="shared" si="2"/>
        <v/>
      </c>
      <c r="J73" s="646"/>
      <c r="K73" s="258"/>
      <c r="L73" s="76" t="str">
        <f t="shared" si="3"/>
        <v/>
      </c>
      <c r="M73" s="69"/>
    </row>
    <row r="74" spans="1:13" ht="13.15" customHeight="1">
      <c r="A74" s="63" t="s">
        <v>336</v>
      </c>
      <c r="B74" s="659">
        <f t="shared" si="4"/>
        <v>702</v>
      </c>
      <c r="C74" s="646">
        <f t="shared" si="0"/>
        <v>3.1691571486614598</v>
      </c>
      <c r="D74" s="255"/>
      <c r="E74" s="258">
        <f>E75</f>
        <v>697</v>
      </c>
      <c r="F74" s="259">
        <f t="shared" si="1"/>
        <v>99.287749287749278</v>
      </c>
      <c r="G74" s="255"/>
      <c r="H74" s="258">
        <f>H75</f>
        <v>2</v>
      </c>
      <c r="I74" s="259">
        <f t="shared" si="2"/>
        <v>0.28490028490028491</v>
      </c>
      <c r="J74" s="646"/>
      <c r="K74" s="258">
        <f>K75</f>
        <v>3</v>
      </c>
      <c r="L74" s="76">
        <f t="shared" si="3"/>
        <v>0.42735042735042739</v>
      </c>
      <c r="M74" s="69"/>
    </row>
    <row r="75" spans="1:13" ht="13.15" customHeight="1">
      <c r="A75" s="42" t="s">
        <v>69</v>
      </c>
      <c r="B75" s="659">
        <f t="shared" si="4"/>
        <v>702</v>
      </c>
      <c r="C75" s="646">
        <f t="shared" si="0"/>
        <v>3.1691571486614598</v>
      </c>
      <c r="D75" s="255"/>
      <c r="E75" s="258">
        <f>SUM(E76:E79)</f>
        <v>697</v>
      </c>
      <c r="F75" s="259">
        <f t="shared" si="1"/>
        <v>99.287749287749278</v>
      </c>
      <c r="G75" s="255"/>
      <c r="H75" s="258">
        <f>SUM(H76:H79)</f>
        <v>2</v>
      </c>
      <c r="I75" s="259">
        <f t="shared" si="2"/>
        <v>0.28490028490028491</v>
      </c>
      <c r="J75" s="646"/>
      <c r="K75" s="258">
        <f>SUM(K76:K79)</f>
        <v>3</v>
      </c>
      <c r="L75" s="76">
        <f t="shared" si="3"/>
        <v>0.42735042735042739</v>
      </c>
      <c r="M75" s="69"/>
    </row>
    <row r="76" spans="1:13" ht="13.15" customHeight="1">
      <c r="A76" s="42" t="s">
        <v>70</v>
      </c>
      <c r="B76" s="659">
        <f t="shared" si="4"/>
        <v>214</v>
      </c>
      <c r="C76" s="646">
        <f t="shared" ref="C76:C101" si="5">IF($A76&lt;&gt;0,B76/$B$11*100,"")</f>
        <v>0.96609633876574419</v>
      </c>
      <c r="D76" s="255"/>
      <c r="E76" s="650">
        <v>212</v>
      </c>
      <c r="F76" s="259">
        <f t="shared" ref="F76:F101" si="6">IF($A76&lt;&gt;0,E76/$B76*100,"")</f>
        <v>99.065420560747668</v>
      </c>
      <c r="G76" s="650"/>
      <c r="H76" s="650">
        <v>1</v>
      </c>
      <c r="I76" s="259">
        <f t="shared" ref="I76:I101" si="7">IF($A76&lt;&gt;0,H76/$B76*100,"")</f>
        <v>0.46728971962616817</v>
      </c>
      <c r="J76" s="650"/>
      <c r="K76" s="650">
        <v>1</v>
      </c>
      <c r="L76" s="76">
        <f t="shared" ref="L76:L101" si="8">IF($A76&lt;&gt;0,K76/$B76*100,"")</f>
        <v>0.46728971962616817</v>
      </c>
      <c r="M76" s="69"/>
    </row>
    <row r="77" spans="1:13" ht="13.15" customHeight="1">
      <c r="A77" s="42" t="s">
        <v>71</v>
      </c>
      <c r="B77" s="659">
        <f t="shared" si="4"/>
        <v>274</v>
      </c>
      <c r="C77" s="646">
        <f t="shared" si="5"/>
        <v>1.2369644711299717</v>
      </c>
      <c r="D77" s="255"/>
      <c r="E77" s="650">
        <v>273</v>
      </c>
      <c r="F77" s="259">
        <f t="shared" si="6"/>
        <v>99.635036496350367</v>
      </c>
      <c r="G77" s="650"/>
      <c r="H77" s="650">
        <v>0</v>
      </c>
      <c r="I77" s="259">
        <f t="shared" si="7"/>
        <v>0</v>
      </c>
      <c r="J77" s="650"/>
      <c r="K77" s="650">
        <v>1</v>
      </c>
      <c r="L77" s="76">
        <f t="shared" si="8"/>
        <v>0.36496350364963503</v>
      </c>
      <c r="M77" s="69"/>
    </row>
    <row r="78" spans="1:13" ht="13.15" customHeight="1">
      <c r="A78" s="42" t="s">
        <v>72</v>
      </c>
      <c r="B78" s="659">
        <f t="shared" ref="B78:B101" si="9">IF(A78&lt;&gt;0,E78+H78+K78,"")</f>
        <v>154</v>
      </c>
      <c r="C78" s="646">
        <f t="shared" si="5"/>
        <v>0.69522820640151684</v>
      </c>
      <c r="D78" s="255"/>
      <c r="E78" s="650">
        <v>152</v>
      </c>
      <c r="F78" s="259">
        <f t="shared" si="6"/>
        <v>98.701298701298697</v>
      </c>
      <c r="G78" s="650"/>
      <c r="H78" s="650">
        <v>1</v>
      </c>
      <c r="I78" s="259">
        <f t="shared" si="7"/>
        <v>0.64935064935064934</v>
      </c>
      <c r="J78" s="650"/>
      <c r="K78" s="650">
        <v>1</v>
      </c>
      <c r="L78" s="76">
        <f t="shared" si="8"/>
        <v>0.64935064935064934</v>
      </c>
      <c r="M78" s="69"/>
    </row>
    <row r="79" spans="1:13" ht="13.15" customHeight="1">
      <c r="A79" s="42" t="s">
        <v>73</v>
      </c>
      <c r="B79" s="659">
        <f t="shared" si="9"/>
        <v>60</v>
      </c>
      <c r="C79" s="646">
        <f t="shared" si="5"/>
        <v>0.27086813236422735</v>
      </c>
      <c r="D79" s="255"/>
      <c r="E79" s="650">
        <v>60</v>
      </c>
      <c r="F79" s="259">
        <f t="shared" si="6"/>
        <v>100</v>
      </c>
      <c r="G79" s="650"/>
      <c r="H79" s="650">
        <v>0</v>
      </c>
      <c r="I79" s="259">
        <f t="shared" si="7"/>
        <v>0</v>
      </c>
      <c r="J79" s="650"/>
      <c r="K79" s="650">
        <v>0</v>
      </c>
      <c r="L79" s="76">
        <f t="shared" si="8"/>
        <v>0</v>
      </c>
      <c r="M79" s="69"/>
    </row>
    <row r="80" spans="1:13" ht="9.9499999999999993" customHeight="1">
      <c r="A80" s="42"/>
      <c r="B80" s="659"/>
      <c r="C80" s="646"/>
      <c r="D80" s="255"/>
      <c r="E80" s="660"/>
      <c r="F80" s="259" t="str">
        <f t="shared" si="6"/>
        <v/>
      </c>
      <c r="G80" s="255"/>
      <c r="H80" s="660"/>
      <c r="I80" s="259" t="str">
        <f t="shared" si="7"/>
        <v/>
      </c>
      <c r="J80" s="646"/>
      <c r="K80" s="660"/>
      <c r="L80" s="76"/>
      <c r="M80" s="69"/>
    </row>
    <row r="81" spans="1:13" ht="11.1" customHeight="1">
      <c r="A81" s="63" t="s">
        <v>396</v>
      </c>
      <c r="B81" s="659">
        <f t="shared" si="9"/>
        <v>2428</v>
      </c>
      <c r="C81" s="646">
        <f t="shared" si="5"/>
        <v>10.961130423005732</v>
      </c>
      <c r="D81" s="255"/>
      <c r="E81" s="295">
        <f>SUM(E82)</f>
        <v>2406</v>
      </c>
      <c r="F81" s="259">
        <f t="shared" si="6"/>
        <v>99.093904448105434</v>
      </c>
      <c r="G81" s="255"/>
      <c r="H81" s="258">
        <f>SUM(H82)</f>
        <v>15</v>
      </c>
      <c r="I81" s="259">
        <f t="shared" si="7"/>
        <v>0.61779242174629323</v>
      </c>
      <c r="J81" s="646"/>
      <c r="K81" s="258">
        <f>SUM(K82)</f>
        <v>7</v>
      </c>
      <c r="L81" s="76">
        <f t="shared" si="8"/>
        <v>0.28830313014827019</v>
      </c>
      <c r="M81" s="69"/>
    </row>
    <row r="82" spans="1:13" ht="13.15" customHeight="1">
      <c r="A82" s="42" t="s">
        <v>75</v>
      </c>
      <c r="B82" s="659">
        <f t="shared" si="9"/>
        <v>2428</v>
      </c>
      <c r="C82" s="646">
        <f t="shared" si="5"/>
        <v>10.961130423005732</v>
      </c>
      <c r="D82" s="255"/>
      <c r="E82" s="258">
        <f>SUM(E83:E91)</f>
        <v>2406</v>
      </c>
      <c r="F82" s="259">
        <f t="shared" si="6"/>
        <v>99.093904448105434</v>
      </c>
      <c r="G82" s="255"/>
      <c r="H82" s="258">
        <f>SUM(H83:H91)</f>
        <v>15</v>
      </c>
      <c r="I82" s="259">
        <f t="shared" si="7"/>
        <v>0.61779242174629323</v>
      </c>
      <c r="J82" s="646"/>
      <c r="K82" s="258">
        <f>SUM(K83:K91)</f>
        <v>7</v>
      </c>
      <c r="L82" s="76">
        <f t="shared" si="8"/>
        <v>0.28830313014827019</v>
      </c>
      <c r="M82" s="69"/>
    </row>
    <row r="83" spans="1:13" ht="13.15" customHeight="1">
      <c r="A83" s="42" t="s">
        <v>338</v>
      </c>
      <c r="B83" s="659">
        <f t="shared" si="9"/>
        <v>241</v>
      </c>
      <c r="C83" s="646">
        <f t="shared" si="5"/>
        <v>1.0879869983296466</v>
      </c>
      <c r="D83" s="255"/>
      <c r="E83" s="650">
        <v>239</v>
      </c>
      <c r="F83" s="259">
        <f t="shared" si="6"/>
        <v>99.170124481327804</v>
      </c>
      <c r="G83" s="650"/>
      <c r="H83" s="650">
        <v>1</v>
      </c>
      <c r="I83" s="259">
        <f t="shared" si="7"/>
        <v>0.41493775933609961</v>
      </c>
      <c r="J83" s="650"/>
      <c r="K83" s="650">
        <v>1</v>
      </c>
      <c r="L83" s="76">
        <f t="shared" si="8"/>
        <v>0.41493775933609961</v>
      </c>
      <c r="M83" s="69"/>
    </row>
    <row r="84" spans="1:13" ht="13.15" customHeight="1">
      <c r="A84" s="42" t="s">
        <v>76</v>
      </c>
      <c r="B84" s="659">
        <f t="shared" si="9"/>
        <v>332</v>
      </c>
      <c r="C84" s="646">
        <f t="shared" si="5"/>
        <v>1.4988036657487247</v>
      </c>
      <c r="D84" s="255"/>
      <c r="E84" s="650">
        <v>330</v>
      </c>
      <c r="F84" s="259">
        <f t="shared" si="6"/>
        <v>99.397590361445793</v>
      </c>
      <c r="G84" s="650"/>
      <c r="H84" s="650">
        <v>1</v>
      </c>
      <c r="I84" s="259">
        <f t="shared" si="7"/>
        <v>0.30120481927710846</v>
      </c>
      <c r="J84" s="650"/>
      <c r="K84" s="650">
        <v>1</v>
      </c>
      <c r="L84" s="76">
        <f t="shared" si="8"/>
        <v>0.30120481927710846</v>
      </c>
      <c r="M84" s="69"/>
    </row>
    <row r="85" spans="1:13" ht="13.15" customHeight="1">
      <c r="A85" s="42" t="s">
        <v>78</v>
      </c>
      <c r="B85" s="659">
        <f t="shared" si="9"/>
        <v>445</v>
      </c>
      <c r="C85" s="646">
        <f t="shared" si="5"/>
        <v>2.0089386483680194</v>
      </c>
      <c r="D85" s="255"/>
      <c r="E85" s="650">
        <v>442</v>
      </c>
      <c r="F85" s="259">
        <f t="shared" si="6"/>
        <v>99.325842696629223</v>
      </c>
      <c r="G85" s="650"/>
      <c r="H85" s="650">
        <v>3</v>
      </c>
      <c r="I85" s="259">
        <f t="shared" si="7"/>
        <v>0.6741573033707865</v>
      </c>
      <c r="J85" s="650"/>
      <c r="K85" s="650">
        <v>0</v>
      </c>
      <c r="L85" s="76">
        <f t="shared" si="8"/>
        <v>0</v>
      </c>
      <c r="M85" s="69"/>
    </row>
    <row r="86" spans="1:13" ht="13.15" customHeight="1">
      <c r="A86" s="42" t="s">
        <v>80</v>
      </c>
      <c r="B86" s="659">
        <f t="shared" si="9"/>
        <v>131</v>
      </c>
      <c r="C86" s="646">
        <f t="shared" si="5"/>
        <v>0.59139542232856301</v>
      </c>
      <c r="D86" s="255"/>
      <c r="E86" s="650">
        <v>128</v>
      </c>
      <c r="F86" s="259">
        <f t="shared" si="6"/>
        <v>97.70992366412213</v>
      </c>
      <c r="G86" s="650"/>
      <c r="H86" s="650">
        <v>2</v>
      </c>
      <c r="I86" s="259">
        <f t="shared" si="7"/>
        <v>1.5267175572519083</v>
      </c>
      <c r="J86" s="650"/>
      <c r="K86" s="650">
        <v>1</v>
      </c>
      <c r="L86" s="76">
        <f t="shared" si="8"/>
        <v>0.76335877862595414</v>
      </c>
      <c r="M86" s="69"/>
    </row>
    <row r="87" spans="1:13" ht="13.15" customHeight="1">
      <c r="A87" s="42" t="s">
        <v>79</v>
      </c>
      <c r="B87" s="659">
        <f t="shared" si="9"/>
        <v>181</v>
      </c>
      <c r="C87" s="646">
        <f t="shared" si="5"/>
        <v>0.81711886596541916</v>
      </c>
      <c r="D87" s="255"/>
      <c r="E87" s="650">
        <v>180</v>
      </c>
      <c r="F87" s="259">
        <f t="shared" si="6"/>
        <v>99.447513812154696</v>
      </c>
      <c r="G87" s="650"/>
      <c r="H87" s="650">
        <v>1</v>
      </c>
      <c r="I87" s="259">
        <f t="shared" si="7"/>
        <v>0.55248618784530379</v>
      </c>
      <c r="J87" s="650"/>
      <c r="K87" s="650">
        <v>0</v>
      </c>
      <c r="L87" s="76">
        <f t="shared" si="8"/>
        <v>0</v>
      </c>
      <c r="M87" s="69"/>
    </row>
    <row r="88" spans="1:13" ht="13.15" customHeight="1">
      <c r="A88" s="42" t="s">
        <v>77</v>
      </c>
      <c r="B88" s="659">
        <f t="shared" si="9"/>
        <v>285</v>
      </c>
      <c r="C88" s="646">
        <f t="shared" si="5"/>
        <v>1.2866236287300798</v>
      </c>
      <c r="D88" s="255"/>
      <c r="E88" s="650">
        <v>284</v>
      </c>
      <c r="F88" s="259">
        <f t="shared" si="6"/>
        <v>99.649122807017548</v>
      </c>
      <c r="G88" s="650"/>
      <c r="H88" s="650">
        <v>0</v>
      </c>
      <c r="I88" s="259">
        <f t="shared" si="7"/>
        <v>0</v>
      </c>
      <c r="J88" s="650"/>
      <c r="K88" s="650">
        <v>1</v>
      </c>
      <c r="L88" s="76">
        <f t="shared" si="8"/>
        <v>0.35087719298245612</v>
      </c>
      <c r="M88" s="69"/>
    </row>
    <row r="89" spans="1:13" ht="13.15" customHeight="1">
      <c r="A89" s="42" t="s">
        <v>81</v>
      </c>
      <c r="B89" s="659">
        <f t="shared" si="9"/>
        <v>301</v>
      </c>
      <c r="C89" s="646">
        <f t="shared" si="5"/>
        <v>1.3588551306938739</v>
      </c>
      <c r="D89" s="255"/>
      <c r="E89" s="650">
        <v>298</v>
      </c>
      <c r="F89" s="259">
        <f t="shared" si="6"/>
        <v>99.003322259136212</v>
      </c>
      <c r="G89" s="650"/>
      <c r="H89" s="650">
        <v>1</v>
      </c>
      <c r="I89" s="259">
        <f t="shared" si="7"/>
        <v>0.33222591362126247</v>
      </c>
      <c r="J89" s="650"/>
      <c r="K89" s="650">
        <v>2</v>
      </c>
      <c r="L89" s="76">
        <f t="shared" si="8"/>
        <v>0.66445182724252494</v>
      </c>
      <c r="M89" s="69"/>
    </row>
    <row r="90" spans="1:13" ht="13.15" customHeight="1">
      <c r="A90" s="42" t="s">
        <v>1152</v>
      </c>
      <c r="B90" s="659">
        <f t="shared" si="9"/>
        <v>234</v>
      </c>
      <c r="C90" s="646">
        <f t="shared" si="5"/>
        <v>1.0563857162204866</v>
      </c>
      <c r="D90" s="255"/>
      <c r="E90" s="650">
        <v>232</v>
      </c>
      <c r="F90" s="259">
        <f t="shared" si="6"/>
        <v>99.145299145299148</v>
      </c>
      <c r="G90" s="650"/>
      <c r="H90" s="650">
        <v>2</v>
      </c>
      <c r="I90" s="259">
        <f t="shared" si="7"/>
        <v>0.85470085470085477</v>
      </c>
      <c r="J90" s="650"/>
      <c r="K90" s="650">
        <v>0</v>
      </c>
      <c r="L90" s="76">
        <f t="shared" si="8"/>
        <v>0</v>
      </c>
      <c r="M90" s="69"/>
    </row>
    <row r="91" spans="1:13" ht="13.15" customHeight="1">
      <c r="A91" s="42" t="s">
        <v>339</v>
      </c>
      <c r="B91" s="659">
        <f t="shared" si="9"/>
        <v>278</v>
      </c>
      <c r="C91" s="646">
        <f t="shared" si="5"/>
        <v>1.25502234662092</v>
      </c>
      <c r="D91" s="255"/>
      <c r="E91" s="650">
        <v>273</v>
      </c>
      <c r="F91" s="259">
        <f t="shared" si="6"/>
        <v>98.201438848920859</v>
      </c>
      <c r="G91" s="650"/>
      <c r="H91" s="650">
        <v>4</v>
      </c>
      <c r="I91" s="259">
        <f t="shared" si="7"/>
        <v>1.4388489208633095</v>
      </c>
      <c r="J91" s="650"/>
      <c r="K91" s="650">
        <v>1</v>
      </c>
      <c r="L91" s="76">
        <f t="shared" si="8"/>
        <v>0.35971223021582738</v>
      </c>
      <c r="M91" s="69"/>
    </row>
    <row r="92" spans="1:13" ht="9.75" customHeight="1">
      <c r="A92" s="42"/>
      <c r="B92" s="659" t="str">
        <f t="shared" si="9"/>
        <v/>
      </c>
      <c r="C92" s="646" t="str">
        <f t="shared" si="5"/>
        <v/>
      </c>
      <c r="D92" s="255"/>
      <c r="E92" s="622"/>
      <c r="F92" s="259" t="str">
        <f t="shared" si="6"/>
        <v/>
      </c>
      <c r="G92" s="622"/>
      <c r="H92" s="622"/>
      <c r="I92" s="259" t="str">
        <f t="shared" si="7"/>
        <v/>
      </c>
      <c r="J92" s="622"/>
      <c r="K92" s="622"/>
      <c r="L92" s="76" t="str">
        <f t="shared" si="8"/>
        <v/>
      </c>
      <c r="M92" s="69"/>
    </row>
    <row r="93" spans="1:13" ht="13.15" customHeight="1">
      <c r="A93" s="42" t="s">
        <v>340</v>
      </c>
      <c r="B93" s="659">
        <f t="shared" si="9"/>
        <v>265</v>
      </c>
      <c r="C93" s="646">
        <f t="shared" si="5"/>
        <v>1.1963342512753374</v>
      </c>
      <c r="D93" s="255"/>
      <c r="E93" s="662">
        <v>262</v>
      </c>
      <c r="F93" s="259">
        <f t="shared" si="6"/>
        <v>98.867924528301884</v>
      </c>
      <c r="G93" s="662"/>
      <c r="H93" s="662">
        <v>0</v>
      </c>
      <c r="I93" s="259">
        <f t="shared" si="7"/>
        <v>0</v>
      </c>
      <c r="J93" s="662"/>
      <c r="K93" s="662">
        <v>3</v>
      </c>
      <c r="L93" s="76">
        <f t="shared" si="8"/>
        <v>1.1320754716981132</v>
      </c>
      <c r="M93" s="69"/>
    </row>
    <row r="94" spans="1:13" ht="13.15" customHeight="1">
      <c r="A94" s="42" t="s">
        <v>920</v>
      </c>
      <c r="B94" s="659">
        <f t="shared" si="9"/>
        <v>385</v>
      </c>
      <c r="C94" s="646">
        <f t="shared" si="5"/>
        <v>1.7380705160037919</v>
      </c>
      <c r="D94" s="255"/>
      <c r="E94" s="650">
        <v>379</v>
      </c>
      <c r="F94" s="259">
        <f t="shared" si="6"/>
        <v>98.441558441558442</v>
      </c>
      <c r="G94" s="650"/>
      <c r="H94" s="650">
        <v>4</v>
      </c>
      <c r="I94" s="259">
        <f t="shared" si="7"/>
        <v>1.0389610389610389</v>
      </c>
      <c r="J94" s="650"/>
      <c r="K94" s="650">
        <v>2</v>
      </c>
      <c r="L94" s="76">
        <f t="shared" si="8"/>
        <v>0.51948051948051943</v>
      </c>
      <c r="M94" s="69"/>
    </row>
    <row r="95" spans="1:13" ht="9.9499999999999993" customHeight="1">
      <c r="A95" s="42"/>
      <c r="B95" s="659" t="str">
        <f t="shared" si="9"/>
        <v/>
      </c>
      <c r="C95" s="646" t="str">
        <f t="shared" si="5"/>
        <v/>
      </c>
      <c r="D95" s="255"/>
      <c r="E95" s="258"/>
      <c r="F95" s="259" t="str">
        <f t="shared" si="6"/>
        <v/>
      </c>
      <c r="G95" s="255"/>
      <c r="H95" s="258"/>
      <c r="I95" s="259" t="str">
        <f t="shared" si="7"/>
        <v/>
      </c>
      <c r="J95" s="646"/>
      <c r="K95" s="44"/>
      <c r="L95" s="76" t="str">
        <f t="shared" si="8"/>
        <v/>
      </c>
      <c r="M95" s="69"/>
    </row>
    <row r="96" spans="1:13" ht="12" customHeight="1">
      <c r="A96" s="565" t="s">
        <v>346</v>
      </c>
      <c r="B96" s="659">
        <f t="shared" si="9"/>
        <v>7572</v>
      </c>
      <c r="C96" s="646">
        <f t="shared" si="5"/>
        <v>34.183558304365491</v>
      </c>
      <c r="D96" s="255"/>
      <c r="E96" s="258">
        <f>SUM(E97:E101)</f>
        <v>7292</v>
      </c>
      <c r="F96" s="259">
        <f t="shared" si="6"/>
        <v>96.302165874273641</v>
      </c>
      <c r="G96" s="255"/>
      <c r="H96" s="258">
        <f>SUM(H97:H101)</f>
        <v>136</v>
      </c>
      <c r="I96" s="259">
        <f t="shared" si="7"/>
        <v>1.7960908610670894</v>
      </c>
      <c r="J96" s="646"/>
      <c r="K96" s="258">
        <f>SUM(K97:K101)</f>
        <v>144</v>
      </c>
      <c r="L96" s="76">
        <f t="shared" si="8"/>
        <v>1.9017432646592711</v>
      </c>
      <c r="M96" s="69"/>
    </row>
    <row r="97" spans="1:13" ht="13.15" customHeight="1">
      <c r="A97" s="42" t="s">
        <v>347</v>
      </c>
      <c r="B97" s="659">
        <f t="shared" si="9"/>
        <v>2429</v>
      </c>
      <c r="C97" s="646">
        <f t="shared" si="5"/>
        <v>10.965644891878471</v>
      </c>
      <c r="D97" s="255"/>
      <c r="E97" s="650">
        <v>2350</v>
      </c>
      <c r="F97" s="259">
        <f t="shared" si="6"/>
        <v>96.747632770687531</v>
      </c>
      <c r="G97" s="650"/>
      <c r="H97" s="650">
        <v>49</v>
      </c>
      <c r="I97" s="259">
        <f t="shared" si="7"/>
        <v>2.0172910662824206</v>
      </c>
      <c r="J97" s="650"/>
      <c r="K97" s="650">
        <v>30</v>
      </c>
      <c r="L97" s="76">
        <f t="shared" si="8"/>
        <v>1.2350761630300535</v>
      </c>
      <c r="M97" s="69"/>
    </row>
    <row r="98" spans="1:13" ht="13.15" customHeight="1">
      <c r="A98" s="42" t="s">
        <v>348</v>
      </c>
      <c r="B98" s="659">
        <f t="shared" si="9"/>
        <v>1544</v>
      </c>
      <c r="C98" s="646">
        <f t="shared" si="5"/>
        <v>6.9703399395061174</v>
      </c>
      <c r="D98" s="255"/>
      <c r="E98" s="650">
        <v>1496</v>
      </c>
      <c r="F98" s="259">
        <f t="shared" si="6"/>
        <v>96.891191709844563</v>
      </c>
      <c r="G98" s="650"/>
      <c r="H98" s="650">
        <v>21</v>
      </c>
      <c r="I98" s="259">
        <f t="shared" si="7"/>
        <v>1.3601036269430051</v>
      </c>
      <c r="J98" s="650"/>
      <c r="K98" s="650">
        <v>27</v>
      </c>
      <c r="L98" s="76">
        <f t="shared" si="8"/>
        <v>1.7487046632124352</v>
      </c>
      <c r="M98" s="69"/>
    </row>
    <row r="99" spans="1:13" ht="13.15" customHeight="1">
      <c r="A99" s="42" t="s">
        <v>349</v>
      </c>
      <c r="B99" s="659">
        <f t="shared" si="9"/>
        <v>1520</v>
      </c>
      <c r="C99" s="646">
        <f t="shared" si="5"/>
        <v>6.861992686560427</v>
      </c>
      <c r="D99" s="45"/>
      <c r="E99" s="650">
        <v>1465</v>
      </c>
      <c r="F99" s="259">
        <f t="shared" si="6"/>
        <v>96.381578947368425</v>
      </c>
      <c r="G99" s="650"/>
      <c r="H99" s="650">
        <v>20</v>
      </c>
      <c r="I99" s="259">
        <f t="shared" si="7"/>
        <v>1.3157894736842104</v>
      </c>
      <c r="J99" s="650"/>
      <c r="K99" s="650">
        <v>35</v>
      </c>
      <c r="L99" s="76">
        <f t="shared" si="8"/>
        <v>2.3026315789473681</v>
      </c>
      <c r="M99" s="69"/>
    </row>
    <row r="100" spans="1:13" ht="13.15" customHeight="1">
      <c r="A100" s="42" t="s">
        <v>378</v>
      </c>
      <c r="B100" s="659">
        <f t="shared" si="9"/>
        <v>1139</v>
      </c>
      <c r="C100" s="646">
        <f t="shared" si="5"/>
        <v>5.1419800460475829</v>
      </c>
      <c r="D100" s="45"/>
      <c r="E100" s="650">
        <v>1063</v>
      </c>
      <c r="F100" s="259">
        <f t="shared" si="6"/>
        <v>93.327480245829676</v>
      </c>
      <c r="G100" s="650"/>
      <c r="H100" s="650">
        <v>32</v>
      </c>
      <c r="I100" s="259">
        <f t="shared" si="7"/>
        <v>2.8094820017559261</v>
      </c>
      <c r="J100" s="650"/>
      <c r="K100" s="650">
        <v>44</v>
      </c>
      <c r="L100" s="76">
        <f t="shared" si="8"/>
        <v>3.8630377524143986</v>
      </c>
    </row>
    <row r="101" spans="1:13" ht="13.15" customHeight="1">
      <c r="A101" s="42" t="s">
        <v>1728</v>
      </c>
      <c r="B101" s="659">
        <f t="shared" si="9"/>
        <v>940</v>
      </c>
      <c r="C101" s="646">
        <f t="shared" si="5"/>
        <v>4.2436007403728953</v>
      </c>
      <c r="D101" s="45"/>
      <c r="E101" s="650">
        <v>918</v>
      </c>
      <c r="F101" s="259">
        <f t="shared" si="6"/>
        <v>97.659574468085111</v>
      </c>
      <c r="G101" s="650"/>
      <c r="H101" s="650">
        <v>14</v>
      </c>
      <c r="I101" s="259">
        <f t="shared" si="7"/>
        <v>1.4893617021276597</v>
      </c>
      <c r="J101" s="650"/>
      <c r="K101" s="650">
        <v>8</v>
      </c>
      <c r="L101" s="76">
        <f t="shared" si="8"/>
        <v>0.85106382978723405</v>
      </c>
    </row>
    <row r="102" spans="1:13" ht="9.9499999999999993" customHeight="1" thickBot="1">
      <c r="B102" s="658" t="str">
        <f>IF(A102&lt;&gt;0,E102+H102+K102+#REF!,"")</f>
        <v/>
      </c>
    </row>
    <row r="103" spans="1:13" ht="7.5" customHeight="1">
      <c r="A103" s="6"/>
      <c r="B103" s="654"/>
      <c r="C103" s="655"/>
      <c r="D103" s="515"/>
      <c r="E103" s="620"/>
      <c r="F103" s="655"/>
      <c r="G103" s="515"/>
      <c r="H103" s="620"/>
      <c r="I103" s="655"/>
      <c r="J103" s="655"/>
      <c r="K103" s="620"/>
      <c r="L103" s="515"/>
      <c r="M103" s="515"/>
    </row>
    <row r="104" spans="1:13" ht="12.75" customHeight="1">
      <c r="A104" s="663" t="s">
        <v>1702</v>
      </c>
      <c r="B104" s="658"/>
      <c r="C104" s="57"/>
      <c r="D104" s="69"/>
      <c r="E104" s="588"/>
      <c r="F104" s="57"/>
      <c r="G104" s="69"/>
      <c r="H104" s="588"/>
      <c r="I104" s="57"/>
      <c r="J104" s="57"/>
      <c r="K104" s="588"/>
      <c r="L104" s="69"/>
      <c r="M104" s="69"/>
    </row>
    <row r="105" spans="1:13" ht="13.5" customHeight="1">
      <c r="A105" s="42" t="s">
        <v>1741</v>
      </c>
      <c r="D105" s="40"/>
      <c r="G105" s="40"/>
      <c r="J105" s="24"/>
    </row>
    <row r="106" spans="1:13" ht="13.5" customHeight="1">
      <c r="A106" s="66" t="s">
        <v>1742</v>
      </c>
    </row>
    <row r="107" spans="1:13" ht="9.9499999999999993" customHeight="1">
      <c r="A107" s="36"/>
    </row>
    <row r="108" spans="1:13" ht="12.75" customHeight="1">
      <c r="A108" s="42" t="s">
        <v>1743</v>
      </c>
    </row>
    <row r="109" spans="1:13" ht="16.5" customHeight="1">
      <c r="A109" s="42" t="s">
        <v>1705</v>
      </c>
    </row>
    <row r="110" spans="1:13" ht="13.15" customHeight="1"/>
    <row r="111" spans="1:13" ht="13.15" customHeight="1"/>
  </sheetData>
  <mergeCells count="4">
    <mergeCell ref="B7:C7"/>
    <mergeCell ref="E7:F7"/>
    <mergeCell ref="H7:I7"/>
    <mergeCell ref="K7:L7"/>
  </mergeCells>
  <printOptions horizontalCentered="1" verticalCentered="1"/>
  <pageMargins left="0" right="0" top="0" bottom="0" header="0.31496062992125984" footer="0.31496062992125984"/>
  <pageSetup paperSize="9" scale="60" orientation="portrait" r:id="rId1"/>
  <drawing r:id="rId2"/>
</worksheet>
</file>

<file path=xl/worksheets/sheet107.xml><?xml version="1.0" encoding="utf-8"?>
<worksheet xmlns="http://schemas.openxmlformats.org/spreadsheetml/2006/main" xmlns:r="http://schemas.openxmlformats.org/officeDocument/2006/relationships">
  <dimension ref="A1:N78"/>
  <sheetViews>
    <sheetView workbookViewId="0">
      <selection activeCell="E60" sqref="E60"/>
    </sheetView>
  </sheetViews>
  <sheetFormatPr baseColWidth="10" defaultColWidth="9.140625" defaultRowHeight="12.75"/>
  <cols>
    <col min="1" max="1" width="37.5703125" style="434" customWidth="1"/>
    <col min="2" max="2" width="6.85546875" style="1055" customWidth="1"/>
    <col min="3" max="3" width="7.28515625" style="1056" customWidth="1"/>
    <col min="4" max="4" width="2.7109375" style="1057" customWidth="1"/>
    <col min="5" max="5" width="5.42578125" style="1058" customWidth="1"/>
    <col min="6" max="6" width="6.28515625" style="1056" customWidth="1"/>
    <col min="7" max="7" width="2.7109375" style="1057" customWidth="1"/>
    <col min="8" max="8" width="5.7109375" style="1058" customWidth="1"/>
    <col min="9" max="9" width="6.42578125" style="1056" customWidth="1"/>
    <col min="10" max="10" width="2.7109375" style="1056" customWidth="1"/>
    <col min="11" max="11" width="6.28515625" style="1058" customWidth="1"/>
    <col min="12" max="12" width="6.5703125" style="1057" customWidth="1"/>
    <col min="13" max="13" width="2.7109375" style="1057" customWidth="1"/>
    <col min="14" max="256" width="9.140625" style="434"/>
    <col min="257" max="257" width="37.5703125" style="434" customWidth="1"/>
    <col min="258" max="259" width="7.7109375" style="434" customWidth="1"/>
    <col min="260" max="260" width="2.7109375" style="434" customWidth="1"/>
    <col min="261" max="262" width="7.7109375" style="434" customWidth="1"/>
    <col min="263" max="263" width="2.7109375" style="434" customWidth="1"/>
    <col min="264" max="265" width="7.7109375" style="434" customWidth="1"/>
    <col min="266" max="266" width="2.7109375" style="434" customWidth="1"/>
    <col min="267" max="268" width="7.7109375" style="434" customWidth="1"/>
    <col min="269" max="269" width="2.7109375" style="434" customWidth="1"/>
    <col min="270" max="512" width="9.140625" style="434"/>
    <col min="513" max="513" width="37.5703125" style="434" customWidth="1"/>
    <col min="514" max="515" width="7.7109375" style="434" customWidth="1"/>
    <col min="516" max="516" width="2.7109375" style="434" customWidth="1"/>
    <col min="517" max="518" width="7.7109375" style="434" customWidth="1"/>
    <col min="519" max="519" width="2.7109375" style="434" customWidth="1"/>
    <col min="520" max="521" width="7.7109375" style="434" customWidth="1"/>
    <col min="522" max="522" width="2.7109375" style="434" customWidth="1"/>
    <col min="523" max="524" width="7.7109375" style="434" customWidth="1"/>
    <col min="525" max="525" width="2.7109375" style="434" customWidth="1"/>
    <col min="526" max="768" width="9.140625" style="434"/>
    <col min="769" max="769" width="37.5703125" style="434" customWidth="1"/>
    <col min="770" max="771" width="7.7109375" style="434" customWidth="1"/>
    <col min="772" max="772" width="2.7109375" style="434" customWidth="1"/>
    <col min="773" max="774" width="7.7109375" style="434" customWidth="1"/>
    <col min="775" max="775" width="2.7109375" style="434" customWidth="1"/>
    <col min="776" max="777" width="7.7109375" style="434" customWidth="1"/>
    <col min="778" max="778" width="2.7109375" style="434" customWidth="1"/>
    <col min="779" max="780" width="7.7109375" style="434" customWidth="1"/>
    <col min="781" max="781" width="2.7109375" style="434" customWidth="1"/>
    <col min="782" max="1024" width="9.140625" style="434"/>
    <col min="1025" max="1025" width="37.5703125" style="434" customWidth="1"/>
    <col min="1026" max="1027" width="7.7109375" style="434" customWidth="1"/>
    <col min="1028" max="1028" width="2.7109375" style="434" customWidth="1"/>
    <col min="1029" max="1030" width="7.7109375" style="434" customWidth="1"/>
    <col min="1031" max="1031" width="2.7109375" style="434" customWidth="1"/>
    <col min="1032" max="1033" width="7.7109375" style="434" customWidth="1"/>
    <col min="1034" max="1034" width="2.7109375" style="434" customWidth="1"/>
    <col min="1035" max="1036" width="7.7109375" style="434" customWidth="1"/>
    <col min="1037" max="1037" width="2.7109375" style="434" customWidth="1"/>
    <col min="1038" max="1280" width="9.140625" style="434"/>
    <col min="1281" max="1281" width="37.5703125" style="434" customWidth="1"/>
    <col min="1282" max="1283" width="7.7109375" style="434" customWidth="1"/>
    <col min="1284" max="1284" width="2.7109375" style="434" customWidth="1"/>
    <col min="1285" max="1286" width="7.7109375" style="434" customWidth="1"/>
    <col min="1287" max="1287" width="2.7109375" style="434" customWidth="1"/>
    <col min="1288" max="1289" width="7.7109375" style="434" customWidth="1"/>
    <col min="1290" max="1290" width="2.7109375" style="434" customWidth="1"/>
    <col min="1291" max="1292" width="7.7109375" style="434" customWidth="1"/>
    <col min="1293" max="1293" width="2.7109375" style="434" customWidth="1"/>
    <col min="1294" max="1536" width="9.140625" style="434"/>
    <col min="1537" max="1537" width="37.5703125" style="434" customWidth="1"/>
    <col min="1538" max="1539" width="7.7109375" style="434" customWidth="1"/>
    <col min="1540" max="1540" width="2.7109375" style="434" customWidth="1"/>
    <col min="1541" max="1542" width="7.7109375" style="434" customWidth="1"/>
    <col min="1543" max="1543" width="2.7109375" style="434" customWidth="1"/>
    <col min="1544" max="1545" width="7.7109375" style="434" customWidth="1"/>
    <col min="1546" max="1546" width="2.7109375" style="434" customWidth="1"/>
    <col min="1547" max="1548" width="7.7109375" style="434" customWidth="1"/>
    <col min="1549" max="1549" width="2.7109375" style="434" customWidth="1"/>
    <col min="1550" max="1792" width="9.140625" style="434"/>
    <col min="1793" max="1793" width="37.5703125" style="434" customWidth="1"/>
    <col min="1794" max="1795" width="7.7109375" style="434" customWidth="1"/>
    <col min="1796" max="1796" width="2.7109375" style="434" customWidth="1"/>
    <col min="1797" max="1798" width="7.7109375" style="434" customWidth="1"/>
    <col min="1799" max="1799" width="2.7109375" style="434" customWidth="1"/>
    <col min="1800" max="1801" width="7.7109375" style="434" customWidth="1"/>
    <col min="1802" max="1802" width="2.7109375" style="434" customWidth="1"/>
    <col min="1803" max="1804" width="7.7109375" style="434" customWidth="1"/>
    <col min="1805" max="1805" width="2.7109375" style="434" customWidth="1"/>
    <col min="1806" max="2048" width="9.140625" style="434"/>
    <col min="2049" max="2049" width="37.5703125" style="434" customWidth="1"/>
    <col min="2050" max="2051" width="7.7109375" style="434" customWidth="1"/>
    <col min="2052" max="2052" width="2.7109375" style="434" customWidth="1"/>
    <col min="2053" max="2054" width="7.7109375" style="434" customWidth="1"/>
    <col min="2055" max="2055" width="2.7109375" style="434" customWidth="1"/>
    <col min="2056" max="2057" width="7.7109375" style="434" customWidth="1"/>
    <col min="2058" max="2058" width="2.7109375" style="434" customWidth="1"/>
    <col min="2059" max="2060" width="7.7109375" style="434" customWidth="1"/>
    <col min="2061" max="2061" width="2.7109375" style="434" customWidth="1"/>
    <col min="2062" max="2304" width="9.140625" style="434"/>
    <col min="2305" max="2305" width="37.5703125" style="434" customWidth="1"/>
    <col min="2306" max="2307" width="7.7109375" style="434" customWidth="1"/>
    <col min="2308" max="2308" width="2.7109375" style="434" customWidth="1"/>
    <col min="2309" max="2310" width="7.7109375" style="434" customWidth="1"/>
    <col min="2311" max="2311" width="2.7109375" style="434" customWidth="1"/>
    <col min="2312" max="2313" width="7.7109375" style="434" customWidth="1"/>
    <col min="2314" max="2314" width="2.7109375" style="434" customWidth="1"/>
    <col min="2315" max="2316" width="7.7109375" style="434" customWidth="1"/>
    <col min="2317" max="2317" width="2.7109375" style="434" customWidth="1"/>
    <col min="2318" max="2560" width="9.140625" style="434"/>
    <col min="2561" max="2561" width="37.5703125" style="434" customWidth="1"/>
    <col min="2562" max="2563" width="7.7109375" style="434" customWidth="1"/>
    <col min="2564" max="2564" width="2.7109375" style="434" customWidth="1"/>
    <col min="2565" max="2566" width="7.7109375" style="434" customWidth="1"/>
    <col min="2567" max="2567" width="2.7109375" style="434" customWidth="1"/>
    <col min="2568" max="2569" width="7.7109375" style="434" customWidth="1"/>
    <col min="2570" max="2570" width="2.7109375" style="434" customWidth="1"/>
    <col min="2571" max="2572" width="7.7109375" style="434" customWidth="1"/>
    <col min="2573" max="2573" width="2.7109375" style="434" customWidth="1"/>
    <col min="2574" max="2816" width="9.140625" style="434"/>
    <col min="2817" max="2817" width="37.5703125" style="434" customWidth="1"/>
    <col min="2818" max="2819" width="7.7109375" style="434" customWidth="1"/>
    <col min="2820" max="2820" width="2.7109375" style="434" customWidth="1"/>
    <col min="2821" max="2822" width="7.7109375" style="434" customWidth="1"/>
    <col min="2823" max="2823" width="2.7109375" style="434" customWidth="1"/>
    <col min="2824" max="2825" width="7.7109375" style="434" customWidth="1"/>
    <col min="2826" max="2826" width="2.7109375" style="434" customWidth="1"/>
    <col min="2827" max="2828" width="7.7109375" style="434" customWidth="1"/>
    <col min="2829" max="2829" width="2.7109375" style="434" customWidth="1"/>
    <col min="2830" max="3072" width="9.140625" style="434"/>
    <col min="3073" max="3073" width="37.5703125" style="434" customWidth="1"/>
    <col min="3074" max="3075" width="7.7109375" style="434" customWidth="1"/>
    <col min="3076" max="3076" width="2.7109375" style="434" customWidth="1"/>
    <col min="3077" max="3078" width="7.7109375" style="434" customWidth="1"/>
    <col min="3079" max="3079" width="2.7109375" style="434" customWidth="1"/>
    <col min="3080" max="3081" width="7.7109375" style="434" customWidth="1"/>
    <col min="3082" max="3082" width="2.7109375" style="434" customWidth="1"/>
    <col min="3083" max="3084" width="7.7109375" style="434" customWidth="1"/>
    <col min="3085" max="3085" width="2.7109375" style="434" customWidth="1"/>
    <col min="3086" max="3328" width="9.140625" style="434"/>
    <col min="3329" max="3329" width="37.5703125" style="434" customWidth="1"/>
    <col min="3330" max="3331" width="7.7109375" style="434" customWidth="1"/>
    <col min="3332" max="3332" width="2.7109375" style="434" customWidth="1"/>
    <col min="3333" max="3334" width="7.7109375" style="434" customWidth="1"/>
    <col min="3335" max="3335" width="2.7109375" style="434" customWidth="1"/>
    <col min="3336" max="3337" width="7.7109375" style="434" customWidth="1"/>
    <col min="3338" max="3338" width="2.7109375" style="434" customWidth="1"/>
    <col min="3339" max="3340" width="7.7109375" style="434" customWidth="1"/>
    <col min="3341" max="3341" width="2.7109375" style="434" customWidth="1"/>
    <col min="3342" max="3584" width="9.140625" style="434"/>
    <col min="3585" max="3585" width="37.5703125" style="434" customWidth="1"/>
    <col min="3586" max="3587" width="7.7109375" style="434" customWidth="1"/>
    <col min="3588" max="3588" width="2.7109375" style="434" customWidth="1"/>
    <col min="3589" max="3590" width="7.7109375" style="434" customWidth="1"/>
    <col min="3591" max="3591" width="2.7109375" style="434" customWidth="1"/>
    <col min="3592" max="3593" width="7.7109375" style="434" customWidth="1"/>
    <col min="3594" max="3594" width="2.7109375" style="434" customWidth="1"/>
    <col min="3595" max="3596" width="7.7109375" style="434" customWidth="1"/>
    <col min="3597" max="3597" width="2.7109375" style="434" customWidth="1"/>
    <col min="3598" max="3840" width="9.140625" style="434"/>
    <col min="3841" max="3841" width="37.5703125" style="434" customWidth="1"/>
    <col min="3842" max="3843" width="7.7109375" style="434" customWidth="1"/>
    <col min="3844" max="3844" width="2.7109375" style="434" customWidth="1"/>
    <col min="3845" max="3846" width="7.7109375" style="434" customWidth="1"/>
    <col min="3847" max="3847" width="2.7109375" style="434" customWidth="1"/>
    <col min="3848" max="3849" width="7.7109375" style="434" customWidth="1"/>
    <col min="3850" max="3850" width="2.7109375" style="434" customWidth="1"/>
    <col min="3851" max="3852" width="7.7109375" style="434" customWidth="1"/>
    <col min="3853" max="3853" width="2.7109375" style="434" customWidth="1"/>
    <col min="3854" max="4096" width="9.140625" style="434"/>
    <col min="4097" max="4097" width="37.5703125" style="434" customWidth="1"/>
    <col min="4098" max="4099" width="7.7109375" style="434" customWidth="1"/>
    <col min="4100" max="4100" width="2.7109375" style="434" customWidth="1"/>
    <col min="4101" max="4102" width="7.7109375" style="434" customWidth="1"/>
    <col min="4103" max="4103" width="2.7109375" style="434" customWidth="1"/>
    <col min="4104" max="4105" width="7.7109375" style="434" customWidth="1"/>
    <col min="4106" max="4106" width="2.7109375" style="434" customWidth="1"/>
    <col min="4107" max="4108" width="7.7109375" style="434" customWidth="1"/>
    <col min="4109" max="4109" width="2.7109375" style="434" customWidth="1"/>
    <col min="4110" max="4352" width="9.140625" style="434"/>
    <col min="4353" max="4353" width="37.5703125" style="434" customWidth="1"/>
    <col min="4354" max="4355" width="7.7109375" style="434" customWidth="1"/>
    <col min="4356" max="4356" width="2.7109375" style="434" customWidth="1"/>
    <col min="4357" max="4358" width="7.7109375" style="434" customWidth="1"/>
    <col min="4359" max="4359" width="2.7109375" style="434" customWidth="1"/>
    <col min="4360" max="4361" width="7.7109375" style="434" customWidth="1"/>
    <col min="4362" max="4362" width="2.7109375" style="434" customWidth="1"/>
    <col min="4363" max="4364" width="7.7109375" style="434" customWidth="1"/>
    <col min="4365" max="4365" width="2.7109375" style="434" customWidth="1"/>
    <col min="4366" max="4608" width="9.140625" style="434"/>
    <col min="4609" max="4609" width="37.5703125" style="434" customWidth="1"/>
    <col min="4610" max="4611" width="7.7109375" style="434" customWidth="1"/>
    <col min="4612" max="4612" width="2.7109375" style="434" customWidth="1"/>
    <col min="4613" max="4614" width="7.7109375" style="434" customWidth="1"/>
    <col min="4615" max="4615" width="2.7109375" style="434" customWidth="1"/>
    <col min="4616" max="4617" width="7.7109375" style="434" customWidth="1"/>
    <col min="4618" max="4618" width="2.7109375" style="434" customWidth="1"/>
    <col min="4619" max="4620" width="7.7109375" style="434" customWidth="1"/>
    <col min="4621" max="4621" width="2.7109375" style="434" customWidth="1"/>
    <col min="4622" max="4864" width="9.140625" style="434"/>
    <col min="4865" max="4865" width="37.5703125" style="434" customWidth="1"/>
    <col min="4866" max="4867" width="7.7109375" style="434" customWidth="1"/>
    <col min="4868" max="4868" width="2.7109375" style="434" customWidth="1"/>
    <col min="4869" max="4870" width="7.7109375" style="434" customWidth="1"/>
    <col min="4871" max="4871" width="2.7109375" style="434" customWidth="1"/>
    <col min="4872" max="4873" width="7.7109375" style="434" customWidth="1"/>
    <col min="4874" max="4874" width="2.7109375" style="434" customWidth="1"/>
    <col min="4875" max="4876" width="7.7109375" style="434" customWidth="1"/>
    <col min="4877" max="4877" width="2.7109375" style="434" customWidth="1"/>
    <col min="4878" max="5120" width="9.140625" style="434"/>
    <col min="5121" max="5121" width="37.5703125" style="434" customWidth="1"/>
    <col min="5122" max="5123" width="7.7109375" style="434" customWidth="1"/>
    <col min="5124" max="5124" width="2.7109375" style="434" customWidth="1"/>
    <col min="5125" max="5126" width="7.7109375" style="434" customWidth="1"/>
    <col min="5127" max="5127" width="2.7109375" style="434" customWidth="1"/>
    <col min="5128" max="5129" width="7.7109375" style="434" customWidth="1"/>
    <col min="5130" max="5130" width="2.7109375" style="434" customWidth="1"/>
    <col min="5131" max="5132" width="7.7109375" style="434" customWidth="1"/>
    <col min="5133" max="5133" width="2.7109375" style="434" customWidth="1"/>
    <col min="5134" max="5376" width="9.140625" style="434"/>
    <col min="5377" max="5377" width="37.5703125" style="434" customWidth="1"/>
    <col min="5378" max="5379" width="7.7109375" style="434" customWidth="1"/>
    <col min="5380" max="5380" width="2.7109375" style="434" customWidth="1"/>
    <col min="5381" max="5382" width="7.7109375" style="434" customWidth="1"/>
    <col min="5383" max="5383" width="2.7109375" style="434" customWidth="1"/>
    <col min="5384" max="5385" width="7.7109375" style="434" customWidth="1"/>
    <col min="5386" max="5386" width="2.7109375" style="434" customWidth="1"/>
    <col min="5387" max="5388" width="7.7109375" style="434" customWidth="1"/>
    <col min="5389" max="5389" width="2.7109375" style="434" customWidth="1"/>
    <col min="5390" max="5632" width="9.140625" style="434"/>
    <col min="5633" max="5633" width="37.5703125" style="434" customWidth="1"/>
    <col min="5634" max="5635" width="7.7109375" style="434" customWidth="1"/>
    <col min="5636" max="5636" width="2.7109375" style="434" customWidth="1"/>
    <col min="5637" max="5638" width="7.7109375" style="434" customWidth="1"/>
    <col min="5639" max="5639" width="2.7109375" style="434" customWidth="1"/>
    <col min="5640" max="5641" width="7.7109375" style="434" customWidth="1"/>
    <col min="5642" max="5642" width="2.7109375" style="434" customWidth="1"/>
    <col min="5643" max="5644" width="7.7109375" style="434" customWidth="1"/>
    <col min="5645" max="5645" width="2.7109375" style="434" customWidth="1"/>
    <col min="5646" max="5888" width="9.140625" style="434"/>
    <col min="5889" max="5889" width="37.5703125" style="434" customWidth="1"/>
    <col min="5890" max="5891" width="7.7109375" style="434" customWidth="1"/>
    <col min="5892" max="5892" width="2.7109375" style="434" customWidth="1"/>
    <col min="5893" max="5894" width="7.7109375" style="434" customWidth="1"/>
    <col min="5895" max="5895" width="2.7109375" style="434" customWidth="1"/>
    <col min="5896" max="5897" width="7.7109375" style="434" customWidth="1"/>
    <col min="5898" max="5898" width="2.7109375" style="434" customWidth="1"/>
    <col min="5899" max="5900" width="7.7109375" style="434" customWidth="1"/>
    <col min="5901" max="5901" width="2.7109375" style="434" customWidth="1"/>
    <col min="5902" max="6144" width="9.140625" style="434"/>
    <col min="6145" max="6145" width="37.5703125" style="434" customWidth="1"/>
    <col min="6146" max="6147" width="7.7109375" style="434" customWidth="1"/>
    <col min="6148" max="6148" width="2.7109375" style="434" customWidth="1"/>
    <col min="6149" max="6150" width="7.7109375" style="434" customWidth="1"/>
    <col min="6151" max="6151" width="2.7109375" style="434" customWidth="1"/>
    <col min="6152" max="6153" width="7.7109375" style="434" customWidth="1"/>
    <col min="6154" max="6154" width="2.7109375" style="434" customWidth="1"/>
    <col min="6155" max="6156" width="7.7109375" style="434" customWidth="1"/>
    <col min="6157" max="6157" width="2.7109375" style="434" customWidth="1"/>
    <col min="6158" max="6400" width="9.140625" style="434"/>
    <col min="6401" max="6401" width="37.5703125" style="434" customWidth="1"/>
    <col min="6402" max="6403" width="7.7109375" style="434" customWidth="1"/>
    <col min="6404" max="6404" width="2.7109375" style="434" customWidth="1"/>
    <col min="6405" max="6406" width="7.7109375" style="434" customWidth="1"/>
    <col min="6407" max="6407" width="2.7109375" style="434" customWidth="1"/>
    <col min="6408" max="6409" width="7.7109375" style="434" customWidth="1"/>
    <col min="6410" max="6410" width="2.7109375" style="434" customWidth="1"/>
    <col min="6411" max="6412" width="7.7109375" style="434" customWidth="1"/>
    <col min="6413" max="6413" width="2.7109375" style="434" customWidth="1"/>
    <col min="6414" max="6656" width="9.140625" style="434"/>
    <col min="6657" max="6657" width="37.5703125" style="434" customWidth="1"/>
    <col min="6658" max="6659" width="7.7109375" style="434" customWidth="1"/>
    <col min="6660" max="6660" width="2.7109375" style="434" customWidth="1"/>
    <col min="6661" max="6662" width="7.7109375" style="434" customWidth="1"/>
    <col min="6663" max="6663" width="2.7109375" style="434" customWidth="1"/>
    <col min="6664" max="6665" width="7.7109375" style="434" customWidth="1"/>
    <col min="6666" max="6666" width="2.7109375" style="434" customWidth="1"/>
    <col min="6667" max="6668" width="7.7109375" style="434" customWidth="1"/>
    <col min="6669" max="6669" width="2.7109375" style="434" customWidth="1"/>
    <col min="6670" max="6912" width="9.140625" style="434"/>
    <col min="6913" max="6913" width="37.5703125" style="434" customWidth="1"/>
    <col min="6914" max="6915" width="7.7109375" style="434" customWidth="1"/>
    <col min="6916" max="6916" width="2.7109375" style="434" customWidth="1"/>
    <col min="6917" max="6918" width="7.7109375" style="434" customWidth="1"/>
    <col min="6919" max="6919" width="2.7109375" style="434" customWidth="1"/>
    <col min="6920" max="6921" width="7.7109375" style="434" customWidth="1"/>
    <col min="6922" max="6922" width="2.7109375" style="434" customWidth="1"/>
    <col min="6923" max="6924" width="7.7109375" style="434" customWidth="1"/>
    <col min="6925" max="6925" width="2.7109375" style="434" customWidth="1"/>
    <col min="6926" max="7168" width="9.140625" style="434"/>
    <col min="7169" max="7169" width="37.5703125" style="434" customWidth="1"/>
    <col min="7170" max="7171" width="7.7109375" style="434" customWidth="1"/>
    <col min="7172" max="7172" width="2.7109375" style="434" customWidth="1"/>
    <col min="7173" max="7174" width="7.7109375" style="434" customWidth="1"/>
    <col min="7175" max="7175" width="2.7109375" style="434" customWidth="1"/>
    <col min="7176" max="7177" width="7.7109375" style="434" customWidth="1"/>
    <col min="7178" max="7178" width="2.7109375" style="434" customWidth="1"/>
    <col min="7179" max="7180" width="7.7109375" style="434" customWidth="1"/>
    <col min="7181" max="7181" width="2.7109375" style="434" customWidth="1"/>
    <col min="7182" max="7424" width="9.140625" style="434"/>
    <col min="7425" max="7425" width="37.5703125" style="434" customWidth="1"/>
    <col min="7426" max="7427" width="7.7109375" style="434" customWidth="1"/>
    <col min="7428" max="7428" width="2.7109375" style="434" customWidth="1"/>
    <col min="7429" max="7430" width="7.7109375" style="434" customWidth="1"/>
    <col min="7431" max="7431" width="2.7109375" style="434" customWidth="1"/>
    <col min="7432" max="7433" width="7.7109375" style="434" customWidth="1"/>
    <col min="7434" max="7434" width="2.7109375" style="434" customWidth="1"/>
    <col min="7435" max="7436" width="7.7109375" style="434" customWidth="1"/>
    <col min="7437" max="7437" width="2.7109375" style="434" customWidth="1"/>
    <col min="7438" max="7680" width="9.140625" style="434"/>
    <col min="7681" max="7681" width="37.5703125" style="434" customWidth="1"/>
    <col min="7682" max="7683" width="7.7109375" style="434" customWidth="1"/>
    <col min="7684" max="7684" width="2.7109375" style="434" customWidth="1"/>
    <col min="7685" max="7686" width="7.7109375" style="434" customWidth="1"/>
    <col min="7687" max="7687" width="2.7109375" style="434" customWidth="1"/>
    <col min="7688" max="7689" width="7.7109375" style="434" customWidth="1"/>
    <col min="7690" max="7690" width="2.7109375" style="434" customWidth="1"/>
    <col min="7691" max="7692" width="7.7109375" style="434" customWidth="1"/>
    <col min="7693" max="7693" width="2.7109375" style="434" customWidth="1"/>
    <col min="7694" max="7936" width="9.140625" style="434"/>
    <col min="7937" max="7937" width="37.5703125" style="434" customWidth="1"/>
    <col min="7938" max="7939" width="7.7109375" style="434" customWidth="1"/>
    <col min="7940" max="7940" width="2.7109375" style="434" customWidth="1"/>
    <col min="7941" max="7942" width="7.7109375" style="434" customWidth="1"/>
    <col min="7943" max="7943" width="2.7109375" style="434" customWidth="1"/>
    <col min="7944" max="7945" width="7.7109375" style="434" customWidth="1"/>
    <col min="7946" max="7946" width="2.7109375" style="434" customWidth="1"/>
    <col min="7947" max="7948" width="7.7109375" style="434" customWidth="1"/>
    <col min="7949" max="7949" width="2.7109375" style="434" customWidth="1"/>
    <col min="7950" max="8192" width="9.140625" style="434"/>
    <col min="8193" max="8193" width="37.5703125" style="434" customWidth="1"/>
    <col min="8194" max="8195" width="7.7109375" style="434" customWidth="1"/>
    <col min="8196" max="8196" width="2.7109375" style="434" customWidth="1"/>
    <col min="8197" max="8198" width="7.7109375" style="434" customWidth="1"/>
    <col min="8199" max="8199" width="2.7109375" style="434" customWidth="1"/>
    <col min="8200" max="8201" width="7.7109375" style="434" customWidth="1"/>
    <col min="8202" max="8202" width="2.7109375" style="434" customWidth="1"/>
    <col min="8203" max="8204" width="7.7109375" style="434" customWidth="1"/>
    <col min="8205" max="8205" width="2.7109375" style="434" customWidth="1"/>
    <col min="8206" max="8448" width="9.140625" style="434"/>
    <col min="8449" max="8449" width="37.5703125" style="434" customWidth="1"/>
    <col min="8450" max="8451" width="7.7109375" style="434" customWidth="1"/>
    <col min="8452" max="8452" width="2.7109375" style="434" customWidth="1"/>
    <col min="8453" max="8454" width="7.7109375" style="434" customWidth="1"/>
    <col min="8455" max="8455" width="2.7109375" style="434" customWidth="1"/>
    <col min="8456" max="8457" width="7.7109375" style="434" customWidth="1"/>
    <col min="8458" max="8458" width="2.7109375" style="434" customWidth="1"/>
    <col min="8459" max="8460" width="7.7109375" style="434" customWidth="1"/>
    <col min="8461" max="8461" width="2.7109375" style="434" customWidth="1"/>
    <col min="8462" max="8704" width="9.140625" style="434"/>
    <col min="8705" max="8705" width="37.5703125" style="434" customWidth="1"/>
    <col min="8706" max="8707" width="7.7109375" style="434" customWidth="1"/>
    <col min="8708" max="8708" width="2.7109375" style="434" customWidth="1"/>
    <col min="8709" max="8710" width="7.7109375" style="434" customWidth="1"/>
    <col min="8711" max="8711" width="2.7109375" style="434" customWidth="1"/>
    <col min="8712" max="8713" width="7.7109375" style="434" customWidth="1"/>
    <col min="8714" max="8714" width="2.7109375" style="434" customWidth="1"/>
    <col min="8715" max="8716" width="7.7109375" style="434" customWidth="1"/>
    <col min="8717" max="8717" width="2.7109375" style="434" customWidth="1"/>
    <col min="8718" max="8960" width="9.140625" style="434"/>
    <col min="8961" max="8961" width="37.5703125" style="434" customWidth="1"/>
    <col min="8962" max="8963" width="7.7109375" style="434" customWidth="1"/>
    <col min="8964" max="8964" width="2.7109375" style="434" customWidth="1"/>
    <col min="8965" max="8966" width="7.7109375" style="434" customWidth="1"/>
    <col min="8967" max="8967" width="2.7109375" style="434" customWidth="1"/>
    <col min="8968" max="8969" width="7.7109375" style="434" customWidth="1"/>
    <col min="8970" max="8970" width="2.7109375" style="434" customWidth="1"/>
    <col min="8971" max="8972" width="7.7109375" style="434" customWidth="1"/>
    <col min="8973" max="8973" width="2.7109375" style="434" customWidth="1"/>
    <col min="8974" max="9216" width="9.140625" style="434"/>
    <col min="9217" max="9217" width="37.5703125" style="434" customWidth="1"/>
    <col min="9218" max="9219" width="7.7109375" style="434" customWidth="1"/>
    <col min="9220" max="9220" width="2.7109375" style="434" customWidth="1"/>
    <col min="9221" max="9222" width="7.7109375" style="434" customWidth="1"/>
    <col min="9223" max="9223" width="2.7109375" style="434" customWidth="1"/>
    <col min="9224" max="9225" width="7.7109375" style="434" customWidth="1"/>
    <col min="9226" max="9226" width="2.7109375" style="434" customWidth="1"/>
    <col min="9227" max="9228" width="7.7109375" style="434" customWidth="1"/>
    <col min="9229" max="9229" width="2.7109375" style="434" customWidth="1"/>
    <col min="9230" max="9472" width="9.140625" style="434"/>
    <col min="9473" max="9473" width="37.5703125" style="434" customWidth="1"/>
    <col min="9474" max="9475" width="7.7109375" style="434" customWidth="1"/>
    <col min="9476" max="9476" width="2.7109375" style="434" customWidth="1"/>
    <col min="9477" max="9478" width="7.7109375" style="434" customWidth="1"/>
    <col min="9479" max="9479" width="2.7109375" style="434" customWidth="1"/>
    <col min="9480" max="9481" width="7.7109375" style="434" customWidth="1"/>
    <col min="9482" max="9482" width="2.7109375" style="434" customWidth="1"/>
    <col min="9483" max="9484" width="7.7109375" style="434" customWidth="1"/>
    <col min="9485" max="9485" width="2.7109375" style="434" customWidth="1"/>
    <col min="9486" max="9728" width="9.140625" style="434"/>
    <col min="9729" max="9729" width="37.5703125" style="434" customWidth="1"/>
    <col min="9730" max="9731" width="7.7109375" style="434" customWidth="1"/>
    <col min="9732" max="9732" width="2.7109375" style="434" customWidth="1"/>
    <col min="9733" max="9734" width="7.7109375" style="434" customWidth="1"/>
    <col min="9735" max="9735" width="2.7109375" style="434" customWidth="1"/>
    <col min="9736" max="9737" width="7.7109375" style="434" customWidth="1"/>
    <col min="9738" max="9738" width="2.7109375" style="434" customWidth="1"/>
    <col min="9739" max="9740" width="7.7109375" style="434" customWidth="1"/>
    <col min="9741" max="9741" width="2.7109375" style="434" customWidth="1"/>
    <col min="9742" max="9984" width="9.140625" style="434"/>
    <col min="9985" max="9985" width="37.5703125" style="434" customWidth="1"/>
    <col min="9986" max="9987" width="7.7109375" style="434" customWidth="1"/>
    <col min="9988" max="9988" width="2.7109375" style="434" customWidth="1"/>
    <col min="9989" max="9990" width="7.7109375" style="434" customWidth="1"/>
    <col min="9991" max="9991" width="2.7109375" style="434" customWidth="1"/>
    <col min="9992" max="9993" width="7.7109375" style="434" customWidth="1"/>
    <col min="9994" max="9994" width="2.7109375" style="434" customWidth="1"/>
    <col min="9995" max="9996" width="7.7109375" style="434" customWidth="1"/>
    <col min="9997" max="9997" width="2.7109375" style="434" customWidth="1"/>
    <col min="9998" max="10240" width="9.140625" style="434"/>
    <col min="10241" max="10241" width="37.5703125" style="434" customWidth="1"/>
    <col min="10242" max="10243" width="7.7109375" style="434" customWidth="1"/>
    <col min="10244" max="10244" width="2.7109375" style="434" customWidth="1"/>
    <col min="10245" max="10246" width="7.7109375" style="434" customWidth="1"/>
    <col min="10247" max="10247" width="2.7109375" style="434" customWidth="1"/>
    <col min="10248" max="10249" width="7.7109375" style="434" customWidth="1"/>
    <col min="10250" max="10250" width="2.7109375" style="434" customWidth="1"/>
    <col min="10251" max="10252" width="7.7109375" style="434" customWidth="1"/>
    <col min="10253" max="10253" width="2.7109375" style="434" customWidth="1"/>
    <col min="10254" max="10496" width="9.140625" style="434"/>
    <col min="10497" max="10497" width="37.5703125" style="434" customWidth="1"/>
    <col min="10498" max="10499" width="7.7109375" style="434" customWidth="1"/>
    <col min="10500" max="10500" width="2.7109375" style="434" customWidth="1"/>
    <col min="10501" max="10502" width="7.7109375" style="434" customWidth="1"/>
    <col min="10503" max="10503" width="2.7109375" style="434" customWidth="1"/>
    <col min="10504" max="10505" width="7.7109375" style="434" customWidth="1"/>
    <col min="10506" max="10506" width="2.7109375" style="434" customWidth="1"/>
    <col min="10507" max="10508" width="7.7109375" style="434" customWidth="1"/>
    <col min="10509" max="10509" width="2.7109375" style="434" customWidth="1"/>
    <col min="10510" max="10752" width="9.140625" style="434"/>
    <col min="10753" max="10753" width="37.5703125" style="434" customWidth="1"/>
    <col min="10754" max="10755" width="7.7109375" style="434" customWidth="1"/>
    <col min="10756" max="10756" width="2.7109375" style="434" customWidth="1"/>
    <col min="10757" max="10758" width="7.7109375" style="434" customWidth="1"/>
    <col min="10759" max="10759" width="2.7109375" style="434" customWidth="1"/>
    <col min="10760" max="10761" width="7.7109375" style="434" customWidth="1"/>
    <col min="10762" max="10762" width="2.7109375" style="434" customWidth="1"/>
    <col min="10763" max="10764" width="7.7109375" style="434" customWidth="1"/>
    <col min="10765" max="10765" width="2.7109375" style="434" customWidth="1"/>
    <col min="10766" max="11008" width="9.140625" style="434"/>
    <col min="11009" max="11009" width="37.5703125" style="434" customWidth="1"/>
    <col min="11010" max="11011" width="7.7109375" style="434" customWidth="1"/>
    <col min="11012" max="11012" width="2.7109375" style="434" customWidth="1"/>
    <col min="11013" max="11014" width="7.7109375" style="434" customWidth="1"/>
    <col min="11015" max="11015" width="2.7109375" style="434" customWidth="1"/>
    <col min="11016" max="11017" width="7.7109375" style="434" customWidth="1"/>
    <col min="11018" max="11018" width="2.7109375" style="434" customWidth="1"/>
    <col min="11019" max="11020" width="7.7109375" style="434" customWidth="1"/>
    <col min="11021" max="11021" width="2.7109375" style="434" customWidth="1"/>
    <col min="11022" max="11264" width="9.140625" style="434"/>
    <col min="11265" max="11265" width="37.5703125" style="434" customWidth="1"/>
    <col min="11266" max="11267" width="7.7109375" style="434" customWidth="1"/>
    <col min="11268" max="11268" width="2.7109375" style="434" customWidth="1"/>
    <col min="11269" max="11270" width="7.7109375" style="434" customWidth="1"/>
    <col min="11271" max="11271" width="2.7109375" style="434" customWidth="1"/>
    <col min="11272" max="11273" width="7.7109375" style="434" customWidth="1"/>
    <col min="11274" max="11274" width="2.7109375" style="434" customWidth="1"/>
    <col min="11275" max="11276" width="7.7109375" style="434" customWidth="1"/>
    <col min="11277" max="11277" width="2.7109375" style="434" customWidth="1"/>
    <col min="11278" max="11520" width="9.140625" style="434"/>
    <col min="11521" max="11521" width="37.5703125" style="434" customWidth="1"/>
    <col min="11522" max="11523" width="7.7109375" style="434" customWidth="1"/>
    <col min="11524" max="11524" width="2.7109375" style="434" customWidth="1"/>
    <col min="11525" max="11526" width="7.7109375" style="434" customWidth="1"/>
    <col min="11527" max="11527" width="2.7109375" style="434" customWidth="1"/>
    <col min="11528" max="11529" width="7.7109375" style="434" customWidth="1"/>
    <col min="11530" max="11530" width="2.7109375" style="434" customWidth="1"/>
    <col min="11531" max="11532" width="7.7109375" style="434" customWidth="1"/>
    <col min="11533" max="11533" width="2.7109375" style="434" customWidth="1"/>
    <col min="11534" max="11776" width="9.140625" style="434"/>
    <col min="11777" max="11777" width="37.5703125" style="434" customWidth="1"/>
    <col min="11778" max="11779" width="7.7109375" style="434" customWidth="1"/>
    <col min="11780" max="11780" width="2.7109375" style="434" customWidth="1"/>
    <col min="11781" max="11782" width="7.7109375" style="434" customWidth="1"/>
    <col min="11783" max="11783" width="2.7109375" style="434" customWidth="1"/>
    <col min="11784" max="11785" width="7.7109375" style="434" customWidth="1"/>
    <col min="11786" max="11786" width="2.7109375" style="434" customWidth="1"/>
    <col min="11787" max="11788" width="7.7109375" style="434" customWidth="1"/>
    <col min="11789" max="11789" width="2.7109375" style="434" customWidth="1"/>
    <col min="11790" max="12032" width="9.140625" style="434"/>
    <col min="12033" max="12033" width="37.5703125" style="434" customWidth="1"/>
    <col min="12034" max="12035" width="7.7109375" style="434" customWidth="1"/>
    <col min="12036" max="12036" width="2.7109375" style="434" customWidth="1"/>
    <col min="12037" max="12038" width="7.7109375" style="434" customWidth="1"/>
    <col min="12039" max="12039" width="2.7109375" style="434" customWidth="1"/>
    <col min="12040" max="12041" width="7.7109375" style="434" customWidth="1"/>
    <col min="12042" max="12042" width="2.7109375" style="434" customWidth="1"/>
    <col min="12043" max="12044" width="7.7109375" style="434" customWidth="1"/>
    <col min="12045" max="12045" width="2.7109375" style="434" customWidth="1"/>
    <col min="12046" max="12288" width="9.140625" style="434"/>
    <col min="12289" max="12289" width="37.5703125" style="434" customWidth="1"/>
    <col min="12290" max="12291" width="7.7109375" style="434" customWidth="1"/>
    <col min="12292" max="12292" width="2.7109375" style="434" customWidth="1"/>
    <col min="12293" max="12294" width="7.7109375" style="434" customWidth="1"/>
    <col min="12295" max="12295" width="2.7109375" style="434" customWidth="1"/>
    <col min="12296" max="12297" width="7.7109375" style="434" customWidth="1"/>
    <col min="12298" max="12298" width="2.7109375" style="434" customWidth="1"/>
    <col min="12299" max="12300" width="7.7109375" style="434" customWidth="1"/>
    <col min="12301" max="12301" width="2.7109375" style="434" customWidth="1"/>
    <col min="12302" max="12544" width="9.140625" style="434"/>
    <col min="12545" max="12545" width="37.5703125" style="434" customWidth="1"/>
    <col min="12546" max="12547" width="7.7109375" style="434" customWidth="1"/>
    <col min="12548" max="12548" width="2.7109375" style="434" customWidth="1"/>
    <col min="12549" max="12550" width="7.7109375" style="434" customWidth="1"/>
    <col min="12551" max="12551" width="2.7109375" style="434" customWidth="1"/>
    <col min="12552" max="12553" width="7.7109375" style="434" customWidth="1"/>
    <col min="12554" max="12554" width="2.7109375" style="434" customWidth="1"/>
    <col min="12555" max="12556" width="7.7109375" style="434" customWidth="1"/>
    <col min="12557" max="12557" width="2.7109375" style="434" customWidth="1"/>
    <col min="12558" max="12800" width="9.140625" style="434"/>
    <col min="12801" max="12801" width="37.5703125" style="434" customWidth="1"/>
    <col min="12802" max="12803" width="7.7109375" style="434" customWidth="1"/>
    <col min="12804" max="12804" width="2.7109375" style="434" customWidth="1"/>
    <col min="12805" max="12806" width="7.7109375" style="434" customWidth="1"/>
    <col min="12807" max="12807" width="2.7109375" style="434" customWidth="1"/>
    <col min="12808" max="12809" width="7.7109375" style="434" customWidth="1"/>
    <col min="12810" max="12810" width="2.7109375" style="434" customWidth="1"/>
    <col min="12811" max="12812" width="7.7109375" style="434" customWidth="1"/>
    <col min="12813" max="12813" width="2.7109375" style="434" customWidth="1"/>
    <col min="12814" max="13056" width="9.140625" style="434"/>
    <col min="13057" max="13057" width="37.5703125" style="434" customWidth="1"/>
    <col min="13058" max="13059" width="7.7109375" style="434" customWidth="1"/>
    <col min="13060" max="13060" width="2.7109375" style="434" customWidth="1"/>
    <col min="13061" max="13062" width="7.7109375" style="434" customWidth="1"/>
    <col min="13063" max="13063" width="2.7109375" style="434" customWidth="1"/>
    <col min="13064" max="13065" width="7.7109375" style="434" customWidth="1"/>
    <col min="13066" max="13066" width="2.7109375" style="434" customWidth="1"/>
    <col min="13067" max="13068" width="7.7109375" style="434" customWidth="1"/>
    <col min="13069" max="13069" width="2.7109375" style="434" customWidth="1"/>
    <col min="13070" max="13312" width="9.140625" style="434"/>
    <col min="13313" max="13313" width="37.5703125" style="434" customWidth="1"/>
    <col min="13314" max="13315" width="7.7109375" style="434" customWidth="1"/>
    <col min="13316" max="13316" width="2.7109375" style="434" customWidth="1"/>
    <col min="13317" max="13318" width="7.7109375" style="434" customWidth="1"/>
    <col min="13319" max="13319" width="2.7109375" style="434" customWidth="1"/>
    <col min="13320" max="13321" width="7.7109375" style="434" customWidth="1"/>
    <col min="13322" max="13322" width="2.7109375" style="434" customWidth="1"/>
    <col min="13323" max="13324" width="7.7109375" style="434" customWidth="1"/>
    <col min="13325" max="13325" width="2.7109375" style="434" customWidth="1"/>
    <col min="13326" max="13568" width="9.140625" style="434"/>
    <col min="13569" max="13569" width="37.5703125" style="434" customWidth="1"/>
    <col min="13570" max="13571" width="7.7109375" style="434" customWidth="1"/>
    <col min="13572" max="13572" width="2.7109375" style="434" customWidth="1"/>
    <col min="13573" max="13574" width="7.7109375" style="434" customWidth="1"/>
    <col min="13575" max="13575" width="2.7109375" style="434" customWidth="1"/>
    <col min="13576" max="13577" width="7.7109375" style="434" customWidth="1"/>
    <col min="13578" max="13578" width="2.7109375" style="434" customWidth="1"/>
    <col min="13579" max="13580" width="7.7109375" style="434" customWidth="1"/>
    <col min="13581" max="13581" width="2.7109375" style="434" customWidth="1"/>
    <col min="13582" max="13824" width="9.140625" style="434"/>
    <col min="13825" max="13825" width="37.5703125" style="434" customWidth="1"/>
    <col min="13826" max="13827" width="7.7109375" style="434" customWidth="1"/>
    <col min="13828" max="13828" width="2.7109375" style="434" customWidth="1"/>
    <col min="13829" max="13830" width="7.7109375" style="434" customWidth="1"/>
    <col min="13831" max="13831" width="2.7109375" style="434" customWidth="1"/>
    <col min="13832" max="13833" width="7.7109375" style="434" customWidth="1"/>
    <col min="13834" max="13834" width="2.7109375" style="434" customWidth="1"/>
    <col min="13835" max="13836" width="7.7109375" style="434" customWidth="1"/>
    <col min="13837" max="13837" width="2.7109375" style="434" customWidth="1"/>
    <col min="13838" max="14080" width="9.140625" style="434"/>
    <col min="14081" max="14081" width="37.5703125" style="434" customWidth="1"/>
    <col min="14082" max="14083" width="7.7109375" style="434" customWidth="1"/>
    <col min="14084" max="14084" width="2.7109375" style="434" customWidth="1"/>
    <col min="14085" max="14086" width="7.7109375" style="434" customWidth="1"/>
    <col min="14087" max="14087" width="2.7109375" style="434" customWidth="1"/>
    <col min="14088" max="14089" width="7.7109375" style="434" customWidth="1"/>
    <col min="14090" max="14090" width="2.7109375" style="434" customWidth="1"/>
    <col min="14091" max="14092" width="7.7109375" style="434" customWidth="1"/>
    <col min="14093" max="14093" width="2.7109375" style="434" customWidth="1"/>
    <col min="14094" max="14336" width="9.140625" style="434"/>
    <col min="14337" max="14337" width="37.5703125" style="434" customWidth="1"/>
    <col min="14338" max="14339" width="7.7109375" style="434" customWidth="1"/>
    <col min="14340" max="14340" width="2.7109375" style="434" customWidth="1"/>
    <col min="14341" max="14342" width="7.7109375" style="434" customWidth="1"/>
    <col min="14343" max="14343" width="2.7109375" style="434" customWidth="1"/>
    <col min="14344" max="14345" width="7.7109375" style="434" customWidth="1"/>
    <col min="14346" max="14346" width="2.7109375" style="434" customWidth="1"/>
    <col min="14347" max="14348" width="7.7109375" style="434" customWidth="1"/>
    <col min="14349" max="14349" width="2.7109375" style="434" customWidth="1"/>
    <col min="14350" max="14592" width="9.140625" style="434"/>
    <col min="14593" max="14593" width="37.5703125" style="434" customWidth="1"/>
    <col min="14594" max="14595" width="7.7109375" style="434" customWidth="1"/>
    <col min="14596" max="14596" width="2.7109375" style="434" customWidth="1"/>
    <col min="14597" max="14598" width="7.7109375" style="434" customWidth="1"/>
    <col min="14599" max="14599" width="2.7109375" style="434" customWidth="1"/>
    <col min="14600" max="14601" width="7.7109375" style="434" customWidth="1"/>
    <col min="14602" max="14602" width="2.7109375" style="434" customWidth="1"/>
    <col min="14603" max="14604" width="7.7109375" style="434" customWidth="1"/>
    <col min="14605" max="14605" width="2.7109375" style="434" customWidth="1"/>
    <col min="14606" max="14848" width="9.140625" style="434"/>
    <col min="14849" max="14849" width="37.5703125" style="434" customWidth="1"/>
    <col min="14850" max="14851" width="7.7109375" style="434" customWidth="1"/>
    <col min="14852" max="14852" width="2.7109375" style="434" customWidth="1"/>
    <col min="14853" max="14854" width="7.7109375" style="434" customWidth="1"/>
    <col min="14855" max="14855" width="2.7109375" style="434" customWidth="1"/>
    <col min="14856" max="14857" width="7.7109375" style="434" customWidth="1"/>
    <col min="14858" max="14858" width="2.7109375" style="434" customWidth="1"/>
    <col min="14859" max="14860" width="7.7109375" style="434" customWidth="1"/>
    <col min="14861" max="14861" width="2.7109375" style="434" customWidth="1"/>
    <col min="14862" max="15104" width="9.140625" style="434"/>
    <col min="15105" max="15105" width="37.5703125" style="434" customWidth="1"/>
    <col min="15106" max="15107" width="7.7109375" style="434" customWidth="1"/>
    <col min="15108" max="15108" width="2.7109375" style="434" customWidth="1"/>
    <col min="15109" max="15110" width="7.7109375" style="434" customWidth="1"/>
    <col min="15111" max="15111" width="2.7109375" style="434" customWidth="1"/>
    <col min="15112" max="15113" width="7.7109375" style="434" customWidth="1"/>
    <col min="15114" max="15114" width="2.7109375" style="434" customWidth="1"/>
    <col min="15115" max="15116" width="7.7109375" style="434" customWidth="1"/>
    <col min="15117" max="15117" width="2.7109375" style="434" customWidth="1"/>
    <col min="15118" max="15360" width="9.140625" style="434"/>
    <col min="15361" max="15361" width="37.5703125" style="434" customWidth="1"/>
    <col min="15362" max="15363" width="7.7109375" style="434" customWidth="1"/>
    <col min="15364" max="15364" width="2.7109375" style="434" customWidth="1"/>
    <col min="15365" max="15366" width="7.7109375" style="434" customWidth="1"/>
    <col min="15367" max="15367" width="2.7109375" style="434" customWidth="1"/>
    <col min="15368" max="15369" width="7.7109375" style="434" customWidth="1"/>
    <col min="15370" max="15370" width="2.7109375" style="434" customWidth="1"/>
    <col min="15371" max="15372" width="7.7109375" style="434" customWidth="1"/>
    <col min="15373" max="15373" width="2.7109375" style="434" customWidth="1"/>
    <col min="15374" max="15616" width="9.140625" style="434"/>
    <col min="15617" max="15617" width="37.5703125" style="434" customWidth="1"/>
    <col min="15618" max="15619" width="7.7109375" style="434" customWidth="1"/>
    <col min="15620" max="15620" width="2.7109375" style="434" customWidth="1"/>
    <col min="15621" max="15622" width="7.7109375" style="434" customWidth="1"/>
    <col min="15623" max="15623" width="2.7109375" style="434" customWidth="1"/>
    <col min="15624" max="15625" width="7.7109375" style="434" customWidth="1"/>
    <col min="15626" max="15626" width="2.7109375" style="434" customWidth="1"/>
    <col min="15627" max="15628" width="7.7109375" style="434" customWidth="1"/>
    <col min="15629" max="15629" width="2.7109375" style="434" customWidth="1"/>
    <col min="15630" max="15872" width="9.140625" style="434"/>
    <col min="15873" max="15873" width="37.5703125" style="434" customWidth="1"/>
    <col min="15874" max="15875" width="7.7109375" style="434" customWidth="1"/>
    <col min="15876" max="15876" width="2.7109375" style="434" customWidth="1"/>
    <col min="15877" max="15878" width="7.7109375" style="434" customWidth="1"/>
    <col min="15879" max="15879" width="2.7109375" style="434" customWidth="1"/>
    <col min="15880" max="15881" width="7.7109375" style="434" customWidth="1"/>
    <col min="15882" max="15882" width="2.7109375" style="434" customWidth="1"/>
    <col min="15883" max="15884" width="7.7109375" style="434" customWidth="1"/>
    <col min="15885" max="15885" width="2.7109375" style="434" customWidth="1"/>
    <col min="15886" max="16128" width="9.140625" style="434"/>
    <col min="16129" max="16129" width="37.5703125" style="434" customWidth="1"/>
    <col min="16130" max="16131" width="7.7109375" style="434" customWidth="1"/>
    <col min="16132" max="16132" width="2.7109375" style="434" customWidth="1"/>
    <col min="16133" max="16134" width="7.7109375" style="434" customWidth="1"/>
    <col min="16135" max="16135" width="2.7109375" style="434" customWidth="1"/>
    <col min="16136" max="16137" width="7.7109375" style="434" customWidth="1"/>
    <col min="16138" max="16138" width="2.7109375" style="434" customWidth="1"/>
    <col min="16139" max="16140" width="7.7109375" style="434" customWidth="1"/>
    <col min="16141" max="16141" width="2.7109375" style="434" customWidth="1"/>
    <col min="16142" max="16384" width="9.140625" style="434"/>
  </cols>
  <sheetData>
    <row r="1" spans="1:14" ht="13.15" customHeight="1">
      <c r="A1" s="434" t="s">
        <v>366</v>
      </c>
    </row>
    <row r="2" spans="1:14" ht="13.15" customHeight="1">
      <c r="A2" s="434" t="s">
        <v>367</v>
      </c>
    </row>
    <row r="3" spans="1:14" ht="10.5" customHeight="1"/>
    <row r="4" spans="1:14" ht="13.15" customHeight="1">
      <c r="A4" s="42" t="s">
        <v>1744</v>
      </c>
    </row>
    <row r="5" spans="1:14" ht="13.15" customHeight="1" thickBot="1"/>
    <row r="6" spans="1:14" ht="15" customHeight="1">
      <c r="A6" s="437"/>
      <c r="B6" s="1059"/>
      <c r="C6" s="1060"/>
      <c r="D6" s="1061"/>
      <c r="E6" s="1062"/>
      <c r="F6" s="1060"/>
      <c r="G6" s="1061"/>
      <c r="H6" s="1062"/>
      <c r="I6" s="1060"/>
      <c r="J6" s="1060"/>
      <c r="K6" s="1062"/>
      <c r="L6" s="1061"/>
      <c r="M6" s="1061"/>
    </row>
    <row r="7" spans="1:14" ht="15" customHeight="1">
      <c r="A7" s="440" t="s">
        <v>1745</v>
      </c>
      <c r="B7" s="1288" t="s">
        <v>1746</v>
      </c>
      <c r="C7" s="1328"/>
      <c r="D7" s="1063"/>
      <c r="E7" s="1266" t="s">
        <v>1737</v>
      </c>
      <c r="F7" s="1266"/>
      <c r="G7" s="1063"/>
      <c r="H7" s="1266" t="s">
        <v>1738</v>
      </c>
      <c r="I7" s="1266"/>
      <c r="J7" s="802"/>
      <c r="K7" s="1268" t="s">
        <v>1747</v>
      </c>
      <c r="L7" s="1266"/>
    </row>
    <row r="8" spans="1:14" ht="15" customHeight="1">
      <c r="A8" s="434" t="s">
        <v>1748</v>
      </c>
      <c r="B8" s="1064" t="s">
        <v>323</v>
      </c>
      <c r="C8" s="444" t="s">
        <v>1749</v>
      </c>
      <c r="D8" s="1063"/>
      <c r="E8" s="443" t="s">
        <v>323</v>
      </c>
      <c r="F8" s="444" t="s">
        <v>1749</v>
      </c>
      <c r="G8" s="1063"/>
      <c r="H8" s="443" t="s">
        <v>323</v>
      </c>
      <c r="I8" s="444" t="s">
        <v>1750</v>
      </c>
      <c r="J8" s="802"/>
      <c r="K8" s="443" t="s">
        <v>323</v>
      </c>
      <c r="L8" s="444" t="s">
        <v>1749</v>
      </c>
    </row>
    <row r="9" spans="1:14" ht="15" customHeight="1" thickBot="1">
      <c r="A9" s="445"/>
      <c r="B9" s="1065"/>
      <c r="C9" s="1066"/>
      <c r="D9" s="1067"/>
      <c r="E9" s="1068"/>
      <c r="F9" s="1066"/>
      <c r="G9" s="1067"/>
      <c r="H9" s="1068"/>
      <c r="I9" s="1066"/>
      <c r="J9" s="1066"/>
      <c r="K9" s="1068"/>
      <c r="L9" s="1067"/>
    </row>
    <row r="10" spans="1:14" ht="9.9499999999999993" customHeight="1">
      <c r="A10" s="440"/>
      <c r="B10" s="1069"/>
      <c r="C10" s="802"/>
      <c r="D10" s="1063"/>
      <c r="E10" s="812"/>
      <c r="F10" s="802"/>
      <c r="G10" s="1063"/>
      <c r="H10" s="812"/>
      <c r="I10" s="802"/>
      <c r="J10" s="802"/>
      <c r="K10" s="812"/>
      <c r="L10" s="1063"/>
      <c r="M10" s="1061"/>
    </row>
    <row r="11" spans="1:14" ht="15" customHeight="1">
      <c r="A11" s="63" t="s">
        <v>149</v>
      </c>
      <c r="B11" s="664">
        <f>IF($A11&lt;&gt;0,E11+H11+K11,"")</f>
        <v>159</v>
      </c>
      <c r="C11" s="665">
        <f>SUM(C13:C51)</f>
        <v>99.999999999999986</v>
      </c>
      <c r="D11" s="666"/>
      <c r="E11" s="466">
        <f>SUM(E13:E51)</f>
        <v>151</v>
      </c>
      <c r="F11" s="667">
        <f>IF($A11&lt;&gt;0,E11/$B11*100,"")</f>
        <v>94.968553459119505</v>
      </c>
      <c r="G11" s="666"/>
      <c r="H11" s="466">
        <f>SUM(H13:H51)</f>
        <v>4</v>
      </c>
      <c r="I11" s="667">
        <f>IF($A11&lt;&gt;0,H11/$B11*100,"")</f>
        <v>2.5157232704402519</v>
      </c>
      <c r="J11" s="668"/>
      <c r="K11" s="466">
        <f>SUM(K13:K51)</f>
        <v>4</v>
      </c>
      <c r="L11" s="669">
        <f>IF($A11&lt;&gt;0,K11/$B11*100,"")</f>
        <v>2.5157232704402519</v>
      </c>
      <c r="N11" s="436"/>
    </row>
    <row r="12" spans="1:14" ht="12" customHeight="1">
      <c r="A12" s="63"/>
      <c r="B12" s="664" t="str">
        <f t="shared" ref="B12:B51" si="0">IF($A12&lt;&gt;0,E12+H12+K12,"")</f>
        <v/>
      </c>
      <c r="C12" s="1025"/>
      <c r="D12" s="834"/>
      <c r="E12" s="836"/>
      <c r="F12" s="667" t="str">
        <f t="shared" ref="F12:F51" si="1">IF($A12&lt;&gt;0,E12/$B12*100,"")</f>
        <v/>
      </c>
      <c r="G12" s="834"/>
      <c r="H12" s="836"/>
      <c r="I12" s="667" t="str">
        <f t="shared" ref="I12:I51" si="2">IF($A12&lt;&gt;0,H12/$B12*100,"")</f>
        <v/>
      </c>
      <c r="J12" s="1025"/>
      <c r="K12" s="836"/>
      <c r="L12" s="1056"/>
    </row>
    <row r="13" spans="1:14" ht="14.25" customHeight="1">
      <c r="A13" s="42" t="s">
        <v>825</v>
      </c>
      <c r="B13" s="313">
        <f t="shared" si="0"/>
        <v>1</v>
      </c>
      <c r="C13" s="1025">
        <f t="shared" ref="C13:C51" si="3">IF($A13&lt;&gt;0,B13/$B$11*100,"")</f>
        <v>0.62893081761006298</v>
      </c>
      <c r="D13" s="834"/>
      <c r="E13" s="1026">
        <v>1</v>
      </c>
      <c r="F13" s="296">
        <f t="shared" si="1"/>
        <v>100</v>
      </c>
      <c r="G13" s="42"/>
      <c r="H13" s="1026">
        <v>0</v>
      </c>
      <c r="I13" s="296">
        <f t="shared" si="2"/>
        <v>0</v>
      </c>
      <c r="J13" s="42"/>
      <c r="K13" s="1026">
        <v>0</v>
      </c>
      <c r="L13" s="1056">
        <f>IF($A13&lt;&gt;0,K13/$B13*100,"")</f>
        <v>0</v>
      </c>
    </row>
    <row r="14" spans="1:14" ht="14.25" customHeight="1">
      <c r="A14" s="42" t="s">
        <v>1708</v>
      </c>
      <c r="B14" s="313">
        <f t="shared" si="0"/>
        <v>1</v>
      </c>
      <c r="C14" s="1025">
        <f t="shared" si="3"/>
        <v>0.62893081761006298</v>
      </c>
      <c r="D14" s="834"/>
      <c r="E14" s="1026">
        <v>1</v>
      </c>
      <c r="F14" s="296">
        <f t="shared" si="1"/>
        <v>100</v>
      </c>
      <c r="G14" s="42"/>
      <c r="H14" s="1026">
        <v>0</v>
      </c>
      <c r="I14" s="296">
        <f t="shared" si="2"/>
        <v>0</v>
      </c>
      <c r="J14" s="42"/>
      <c r="K14" s="1026">
        <v>0</v>
      </c>
      <c r="L14" s="1056">
        <f t="shared" ref="L14:L44" si="4">IF($A14&lt;&gt;0,K14/$B14*100,"")</f>
        <v>0</v>
      </c>
    </row>
    <row r="15" spans="1:14" ht="14.25" customHeight="1">
      <c r="A15" s="42" t="s">
        <v>828</v>
      </c>
      <c r="B15" s="313">
        <f t="shared" si="0"/>
        <v>3</v>
      </c>
      <c r="C15" s="1025">
        <f t="shared" si="3"/>
        <v>1.8867924528301887</v>
      </c>
      <c r="D15" s="834"/>
      <c r="E15" s="1026">
        <v>3</v>
      </c>
      <c r="F15" s="296">
        <f t="shared" si="1"/>
        <v>100</v>
      </c>
      <c r="G15" s="42"/>
      <c r="H15" s="1026">
        <v>0</v>
      </c>
      <c r="I15" s="296">
        <f t="shared" si="2"/>
        <v>0</v>
      </c>
      <c r="J15" s="42"/>
      <c r="K15" s="1026">
        <v>0</v>
      </c>
      <c r="L15" s="1056">
        <f t="shared" si="4"/>
        <v>0</v>
      </c>
    </row>
    <row r="16" spans="1:14" ht="14.25" customHeight="1">
      <c r="A16" s="42" t="s">
        <v>830</v>
      </c>
      <c r="B16" s="313">
        <f t="shared" si="0"/>
        <v>4</v>
      </c>
      <c r="C16" s="1025">
        <f t="shared" si="3"/>
        <v>2.5157232704402519</v>
      </c>
      <c r="D16" s="834"/>
      <c r="E16" s="1026">
        <v>4</v>
      </c>
      <c r="F16" s="296">
        <f t="shared" si="1"/>
        <v>100</v>
      </c>
      <c r="G16" s="42"/>
      <c r="H16" s="1026">
        <v>0</v>
      </c>
      <c r="I16" s="296">
        <f t="shared" si="2"/>
        <v>0</v>
      </c>
      <c r="J16" s="42"/>
      <c r="K16" s="1026">
        <v>0</v>
      </c>
      <c r="L16" s="1056">
        <f t="shared" si="4"/>
        <v>0</v>
      </c>
    </row>
    <row r="17" spans="1:12" ht="14.25" customHeight="1">
      <c r="A17" s="42" t="s">
        <v>832</v>
      </c>
      <c r="B17" s="313">
        <f t="shared" si="0"/>
        <v>12</v>
      </c>
      <c r="C17" s="1025">
        <f t="shared" si="3"/>
        <v>7.5471698113207548</v>
      </c>
      <c r="D17" s="834"/>
      <c r="E17" s="1026">
        <v>12</v>
      </c>
      <c r="F17" s="296">
        <f t="shared" si="1"/>
        <v>100</v>
      </c>
      <c r="G17" s="42"/>
      <c r="H17" s="1026">
        <v>0</v>
      </c>
      <c r="I17" s="296">
        <f t="shared" si="2"/>
        <v>0</v>
      </c>
      <c r="J17" s="42"/>
      <c r="K17" s="1026">
        <v>0</v>
      </c>
      <c r="L17" s="1056">
        <f t="shared" si="4"/>
        <v>0</v>
      </c>
    </row>
    <row r="18" spans="1:12" ht="14.25" customHeight="1">
      <c r="A18" s="42" t="s">
        <v>1709</v>
      </c>
      <c r="B18" s="313">
        <f t="shared" si="0"/>
        <v>2</v>
      </c>
      <c r="C18" s="1025">
        <f t="shared" si="3"/>
        <v>1.257861635220126</v>
      </c>
      <c r="D18" s="834"/>
      <c r="E18" s="1026">
        <v>2</v>
      </c>
      <c r="F18" s="296">
        <f t="shared" si="1"/>
        <v>100</v>
      </c>
      <c r="G18" s="42"/>
      <c r="H18" s="1026">
        <v>0</v>
      </c>
      <c r="I18" s="296">
        <f t="shared" si="2"/>
        <v>0</v>
      </c>
      <c r="J18" s="42"/>
      <c r="K18" s="1026">
        <v>0</v>
      </c>
      <c r="L18" s="1056">
        <f t="shared" si="4"/>
        <v>0</v>
      </c>
    </row>
    <row r="19" spans="1:12" ht="14.25" customHeight="1">
      <c r="A19" s="42" t="s">
        <v>834</v>
      </c>
      <c r="B19" s="313">
        <f t="shared" si="0"/>
        <v>3</v>
      </c>
      <c r="C19" s="1025">
        <f>IF($A20&lt;&gt;0,B19/$B$11*100,"")</f>
        <v>1.8867924528301887</v>
      </c>
      <c r="D19" s="834"/>
      <c r="E19" s="1026">
        <v>3</v>
      </c>
      <c r="F19" s="296">
        <f t="shared" si="1"/>
        <v>100</v>
      </c>
      <c r="G19" s="42"/>
      <c r="H19" s="1026">
        <v>0</v>
      </c>
      <c r="I19" s="296">
        <f t="shared" si="2"/>
        <v>0</v>
      </c>
      <c r="J19" s="42"/>
      <c r="K19" s="1026">
        <v>0</v>
      </c>
      <c r="L19" s="1056">
        <f>IF($A20&lt;&gt;0,K19/$B19*100,"")</f>
        <v>0</v>
      </c>
    </row>
    <row r="20" spans="1:12" ht="14.25" customHeight="1">
      <c r="A20" s="42" t="s">
        <v>835</v>
      </c>
      <c r="B20" s="313">
        <f t="shared" si="0"/>
        <v>5</v>
      </c>
      <c r="C20" s="1025">
        <f>IF($A19&lt;&gt;0,B20/$B$11*100,"")</f>
        <v>3.1446540880503147</v>
      </c>
      <c r="D20" s="834"/>
      <c r="E20" s="1026">
        <v>5</v>
      </c>
      <c r="F20" s="296">
        <f t="shared" si="1"/>
        <v>100</v>
      </c>
      <c r="G20" s="42"/>
      <c r="H20" s="1026">
        <v>0</v>
      </c>
      <c r="I20" s="296">
        <f t="shared" si="2"/>
        <v>0</v>
      </c>
      <c r="J20" s="42"/>
      <c r="K20" s="1026">
        <v>0</v>
      </c>
      <c r="L20" s="1056">
        <f>IF($A19&lt;&gt;0,K20/$B20*100,"")</f>
        <v>0</v>
      </c>
    </row>
    <row r="21" spans="1:12" ht="14.25" customHeight="1">
      <c r="A21" s="42" t="s">
        <v>836</v>
      </c>
      <c r="B21" s="313">
        <f t="shared" si="0"/>
        <v>1</v>
      </c>
      <c r="C21" s="1025">
        <f t="shared" si="3"/>
        <v>0.62893081761006298</v>
      </c>
      <c r="D21" s="834"/>
      <c r="E21" s="1026">
        <v>1</v>
      </c>
      <c r="F21" s="296">
        <f t="shared" si="1"/>
        <v>100</v>
      </c>
      <c r="G21" s="42"/>
      <c r="H21" s="1026">
        <v>0</v>
      </c>
      <c r="I21" s="296">
        <f t="shared" si="2"/>
        <v>0</v>
      </c>
      <c r="J21" s="42"/>
      <c r="K21" s="1026">
        <v>0</v>
      </c>
      <c r="L21" s="1056">
        <f t="shared" si="4"/>
        <v>0</v>
      </c>
    </row>
    <row r="22" spans="1:12" ht="14.25" customHeight="1">
      <c r="A22" s="42" t="s">
        <v>1710</v>
      </c>
      <c r="B22" s="313">
        <f t="shared" si="0"/>
        <v>10</v>
      </c>
      <c r="C22" s="1025">
        <f t="shared" si="3"/>
        <v>6.2893081761006293</v>
      </c>
      <c r="D22" s="834"/>
      <c r="E22" s="1026">
        <v>10</v>
      </c>
      <c r="F22" s="296">
        <f t="shared" si="1"/>
        <v>100</v>
      </c>
      <c r="G22" s="42"/>
      <c r="H22" s="1026">
        <v>0</v>
      </c>
      <c r="I22" s="296">
        <f t="shared" si="2"/>
        <v>0</v>
      </c>
      <c r="J22" s="42"/>
      <c r="K22" s="1026">
        <v>0</v>
      </c>
      <c r="L22" s="1056">
        <f t="shared" si="4"/>
        <v>0</v>
      </c>
    </row>
    <row r="23" spans="1:12" ht="14.25" customHeight="1">
      <c r="A23" s="42" t="s">
        <v>839</v>
      </c>
      <c r="B23" s="313">
        <f t="shared" si="0"/>
        <v>1</v>
      </c>
      <c r="C23" s="1025">
        <f t="shared" si="3"/>
        <v>0.62893081761006298</v>
      </c>
      <c r="D23" s="834"/>
      <c r="E23" s="1026">
        <v>1</v>
      </c>
      <c r="F23" s="296">
        <f t="shared" si="1"/>
        <v>100</v>
      </c>
      <c r="G23" s="42"/>
      <c r="H23" s="1026">
        <v>0</v>
      </c>
      <c r="I23" s="296">
        <f t="shared" si="2"/>
        <v>0</v>
      </c>
      <c r="J23" s="42"/>
      <c r="K23" s="1026">
        <v>0</v>
      </c>
      <c r="L23" s="1056">
        <f t="shared" si="4"/>
        <v>0</v>
      </c>
    </row>
    <row r="24" spans="1:12" ht="14.25" customHeight="1">
      <c r="A24" s="42" t="s">
        <v>840</v>
      </c>
      <c r="B24" s="313">
        <f t="shared" si="0"/>
        <v>1</v>
      </c>
      <c r="C24" s="1025">
        <f t="shared" si="3"/>
        <v>0.62893081761006298</v>
      </c>
      <c r="D24" s="834"/>
      <c r="E24" s="1026">
        <v>1</v>
      </c>
      <c r="F24" s="296">
        <f t="shared" si="1"/>
        <v>100</v>
      </c>
      <c r="G24" s="42"/>
      <c r="H24" s="1026">
        <v>0</v>
      </c>
      <c r="I24" s="296">
        <f t="shared" si="2"/>
        <v>0</v>
      </c>
      <c r="J24" s="42"/>
      <c r="K24" s="1026">
        <v>0</v>
      </c>
      <c r="L24" s="1056">
        <f t="shared" si="4"/>
        <v>0</v>
      </c>
    </row>
    <row r="25" spans="1:12" ht="14.25" customHeight="1">
      <c r="A25" s="42" t="s">
        <v>841</v>
      </c>
      <c r="B25" s="313">
        <f t="shared" si="0"/>
        <v>6</v>
      </c>
      <c r="C25" s="1025">
        <f t="shared" si="3"/>
        <v>3.7735849056603774</v>
      </c>
      <c r="D25" s="834"/>
      <c r="E25" s="1026">
        <v>5</v>
      </c>
      <c r="F25" s="296">
        <f t="shared" si="1"/>
        <v>83.333333333333343</v>
      </c>
      <c r="G25" s="42"/>
      <c r="H25" s="1026">
        <v>0</v>
      </c>
      <c r="I25" s="296">
        <f t="shared" si="2"/>
        <v>0</v>
      </c>
      <c r="J25" s="42"/>
      <c r="K25" s="1026">
        <v>1</v>
      </c>
      <c r="L25" s="1056">
        <f t="shared" si="4"/>
        <v>16.666666666666664</v>
      </c>
    </row>
    <row r="26" spans="1:12" ht="14.25" customHeight="1">
      <c r="A26" s="42" t="s">
        <v>1711</v>
      </c>
      <c r="B26" s="313">
        <f t="shared" si="0"/>
        <v>5</v>
      </c>
      <c r="C26" s="1025">
        <f t="shared" si="3"/>
        <v>3.1446540880503147</v>
      </c>
      <c r="D26" s="834"/>
      <c r="E26" s="1026">
        <v>5</v>
      </c>
      <c r="F26" s="296">
        <f t="shared" si="1"/>
        <v>100</v>
      </c>
      <c r="G26" s="42"/>
      <c r="H26" s="1026">
        <v>0</v>
      </c>
      <c r="I26" s="296">
        <f t="shared" si="2"/>
        <v>0</v>
      </c>
      <c r="J26" s="42"/>
      <c r="K26" s="1026">
        <v>0</v>
      </c>
      <c r="L26" s="1056">
        <f t="shared" si="4"/>
        <v>0</v>
      </c>
    </row>
    <row r="27" spans="1:12" ht="14.25" customHeight="1">
      <c r="A27" s="42" t="s">
        <v>844</v>
      </c>
      <c r="B27" s="313">
        <f t="shared" si="0"/>
        <v>1</v>
      </c>
      <c r="C27" s="1025">
        <f t="shared" si="3"/>
        <v>0.62893081761006298</v>
      </c>
      <c r="D27" s="834"/>
      <c r="E27" s="1026">
        <v>0</v>
      </c>
      <c r="F27" s="296">
        <f t="shared" si="1"/>
        <v>0</v>
      </c>
      <c r="G27" s="42"/>
      <c r="H27" s="1026">
        <v>1</v>
      </c>
      <c r="I27" s="296">
        <f t="shared" si="2"/>
        <v>100</v>
      </c>
      <c r="J27" s="42"/>
      <c r="K27" s="1026">
        <v>0</v>
      </c>
      <c r="L27" s="1056">
        <f t="shared" si="4"/>
        <v>0</v>
      </c>
    </row>
    <row r="28" spans="1:12" ht="14.25" customHeight="1">
      <c r="A28" s="42" t="s">
        <v>845</v>
      </c>
      <c r="B28" s="313">
        <f t="shared" si="0"/>
        <v>5</v>
      </c>
      <c r="C28" s="1025">
        <f t="shared" si="3"/>
        <v>3.1446540880503147</v>
      </c>
      <c r="D28" s="834"/>
      <c r="E28" s="1026">
        <v>5</v>
      </c>
      <c r="F28" s="296">
        <f t="shared" si="1"/>
        <v>100</v>
      </c>
      <c r="G28" s="42"/>
      <c r="H28" s="1026">
        <v>0</v>
      </c>
      <c r="I28" s="296">
        <f t="shared" si="2"/>
        <v>0</v>
      </c>
      <c r="J28" s="42"/>
      <c r="K28" s="1026">
        <v>0</v>
      </c>
      <c r="L28" s="1056">
        <f t="shared" si="4"/>
        <v>0</v>
      </c>
    </row>
    <row r="29" spans="1:12" ht="14.25" customHeight="1">
      <c r="A29" s="42" t="s">
        <v>1712</v>
      </c>
      <c r="B29" s="313">
        <f t="shared" si="0"/>
        <v>11</v>
      </c>
      <c r="C29" s="1025">
        <f t="shared" si="3"/>
        <v>6.9182389937106921</v>
      </c>
      <c r="D29" s="834"/>
      <c r="E29" s="1026">
        <v>11</v>
      </c>
      <c r="F29" s="296">
        <f t="shared" si="1"/>
        <v>100</v>
      </c>
      <c r="G29" s="42"/>
      <c r="H29" s="1026">
        <v>0</v>
      </c>
      <c r="I29" s="296">
        <f t="shared" si="2"/>
        <v>0</v>
      </c>
      <c r="J29" s="42"/>
      <c r="K29" s="1026">
        <v>0</v>
      </c>
      <c r="L29" s="1056">
        <f t="shared" si="4"/>
        <v>0</v>
      </c>
    </row>
    <row r="30" spans="1:12" ht="14.25" customHeight="1">
      <c r="A30" s="42" t="s">
        <v>847</v>
      </c>
      <c r="B30" s="313">
        <f>IF($A30&lt;&gt;0,E30+H30+K30,"")</f>
        <v>1</v>
      </c>
      <c r="C30" s="1025">
        <f>IF($A30&lt;&gt;0,B30/$B$11*100,"")</f>
        <v>0.62893081761006298</v>
      </c>
      <c r="D30" s="834"/>
      <c r="E30" s="1026">
        <v>1</v>
      </c>
      <c r="F30" s="296">
        <f t="shared" si="1"/>
        <v>100</v>
      </c>
      <c r="G30" s="42"/>
      <c r="H30" s="1026">
        <v>0</v>
      </c>
      <c r="I30" s="296"/>
      <c r="J30" s="42"/>
      <c r="K30" s="1026">
        <v>0</v>
      </c>
      <c r="L30" s="1056"/>
    </row>
    <row r="31" spans="1:12" ht="14.25" customHeight="1">
      <c r="A31" s="42" t="s">
        <v>848</v>
      </c>
      <c r="B31" s="313">
        <f t="shared" si="0"/>
        <v>3</v>
      </c>
      <c r="C31" s="1025">
        <f t="shared" si="3"/>
        <v>1.8867924528301887</v>
      </c>
      <c r="D31" s="834"/>
      <c r="E31" s="1026">
        <v>3</v>
      </c>
      <c r="F31" s="296">
        <f t="shared" si="1"/>
        <v>100</v>
      </c>
      <c r="G31" s="42"/>
      <c r="H31" s="1026">
        <v>0</v>
      </c>
      <c r="I31" s="296">
        <f t="shared" si="2"/>
        <v>0</v>
      </c>
      <c r="J31" s="42"/>
      <c r="K31" s="1026">
        <v>0</v>
      </c>
      <c r="L31" s="1056">
        <f t="shared" si="4"/>
        <v>0</v>
      </c>
    </row>
    <row r="32" spans="1:12" ht="14.25" customHeight="1">
      <c r="A32" s="42" t="s">
        <v>849</v>
      </c>
      <c r="B32" s="313">
        <f t="shared" si="0"/>
        <v>4</v>
      </c>
      <c r="C32" s="1025">
        <f t="shared" si="3"/>
        <v>2.5157232704402519</v>
      </c>
      <c r="D32" s="834"/>
      <c r="E32" s="1026">
        <v>4</v>
      </c>
      <c r="F32" s="296">
        <f t="shared" si="1"/>
        <v>100</v>
      </c>
      <c r="G32" s="42"/>
      <c r="H32" s="1026">
        <v>0</v>
      </c>
      <c r="I32" s="296">
        <f t="shared" si="2"/>
        <v>0</v>
      </c>
      <c r="J32" s="42"/>
      <c r="K32" s="1026">
        <v>0</v>
      </c>
      <c r="L32" s="1056">
        <f t="shared" si="4"/>
        <v>0</v>
      </c>
    </row>
    <row r="33" spans="1:12" ht="14.25" customHeight="1">
      <c r="A33" s="42" t="s">
        <v>1751</v>
      </c>
      <c r="B33" s="313">
        <f>IF($A33&lt;&gt;0,E33+H33+K33,"")</f>
        <v>1</v>
      </c>
      <c r="C33" s="1025">
        <f>IF($A33&lt;&gt;0,B33/$B$11*100,"")</f>
        <v>0.62893081761006298</v>
      </c>
      <c r="D33" s="834"/>
      <c r="E33" s="1026">
        <v>1</v>
      </c>
      <c r="F33" s="296">
        <f t="shared" si="1"/>
        <v>100</v>
      </c>
      <c r="G33" s="42"/>
      <c r="H33" s="1026"/>
      <c r="I33" s="296"/>
      <c r="J33" s="42"/>
      <c r="K33" s="1026"/>
      <c r="L33" s="1056"/>
    </row>
    <row r="34" spans="1:12" ht="14.25" customHeight="1">
      <c r="A34" s="42" t="s">
        <v>855</v>
      </c>
      <c r="B34" s="313">
        <f>IF($A34&lt;&gt;0,E34+H34+K34,"")</f>
        <v>1</v>
      </c>
      <c r="C34" s="1025">
        <f>IF($A34&lt;&gt;0,B34/$B$11*100,"")</f>
        <v>0.62893081761006298</v>
      </c>
      <c r="D34" s="834"/>
      <c r="E34" s="1026">
        <v>1</v>
      </c>
      <c r="F34" s="296">
        <f t="shared" si="1"/>
        <v>100</v>
      </c>
      <c r="G34" s="42"/>
      <c r="H34" s="1026">
        <v>0</v>
      </c>
      <c r="I34" s="296">
        <f t="shared" si="2"/>
        <v>0</v>
      </c>
      <c r="J34" s="42"/>
      <c r="K34" s="1026">
        <v>0</v>
      </c>
      <c r="L34" s="1056">
        <f t="shared" si="4"/>
        <v>0</v>
      </c>
    </row>
    <row r="35" spans="1:12" ht="14.25" customHeight="1">
      <c r="A35" s="42" t="s">
        <v>856</v>
      </c>
      <c r="B35" s="313">
        <f t="shared" si="0"/>
        <v>5</v>
      </c>
      <c r="C35" s="1025">
        <f t="shared" si="3"/>
        <v>3.1446540880503147</v>
      </c>
      <c r="D35" s="834"/>
      <c r="E35" s="1026">
        <v>4</v>
      </c>
      <c r="F35" s="296">
        <f t="shared" si="1"/>
        <v>80</v>
      </c>
      <c r="G35" s="42"/>
      <c r="H35" s="1026">
        <v>0</v>
      </c>
      <c r="I35" s="296">
        <f t="shared" si="2"/>
        <v>0</v>
      </c>
      <c r="J35" s="42"/>
      <c r="K35" s="1026">
        <v>1</v>
      </c>
      <c r="L35" s="1056">
        <f t="shared" si="4"/>
        <v>20</v>
      </c>
    </row>
    <row r="36" spans="1:12" ht="14.25" customHeight="1">
      <c r="A36" s="42" t="s">
        <v>858</v>
      </c>
      <c r="B36" s="313">
        <f t="shared" si="0"/>
        <v>1</v>
      </c>
      <c r="C36" s="1025">
        <f t="shared" si="3"/>
        <v>0.62893081761006298</v>
      </c>
      <c r="D36" s="834"/>
      <c r="E36" s="1026">
        <v>1</v>
      </c>
      <c r="F36" s="296">
        <f t="shared" si="1"/>
        <v>100</v>
      </c>
      <c r="G36" s="42"/>
      <c r="H36" s="1026">
        <v>0</v>
      </c>
      <c r="I36" s="296">
        <f t="shared" si="2"/>
        <v>0</v>
      </c>
      <c r="J36" s="42"/>
      <c r="K36" s="1026">
        <v>0</v>
      </c>
      <c r="L36" s="1056">
        <f t="shared" si="4"/>
        <v>0</v>
      </c>
    </row>
    <row r="37" spans="1:12" ht="14.25" customHeight="1">
      <c r="A37" s="42" t="s">
        <v>1752</v>
      </c>
      <c r="B37" s="313">
        <f>IF($A37&lt;&gt;0,E37+H37+K37,"")</f>
        <v>3</v>
      </c>
      <c r="C37" s="1025">
        <f>IF($A37&lt;&gt;0,B37/$B$11*100,"")</f>
        <v>1.8867924528301887</v>
      </c>
      <c r="D37" s="834"/>
      <c r="E37" s="1026">
        <v>3</v>
      </c>
      <c r="F37" s="296"/>
      <c r="G37" s="42"/>
      <c r="H37" s="1026">
        <v>0</v>
      </c>
      <c r="I37" s="296"/>
      <c r="J37" s="42"/>
      <c r="K37" s="1026">
        <v>0</v>
      </c>
      <c r="L37" s="1056"/>
    </row>
    <row r="38" spans="1:12" ht="14.25" customHeight="1">
      <c r="A38" s="42" t="s">
        <v>859</v>
      </c>
      <c r="B38" s="313">
        <f t="shared" si="0"/>
        <v>1</v>
      </c>
      <c r="C38" s="1025">
        <f t="shared" si="3"/>
        <v>0.62893081761006298</v>
      </c>
      <c r="D38" s="834"/>
      <c r="E38" s="1026">
        <v>1</v>
      </c>
      <c r="F38" s="296">
        <f t="shared" si="1"/>
        <v>100</v>
      </c>
      <c r="G38" s="42"/>
      <c r="H38" s="1026">
        <v>0</v>
      </c>
      <c r="I38" s="296">
        <f t="shared" si="2"/>
        <v>0</v>
      </c>
      <c r="J38" s="42"/>
      <c r="K38" s="1026">
        <v>0</v>
      </c>
      <c r="L38" s="1056">
        <f t="shared" si="4"/>
        <v>0</v>
      </c>
    </row>
    <row r="39" spans="1:12" ht="14.25" customHeight="1">
      <c r="A39" s="42" t="s">
        <v>861</v>
      </c>
      <c r="B39" s="313">
        <f t="shared" si="0"/>
        <v>1</v>
      </c>
      <c r="C39" s="1025">
        <f t="shared" si="3"/>
        <v>0.62893081761006298</v>
      </c>
      <c r="D39" s="834"/>
      <c r="E39" s="1026">
        <v>1</v>
      </c>
      <c r="F39" s="296">
        <f t="shared" si="1"/>
        <v>100</v>
      </c>
      <c r="G39" s="42"/>
      <c r="H39" s="1026">
        <v>0</v>
      </c>
      <c r="I39" s="296">
        <f t="shared" si="2"/>
        <v>0</v>
      </c>
      <c r="J39" s="42"/>
      <c r="K39" s="1026">
        <v>0</v>
      </c>
      <c r="L39" s="1056">
        <f t="shared" si="4"/>
        <v>0</v>
      </c>
    </row>
    <row r="40" spans="1:12" ht="14.25" customHeight="1">
      <c r="A40" s="42" t="s">
        <v>1714</v>
      </c>
      <c r="B40" s="313">
        <f t="shared" si="0"/>
        <v>2</v>
      </c>
      <c r="C40" s="1025">
        <f t="shared" si="3"/>
        <v>1.257861635220126</v>
      </c>
      <c r="D40" s="834"/>
      <c r="E40" s="1026">
        <v>2</v>
      </c>
      <c r="F40" s="296">
        <f t="shared" si="1"/>
        <v>100</v>
      </c>
      <c r="G40" s="42"/>
      <c r="H40" s="1026">
        <v>0</v>
      </c>
      <c r="I40" s="296">
        <f t="shared" si="2"/>
        <v>0</v>
      </c>
      <c r="J40" s="42"/>
      <c r="K40" s="1026">
        <v>0</v>
      </c>
      <c r="L40" s="1056">
        <f t="shared" si="4"/>
        <v>0</v>
      </c>
    </row>
    <row r="41" spans="1:12" ht="14.25" customHeight="1">
      <c r="A41" s="42" t="s">
        <v>864</v>
      </c>
      <c r="B41" s="313">
        <f t="shared" si="0"/>
        <v>14</v>
      </c>
      <c r="C41" s="1025">
        <f t="shared" si="3"/>
        <v>8.8050314465408803</v>
      </c>
      <c r="D41" s="834"/>
      <c r="E41" s="1026">
        <v>13</v>
      </c>
      <c r="F41" s="296">
        <f t="shared" si="1"/>
        <v>92.857142857142861</v>
      </c>
      <c r="G41" s="42"/>
      <c r="H41" s="1026">
        <v>0</v>
      </c>
      <c r="I41" s="296">
        <f t="shared" si="2"/>
        <v>0</v>
      </c>
      <c r="J41" s="42"/>
      <c r="K41" s="1026">
        <v>1</v>
      </c>
      <c r="L41" s="1056">
        <f t="shared" si="4"/>
        <v>7.1428571428571423</v>
      </c>
    </row>
    <row r="42" spans="1:12" ht="14.25" customHeight="1">
      <c r="A42" s="42" t="s">
        <v>866</v>
      </c>
      <c r="B42" s="313">
        <f t="shared" si="0"/>
        <v>2</v>
      </c>
      <c r="C42" s="1025">
        <f t="shared" si="3"/>
        <v>1.257861635220126</v>
      </c>
      <c r="D42" s="834"/>
      <c r="E42" s="1026">
        <v>2</v>
      </c>
      <c r="F42" s="296">
        <f t="shared" si="1"/>
        <v>100</v>
      </c>
      <c r="G42" s="42"/>
      <c r="H42" s="1026">
        <v>0</v>
      </c>
      <c r="I42" s="296">
        <f t="shared" si="2"/>
        <v>0</v>
      </c>
      <c r="J42" s="42"/>
      <c r="K42" s="1026">
        <v>0</v>
      </c>
      <c r="L42" s="1056">
        <f t="shared" si="4"/>
        <v>0</v>
      </c>
    </row>
    <row r="43" spans="1:12" ht="14.25" customHeight="1">
      <c r="A43" s="42" t="s">
        <v>870</v>
      </c>
      <c r="B43" s="313">
        <f t="shared" si="0"/>
        <v>10</v>
      </c>
      <c r="C43" s="1025">
        <f t="shared" si="3"/>
        <v>6.2893081761006293</v>
      </c>
      <c r="D43" s="834"/>
      <c r="E43" s="1026">
        <v>10</v>
      </c>
      <c r="F43" s="296">
        <f t="shared" si="1"/>
        <v>100</v>
      </c>
      <c r="G43" s="42"/>
      <c r="H43" s="1026">
        <v>0</v>
      </c>
      <c r="I43" s="296">
        <f t="shared" si="2"/>
        <v>0</v>
      </c>
      <c r="J43" s="42"/>
      <c r="K43" s="1026">
        <v>0</v>
      </c>
      <c r="L43" s="1056">
        <f t="shared" si="4"/>
        <v>0</v>
      </c>
    </row>
    <row r="44" spans="1:12" ht="14.25" customHeight="1">
      <c r="A44" s="42" t="s">
        <v>871</v>
      </c>
      <c r="B44" s="313">
        <f t="shared" si="0"/>
        <v>21</v>
      </c>
      <c r="C44" s="1025">
        <f t="shared" si="3"/>
        <v>13.20754716981132</v>
      </c>
      <c r="D44" s="834"/>
      <c r="E44" s="1026">
        <v>19</v>
      </c>
      <c r="F44" s="296">
        <f t="shared" si="1"/>
        <v>90.476190476190482</v>
      </c>
      <c r="G44" s="42"/>
      <c r="H44" s="1026">
        <v>1</v>
      </c>
      <c r="I44" s="296">
        <f t="shared" si="2"/>
        <v>4.7619047619047619</v>
      </c>
      <c r="J44" s="42"/>
      <c r="K44" s="1026">
        <v>1</v>
      </c>
      <c r="L44" s="1056">
        <f t="shared" si="4"/>
        <v>4.7619047619047619</v>
      </c>
    </row>
    <row r="45" spans="1:12" ht="14.25" customHeight="1">
      <c r="A45" s="42" t="s">
        <v>872</v>
      </c>
      <c r="B45" s="313">
        <f t="shared" si="0"/>
        <v>3</v>
      </c>
      <c r="C45" s="1025">
        <f t="shared" si="3"/>
        <v>1.8867924528301887</v>
      </c>
      <c r="D45" s="834"/>
      <c r="E45" s="1026">
        <v>3</v>
      </c>
      <c r="F45" s="296">
        <f t="shared" si="1"/>
        <v>100</v>
      </c>
      <c r="G45" s="42"/>
      <c r="H45" s="1026">
        <v>0</v>
      </c>
      <c r="I45" s="296">
        <f t="shared" si="2"/>
        <v>0</v>
      </c>
      <c r="J45" s="42"/>
      <c r="K45" s="1026">
        <v>0</v>
      </c>
      <c r="L45" s="1056"/>
    </row>
    <row r="46" spans="1:12" ht="14.25" customHeight="1">
      <c r="A46" s="42" t="s">
        <v>935</v>
      </c>
      <c r="B46" s="313">
        <f t="shared" si="0"/>
        <v>3</v>
      </c>
      <c r="C46" s="1025">
        <f t="shared" si="3"/>
        <v>1.8867924528301887</v>
      </c>
      <c r="D46" s="834"/>
      <c r="E46" s="1026">
        <v>3</v>
      </c>
      <c r="F46" s="296">
        <f t="shared" si="1"/>
        <v>100</v>
      </c>
      <c r="G46" s="42"/>
      <c r="H46" s="1026">
        <v>0</v>
      </c>
      <c r="I46" s="296">
        <f t="shared" si="2"/>
        <v>0</v>
      </c>
      <c r="J46" s="42"/>
      <c r="K46" s="1026">
        <v>0</v>
      </c>
      <c r="L46" s="1056"/>
    </row>
    <row r="47" spans="1:12" ht="14.25" customHeight="1">
      <c r="A47" s="42" t="s">
        <v>1715</v>
      </c>
      <c r="B47" s="313">
        <f t="shared" si="0"/>
        <v>2</v>
      </c>
      <c r="C47" s="1025">
        <f t="shared" si="3"/>
        <v>1.257861635220126</v>
      </c>
      <c r="D47" s="834"/>
      <c r="E47" s="1026">
        <v>2</v>
      </c>
      <c r="F47" s="296">
        <f t="shared" si="1"/>
        <v>100</v>
      </c>
      <c r="G47" s="42"/>
      <c r="H47" s="1026">
        <v>0</v>
      </c>
      <c r="I47" s="296">
        <f t="shared" si="2"/>
        <v>0</v>
      </c>
      <c r="J47" s="42"/>
      <c r="K47" s="1026">
        <v>0</v>
      </c>
      <c r="L47" s="1056"/>
    </row>
    <row r="48" spans="1:12" ht="14.25" customHeight="1">
      <c r="A48" s="42" t="s">
        <v>1716</v>
      </c>
      <c r="B48" s="313">
        <f t="shared" si="0"/>
        <v>4</v>
      </c>
      <c r="C48" s="1025">
        <f t="shared" si="3"/>
        <v>2.5157232704402519</v>
      </c>
      <c r="D48" s="834"/>
      <c r="E48" s="1026">
        <v>4</v>
      </c>
      <c r="F48" s="296">
        <f t="shared" si="1"/>
        <v>100</v>
      </c>
      <c r="G48" s="42"/>
      <c r="H48" s="1026">
        <v>0</v>
      </c>
      <c r="I48" s="296">
        <f t="shared" si="2"/>
        <v>0</v>
      </c>
      <c r="J48" s="42"/>
      <c r="K48" s="1026">
        <v>0</v>
      </c>
      <c r="L48" s="1056"/>
    </row>
    <row r="49" spans="1:13" ht="14.25" customHeight="1">
      <c r="A49" s="42" t="s">
        <v>878</v>
      </c>
      <c r="B49" s="313">
        <f t="shared" si="0"/>
        <v>1</v>
      </c>
      <c r="C49" s="1025">
        <f t="shared" si="3"/>
        <v>0.62893081761006298</v>
      </c>
      <c r="D49" s="834"/>
      <c r="E49" s="1026">
        <v>0</v>
      </c>
      <c r="F49" s="296">
        <f t="shared" si="1"/>
        <v>0</v>
      </c>
      <c r="G49" s="42"/>
      <c r="H49" s="1026">
        <v>1</v>
      </c>
      <c r="I49" s="296">
        <f t="shared" si="2"/>
        <v>100</v>
      </c>
      <c r="J49" s="42"/>
      <c r="K49" s="1026">
        <v>0</v>
      </c>
      <c r="L49" s="1056"/>
    </row>
    <row r="50" spans="1:13" ht="14.25" customHeight="1">
      <c r="A50" s="42" t="s">
        <v>879</v>
      </c>
      <c r="B50" s="313">
        <f>IF($A50&lt;&gt;0,E50+H50+K50,"")</f>
        <v>2</v>
      </c>
      <c r="C50" s="1025">
        <f>IF($A50&lt;&gt;0,B50/$B$11*100,"")</f>
        <v>1.257861635220126</v>
      </c>
      <c r="D50" s="834"/>
      <c r="E50" s="1026">
        <v>1</v>
      </c>
      <c r="F50" s="296">
        <f t="shared" si="1"/>
        <v>50</v>
      </c>
      <c r="G50" s="42"/>
      <c r="H50" s="1026">
        <v>1</v>
      </c>
      <c r="I50" s="296">
        <f t="shared" si="2"/>
        <v>50</v>
      </c>
      <c r="J50" s="42"/>
      <c r="K50" s="1026">
        <v>0</v>
      </c>
      <c r="L50" s="1056"/>
    </row>
    <row r="51" spans="1:13" ht="14.25" customHeight="1">
      <c r="A51" s="42" t="s">
        <v>880</v>
      </c>
      <c r="B51" s="313">
        <f t="shared" si="0"/>
        <v>2</v>
      </c>
      <c r="C51" s="1025">
        <f t="shared" si="3"/>
        <v>1.257861635220126</v>
      </c>
      <c r="D51" s="834"/>
      <c r="E51" s="42">
        <v>2</v>
      </c>
      <c r="F51" s="296">
        <f t="shared" si="1"/>
        <v>100</v>
      </c>
      <c r="G51" s="42"/>
      <c r="H51" s="42">
        <v>0</v>
      </c>
      <c r="I51" s="296">
        <f t="shared" si="2"/>
        <v>0</v>
      </c>
      <c r="J51" s="42"/>
      <c r="K51" s="42">
        <v>0</v>
      </c>
      <c r="L51" s="1056"/>
    </row>
    <row r="52" spans="1:13" ht="8.25" customHeight="1" thickBot="1">
      <c r="K52" s="1057"/>
    </row>
    <row r="53" spans="1:13" ht="12.95" customHeight="1">
      <c r="A53" s="437"/>
      <c r="B53" s="1059"/>
      <c r="C53" s="1060"/>
      <c r="D53" s="1061"/>
      <c r="E53" s="1062"/>
      <c r="F53" s="1060"/>
      <c r="G53" s="1061"/>
      <c r="H53" s="1062"/>
      <c r="I53" s="1060"/>
      <c r="J53" s="1060"/>
      <c r="K53" s="1062"/>
      <c r="L53" s="1061"/>
      <c r="M53" s="1061"/>
    </row>
    <row r="54" spans="1:13" ht="14.25">
      <c r="A54" s="4" t="s">
        <v>2145</v>
      </c>
      <c r="B54" s="1069"/>
      <c r="C54" s="802"/>
      <c r="D54" s="1063"/>
      <c r="E54" s="812"/>
      <c r="F54" s="802"/>
      <c r="G54" s="1063"/>
      <c r="H54" s="812"/>
      <c r="I54" s="802"/>
      <c r="J54" s="802"/>
      <c r="K54" s="812"/>
      <c r="L54" s="1063"/>
      <c r="M54" s="1063"/>
    </row>
    <row r="55" spans="1:13" ht="14.25">
      <c r="A55" s="256" t="s">
        <v>2146</v>
      </c>
      <c r="B55" s="1070"/>
      <c r="D55" s="1058"/>
      <c r="G55" s="1058"/>
      <c r="J55" s="1057"/>
      <c r="K55" s="1057"/>
    </row>
    <row r="56" spans="1:13" ht="14.25">
      <c r="A56" s="66" t="s">
        <v>2147</v>
      </c>
    </row>
    <row r="57" spans="1:13" ht="12.95" customHeight="1">
      <c r="A57" s="440"/>
      <c r="B57" s="1069"/>
      <c r="C57" s="802"/>
      <c r="D57" s="1063"/>
      <c r="E57" s="812"/>
      <c r="F57" s="802"/>
      <c r="G57" s="1063"/>
      <c r="H57" s="812"/>
      <c r="I57" s="802"/>
      <c r="J57" s="802"/>
      <c r="K57" s="812"/>
      <c r="L57" s="1063"/>
    </row>
    <row r="58" spans="1:13" ht="12.95" customHeight="1">
      <c r="A58" s="434" t="s">
        <v>1753</v>
      </c>
    </row>
    <row r="59" spans="1:13" ht="12.95" customHeight="1">
      <c r="A59" s="434" t="s">
        <v>385</v>
      </c>
    </row>
    <row r="60" spans="1:13" ht="12.95" customHeight="1"/>
    <row r="61" spans="1:13" ht="12.95" customHeight="1"/>
    <row r="62" spans="1:13" ht="12.95" customHeight="1"/>
    <row r="63" spans="1:13" ht="12.95" customHeight="1"/>
    <row r="64" spans="1:13" ht="12.95" customHeight="1"/>
    <row r="65" ht="15" customHeight="1"/>
    <row r="66" ht="9.9499999999999993" customHeight="1"/>
    <row r="67" ht="15" customHeight="1"/>
    <row r="68" ht="15" customHeight="1"/>
    <row r="69" ht="15" customHeight="1"/>
    <row r="70" ht="9.9499999999999993" customHeight="1"/>
    <row r="71" ht="13.15" customHeight="1"/>
    <row r="72" ht="13.35" customHeight="1"/>
    <row r="73" ht="13.35" customHeight="1"/>
    <row r="74" ht="13.35" customHeight="1"/>
    <row r="75" ht="13.15" customHeight="1"/>
    <row r="76" ht="13.15" customHeight="1"/>
    <row r="77" ht="13.15" customHeight="1"/>
    <row r="78" ht="13.15" customHeight="1"/>
  </sheetData>
  <mergeCells count="4">
    <mergeCell ref="B7:C7"/>
    <mergeCell ref="E7:F7"/>
    <mergeCell ref="H7:I7"/>
    <mergeCell ref="K7:L7"/>
  </mergeCells>
  <printOptions horizontalCentered="1" verticalCentered="1"/>
  <pageMargins left="0" right="0" top="0" bottom="0" header="0.31496062992125984" footer="0.31496062992125984"/>
  <pageSetup paperSize="9" scale="90" orientation="portrait" r:id="rId1"/>
  <drawing r:id="rId2"/>
</worksheet>
</file>

<file path=xl/worksheets/sheet108.xml><?xml version="1.0" encoding="utf-8"?>
<worksheet xmlns="http://schemas.openxmlformats.org/spreadsheetml/2006/main" xmlns:r="http://schemas.openxmlformats.org/officeDocument/2006/relationships">
  <sheetPr>
    <tabColor theme="5" tint="0.59999389629810485"/>
  </sheetPr>
  <dimension ref="B2:K42"/>
  <sheetViews>
    <sheetView workbookViewId="0">
      <selection activeCell="I4" sqref="I4"/>
    </sheetView>
  </sheetViews>
  <sheetFormatPr baseColWidth="10" defaultRowHeight="15"/>
  <sheetData>
    <row r="2" spans="2:11" ht="12.75" customHeight="1">
      <c r="B2" s="42" t="s">
        <v>1941</v>
      </c>
      <c r="C2" s="42" t="s">
        <v>1738</v>
      </c>
      <c r="D2" s="42" t="s">
        <v>1302</v>
      </c>
    </row>
    <row r="3" spans="2:11" ht="12.75" customHeight="1">
      <c r="B3" s="31">
        <v>97.39</v>
      </c>
      <c r="C3" s="31">
        <v>1.26</v>
      </c>
      <c r="D3" s="31">
        <v>1.36</v>
      </c>
      <c r="K3" s="32"/>
    </row>
    <row r="4" spans="2:11" ht="12.75" customHeight="1">
      <c r="C4" t="s">
        <v>11</v>
      </c>
      <c r="I4" s="33"/>
    </row>
    <row r="5" spans="2:11" ht="12.75" customHeight="1">
      <c r="I5" s="33"/>
    </row>
    <row r="6" spans="2:11" ht="12.75" customHeight="1">
      <c r="B6" s="659">
        <f>SUM(C6:E6)</f>
        <v>22151</v>
      </c>
      <c r="C6" s="268">
        <v>21576</v>
      </c>
      <c r="D6" s="268">
        <v>276</v>
      </c>
      <c r="E6" s="268">
        <v>299</v>
      </c>
      <c r="F6" s="259"/>
      <c r="G6" s="259"/>
      <c r="H6" s="76"/>
      <c r="I6" s="33"/>
    </row>
    <row r="7" spans="2:11" ht="12.75" customHeight="1">
      <c r="B7" s="659">
        <f>SUM(C7:E7)</f>
        <v>159</v>
      </c>
      <c r="C7" s="466">
        <v>151</v>
      </c>
      <c r="D7" s="466">
        <v>4</v>
      </c>
      <c r="E7" s="466">
        <v>4</v>
      </c>
      <c r="F7" s="766"/>
      <c r="G7" s="766"/>
      <c r="H7" s="766"/>
      <c r="I7" s="34"/>
    </row>
    <row r="8" spans="2:11">
      <c r="B8" s="659">
        <f>SUM(C8:E8)</f>
        <v>22310</v>
      </c>
      <c r="C8" s="41">
        <f>SUM(C6:C7)</f>
        <v>21727</v>
      </c>
      <c r="D8" s="41">
        <f>SUM(D6:D7)</f>
        <v>280</v>
      </c>
      <c r="E8" s="41">
        <f>SUM(E6:E7)</f>
        <v>303</v>
      </c>
      <c r="F8" s="606"/>
      <c r="G8" s="606"/>
      <c r="H8" s="606"/>
    </row>
    <row r="9" spans="2:11" ht="23.25">
      <c r="D9" s="35"/>
      <c r="F9" s="606"/>
      <c r="G9" s="606"/>
      <c r="H9" s="606"/>
    </row>
    <row r="10" spans="2:11">
      <c r="C10" s="606">
        <f>C8/B8*100</f>
        <v>97.386822052891077</v>
      </c>
      <c r="D10" s="606">
        <f>D8/B8*100</f>
        <v>1.2550425818018824</v>
      </c>
      <c r="E10" s="606">
        <f>E8/B8*100</f>
        <v>1.3581353653070372</v>
      </c>
    </row>
    <row r="11" spans="2:11">
      <c r="B11" s="31"/>
      <c r="C11" s="31"/>
      <c r="D11" s="31"/>
    </row>
    <row r="12" spans="2:11">
      <c r="B12" s="31"/>
      <c r="C12" s="31"/>
      <c r="D12" s="31"/>
    </row>
    <row r="36" spans="2:5">
      <c r="B36" s="268"/>
      <c r="C36" s="268"/>
      <c r="D36" s="268"/>
    </row>
    <row r="39" spans="2:5">
      <c r="E39" s="31"/>
    </row>
    <row r="40" spans="2:5">
      <c r="E40" s="31"/>
    </row>
    <row r="41" spans="2:5">
      <c r="E41" s="31"/>
    </row>
    <row r="42" spans="2:5">
      <c r="E42"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dimension ref="A1:M108"/>
  <sheetViews>
    <sheetView workbookViewId="0">
      <selection activeCell="C110" sqref="C110"/>
    </sheetView>
  </sheetViews>
  <sheetFormatPr baseColWidth="10" defaultRowHeight="15"/>
  <cols>
    <col min="1" max="1" width="39.42578125" bestFit="1" customWidth="1"/>
    <col min="2" max="2" width="10.28515625" style="297" customWidth="1"/>
    <col min="3" max="3" width="9.28515625" style="45" customWidth="1"/>
    <col min="4" max="4" width="1.7109375" style="24" customWidth="1"/>
    <col min="5" max="5" width="9.42578125" style="670" customWidth="1"/>
    <col min="6" max="6" width="9.5703125" style="24" customWidth="1"/>
    <col min="7" max="7" width="1.7109375" style="24" customWidth="1"/>
    <col min="8" max="8" width="10.7109375" style="670" customWidth="1"/>
    <col min="9" max="9" width="11.5703125" style="24" customWidth="1"/>
    <col min="10" max="10" width="1.7109375" style="24" customWidth="1"/>
    <col min="11" max="11" width="8.140625" style="670" customWidth="1"/>
    <col min="12" max="12" width="7.5703125" style="24" customWidth="1"/>
    <col min="13" max="13" width="2.28515625" customWidth="1"/>
    <col min="257" max="257" width="39.42578125" bestFit="1" customWidth="1"/>
    <col min="258" max="259" width="10.7109375" customWidth="1"/>
    <col min="260" max="260" width="1.7109375" customWidth="1"/>
    <col min="261" max="262" width="10.7109375" customWidth="1"/>
    <col min="263" max="263" width="1.7109375" customWidth="1"/>
    <col min="264" max="264" width="10.7109375" customWidth="1"/>
    <col min="265" max="265" width="11.5703125" customWidth="1"/>
    <col min="266" max="266" width="1.7109375" customWidth="1"/>
    <col min="267" max="268" width="10.7109375" customWidth="1"/>
    <col min="269" max="269" width="2.28515625" customWidth="1"/>
    <col min="513" max="513" width="39.42578125" bestFit="1" customWidth="1"/>
    <col min="514" max="515" width="10.7109375" customWidth="1"/>
    <col min="516" max="516" width="1.7109375" customWidth="1"/>
    <col min="517" max="518" width="10.7109375" customWidth="1"/>
    <col min="519" max="519" width="1.7109375" customWidth="1"/>
    <col min="520" max="520" width="10.7109375" customWidth="1"/>
    <col min="521" max="521" width="11.5703125" customWidth="1"/>
    <col min="522" max="522" width="1.7109375" customWidth="1"/>
    <col min="523" max="524" width="10.7109375" customWidth="1"/>
    <col min="525" max="525" width="2.28515625" customWidth="1"/>
    <col min="769" max="769" width="39.42578125" bestFit="1" customWidth="1"/>
    <col min="770" max="771" width="10.7109375" customWidth="1"/>
    <col min="772" max="772" width="1.7109375" customWidth="1"/>
    <col min="773" max="774" width="10.7109375" customWidth="1"/>
    <col min="775" max="775" width="1.7109375" customWidth="1"/>
    <col min="776" max="776" width="10.7109375" customWidth="1"/>
    <col min="777" max="777" width="11.5703125" customWidth="1"/>
    <col min="778" max="778" width="1.7109375" customWidth="1"/>
    <col min="779" max="780" width="10.7109375" customWidth="1"/>
    <col min="781" max="781" width="2.28515625" customWidth="1"/>
    <col min="1025" max="1025" width="39.42578125" bestFit="1" customWidth="1"/>
    <col min="1026" max="1027" width="10.7109375" customWidth="1"/>
    <col min="1028" max="1028" width="1.7109375" customWidth="1"/>
    <col min="1029" max="1030" width="10.7109375" customWidth="1"/>
    <col min="1031" max="1031" width="1.7109375" customWidth="1"/>
    <col min="1032" max="1032" width="10.7109375" customWidth="1"/>
    <col min="1033" max="1033" width="11.5703125" customWidth="1"/>
    <col min="1034" max="1034" width="1.7109375" customWidth="1"/>
    <col min="1035" max="1036" width="10.7109375" customWidth="1"/>
    <col min="1037" max="1037" width="2.28515625" customWidth="1"/>
    <col min="1281" max="1281" width="39.42578125" bestFit="1" customWidth="1"/>
    <col min="1282" max="1283" width="10.7109375" customWidth="1"/>
    <col min="1284" max="1284" width="1.7109375" customWidth="1"/>
    <col min="1285" max="1286" width="10.7109375" customWidth="1"/>
    <col min="1287" max="1287" width="1.7109375" customWidth="1"/>
    <col min="1288" max="1288" width="10.7109375" customWidth="1"/>
    <col min="1289" max="1289" width="11.5703125" customWidth="1"/>
    <col min="1290" max="1290" width="1.7109375" customWidth="1"/>
    <col min="1291" max="1292" width="10.7109375" customWidth="1"/>
    <col min="1293" max="1293" width="2.28515625" customWidth="1"/>
    <col min="1537" max="1537" width="39.42578125" bestFit="1" customWidth="1"/>
    <col min="1538" max="1539" width="10.7109375" customWidth="1"/>
    <col min="1540" max="1540" width="1.7109375" customWidth="1"/>
    <col min="1541" max="1542" width="10.7109375" customWidth="1"/>
    <col min="1543" max="1543" width="1.7109375" customWidth="1"/>
    <col min="1544" max="1544" width="10.7109375" customWidth="1"/>
    <col min="1545" max="1545" width="11.5703125" customWidth="1"/>
    <col min="1546" max="1546" width="1.7109375" customWidth="1"/>
    <col min="1547" max="1548" width="10.7109375" customWidth="1"/>
    <col min="1549" max="1549" width="2.28515625" customWidth="1"/>
    <col min="1793" max="1793" width="39.42578125" bestFit="1" customWidth="1"/>
    <col min="1794" max="1795" width="10.7109375" customWidth="1"/>
    <col min="1796" max="1796" width="1.7109375" customWidth="1"/>
    <col min="1797" max="1798" width="10.7109375" customWidth="1"/>
    <col min="1799" max="1799" width="1.7109375" customWidth="1"/>
    <col min="1800" max="1800" width="10.7109375" customWidth="1"/>
    <col min="1801" max="1801" width="11.5703125" customWidth="1"/>
    <col min="1802" max="1802" width="1.7109375" customWidth="1"/>
    <col min="1803" max="1804" width="10.7109375" customWidth="1"/>
    <col min="1805" max="1805" width="2.28515625" customWidth="1"/>
    <col min="2049" max="2049" width="39.42578125" bestFit="1" customWidth="1"/>
    <col min="2050" max="2051" width="10.7109375" customWidth="1"/>
    <col min="2052" max="2052" width="1.7109375" customWidth="1"/>
    <col min="2053" max="2054" width="10.7109375" customWidth="1"/>
    <col min="2055" max="2055" width="1.7109375" customWidth="1"/>
    <col min="2056" max="2056" width="10.7109375" customWidth="1"/>
    <col min="2057" max="2057" width="11.5703125" customWidth="1"/>
    <col min="2058" max="2058" width="1.7109375" customWidth="1"/>
    <col min="2059" max="2060" width="10.7109375" customWidth="1"/>
    <col min="2061" max="2061" width="2.28515625" customWidth="1"/>
    <col min="2305" max="2305" width="39.42578125" bestFit="1" customWidth="1"/>
    <col min="2306" max="2307" width="10.7109375" customWidth="1"/>
    <col min="2308" max="2308" width="1.7109375" customWidth="1"/>
    <col min="2309" max="2310" width="10.7109375" customWidth="1"/>
    <col min="2311" max="2311" width="1.7109375" customWidth="1"/>
    <col min="2312" max="2312" width="10.7109375" customWidth="1"/>
    <col min="2313" max="2313" width="11.5703125" customWidth="1"/>
    <col min="2314" max="2314" width="1.7109375" customWidth="1"/>
    <col min="2315" max="2316" width="10.7109375" customWidth="1"/>
    <col min="2317" max="2317" width="2.28515625" customWidth="1"/>
    <col min="2561" max="2561" width="39.42578125" bestFit="1" customWidth="1"/>
    <col min="2562" max="2563" width="10.7109375" customWidth="1"/>
    <col min="2564" max="2564" width="1.7109375" customWidth="1"/>
    <col min="2565" max="2566" width="10.7109375" customWidth="1"/>
    <col min="2567" max="2567" width="1.7109375" customWidth="1"/>
    <col min="2568" max="2568" width="10.7109375" customWidth="1"/>
    <col min="2569" max="2569" width="11.5703125" customWidth="1"/>
    <col min="2570" max="2570" width="1.7109375" customWidth="1"/>
    <col min="2571" max="2572" width="10.7109375" customWidth="1"/>
    <col min="2573" max="2573" width="2.28515625" customWidth="1"/>
    <col min="2817" max="2817" width="39.42578125" bestFit="1" customWidth="1"/>
    <col min="2818" max="2819" width="10.7109375" customWidth="1"/>
    <col min="2820" max="2820" width="1.7109375" customWidth="1"/>
    <col min="2821" max="2822" width="10.7109375" customWidth="1"/>
    <col min="2823" max="2823" width="1.7109375" customWidth="1"/>
    <col min="2824" max="2824" width="10.7109375" customWidth="1"/>
    <col min="2825" max="2825" width="11.5703125" customWidth="1"/>
    <col min="2826" max="2826" width="1.7109375" customWidth="1"/>
    <col min="2827" max="2828" width="10.7109375" customWidth="1"/>
    <col min="2829" max="2829" width="2.28515625" customWidth="1"/>
    <col min="3073" max="3073" width="39.42578125" bestFit="1" customWidth="1"/>
    <col min="3074" max="3075" width="10.7109375" customWidth="1"/>
    <col min="3076" max="3076" width="1.7109375" customWidth="1"/>
    <col min="3077" max="3078" width="10.7109375" customWidth="1"/>
    <col min="3079" max="3079" width="1.7109375" customWidth="1"/>
    <col min="3080" max="3080" width="10.7109375" customWidth="1"/>
    <col min="3081" max="3081" width="11.5703125" customWidth="1"/>
    <col min="3082" max="3082" width="1.7109375" customWidth="1"/>
    <col min="3083" max="3084" width="10.7109375" customWidth="1"/>
    <col min="3085" max="3085" width="2.28515625" customWidth="1"/>
    <col min="3329" max="3329" width="39.42578125" bestFit="1" customWidth="1"/>
    <col min="3330" max="3331" width="10.7109375" customWidth="1"/>
    <col min="3332" max="3332" width="1.7109375" customWidth="1"/>
    <col min="3333" max="3334" width="10.7109375" customWidth="1"/>
    <col min="3335" max="3335" width="1.7109375" customWidth="1"/>
    <col min="3336" max="3336" width="10.7109375" customWidth="1"/>
    <col min="3337" max="3337" width="11.5703125" customWidth="1"/>
    <col min="3338" max="3338" width="1.7109375" customWidth="1"/>
    <col min="3339" max="3340" width="10.7109375" customWidth="1"/>
    <col min="3341" max="3341" width="2.28515625" customWidth="1"/>
    <col min="3585" max="3585" width="39.42578125" bestFit="1" customWidth="1"/>
    <col min="3586" max="3587" width="10.7109375" customWidth="1"/>
    <col min="3588" max="3588" width="1.7109375" customWidth="1"/>
    <col min="3589" max="3590" width="10.7109375" customWidth="1"/>
    <col min="3591" max="3591" width="1.7109375" customWidth="1"/>
    <col min="3592" max="3592" width="10.7109375" customWidth="1"/>
    <col min="3593" max="3593" width="11.5703125" customWidth="1"/>
    <col min="3594" max="3594" width="1.7109375" customWidth="1"/>
    <col min="3595" max="3596" width="10.7109375" customWidth="1"/>
    <col min="3597" max="3597" width="2.28515625" customWidth="1"/>
    <col min="3841" max="3841" width="39.42578125" bestFit="1" customWidth="1"/>
    <col min="3842" max="3843" width="10.7109375" customWidth="1"/>
    <col min="3844" max="3844" width="1.7109375" customWidth="1"/>
    <col min="3845" max="3846" width="10.7109375" customWidth="1"/>
    <col min="3847" max="3847" width="1.7109375" customWidth="1"/>
    <col min="3848" max="3848" width="10.7109375" customWidth="1"/>
    <col min="3849" max="3849" width="11.5703125" customWidth="1"/>
    <col min="3850" max="3850" width="1.7109375" customWidth="1"/>
    <col min="3851" max="3852" width="10.7109375" customWidth="1"/>
    <col min="3853" max="3853" width="2.28515625" customWidth="1"/>
    <col min="4097" max="4097" width="39.42578125" bestFit="1" customWidth="1"/>
    <col min="4098" max="4099" width="10.7109375" customWidth="1"/>
    <col min="4100" max="4100" width="1.7109375" customWidth="1"/>
    <col min="4101" max="4102" width="10.7109375" customWidth="1"/>
    <col min="4103" max="4103" width="1.7109375" customWidth="1"/>
    <col min="4104" max="4104" width="10.7109375" customWidth="1"/>
    <col min="4105" max="4105" width="11.5703125" customWidth="1"/>
    <col min="4106" max="4106" width="1.7109375" customWidth="1"/>
    <col min="4107" max="4108" width="10.7109375" customWidth="1"/>
    <col min="4109" max="4109" width="2.28515625" customWidth="1"/>
    <col min="4353" max="4353" width="39.42578125" bestFit="1" customWidth="1"/>
    <col min="4354" max="4355" width="10.7109375" customWidth="1"/>
    <col min="4356" max="4356" width="1.7109375" customWidth="1"/>
    <col min="4357" max="4358" width="10.7109375" customWidth="1"/>
    <col min="4359" max="4359" width="1.7109375" customWidth="1"/>
    <col min="4360" max="4360" width="10.7109375" customWidth="1"/>
    <col min="4361" max="4361" width="11.5703125" customWidth="1"/>
    <col min="4362" max="4362" width="1.7109375" customWidth="1"/>
    <col min="4363" max="4364" width="10.7109375" customWidth="1"/>
    <col min="4365" max="4365" width="2.28515625" customWidth="1"/>
    <col min="4609" max="4609" width="39.42578125" bestFit="1" customWidth="1"/>
    <col min="4610" max="4611" width="10.7109375" customWidth="1"/>
    <col min="4612" max="4612" width="1.7109375" customWidth="1"/>
    <col min="4613" max="4614" width="10.7109375" customWidth="1"/>
    <col min="4615" max="4615" width="1.7109375" customWidth="1"/>
    <col min="4616" max="4616" width="10.7109375" customWidth="1"/>
    <col min="4617" max="4617" width="11.5703125" customWidth="1"/>
    <col min="4618" max="4618" width="1.7109375" customWidth="1"/>
    <col min="4619" max="4620" width="10.7109375" customWidth="1"/>
    <col min="4621" max="4621" width="2.28515625" customWidth="1"/>
    <col min="4865" max="4865" width="39.42578125" bestFit="1" customWidth="1"/>
    <col min="4866" max="4867" width="10.7109375" customWidth="1"/>
    <col min="4868" max="4868" width="1.7109375" customWidth="1"/>
    <col min="4869" max="4870" width="10.7109375" customWidth="1"/>
    <col min="4871" max="4871" width="1.7109375" customWidth="1"/>
    <col min="4872" max="4872" width="10.7109375" customWidth="1"/>
    <col min="4873" max="4873" width="11.5703125" customWidth="1"/>
    <col min="4874" max="4874" width="1.7109375" customWidth="1"/>
    <col min="4875" max="4876" width="10.7109375" customWidth="1"/>
    <col min="4877" max="4877" width="2.28515625" customWidth="1"/>
    <col min="5121" max="5121" width="39.42578125" bestFit="1" customWidth="1"/>
    <col min="5122" max="5123" width="10.7109375" customWidth="1"/>
    <col min="5124" max="5124" width="1.7109375" customWidth="1"/>
    <col min="5125" max="5126" width="10.7109375" customWidth="1"/>
    <col min="5127" max="5127" width="1.7109375" customWidth="1"/>
    <col min="5128" max="5128" width="10.7109375" customWidth="1"/>
    <col min="5129" max="5129" width="11.5703125" customWidth="1"/>
    <col min="5130" max="5130" width="1.7109375" customWidth="1"/>
    <col min="5131" max="5132" width="10.7109375" customWidth="1"/>
    <col min="5133" max="5133" width="2.28515625" customWidth="1"/>
    <col min="5377" max="5377" width="39.42578125" bestFit="1" customWidth="1"/>
    <col min="5378" max="5379" width="10.7109375" customWidth="1"/>
    <col min="5380" max="5380" width="1.7109375" customWidth="1"/>
    <col min="5381" max="5382" width="10.7109375" customWidth="1"/>
    <col min="5383" max="5383" width="1.7109375" customWidth="1"/>
    <col min="5384" max="5384" width="10.7109375" customWidth="1"/>
    <col min="5385" max="5385" width="11.5703125" customWidth="1"/>
    <col min="5386" max="5386" width="1.7109375" customWidth="1"/>
    <col min="5387" max="5388" width="10.7109375" customWidth="1"/>
    <col min="5389" max="5389" width="2.28515625" customWidth="1"/>
    <col min="5633" max="5633" width="39.42578125" bestFit="1" customWidth="1"/>
    <col min="5634" max="5635" width="10.7109375" customWidth="1"/>
    <col min="5636" max="5636" width="1.7109375" customWidth="1"/>
    <col min="5637" max="5638" width="10.7109375" customWidth="1"/>
    <col min="5639" max="5639" width="1.7109375" customWidth="1"/>
    <col min="5640" max="5640" width="10.7109375" customWidth="1"/>
    <col min="5641" max="5641" width="11.5703125" customWidth="1"/>
    <col min="5642" max="5642" width="1.7109375" customWidth="1"/>
    <col min="5643" max="5644" width="10.7109375" customWidth="1"/>
    <col min="5645" max="5645" width="2.28515625" customWidth="1"/>
    <col min="5889" max="5889" width="39.42578125" bestFit="1" customWidth="1"/>
    <col min="5890" max="5891" width="10.7109375" customWidth="1"/>
    <col min="5892" max="5892" width="1.7109375" customWidth="1"/>
    <col min="5893" max="5894" width="10.7109375" customWidth="1"/>
    <col min="5895" max="5895" width="1.7109375" customWidth="1"/>
    <col min="5896" max="5896" width="10.7109375" customWidth="1"/>
    <col min="5897" max="5897" width="11.5703125" customWidth="1"/>
    <col min="5898" max="5898" width="1.7109375" customWidth="1"/>
    <col min="5899" max="5900" width="10.7109375" customWidth="1"/>
    <col min="5901" max="5901" width="2.28515625" customWidth="1"/>
    <col min="6145" max="6145" width="39.42578125" bestFit="1" customWidth="1"/>
    <col min="6146" max="6147" width="10.7109375" customWidth="1"/>
    <col min="6148" max="6148" width="1.7109375" customWidth="1"/>
    <col min="6149" max="6150" width="10.7109375" customWidth="1"/>
    <col min="6151" max="6151" width="1.7109375" customWidth="1"/>
    <col min="6152" max="6152" width="10.7109375" customWidth="1"/>
    <col min="6153" max="6153" width="11.5703125" customWidth="1"/>
    <col min="6154" max="6154" width="1.7109375" customWidth="1"/>
    <col min="6155" max="6156" width="10.7109375" customWidth="1"/>
    <col min="6157" max="6157" width="2.28515625" customWidth="1"/>
    <col min="6401" max="6401" width="39.42578125" bestFit="1" customWidth="1"/>
    <col min="6402" max="6403" width="10.7109375" customWidth="1"/>
    <col min="6404" max="6404" width="1.7109375" customWidth="1"/>
    <col min="6405" max="6406" width="10.7109375" customWidth="1"/>
    <col min="6407" max="6407" width="1.7109375" customWidth="1"/>
    <col min="6408" max="6408" width="10.7109375" customWidth="1"/>
    <col min="6409" max="6409" width="11.5703125" customWidth="1"/>
    <col min="6410" max="6410" width="1.7109375" customWidth="1"/>
    <col min="6411" max="6412" width="10.7109375" customWidth="1"/>
    <col min="6413" max="6413" width="2.28515625" customWidth="1"/>
    <col min="6657" max="6657" width="39.42578125" bestFit="1" customWidth="1"/>
    <col min="6658" max="6659" width="10.7109375" customWidth="1"/>
    <col min="6660" max="6660" width="1.7109375" customWidth="1"/>
    <col min="6661" max="6662" width="10.7109375" customWidth="1"/>
    <col min="6663" max="6663" width="1.7109375" customWidth="1"/>
    <col min="6664" max="6664" width="10.7109375" customWidth="1"/>
    <col min="6665" max="6665" width="11.5703125" customWidth="1"/>
    <col min="6666" max="6666" width="1.7109375" customWidth="1"/>
    <col min="6667" max="6668" width="10.7109375" customWidth="1"/>
    <col min="6669" max="6669" width="2.28515625" customWidth="1"/>
    <col min="6913" max="6913" width="39.42578125" bestFit="1" customWidth="1"/>
    <col min="6914" max="6915" width="10.7109375" customWidth="1"/>
    <col min="6916" max="6916" width="1.7109375" customWidth="1"/>
    <col min="6917" max="6918" width="10.7109375" customWidth="1"/>
    <col min="6919" max="6919" width="1.7109375" customWidth="1"/>
    <col min="6920" max="6920" width="10.7109375" customWidth="1"/>
    <col min="6921" max="6921" width="11.5703125" customWidth="1"/>
    <col min="6922" max="6922" width="1.7109375" customWidth="1"/>
    <col min="6923" max="6924" width="10.7109375" customWidth="1"/>
    <col min="6925" max="6925" width="2.28515625" customWidth="1"/>
    <col min="7169" max="7169" width="39.42578125" bestFit="1" customWidth="1"/>
    <col min="7170" max="7171" width="10.7109375" customWidth="1"/>
    <col min="7172" max="7172" width="1.7109375" customWidth="1"/>
    <col min="7173" max="7174" width="10.7109375" customWidth="1"/>
    <col min="7175" max="7175" width="1.7109375" customWidth="1"/>
    <col min="7176" max="7176" width="10.7109375" customWidth="1"/>
    <col min="7177" max="7177" width="11.5703125" customWidth="1"/>
    <col min="7178" max="7178" width="1.7109375" customWidth="1"/>
    <col min="7179" max="7180" width="10.7109375" customWidth="1"/>
    <col min="7181" max="7181" width="2.28515625" customWidth="1"/>
    <col min="7425" max="7425" width="39.42578125" bestFit="1" customWidth="1"/>
    <col min="7426" max="7427" width="10.7109375" customWidth="1"/>
    <col min="7428" max="7428" width="1.7109375" customWidth="1"/>
    <col min="7429" max="7430" width="10.7109375" customWidth="1"/>
    <col min="7431" max="7431" width="1.7109375" customWidth="1"/>
    <col min="7432" max="7432" width="10.7109375" customWidth="1"/>
    <col min="7433" max="7433" width="11.5703125" customWidth="1"/>
    <col min="7434" max="7434" width="1.7109375" customWidth="1"/>
    <col min="7435" max="7436" width="10.7109375" customWidth="1"/>
    <col min="7437" max="7437" width="2.28515625" customWidth="1"/>
    <col min="7681" max="7681" width="39.42578125" bestFit="1" customWidth="1"/>
    <col min="7682" max="7683" width="10.7109375" customWidth="1"/>
    <col min="7684" max="7684" width="1.7109375" customWidth="1"/>
    <col min="7685" max="7686" width="10.7109375" customWidth="1"/>
    <col min="7687" max="7687" width="1.7109375" customWidth="1"/>
    <col min="7688" max="7688" width="10.7109375" customWidth="1"/>
    <col min="7689" max="7689" width="11.5703125" customWidth="1"/>
    <col min="7690" max="7690" width="1.7109375" customWidth="1"/>
    <col min="7691" max="7692" width="10.7109375" customWidth="1"/>
    <col min="7693" max="7693" width="2.28515625" customWidth="1"/>
    <col min="7937" max="7937" width="39.42578125" bestFit="1" customWidth="1"/>
    <col min="7938" max="7939" width="10.7109375" customWidth="1"/>
    <col min="7940" max="7940" width="1.7109375" customWidth="1"/>
    <col min="7941" max="7942" width="10.7109375" customWidth="1"/>
    <col min="7943" max="7943" width="1.7109375" customWidth="1"/>
    <col min="7944" max="7944" width="10.7109375" customWidth="1"/>
    <col min="7945" max="7945" width="11.5703125" customWidth="1"/>
    <col min="7946" max="7946" width="1.7109375" customWidth="1"/>
    <col min="7947" max="7948" width="10.7109375" customWidth="1"/>
    <col min="7949" max="7949" width="2.28515625" customWidth="1"/>
    <col min="8193" max="8193" width="39.42578125" bestFit="1" customWidth="1"/>
    <col min="8194" max="8195" width="10.7109375" customWidth="1"/>
    <col min="8196" max="8196" width="1.7109375" customWidth="1"/>
    <col min="8197" max="8198" width="10.7109375" customWidth="1"/>
    <col min="8199" max="8199" width="1.7109375" customWidth="1"/>
    <col min="8200" max="8200" width="10.7109375" customWidth="1"/>
    <col min="8201" max="8201" width="11.5703125" customWidth="1"/>
    <col min="8202" max="8202" width="1.7109375" customWidth="1"/>
    <col min="8203" max="8204" width="10.7109375" customWidth="1"/>
    <col min="8205" max="8205" width="2.28515625" customWidth="1"/>
    <col min="8449" max="8449" width="39.42578125" bestFit="1" customWidth="1"/>
    <col min="8450" max="8451" width="10.7109375" customWidth="1"/>
    <col min="8452" max="8452" width="1.7109375" customWidth="1"/>
    <col min="8453" max="8454" width="10.7109375" customWidth="1"/>
    <col min="8455" max="8455" width="1.7109375" customWidth="1"/>
    <col min="8456" max="8456" width="10.7109375" customWidth="1"/>
    <col min="8457" max="8457" width="11.5703125" customWidth="1"/>
    <col min="8458" max="8458" width="1.7109375" customWidth="1"/>
    <col min="8459" max="8460" width="10.7109375" customWidth="1"/>
    <col min="8461" max="8461" width="2.28515625" customWidth="1"/>
    <col min="8705" max="8705" width="39.42578125" bestFit="1" customWidth="1"/>
    <col min="8706" max="8707" width="10.7109375" customWidth="1"/>
    <col min="8708" max="8708" width="1.7109375" customWidth="1"/>
    <col min="8709" max="8710" width="10.7109375" customWidth="1"/>
    <col min="8711" max="8711" width="1.7109375" customWidth="1"/>
    <col min="8712" max="8712" width="10.7109375" customWidth="1"/>
    <col min="8713" max="8713" width="11.5703125" customWidth="1"/>
    <col min="8714" max="8714" width="1.7109375" customWidth="1"/>
    <col min="8715" max="8716" width="10.7109375" customWidth="1"/>
    <col min="8717" max="8717" width="2.28515625" customWidth="1"/>
    <col min="8961" max="8961" width="39.42578125" bestFit="1" customWidth="1"/>
    <col min="8962" max="8963" width="10.7109375" customWidth="1"/>
    <col min="8964" max="8964" width="1.7109375" customWidth="1"/>
    <col min="8965" max="8966" width="10.7109375" customWidth="1"/>
    <col min="8967" max="8967" width="1.7109375" customWidth="1"/>
    <col min="8968" max="8968" width="10.7109375" customWidth="1"/>
    <col min="8969" max="8969" width="11.5703125" customWidth="1"/>
    <col min="8970" max="8970" width="1.7109375" customWidth="1"/>
    <col min="8971" max="8972" width="10.7109375" customWidth="1"/>
    <col min="8973" max="8973" width="2.28515625" customWidth="1"/>
    <col min="9217" max="9217" width="39.42578125" bestFit="1" customWidth="1"/>
    <col min="9218" max="9219" width="10.7109375" customWidth="1"/>
    <col min="9220" max="9220" width="1.7109375" customWidth="1"/>
    <col min="9221" max="9222" width="10.7109375" customWidth="1"/>
    <col min="9223" max="9223" width="1.7109375" customWidth="1"/>
    <col min="9224" max="9224" width="10.7109375" customWidth="1"/>
    <col min="9225" max="9225" width="11.5703125" customWidth="1"/>
    <col min="9226" max="9226" width="1.7109375" customWidth="1"/>
    <col min="9227" max="9228" width="10.7109375" customWidth="1"/>
    <col min="9229" max="9229" width="2.28515625" customWidth="1"/>
    <col min="9473" max="9473" width="39.42578125" bestFit="1" customWidth="1"/>
    <col min="9474" max="9475" width="10.7109375" customWidth="1"/>
    <col min="9476" max="9476" width="1.7109375" customWidth="1"/>
    <col min="9477" max="9478" width="10.7109375" customWidth="1"/>
    <col min="9479" max="9479" width="1.7109375" customWidth="1"/>
    <col min="9480" max="9480" width="10.7109375" customWidth="1"/>
    <col min="9481" max="9481" width="11.5703125" customWidth="1"/>
    <col min="9482" max="9482" width="1.7109375" customWidth="1"/>
    <col min="9483" max="9484" width="10.7109375" customWidth="1"/>
    <col min="9485" max="9485" width="2.28515625" customWidth="1"/>
    <col min="9729" max="9729" width="39.42578125" bestFit="1" customWidth="1"/>
    <col min="9730" max="9731" width="10.7109375" customWidth="1"/>
    <col min="9732" max="9732" width="1.7109375" customWidth="1"/>
    <col min="9733" max="9734" width="10.7109375" customWidth="1"/>
    <col min="9735" max="9735" width="1.7109375" customWidth="1"/>
    <col min="9736" max="9736" width="10.7109375" customWidth="1"/>
    <col min="9737" max="9737" width="11.5703125" customWidth="1"/>
    <col min="9738" max="9738" width="1.7109375" customWidth="1"/>
    <col min="9739" max="9740" width="10.7109375" customWidth="1"/>
    <col min="9741" max="9741" width="2.28515625" customWidth="1"/>
    <col min="9985" max="9985" width="39.42578125" bestFit="1" customWidth="1"/>
    <col min="9986" max="9987" width="10.7109375" customWidth="1"/>
    <col min="9988" max="9988" width="1.7109375" customWidth="1"/>
    <col min="9989" max="9990" width="10.7109375" customWidth="1"/>
    <col min="9991" max="9991" width="1.7109375" customWidth="1"/>
    <col min="9992" max="9992" width="10.7109375" customWidth="1"/>
    <col min="9993" max="9993" width="11.5703125" customWidth="1"/>
    <col min="9994" max="9994" width="1.7109375" customWidth="1"/>
    <col min="9995" max="9996" width="10.7109375" customWidth="1"/>
    <col min="9997" max="9997" width="2.28515625" customWidth="1"/>
    <col min="10241" max="10241" width="39.42578125" bestFit="1" customWidth="1"/>
    <col min="10242" max="10243" width="10.7109375" customWidth="1"/>
    <col min="10244" max="10244" width="1.7109375" customWidth="1"/>
    <col min="10245" max="10246" width="10.7109375" customWidth="1"/>
    <col min="10247" max="10247" width="1.7109375" customWidth="1"/>
    <col min="10248" max="10248" width="10.7109375" customWidth="1"/>
    <col min="10249" max="10249" width="11.5703125" customWidth="1"/>
    <col min="10250" max="10250" width="1.7109375" customWidth="1"/>
    <col min="10251" max="10252" width="10.7109375" customWidth="1"/>
    <col min="10253" max="10253" width="2.28515625" customWidth="1"/>
    <col min="10497" max="10497" width="39.42578125" bestFit="1" customWidth="1"/>
    <col min="10498" max="10499" width="10.7109375" customWidth="1"/>
    <col min="10500" max="10500" width="1.7109375" customWidth="1"/>
    <col min="10501" max="10502" width="10.7109375" customWidth="1"/>
    <col min="10503" max="10503" width="1.7109375" customWidth="1"/>
    <col min="10504" max="10504" width="10.7109375" customWidth="1"/>
    <col min="10505" max="10505" width="11.5703125" customWidth="1"/>
    <col min="10506" max="10506" width="1.7109375" customWidth="1"/>
    <col min="10507" max="10508" width="10.7109375" customWidth="1"/>
    <col min="10509" max="10509" width="2.28515625" customWidth="1"/>
    <col min="10753" max="10753" width="39.42578125" bestFit="1" customWidth="1"/>
    <col min="10754" max="10755" width="10.7109375" customWidth="1"/>
    <col min="10756" max="10756" width="1.7109375" customWidth="1"/>
    <col min="10757" max="10758" width="10.7109375" customWidth="1"/>
    <col min="10759" max="10759" width="1.7109375" customWidth="1"/>
    <col min="10760" max="10760" width="10.7109375" customWidth="1"/>
    <col min="10761" max="10761" width="11.5703125" customWidth="1"/>
    <col min="10762" max="10762" width="1.7109375" customWidth="1"/>
    <col min="10763" max="10764" width="10.7109375" customWidth="1"/>
    <col min="10765" max="10765" width="2.28515625" customWidth="1"/>
    <col min="11009" max="11009" width="39.42578125" bestFit="1" customWidth="1"/>
    <col min="11010" max="11011" width="10.7109375" customWidth="1"/>
    <col min="11012" max="11012" width="1.7109375" customWidth="1"/>
    <col min="11013" max="11014" width="10.7109375" customWidth="1"/>
    <col min="11015" max="11015" width="1.7109375" customWidth="1"/>
    <col min="11016" max="11016" width="10.7109375" customWidth="1"/>
    <col min="11017" max="11017" width="11.5703125" customWidth="1"/>
    <col min="11018" max="11018" width="1.7109375" customWidth="1"/>
    <col min="11019" max="11020" width="10.7109375" customWidth="1"/>
    <col min="11021" max="11021" width="2.28515625" customWidth="1"/>
    <col min="11265" max="11265" width="39.42578125" bestFit="1" customWidth="1"/>
    <col min="11266" max="11267" width="10.7109375" customWidth="1"/>
    <col min="11268" max="11268" width="1.7109375" customWidth="1"/>
    <col min="11269" max="11270" width="10.7109375" customWidth="1"/>
    <col min="11271" max="11271" width="1.7109375" customWidth="1"/>
    <col min="11272" max="11272" width="10.7109375" customWidth="1"/>
    <col min="11273" max="11273" width="11.5703125" customWidth="1"/>
    <col min="11274" max="11274" width="1.7109375" customWidth="1"/>
    <col min="11275" max="11276" width="10.7109375" customWidth="1"/>
    <col min="11277" max="11277" width="2.28515625" customWidth="1"/>
    <col min="11521" max="11521" width="39.42578125" bestFit="1" customWidth="1"/>
    <col min="11522" max="11523" width="10.7109375" customWidth="1"/>
    <col min="11524" max="11524" width="1.7109375" customWidth="1"/>
    <col min="11525" max="11526" width="10.7109375" customWidth="1"/>
    <col min="11527" max="11527" width="1.7109375" customWidth="1"/>
    <col min="11528" max="11528" width="10.7109375" customWidth="1"/>
    <col min="11529" max="11529" width="11.5703125" customWidth="1"/>
    <col min="11530" max="11530" width="1.7109375" customWidth="1"/>
    <col min="11531" max="11532" width="10.7109375" customWidth="1"/>
    <col min="11533" max="11533" width="2.28515625" customWidth="1"/>
    <col min="11777" max="11777" width="39.42578125" bestFit="1" customWidth="1"/>
    <col min="11778" max="11779" width="10.7109375" customWidth="1"/>
    <col min="11780" max="11780" width="1.7109375" customWidth="1"/>
    <col min="11781" max="11782" width="10.7109375" customWidth="1"/>
    <col min="11783" max="11783" width="1.7109375" customWidth="1"/>
    <col min="11784" max="11784" width="10.7109375" customWidth="1"/>
    <col min="11785" max="11785" width="11.5703125" customWidth="1"/>
    <col min="11786" max="11786" width="1.7109375" customWidth="1"/>
    <col min="11787" max="11788" width="10.7109375" customWidth="1"/>
    <col min="11789" max="11789" width="2.28515625" customWidth="1"/>
    <col min="12033" max="12033" width="39.42578125" bestFit="1" customWidth="1"/>
    <col min="12034" max="12035" width="10.7109375" customWidth="1"/>
    <col min="12036" max="12036" width="1.7109375" customWidth="1"/>
    <col min="12037" max="12038" width="10.7109375" customWidth="1"/>
    <col min="12039" max="12039" width="1.7109375" customWidth="1"/>
    <col min="12040" max="12040" width="10.7109375" customWidth="1"/>
    <col min="12041" max="12041" width="11.5703125" customWidth="1"/>
    <col min="12042" max="12042" width="1.7109375" customWidth="1"/>
    <col min="12043" max="12044" width="10.7109375" customWidth="1"/>
    <col min="12045" max="12045" width="2.28515625" customWidth="1"/>
    <col min="12289" max="12289" width="39.42578125" bestFit="1" customWidth="1"/>
    <col min="12290" max="12291" width="10.7109375" customWidth="1"/>
    <col min="12292" max="12292" width="1.7109375" customWidth="1"/>
    <col min="12293" max="12294" width="10.7109375" customWidth="1"/>
    <col min="12295" max="12295" width="1.7109375" customWidth="1"/>
    <col min="12296" max="12296" width="10.7109375" customWidth="1"/>
    <col min="12297" max="12297" width="11.5703125" customWidth="1"/>
    <col min="12298" max="12298" width="1.7109375" customWidth="1"/>
    <col min="12299" max="12300" width="10.7109375" customWidth="1"/>
    <col min="12301" max="12301" width="2.28515625" customWidth="1"/>
    <col min="12545" max="12545" width="39.42578125" bestFit="1" customWidth="1"/>
    <col min="12546" max="12547" width="10.7109375" customWidth="1"/>
    <col min="12548" max="12548" width="1.7109375" customWidth="1"/>
    <col min="12549" max="12550" width="10.7109375" customWidth="1"/>
    <col min="12551" max="12551" width="1.7109375" customWidth="1"/>
    <col min="12552" max="12552" width="10.7109375" customWidth="1"/>
    <col min="12553" max="12553" width="11.5703125" customWidth="1"/>
    <col min="12554" max="12554" width="1.7109375" customWidth="1"/>
    <col min="12555" max="12556" width="10.7109375" customWidth="1"/>
    <col min="12557" max="12557" width="2.28515625" customWidth="1"/>
    <col min="12801" max="12801" width="39.42578125" bestFit="1" customWidth="1"/>
    <col min="12802" max="12803" width="10.7109375" customWidth="1"/>
    <col min="12804" max="12804" width="1.7109375" customWidth="1"/>
    <col min="12805" max="12806" width="10.7109375" customWidth="1"/>
    <col min="12807" max="12807" width="1.7109375" customWidth="1"/>
    <col min="12808" max="12808" width="10.7109375" customWidth="1"/>
    <col min="12809" max="12809" width="11.5703125" customWidth="1"/>
    <col min="12810" max="12810" width="1.7109375" customWidth="1"/>
    <col min="12811" max="12812" width="10.7109375" customWidth="1"/>
    <col min="12813" max="12813" width="2.28515625" customWidth="1"/>
    <col min="13057" max="13057" width="39.42578125" bestFit="1" customWidth="1"/>
    <col min="13058" max="13059" width="10.7109375" customWidth="1"/>
    <col min="13060" max="13060" width="1.7109375" customWidth="1"/>
    <col min="13061" max="13062" width="10.7109375" customWidth="1"/>
    <col min="13063" max="13063" width="1.7109375" customWidth="1"/>
    <col min="13064" max="13064" width="10.7109375" customWidth="1"/>
    <col min="13065" max="13065" width="11.5703125" customWidth="1"/>
    <col min="13066" max="13066" width="1.7109375" customWidth="1"/>
    <col min="13067" max="13068" width="10.7109375" customWidth="1"/>
    <col min="13069" max="13069" width="2.28515625" customWidth="1"/>
    <col min="13313" max="13313" width="39.42578125" bestFit="1" customWidth="1"/>
    <col min="13314" max="13315" width="10.7109375" customWidth="1"/>
    <col min="13316" max="13316" width="1.7109375" customWidth="1"/>
    <col min="13317" max="13318" width="10.7109375" customWidth="1"/>
    <col min="13319" max="13319" width="1.7109375" customWidth="1"/>
    <col min="13320" max="13320" width="10.7109375" customWidth="1"/>
    <col min="13321" max="13321" width="11.5703125" customWidth="1"/>
    <col min="13322" max="13322" width="1.7109375" customWidth="1"/>
    <col min="13323" max="13324" width="10.7109375" customWidth="1"/>
    <col min="13325" max="13325" width="2.28515625" customWidth="1"/>
    <col min="13569" max="13569" width="39.42578125" bestFit="1" customWidth="1"/>
    <col min="13570" max="13571" width="10.7109375" customWidth="1"/>
    <col min="13572" max="13572" width="1.7109375" customWidth="1"/>
    <col min="13573" max="13574" width="10.7109375" customWidth="1"/>
    <col min="13575" max="13575" width="1.7109375" customWidth="1"/>
    <col min="13576" max="13576" width="10.7109375" customWidth="1"/>
    <col min="13577" max="13577" width="11.5703125" customWidth="1"/>
    <col min="13578" max="13578" width="1.7109375" customWidth="1"/>
    <col min="13579" max="13580" width="10.7109375" customWidth="1"/>
    <col min="13581" max="13581" width="2.28515625" customWidth="1"/>
    <col min="13825" max="13825" width="39.42578125" bestFit="1" customWidth="1"/>
    <col min="13826" max="13827" width="10.7109375" customWidth="1"/>
    <col min="13828" max="13828" width="1.7109375" customWidth="1"/>
    <col min="13829" max="13830" width="10.7109375" customWidth="1"/>
    <col min="13831" max="13831" width="1.7109375" customWidth="1"/>
    <col min="13832" max="13832" width="10.7109375" customWidth="1"/>
    <col min="13833" max="13833" width="11.5703125" customWidth="1"/>
    <col min="13834" max="13834" width="1.7109375" customWidth="1"/>
    <col min="13835" max="13836" width="10.7109375" customWidth="1"/>
    <col min="13837" max="13837" width="2.28515625" customWidth="1"/>
    <col min="14081" max="14081" width="39.42578125" bestFit="1" customWidth="1"/>
    <col min="14082" max="14083" width="10.7109375" customWidth="1"/>
    <col min="14084" max="14084" width="1.7109375" customWidth="1"/>
    <col min="14085" max="14086" width="10.7109375" customWidth="1"/>
    <col min="14087" max="14087" width="1.7109375" customWidth="1"/>
    <col min="14088" max="14088" width="10.7109375" customWidth="1"/>
    <col min="14089" max="14089" width="11.5703125" customWidth="1"/>
    <col min="14090" max="14090" width="1.7109375" customWidth="1"/>
    <col min="14091" max="14092" width="10.7109375" customWidth="1"/>
    <col min="14093" max="14093" width="2.28515625" customWidth="1"/>
    <col min="14337" max="14337" width="39.42578125" bestFit="1" customWidth="1"/>
    <col min="14338" max="14339" width="10.7109375" customWidth="1"/>
    <col min="14340" max="14340" width="1.7109375" customWidth="1"/>
    <col min="14341" max="14342" width="10.7109375" customWidth="1"/>
    <col min="14343" max="14343" width="1.7109375" customWidth="1"/>
    <col min="14344" max="14344" width="10.7109375" customWidth="1"/>
    <col min="14345" max="14345" width="11.5703125" customWidth="1"/>
    <col min="14346" max="14346" width="1.7109375" customWidth="1"/>
    <col min="14347" max="14348" width="10.7109375" customWidth="1"/>
    <col min="14349" max="14349" width="2.28515625" customWidth="1"/>
    <col min="14593" max="14593" width="39.42578125" bestFit="1" customWidth="1"/>
    <col min="14594" max="14595" width="10.7109375" customWidth="1"/>
    <col min="14596" max="14596" width="1.7109375" customWidth="1"/>
    <col min="14597" max="14598" width="10.7109375" customWidth="1"/>
    <col min="14599" max="14599" width="1.7109375" customWidth="1"/>
    <col min="14600" max="14600" width="10.7109375" customWidth="1"/>
    <col min="14601" max="14601" width="11.5703125" customWidth="1"/>
    <col min="14602" max="14602" width="1.7109375" customWidth="1"/>
    <col min="14603" max="14604" width="10.7109375" customWidth="1"/>
    <col min="14605" max="14605" width="2.28515625" customWidth="1"/>
    <col min="14849" max="14849" width="39.42578125" bestFit="1" customWidth="1"/>
    <col min="14850" max="14851" width="10.7109375" customWidth="1"/>
    <col min="14852" max="14852" width="1.7109375" customWidth="1"/>
    <col min="14853" max="14854" width="10.7109375" customWidth="1"/>
    <col min="14855" max="14855" width="1.7109375" customWidth="1"/>
    <col min="14856" max="14856" width="10.7109375" customWidth="1"/>
    <col min="14857" max="14857" width="11.5703125" customWidth="1"/>
    <col min="14858" max="14858" width="1.7109375" customWidth="1"/>
    <col min="14859" max="14860" width="10.7109375" customWidth="1"/>
    <col min="14861" max="14861" width="2.28515625" customWidth="1"/>
    <col min="15105" max="15105" width="39.42578125" bestFit="1" customWidth="1"/>
    <col min="15106" max="15107" width="10.7109375" customWidth="1"/>
    <col min="15108" max="15108" width="1.7109375" customWidth="1"/>
    <col min="15109" max="15110" width="10.7109375" customWidth="1"/>
    <col min="15111" max="15111" width="1.7109375" customWidth="1"/>
    <col min="15112" max="15112" width="10.7109375" customWidth="1"/>
    <col min="15113" max="15113" width="11.5703125" customWidth="1"/>
    <col min="15114" max="15114" width="1.7109375" customWidth="1"/>
    <col min="15115" max="15116" width="10.7109375" customWidth="1"/>
    <col min="15117" max="15117" width="2.28515625" customWidth="1"/>
    <col min="15361" max="15361" width="39.42578125" bestFit="1" customWidth="1"/>
    <col min="15362" max="15363" width="10.7109375" customWidth="1"/>
    <col min="15364" max="15364" width="1.7109375" customWidth="1"/>
    <col min="15365" max="15366" width="10.7109375" customWidth="1"/>
    <col min="15367" max="15367" width="1.7109375" customWidth="1"/>
    <col min="15368" max="15368" width="10.7109375" customWidth="1"/>
    <col min="15369" max="15369" width="11.5703125" customWidth="1"/>
    <col min="15370" max="15370" width="1.7109375" customWidth="1"/>
    <col min="15371" max="15372" width="10.7109375" customWidth="1"/>
    <col min="15373" max="15373" width="2.28515625" customWidth="1"/>
    <col min="15617" max="15617" width="39.42578125" bestFit="1" customWidth="1"/>
    <col min="15618" max="15619" width="10.7109375" customWidth="1"/>
    <col min="15620" max="15620" width="1.7109375" customWidth="1"/>
    <col min="15621" max="15622" width="10.7109375" customWidth="1"/>
    <col min="15623" max="15623" width="1.7109375" customWidth="1"/>
    <col min="15624" max="15624" width="10.7109375" customWidth="1"/>
    <col min="15625" max="15625" width="11.5703125" customWidth="1"/>
    <col min="15626" max="15626" width="1.7109375" customWidth="1"/>
    <col min="15627" max="15628" width="10.7109375" customWidth="1"/>
    <col min="15629" max="15629" width="2.28515625" customWidth="1"/>
    <col min="15873" max="15873" width="39.42578125" bestFit="1" customWidth="1"/>
    <col min="15874" max="15875" width="10.7109375" customWidth="1"/>
    <col min="15876" max="15876" width="1.7109375" customWidth="1"/>
    <col min="15877" max="15878" width="10.7109375" customWidth="1"/>
    <col min="15879" max="15879" width="1.7109375" customWidth="1"/>
    <col min="15880" max="15880" width="10.7109375" customWidth="1"/>
    <col min="15881" max="15881" width="11.5703125" customWidth="1"/>
    <col min="15882" max="15882" width="1.7109375" customWidth="1"/>
    <col min="15883" max="15884" width="10.7109375" customWidth="1"/>
    <col min="15885" max="15885" width="2.28515625" customWidth="1"/>
    <col min="16129" max="16129" width="39.42578125" bestFit="1" customWidth="1"/>
    <col min="16130" max="16131" width="10.7109375" customWidth="1"/>
    <col min="16132" max="16132" width="1.7109375" customWidth="1"/>
    <col min="16133" max="16134" width="10.7109375" customWidth="1"/>
    <col min="16135" max="16135" width="1.7109375" customWidth="1"/>
    <col min="16136" max="16136" width="10.7109375" customWidth="1"/>
    <col min="16137" max="16137" width="11.5703125" customWidth="1"/>
    <col min="16138" max="16138" width="1.7109375" customWidth="1"/>
    <col min="16139" max="16140" width="10.7109375" customWidth="1"/>
    <col min="16141" max="16141" width="2.28515625" customWidth="1"/>
  </cols>
  <sheetData>
    <row r="1" spans="1:13">
      <c r="A1" s="42" t="s">
        <v>379</v>
      </c>
      <c r="C1" s="296"/>
      <c r="D1" s="39"/>
      <c r="F1" s="671"/>
      <c r="G1" s="39"/>
      <c r="I1" s="671"/>
      <c r="L1" s="49"/>
    </row>
    <row r="2" spans="1:13">
      <c r="A2" s="42" t="s">
        <v>380</v>
      </c>
      <c r="C2" s="296"/>
      <c r="D2" s="39"/>
      <c r="F2" s="671"/>
      <c r="G2" s="39"/>
      <c r="I2" s="671"/>
      <c r="L2" s="49"/>
    </row>
    <row r="3" spans="1:13" ht="9.9499999999999993" customHeight="1">
      <c r="A3" s="42"/>
      <c r="C3" s="296"/>
      <c r="D3" s="39"/>
      <c r="F3" s="671"/>
      <c r="G3" s="39"/>
      <c r="I3" s="671"/>
      <c r="L3" s="49"/>
    </row>
    <row r="4" spans="1:13">
      <c r="A4" s="42" t="s">
        <v>1754</v>
      </c>
      <c r="C4" s="296"/>
      <c r="D4" s="39"/>
      <c r="F4" s="671"/>
      <c r="G4" s="39"/>
      <c r="I4" s="671"/>
      <c r="L4" s="49"/>
    </row>
    <row r="5" spans="1:13" ht="9.9499999999999993" customHeight="1" thickBot="1">
      <c r="A5" s="42"/>
      <c r="C5" s="296"/>
      <c r="D5" s="39"/>
      <c r="F5" s="671"/>
      <c r="G5" s="39"/>
      <c r="I5" s="671"/>
      <c r="J5" s="671"/>
      <c r="L5" s="49"/>
    </row>
    <row r="6" spans="1:13" s="678" customFormat="1" ht="9.9499999999999993" customHeight="1">
      <c r="A6" s="237"/>
      <c r="B6" s="672"/>
      <c r="C6" s="673"/>
      <c r="D6" s="674"/>
      <c r="E6" s="675"/>
      <c r="F6" s="676"/>
      <c r="G6" s="674"/>
      <c r="H6" s="675"/>
      <c r="I6" s="676"/>
      <c r="J6" s="676"/>
      <c r="K6" s="675"/>
      <c r="L6" s="677"/>
      <c r="M6" s="68"/>
    </row>
    <row r="7" spans="1:13" s="678" customFormat="1">
      <c r="A7" t="s">
        <v>986</v>
      </c>
      <c r="B7" s="1268" t="s">
        <v>1746</v>
      </c>
      <c r="C7" s="1268"/>
      <c r="D7" s="577"/>
      <c r="E7" s="1329" t="s">
        <v>1755</v>
      </c>
      <c r="F7" s="1329"/>
      <c r="G7" s="577"/>
      <c r="H7" s="1268" t="s">
        <v>1756</v>
      </c>
      <c r="I7" s="1268"/>
      <c r="J7" s="24"/>
      <c r="K7" s="1274" t="s">
        <v>1757</v>
      </c>
      <c r="L7" s="1274"/>
    </row>
    <row r="8" spans="1:13">
      <c r="A8" s="95" t="s">
        <v>1758</v>
      </c>
      <c r="B8" s="679" t="s">
        <v>323</v>
      </c>
      <c r="C8" s="680" t="s">
        <v>324</v>
      </c>
      <c r="D8" s="577"/>
      <c r="E8" s="246" t="s">
        <v>323</v>
      </c>
      <c r="F8" s="244" t="s">
        <v>324</v>
      </c>
      <c r="G8" s="577"/>
      <c r="H8" s="246" t="s">
        <v>323</v>
      </c>
      <c r="I8" s="244" t="s">
        <v>324</v>
      </c>
      <c r="K8" s="670" t="s">
        <v>1400</v>
      </c>
      <c r="L8" s="49" t="s">
        <v>10</v>
      </c>
    </row>
    <row r="9" spans="1:13" ht="9.9499999999999993" customHeight="1" thickBot="1">
      <c r="A9" s="249"/>
      <c r="B9" s="681"/>
      <c r="C9" s="302"/>
      <c r="D9" s="631"/>
      <c r="E9" s="682"/>
      <c r="F9" s="632"/>
      <c r="G9" s="631"/>
      <c r="H9" s="682"/>
      <c r="I9" s="632"/>
      <c r="J9" s="671"/>
      <c r="K9" s="682"/>
      <c r="L9" s="683"/>
    </row>
    <row r="10" spans="1:13" ht="9.9499999999999993" customHeight="1">
      <c r="A10" s="95"/>
      <c r="B10" s="684"/>
      <c r="C10" s="633"/>
      <c r="D10" s="577"/>
      <c r="E10" s="549"/>
      <c r="F10" s="241"/>
      <c r="G10" s="577"/>
      <c r="H10" s="549"/>
      <c r="I10" s="241"/>
      <c r="J10" s="676"/>
      <c r="L10" s="49"/>
      <c r="M10" s="68"/>
    </row>
    <row r="11" spans="1:13" s="63" customFormat="1" ht="12.75">
      <c r="A11" s="63" t="s">
        <v>325</v>
      </c>
      <c r="B11" s="685">
        <f>IF(A11&lt;&gt;0,E11+H11+K11,"")</f>
        <v>22151</v>
      </c>
      <c r="C11" s="686">
        <f>SUM(C13+C96)</f>
        <v>100</v>
      </c>
      <c r="D11" s="634"/>
      <c r="E11" s="687">
        <f>SUM(E13+E96)</f>
        <v>21785</v>
      </c>
      <c r="F11" s="668">
        <f>IF(A11&lt;&gt;0,E11/B11*100,"")</f>
        <v>98.347704392578223</v>
      </c>
      <c r="G11" s="666"/>
      <c r="H11" s="687">
        <f>SUM(H13+H96)</f>
        <v>193</v>
      </c>
      <c r="I11" s="668">
        <f>IF(A11&lt;&gt;0,H11/B11*100,"")</f>
        <v>0.87129249243826468</v>
      </c>
      <c r="J11" s="688"/>
      <c r="K11" s="687">
        <f>SUM(K13+K96)</f>
        <v>173</v>
      </c>
      <c r="L11" s="665">
        <f>IF(A11&lt;&gt;0,K11/B11*100,"")</f>
        <v>0.78100311498352215</v>
      </c>
    </row>
    <row r="12" spans="1:13" ht="9.9499999999999993" customHeight="1">
      <c r="A12" s="42"/>
      <c r="B12" s="684" t="str">
        <f t="shared" ref="B12:B75" si="0">IF(A12&lt;&gt;0,E12+H12+K12,"")</f>
        <v/>
      </c>
      <c r="C12" s="296"/>
      <c r="D12" s="39"/>
      <c r="E12" s="295"/>
      <c r="F12" s="633" t="str">
        <f t="shared" ref="F12:F76" si="1">IF(A12&lt;&gt;0,E12/B12*100,"")</f>
        <v/>
      </c>
      <c r="G12" s="44"/>
      <c r="H12" s="295"/>
      <c r="I12" s="633" t="str">
        <f t="shared" ref="I12:I75" si="2">IF(A12&lt;&gt;0,H12/B12*100,"")</f>
        <v/>
      </c>
      <c r="J12" s="44"/>
      <c r="K12" s="295"/>
      <c r="L12" s="689" t="str">
        <f t="shared" ref="L12:L75" si="3">IF(A12&lt;&gt;0,K12/B12*100,"")</f>
        <v/>
      </c>
    </row>
    <row r="13" spans="1:13" s="63" customFormat="1" ht="12.75">
      <c r="A13" s="63" t="s">
        <v>1529</v>
      </c>
      <c r="B13" s="685">
        <f>IF(A13&lt;&gt;0,E13+H13+K13,"")</f>
        <v>14579</v>
      </c>
      <c r="C13" s="667">
        <f>IF($A13&lt;&gt;0,B13/$B$11*100,"")</f>
        <v>65.816441695634509</v>
      </c>
      <c r="D13" s="690"/>
      <c r="E13" s="466">
        <f>E15+E26+E34+E60+E74+E81+E93+E94</f>
        <v>14354</v>
      </c>
      <c r="F13" s="668">
        <f t="shared" si="1"/>
        <v>98.456684271897927</v>
      </c>
      <c r="G13" s="688"/>
      <c r="H13" s="466">
        <f>H15+H26+H34+H60+H74+H81+H93+H94</f>
        <v>103</v>
      </c>
      <c r="I13" s="668">
        <f t="shared" si="2"/>
        <v>0.7064956444200563</v>
      </c>
      <c r="J13" s="688"/>
      <c r="K13" s="466">
        <f>K15+K26+K34+K60+K74+K81+K93+K94</f>
        <v>122</v>
      </c>
      <c r="L13" s="665">
        <f t="shared" si="3"/>
        <v>0.83682008368200833</v>
      </c>
    </row>
    <row r="14" spans="1:13" ht="9.9499999999999993" customHeight="1">
      <c r="A14" s="565"/>
      <c r="B14" s="684" t="str">
        <f t="shared" si="0"/>
        <v/>
      </c>
      <c r="C14" s="296" t="str">
        <f t="shared" ref="C14:C77" si="4">IF($A14&lt;&gt;0,B14/$B$11*100,"")</f>
        <v/>
      </c>
      <c r="D14" s="39"/>
      <c r="E14" s="295"/>
      <c r="F14" s="633" t="str">
        <f t="shared" si="1"/>
        <v/>
      </c>
      <c r="G14" s="44"/>
      <c r="H14" s="295"/>
      <c r="I14" s="633" t="str">
        <f t="shared" si="2"/>
        <v/>
      </c>
      <c r="J14" s="44"/>
      <c r="K14" s="295"/>
      <c r="L14" s="689" t="str">
        <f t="shared" si="3"/>
        <v/>
      </c>
    </row>
    <row r="15" spans="1:13" s="691" customFormat="1" ht="12.75">
      <c r="A15" s="63" t="s">
        <v>327</v>
      </c>
      <c r="B15" s="685">
        <f t="shared" si="0"/>
        <v>1431</v>
      </c>
      <c r="C15" s="667">
        <f t="shared" si="4"/>
        <v>6.4602049568868223</v>
      </c>
      <c r="D15" s="690"/>
      <c r="E15" s="466">
        <f>E16+E21</f>
        <v>1405</v>
      </c>
      <c r="F15" s="668">
        <f t="shared" si="1"/>
        <v>98.183088749126483</v>
      </c>
      <c r="G15" s="688"/>
      <c r="H15" s="466">
        <f>H16+H21</f>
        <v>8</v>
      </c>
      <c r="I15" s="668">
        <f t="shared" si="2"/>
        <v>0.55904961565338918</v>
      </c>
      <c r="J15" s="688"/>
      <c r="K15" s="466">
        <f>K16+K21</f>
        <v>18</v>
      </c>
      <c r="L15" s="665">
        <f t="shared" si="3"/>
        <v>1.257861635220126</v>
      </c>
    </row>
    <row r="16" spans="1:13" s="661" customFormat="1">
      <c r="A16" s="42" t="s">
        <v>20</v>
      </c>
      <c r="B16" s="684">
        <f t="shared" si="0"/>
        <v>426</v>
      </c>
      <c r="C16" s="296">
        <f t="shared" si="4"/>
        <v>1.9231637397860144</v>
      </c>
      <c r="D16" s="39"/>
      <c r="E16" s="684">
        <f>SUM(E17:E19)</f>
        <v>420</v>
      </c>
      <c r="F16" s="633">
        <f t="shared" si="1"/>
        <v>98.591549295774655</v>
      </c>
      <c r="G16" s="684"/>
      <c r="H16" s="684">
        <f>SUM(H17:H19)</f>
        <v>2</v>
      </c>
      <c r="I16" s="633">
        <f t="shared" si="2"/>
        <v>0.46948356807511737</v>
      </c>
      <c r="J16" s="684"/>
      <c r="K16" s="684">
        <f>SUM(K17:K19)</f>
        <v>4</v>
      </c>
      <c r="L16" s="684">
        <f t="shared" si="3"/>
        <v>0.93896713615023475</v>
      </c>
    </row>
    <row r="17" spans="1:12" s="693" customFormat="1">
      <c r="A17" s="42" t="s">
        <v>21</v>
      </c>
      <c r="B17" s="684">
        <f t="shared" si="0"/>
        <v>69</v>
      </c>
      <c r="C17" s="296">
        <f t="shared" si="4"/>
        <v>0.31149835221886146</v>
      </c>
      <c r="D17" s="39"/>
      <c r="E17" s="692">
        <v>69</v>
      </c>
      <c r="F17" s="633">
        <f t="shared" si="1"/>
        <v>100</v>
      </c>
      <c r="G17" s="692"/>
      <c r="H17" s="692">
        <v>0</v>
      </c>
      <c r="I17" s="633">
        <f t="shared" si="2"/>
        <v>0</v>
      </c>
      <c r="J17" s="692"/>
      <c r="K17" s="692">
        <v>0</v>
      </c>
      <c r="L17" s="684">
        <f t="shared" si="3"/>
        <v>0</v>
      </c>
    </row>
    <row r="18" spans="1:12" s="693" customFormat="1">
      <c r="A18" s="42" t="s">
        <v>22</v>
      </c>
      <c r="B18" s="684">
        <f t="shared" si="0"/>
        <v>266</v>
      </c>
      <c r="C18" s="296">
        <f t="shared" si="4"/>
        <v>1.2008487201480744</v>
      </c>
      <c r="D18" s="39"/>
      <c r="E18" s="692">
        <v>260</v>
      </c>
      <c r="F18" s="633">
        <f t="shared" si="1"/>
        <v>97.744360902255636</v>
      </c>
      <c r="G18" s="692"/>
      <c r="H18" s="692">
        <v>2</v>
      </c>
      <c r="I18" s="633">
        <f t="shared" si="2"/>
        <v>0.75187969924812026</v>
      </c>
      <c r="J18" s="692"/>
      <c r="K18" s="692">
        <v>4</v>
      </c>
      <c r="L18" s="684">
        <f t="shared" si="3"/>
        <v>1.5037593984962405</v>
      </c>
    </row>
    <row r="19" spans="1:12" s="693" customFormat="1">
      <c r="A19" s="42" t="s">
        <v>23</v>
      </c>
      <c r="B19" s="684">
        <f t="shared" si="0"/>
        <v>91</v>
      </c>
      <c r="C19" s="296">
        <f t="shared" si="4"/>
        <v>0.41081666741907813</v>
      </c>
      <c r="D19" s="39"/>
      <c r="E19" s="692">
        <v>91</v>
      </c>
      <c r="F19" s="633">
        <f t="shared" si="1"/>
        <v>100</v>
      </c>
      <c r="G19" s="692"/>
      <c r="H19" s="692">
        <v>0</v>
      </c>
      <c r="I19" s="633">
        <f t="shared" si="2"/>
        <v>0</v>
      </c>
      <c r="J19" s="692"/>
      <c r="K19" s="692">
        <v>0</v>
      </c>
      <c r="L19" s="684">
        <f t="shared" si="3"/>
        <v>0</v>
      </c>
    </row>
    <row r="20" spans="1:12" ht="9.9499999999999993" customHeight="1">
      <c r="A20" s="42"/>
      <c r="B20" s="684" t="str">
        <f t="shared" si="0"/>
        <v/>
      </c>
      <c r="C20" s="296" t="str">
        <f t="shared" si="4"/>
        <v/>
      </c>
      <c r="D20" s="39"/>
      <c r="E20" s="684"/>
      <c r="F20" s="633" t="str">
        <f t="shared" si="1"/>
        <v/>
      </c>
      <c r="G20" s="684"/>
      <c r="H20" s="684"/>
      <c r="I20" s="633" t="str">
        <f t="shared" si="2"/>
        <v/>
      </c>
      <c r="J20" s="684"/>
      <c r="K20" s="684"/>
      <c r="L20" s="684" t="str">
        <f t="shared" si="3"/>
        <v/>
      </c>
    </row>
    <row r="21" spans="1:12" s="661" customFormat="1">
      <c r="A21" s="42" t="s">
        <v>24</v>
      </c>
      <c r="B21" s="684">
        <f t="shared" si="0"/>
        <v>1005</v>
      </c>
      <c r="C21" s="296">
        <f t="shared" si="4"/>
        <v>4.5370412171008079</v>
      </c>
      <c r="D21" s="39"/>
      <c r="E21" s="295">
        <f>SUM(E22:E24)</f>
        <v>985</v>
      </c>
      <c r="F21" s="633">
        <f t="shared" si="1"/>
        <v>98.009950248756212</v>
      </c>
      <c r="G21" s="44"/>
      <c r="H21" s="295">
        <f>SUM(H22:H24)</f>
        <v>6</v>
      </c>
      <c r="I21" s="633">
        <f t="shared" si="2"/>
        <v>0.59701492537313439</v>
      </c>
      <c r="J21" s="44"/>
      <c r="K21" s="295">
        <f>SUM(K22:K24)</f>
        <v>14</v>
      </c>
      <c r="L21" s="689">
        <f t="shared" si="3"/>
        <v>1.3930348258706469</v>
      </c>
    </row>
    <row r="22" spans="1:12" s="693" customFormat="1">
      <c r="A22" s="42" t="s">
        <v>25</v>
      </c>
      <c r="B22" s="684">
        <f t="shared" si="0"/>
        <v>330</v>
      </c>
      <c r="C22" s="296">
        <f t="shared" si="4"/>
        <v>1.4897747280032503</v>
      </c>
      <c r="D22" s="39"/>
      <c r="E22" s="692">
        <v>326</v>
      </c>
      <c r="F22" s="633">
        <f t="shared" si="1"/>
        <v>98.787878787878796</v>
      </c>
      <c r="G22" s="692"/>
      <c r="H22" s="692">
        <v>2</v>
      </c>
      <c r="I22" s="633">
        <f t="shared" si="2"/>
        <v>0.60606060606060608</v>
      </c>
      <c r="J22" s="692"/>
      <c r="K22" s="692">
        <v>2</v>
      </c>
      <c r="L22" s="689">
        <f t="shared" si="3"/>
        <v>0.60606060606060608</v>
      </c>
    </row>
    <row r="23" spans="1:12" s="693" customFormat="1">
      <c r="A23" s="42" t="s">
        <v>26</v>
      </c>
      <c r="B23" s="684">
        <f t="shared" si="0"/>
        <v>162</v>
      </c>
      <c r="C23" s="296">
        <f t="shared" si="4"/>
        <v>0.73134395738341385</v>
      </c>
      <c r="D23" s="39"/>
      <c r="E23" s="692">
        <v>160</v>
      </c>
      <c r="F23" s="633">
        <f t="shared" si="1"/>
        <v>98.76543209876543</v>
      </c>
      <c r="G23" s="692"/>
      <c r="H23" s="692">
        <v>1</v>
      </c>
      <c r="I23" s="633">
        <f t="shared" si="2"/>
        <v>0.61728395061728392</v>
      </c>
      <c r="J23" s="692"/>
      <c r="K23" s="692">
        <v>1</v>
      </c>
      <c r="L23" s="689">
        <f t="shared" si="3"/>
        <v>0.61728395061728392</v>
      </c>
    </row>
    <row r="24" spans="1:12" s="693" customFormat="1">
      <c r="A24" s="42" t="s">
        <v>27</v>
      </c>
      <c r="B24" s="684">
        <f t="shared" si="0"/>
        <v>513</v>
      </c>
      <c r="C24" s="296">
        <f t="shared" si="4"/>
        <v>2.3159225317141439</v>
      </c>
      <c r="D24" s="39"/>
      <c r="E24" s="692">
        <v>499</v>
      </c>
      <c r="F24" s="633">
        <f t="shared" si="1"/>
        <v>97.270955165692001</v>
      </c>
      <c r="G24" s="692"/>
      <c r="H24" s="692">
        <v>3</v>
      </c>
      <c r="I24" s="633">
        <f t="shared" si="2"/>
        <v>0.58479532163742687</v>
      </c>
      <c r="J24" s="692"/>
      <c r="K24" s="692">
        <v>11</v>
      </c>
      <c r="L24" s="689">
        <f t="shared" si="3"/>
        <v>2.144249512670565</v>
      </c>
    </row>
    <row r="25" spans="1:12" ht="9.9499999999999993" customHeight="1">
      <c r="A25" s="42"/>
      <c r="B25" s="684" t="str">
        <f t="shared" si="0"/>
        <v/>
      </c>
      <c r="C25" s="296" t="str">
        <f t="shared" si="4"/>
        <v/>
      </c>
      <c r="D25" s="39"/>
      <c r="E25" s="295"/>
      <c r="F25" s="633" t="str">
        <f t="shared" si="1"/>
        <v/>
      </c>
      <c r="G25" s="44"/>
      <c r="H25" s="295"/>
      <c r="I25" s="633" t="str">
        <f t="shared" si="2"/>
        <v/>
      </c>
      <c r="J25" s="44"/>
      <c r="K25" s="295"/>
      <c r="L25" s="689" t="str">
        <f t="shared" si="3"/>
        <v/>
      </c>
    </row>
    <row r="26" spans="1:12" s="691" customFormat="1" ht="12.75">
      <c r="A26" s="63" t="s">
        <v>375</v>
      </c>
      <c r="B26" s="685">
        <f t="shared" si="0"/>
        <v>871</v>
      </c>
      <c r="C26" s="667">
        <f t="shared" si="4"/>
        <v>3.9321023881540338</v>
      </c>
      <c r="D26" s="690"/>
      <c r="E26" s="466">
        <f>E27</f>
        <v>852</v>
      </c>
      <c r="F26" s="668">
        <f t="shared" si="1"/>
        <v>97.818599311136623</v>
      </c>
      <c r="G26" s="688"/>
      <c r="H26" s="466">
        <f>H27</f>
        <v>7</v>
      </c>
      <c r="I26" s="633">
        <f t="shared" si="2"/>
        <v>0.80367393800229625</v>
      </c>
      <c r="J26" s="688"/>
      <c r="K26" s="466">
        <f>K27</f>
        <v>12</v>
      </c>
      <c r="L26" s="665">
        <f t="shared" si="3"/>
        <v>1.3777267508610791</v>
      </c>
    </row>
    <row r="27" spans="1:12" s="661" customFormat="1">
      <c r="A27" s="42" t="s">
        <v>29</v>
      </c>
      <c r="B27" s="684">
        <f t="shared" si="0"/>
        <v>871</v>
      </c>
      <c r="C27" s="296">
        <f t="shared" si="4"/>
        <v>3.9321023881540338</v>
      </c>
      <c r="D27" s="39"/>
      <c r="E27" s="295">
        <f>SUM(E28:E32)</f>
        <v>852</v>
      </c>
      <c r="F27" s="633">
        <f t="shared" si="1"/>
        <v>97.818599311136623</v>
      </c>
      <c r="G27" s="44"/>
      <c r="H27" s="295">
        <f>SUM(H28:H32)</f>
        <v>7</v>
      </c>
      <c r="I27" s="633">
        <f t="shared" si="2"/>
        <v>0.80367393800229625</v>
      </c>
      <c r="J27" s="44"/>
      <c r="K27" s="295">
        <f>SUM(K28:K32)</f>
        <v>12</v>
      </c>
      <c r="L27" s="689">
        <f t="shared" si="3"/>
        <v>1.3777267508610791</v>
      </c>
    </row>
    <row r="28" spans="1:12" s="693" customFormat="1">
      <c r="A28" s="42" t="s">
        <v>30</v>
      </c>
      <c r="B28" s="684">
        <f t="shared" si="0"/>
        <v>140</v>
      </c>
      <c r="C28" s="296">
        <f t="shared" si="4"/>
        <v>0.63202564218319712</v>
      </c>
      <c r="D28" s="39"/>
      <c r="E28" s="692">
        <v>138</v>
      </c>
      <c r="F28" s="633">
        <f t="shared" si="1"/>
        <v>98.571428571428584</v>
      </c>
      <c r="G28" s="692"/>
      <c r="H28" s="692">
        <v>0</v>
      </c>
      <c r="I28" s="633">
        <f t="shared" si="2"/>
        <v>0</v>
      </c>
      <c r="J28" s="692"/>
      <c r="K28" s="692">
        <v>2</v>
      </c>
      <c r="L28" s="689">
        <f t="shared" si="3"/>
        <v>1.4285714285714286</v>
      </c>
    </row>
    <row r="29" spans="1:12" s="693" customFormat="1">
      <c r="A29" s="42" t="s">
        <v>31</v>
      </c>
      <c r="B29" s="684">
        <f t="shared" si="0"/>
        <v>230</v>
      </c>
      <c r="C29" s="296">
        <f t="shared" si="4"/>
        <v>1.0383278407295382</v>
      </c>
      <c r="D29" s="39"/>
      <c r="E29" s="692">
        <v>224</v>
      </c>
      <c r="F29" s="633">
        <f t="shared" si="1"/>
        <v>97.391304347826093</v>
      </c>
      <c r="G29" s="692"/>
      <c r="H29" s="692">
        <v>4</v>
      </c>
      <c r="I29" s="633">
        <f t="shared" si="2"/>
        <v>1.7391304347826086</v>
      </c>
      <c r="J29" s="692"/>
      <c r="K29" s="692">
        <v>2</v>
      </c>
      <c r="L29" s="689">
        <f t="shared" si="3"/>
        <v>0.86956521739130432</v>
      </c>
    </row>
    <row r="30" spans="1:12" s="693" customFormat="1">
      <c r="A30" s="42" t="s">
        <v>32</v>
      </c>
      <c r="B30" s="684">
        <f t="shared" si="0"/>
        <v>192</v>
      </c>
      <c r="C30" s="296">
        <f t="shared" si="4"/>
        <v>0.86677802356552747</v>
      </c>
      <c r="D30" s="39"/>
      <c r="E30" s="692">
        <v>190</v>
      </c>
      <c r="F30" s="633">
        <f t="shared" si="1"/>
        <v>98.958333333333343</v>
      </c>
      <c r="G30" s="692"/>
      <c r="H30" s="692">
        <v>1</v>
      </c>
      <c r="I30" s="633">
        <f t="shared" si="2"/>
        <v>0.52083333333333326</v>
      </c>
      <c r="J30" s="692"/>
      <c r="K30" s="692">
        <v>1</v>
      </c>
      <c r="L30" s="689">
        <f t="shared" si="3"/>
        <v>0.52083333333333326</v>
      </c>
    </row>
    <row r="31" spans="1:12" s="693" customFormat="1">
      <c r="A31" s="42" t="s">
        <v>33</v>
      </c>
      <c r="B31" s="684">
        <f t="shared" si="0"/>
        <v>159</v>
      </c>
      <c r="C31" s="296">
        <f t="shared" si="4"/>
        <v>0.71780055076520244</v>
      </c>
      <c r="D31" s="39"/>
      <c r="E31" s="692">
        <v>153</v>
      </c>
      <c r="F31" s="633">
        <f t="shared" si="1"/>
        <v>96.226415094339629</v>
      </c>
      <c r="G31" s="692"/>
      <c r="H31" s="692">
        <v>2</v>
      </c>
      <c r="I31" s="633">
        <f t="shared" si="2"/>
        <v>1.257861635220126</v>
      </c>
      <c r="J31" s="692"/>
      <c r="K31" s="692">
        <v>4</v>
      </c>
      <c r="L31" s="689">
        <f t="shared" si="3"/>
        <v>2.5157232704402519</v>
      </c>
    </row>
    <row r="32" spans="1:12" s="693" customFormat="1">
      <c r="A32" s="42" t="s">
        <v>34</v>
      </c>
      <c r="B32" s="684">
        <f t="shared" si="0"/>
        <v>150</v>
      </c>
      <c r="C32" s="296">
        <f t="shared" si="4"/>
        <v>0.67717033091056833</v>
      </c>
      <c r="D32" s="39"/>
      <c r="E32" s="692">
        <v>147</v>
      </c>
      <c r="F32" s="633">
        <f t="shared" si="1"/>
        <v>98</v>
      </c>
      <c r="G32" s="692"/>
      <c r="H32" s="692">
        <v>0</v>
      </c>
      <c r="I32" s="633">
        <f t="shared" si="2"/>
        <v>0</v>
      </c>
      <c r="J32" s="692"/>
      <c r="K32" s="692">
        <v>3</v>
      </c>
      <c r="L32" s="689">
        <f t="shared" si="3"/>
        <v>2</v>
      </c>
    </row>
    <row r="33" spans="1:12" ht="9.9499999999999993" customHeight="1">
      <c r="A33" s="42"/>
      <c r="B33" s="684" t="str">
        <f t="shared" si="0"/>
        <v/>
      </c>
      <c r="C33" s="296" t="str">
        <f t="shared" si="4"/>
        <v/>
      </c>
      <c r="D33" s="39"/>
      <c r="E33" s="295"/>
      <c r="F33" s="633" t="str">
        <f t="shared" si="1"/>
        <v/>
      </c>
      <c r="G33" s="44"/>
      <c r="H33" s="295"/>
      <c r="I33" s="633" t="str">
        <f t="shared" si="2"/>
        <v/>
      </c>
      <c r="J33" s="44"/>
      <c r="K33" s="295"/>
      <c r="L33" s="689" t="str">
        <f t="shared" si="3"/>
        <v/>
      </c>
    </row>
    <row r="34" spans="1:12" s="691" customFormat="1" ht="12.75">
      <c r="A34" s="63" t="s">
        <v>329</v>
      </c>
      <c r="B34" s="685">
        <f t="shared" si="0"/>
        <v>6619</v>
      </c>
      <c r="C34" s="667">
        <f t="shared" si="4"/>
        <v>29.881269468647016</v>
      </c>
      <c r="D34" s="690"/>
      <c r="E34" s="466">
        <f>E35+E41+E51+E53</f>
        <v>6508</v>
      </c>
      <c r="F34" s="668">
        <f t="shared" si="1"/>
        <v>98.323009518054079</v>
      </c>
      <c r="G34" s="688"/>
      <c r="H34" s="466">
        <f>H35+H41+H51+H53</f>
        <v>56</v>
      </c>
      <c r="I34" s="668">
        <f t="shared" si="2"/>
        <v>0.84604925215289306</v>
      </c>
      <c r="J34" s="688"/>
      <c r="K34" s="466">
        <f>K35+K41+K51+K53</f>
        <v>55</v>
      </c>
      <c r="L34" s="665">
        <f t="shared" si="3"/>
        <v>0.83094122979302021</v>
      </c>
    </row>
    <row r="35" spans="1:12" s="661" customFormat="1">
      <c r="A35" s="42" t="s">
        <v>36</v>
      </c>
      <c r="B35" s="684">
        <f t="shared" si="0"/>
        <v>2223</v>
      </c>
      <c r="C35" s="296">
        <f t="shared" si="4"/>
        <v>10.035664304094622</v>
      </c>
      <c r="D35" s="39"/>
      <c r="E35" s="295">
        <f>SUM(E36:E39)</f>
        <v>2180</v>
      </c>
      <c r="F35" s="633">
        <f t="shared" si="1"/>
        <v>98.065677013045445</v>
      </c>
      <c r="G35" s="44"/>
      <c r="H35" s="295">
        <f>SUM(H36:H39)</f>
        <v>27</v>
      </c>
      <c r="I35" s="633">
        <f t="shared" si="2"/>
        <v>1.214574898785425</v>
      </c>
      <c r="J35" s="44"/>
      <c r="K35" s="295">
        <f>SUM(K36:K39)</f>
        <v>16</v>
      </c>
      <c r="L35" s="689">
        <f t="shared" si="3"/>
        <v>0.71974808816914082</v>
      </c>
    </row>
    <row r="36" spans="1:12" s="693" customFormat="1">
      <c r="A36" s="42" t="s">
        <v>37</v>
      </c>
      <c r="B36" s="684">
        <f t="shared" si="0"/>
        <v>1197</v>
      </c>
      <c r="C36" s="296">
        <f t="shared" si="4"/>
        <v>5.4038192406663352</v>
      </c>
      <c r="D36" s="39"/>
      <c r="E36" s="692">
        <v>1172</v>
      </c>
      <c r="F36" s="633">
        <f t="shared" si="1"/>
        <v>97.911445279866328</v>
      </c>
      <c r="G36" s="692"/>
      <c r="H36" s="692">
        <v>17</v>
      </c>
      <c r="I36" s="633">
        <f t="shared" si="2"/>
        <v>1.4202172096908938</v>
      </c>
      <c r="J36" s="692"/>
      <c r="K36" s="692">
        <v>8</v>
      </c>
      <c r="L36" s="689">
        <f t="shared" si="3"/>
        <v>0.66833751044277356</v>
      </c>
    </row>
    <row r="37" spans="1:12" s="693" customFormat="1">
      <c r="A37" s="42" t="s">
        <v>38</v>
      </c>
      <c r="B37" s="684">
        <f t="shared" si="0"/>
        <v>596</v>
      </c>
      <c r="C37" s="296">
        <f t="shared" si="4"/>
        <v>2.6906234481513249</v>
      </c>
      <c r="D37" s="39"/>
      <c r="E37" s="692">
        <v>587</v>
      </c>
      <c r="F37" s="633">
        <f t="shared" si="1"/>
        <v>98.489932885906043</v>
      </c>
      <c r="G37" s="692"/>
      <c r="H37" s="692">
        <v>4</v>
      </c>
      <c r="I37" s="633">
        <f t="shared" si="2"/>
        <v>0.67114093959731547</v>
      </c>
      <c r="J37" s="692"/>
      <c r="K37" s="692">
        <v>5</v>
      </c>
      <c r="L37" s="689">
        <f t="shared" si="3"/>
        <v>0.83892617449664431</v>
      </c>
    </row>
    <row r="38" spans="1:12" s="693" customFormat="1">
      <c r="A38" s="42" t="s">
        <v>39</v>
      </c>
      <c r="B38" s="684">
        <f t="shared" si="0"/>
        <v>187</v>
      </c>
      <c r="C38" s="296">
        <f t="shared" si="4"/>
        <v>0.84420567920184197</v>
      </c>
      <c r="D38" s="39"/>
      <c r="E38" s="692">
        <v>185</v>
      </c>
      <c r="F38" s="633">
        <f t="shared" si="1"/>
        <v>98.930481283422452</v>
      </c>
      <c r="G38" s="692"/>
      <c r="H38" s="692">
        <v>1</v>
      </c>
      <c r="I38" s="633">
        <f t="shared" si="2"/>
        <v>0.53475935828876997</v>
      </c>
      <c r="J38" s="692"/>
      <c r="K38" s="692">
        <v>1</v>
      </c>
      <c r="L38" s="689">
        <f t="shared" si="3"/>
        <v>0.53475935828876997</v>
      </c>
    </row>
    <row r="39" spans="1:12" s="693" customFormat="1">
      <c r="A39" s="42" t="s">
        <v>40</v>
      </c>
      <c r="B39" s="684">
        <f t="shared" si="0"/>
        <v>243</v>
      </c>
      <c r="C39" s="296">
        <f t="shared" si="4"/>
        <v>1.0970159360751206</v>
      </c>
      <c r="D39" s="39"/>
      <c r="E39" s="692">
        <v>236</v>
      </c>
      <c r="F39" s="633">
        <f t="shared" si="1"/>
        <v>97.119341563786008</v>
      </c>
      <c r="G39" s="692"/>
      <c r="H39" s="692">
        <v>5</v>
      </c>
      <c r="I39" s="633">
        <f t="shared" si="2"/>
        <v>2.0576131687242798</v>
      </c>
      <c r="J39" s="692"/>
      <c r="K39" s="692">
        <v>2</v>
      </c>
      <c r="L39" s="689">
        <f t="shared" si="3"/>
        <v>0.82304526748971196</v>
      </c>
    </row>
    <row r="40" spans="1:12" ht="9.9499999999999993" customHeight="1">
      <c r="A40" s="42"/>
      <c r="B40" s="684" t="str">
        <f t="shared" si="0"/>
        <v/>
      </c>
      <c r="C40" s="296" t="str">
        <f t="shared" si="4"/>
        <v/>
      </c>
      <c r="D40" s="39"/>
      <c r="E40" s="295"/>
      <c r="F40" s="633" t="str">
        <f t="shared" si="1"/>
        <v/>
      </c>
      <c r="G40" s="44"/>
      <c r="H40" s="295"/>
      <c r="I40" s="633" t="str">
        <f t="shared" si="2"/>
        <v/>
      </c>
      <c r="J40" s="44"/>
      <c r="K40" s="45">
        <v>0</v>
      </c>
      <c r="L40" s="689" t="str">
        <f t="shared" si="3"/>
        <v/>
      </c>
    </row>
    <row r="41" spans="1:12" s="661" customFormat="1">
      <c r="A41" s="42" t="s">
        <v>41</v>
      </c>
      <c r="B41" s="684">
        <f t="shared" si="0"/>
        <v>1955</v>
      </c>
      <c r="C41" s="296">
        <f t="shared" si="4"/>
        <v>8.8257866462010739</v>
      </c>
      <c r="D41" s="39"/>
      <c r="E41" s="295">
        <f>SUM(E42:E49)</f>
        <v>1923</v>
      </c>
      <c r="F41" s="633">
        <f t="shared" si="1"/>
        <v>98.363171355498721</v>
      </c>
      <c r="G41" s="44"/>
      <c r="H41" s="295">
        <f>SUM(H42:H49)</f>
        <v>14</v>
      </c>
      <c r="I41" s="633">
        <f t="shared" si="2"/>
        <v>0.71611253196930946</v>
      </c>
      <c r="J41" s="44"/>
      <c r="K41" s="295">
        <f>SUM(K42:K49)</f>
        <v>18</v>
      </c>
      <c r="L41" s="689">
        <f t="shared" si="3"/>
        <v>0.92071611253196928</v>
      </c>
    </row>
    <row r="42" spans="1:12" s="693" customFormat="1">
      <c r="A42" s="42" t="s">
        <v>330</v>
      </c>
      <c r="B42" s="684">
        <f t="shared" si="0"/>
        <v>262</v>
      </c>
      <c r="C42" s="296">
        <f t="shared" si="4"/>
        <v>1.182790844657126</v>
      </c>
      <c r="D42" s="39"/>
      <c r="E42" s="692">
        <v>259</v>
      </c>
      <c r="F42" s="633">
        <f t="shared" si="1"/>
        <v>98.854961832061079</v>
      </c>
      <c r="G42" s="692"/>
      <c r="H42" s="692">
        <v>1</v>
      </c>
      <c r="I42" s="633">
        <f t="shared" si="2"/>
        <v>0.38167938931297707</v>
      </c>
      <c r="J42" s="692"/>
      <c r="K42" s="692">
        <v>2</v>
      </c>
      <c r="L42" s="689">
        <f t="shared" si="3"/>
        <v>0.76335877862595414</v>
      </c>
    </row>
    <row r="43" spans="1:12" s="693" customFormat="1">
      <c r="A43" s="42" t="s">
        <v>42</v>
      </c>
      <c r="B43" s="684">
        <f t="shared" si="0"/>
        <v>222</v>
      </c>
      <c r="C43" s="296">
        <f t="shared" si="4"/>
        <v>1.0022120897476412</v>
      </c>
      <c r="D43" s="39"/>
      <c r="E43" s="692">
        <v>217</v>
      </c>
      <c r="F43" s="633">
        <f t="shared" si="1"/>
        <v>97.747747747747752</v>
      </c>
      <c r="G43" s="692"/>
      <c r="H43" s="692">
        <v>1</v>
      </c>
      <c r="I43" s="633">
        <f t="shared" si="2"/>
        <v>0.45045045045045046</v>
      </c>
      <c r="J43" s="692"/>
      <c r="K43" s="692">
        <v>4</v>
      </c>
      <c r="L43" s="689">
        <f t="shared" si="3"/>
        <v>1.8018018018018018</v>
      </c>
    </row>
    <row r="44" spans="1:12" s="693" customFormat="1">
      <c r="A44" s="42" t="s">
        <v>43</v>
      </c>
      <c r="B44" s="684">
        <f t="shared" si="0"/>
        <v>130</v>
      </c>
      <c r="C44" s="296">
        <f t="shared" si="4"/>
        <v>0.58688095345582592</v>
      </c>
      <c r="D44" s="39"/>
      <c r="E44" s="692">
        <v>129</v>
      </c>
      <c r="F44" s="633">
        <f t="shared" si="1"/>
        <v>99.230769230769226</v>
      </c>
      <c r="G44" s="692"/>
      <c r="H44" s="692">
        <v>0</v>
      </c>
      <c r="I44" s="633">
        <f t="shared" si="2"/>
        <v>0</v>
      </c>
      <c r="J44" s="692"/>
      <c r="K44" s="692">
        <v>1</v>
      </c>
      <c r="L44" s="689">
        <f t="shared" si="3"/>
        <v>0.76923076923076927</v>
      </c>
    </row>
    <row r="45" spans="1:12" s="693" customFormat="1">
      <c r="A45" s="42" t="s">
        <v>44</v>
      </c>
      <c r="B45" s="684">
        <f t="shared" si="0"/>
        <v>238</v>
      </c>
      <c r="C45" s="296">
        <f t="shared" si="4"/>
        <v>1.0744435917114352</v>
      </c>
      <c r="D45" s="39"/>
      <c r="E45" s="692">
        <v>230</v>
      </c>
      <c r="F45" s="633">
        <f t="shared" si="1"/>
        <v>96.638655462184872</v>
      </c>
      <c r="G45" s="692"/>
      <c r="H45" s="692">
        <v>4</v>
      </c>
      <c r="I45" s="633">
        <f t="shared" si="2"/>
        <v>1.680672268907563</v>
      </c>
      <c r="J45" s="692"/>
      <c r="K45" s="692">
        <v>4</v>
      </c>
      <c r="L45" s="689">
        <f t="shared" si="3"/>
        <v>1.680672268907563</v>
      </c>
    </row>
    <row r="46" spans="1:12" s="693" customFormat="1">
      <c r="A46" s="42" t="s">
        <v>48</v>
      </c>
      <c r="B46" s="684">
        <f t="shared" si="0"/>
        <v>216</v>
      </c>
      <c r="C46" s="296">
        <f t="shared" si="4"/>
        <v>0.97512527651121839</v>
      </c>
      <c r="D46" s="39"/>
      <c r="E46" s="692">
        <v>209</v>
      </c>
      <c r="F46" s="633">
        <f t="shared" si="1"/>
        <v>96.759259259259252</v>
      </c>
      <c r="G46" s="692"/>
      <c r="H46" s="692">
        <v>6</v>
      </c>
      <c r="I46" s="633">
        <f t="shared" si="2"/>
        <v>2.7777777777777777</v>
      </c>
      <c r="J46" s="692"/>
      <c r="K46" s="692">
        <v>1</v>
      </c>
      <c r="L46" s="689">
        <f t="shared" si="3"/>
        <v>0.46296296296296291</v>
      </c>
    </row>
    <row r="47" spans="1:12" s="693" customFormat="1">
      <c r="A47" s="42" t="s">
        <v>331</v>
      </c>
      <c r="B47" s="684">
        <f t="shared" si="0"/>
        <v>409</v>
      </c>
      <c r="C47" s="296">
        <f t="shared" si="4"/>
        <v>1.8464177689494832</v>
      </c>
      <c r="D47" s="39"/>
      <c r="E47" s="692">
        <v>408</v>
      </c>
      <c r="F47" s="633">
        <f t="shared" si="1"/>
        <v>99.755501222493891</v>
      </c>
      <c r="G47" s="692"/>
      <c r="H47" s="692">
        <v>0</v>
      </c>
      <c r="I47" s="633">
        <f t="shared" si="2"/>
        <v>0</v>
      </c>
      <c r="J47" s="692"/>
      <c r="K47" s="692">
        <v>1</v>
      </c>
      <c r="L47" s="689">
        <f t="shared" si="3"/>
        <v>0.24449877750611246</v>
      </c>
    </row>
    <row r="48" spans="1:12" s="693" customFormat="1">
      <c r="A48" s="42" t="s">
        <v>47</v>
      </c>
      <c r="B48" s="684">
        <f t="shared" si="0"/>
        <v>164</v>
      </c>
      <c r="C48" s="296">
        <f t="shared" si="4"/>
        <v>0.74037289512888815</v>
      </c>
      <c r="D48" s="39"/>
      <c r="E48" s="692">
        <v>162</v>
      </c>
      <c r="F48" s="633">
        <f t="shared" si="1"/>
        <v>98.780487804878049</v>
      </c>
      <c r="G48" s="692"/>
      <c r="H48" s="692">
        <v>1</v>
      </c>
      <c r="I48" s="633">
        <f t="shared" si="2"/>
        <v>0.6097560975609756</v>
      </c>
      <c r="J48" s="692"/>
      <c r="K48" s="692">
        <v>1</v>
      </c>
      <c r="L48" s="689">
        <f t="shared" si="3"/>
        <v>0.6097560975609756</v>
      </c>
    </row>
    <row r="49" spans="1:12" s="693" customFormat="1">
      <c r="A49" s="42" t="s">
        <v>46</v>
      </c>
      <c r="B49" s="684">
        <f t="shared" si="0"/>
        <v>314</v>
      </c>
      <c r="C49" s="296">
        <f t="shared" si="4"/>
        <v>1.4175432260394565</v>
      </c>
      <c r="D49" s="39"/>
      <c r="E49" s="692">
        <v>309</v>
      </c>
      <c r="F49" s="633">
        <f t="shared" si="1"/>
        <v>98.407643312101911</v>
      </c>
      <c r="G49" s="692"/>
      <c r="H49" s="692">
        <v>1</v>
      </c>
      <c r="I49" s="633">
        <f t="shared" si="2"/>
        <v>0.31847133757961787</v>
      </c>
      <c r="J49" s="692"/>
      <c r="K49" s="692">
        <v>4</v>
      </c>
      <c r="L49" s="689">
        <f t="shared" si="3"/>
        <v>1.2738853503184715</v>
      </c>
    </row>
    <row r="50" spans="1:12" ht="9.9499999999999993" customHeight="1">
      <c r="A50" s="42"/>
      <c r="B50" s="684" t="str">
        <f t="shared" si="0"/>
        <v/>
      </c>
      <c r="C50" s="296" t="str">
        <f t="shared" si="4"/>
        <v/>
      </c>
      <c r="D50" s="39"/>
      <c r="E50" s="692"/>
      <c r="F50" s="633" t="str">
        <f t="shared" si="1"/>
        <v/>
      </c>
      <c r="G50" s="692"/>
      <c r="H50" s="692"/>
      <c r="I50" s="633" t="str">
        <f t="shared" si="2"/>
        <v/>
      </c>
      <c r="J50" s="692"/>
      <c r="K50" s="692"/>
      <c r="L50" s="689" t="str">
        <f t="shared" si="3"/>
        <v/>
      </c>
    </row>
    <row r="51" spans="1:12">
      <c r="A51" s="42" t="s">
        <v>50</v>
      </c>
      <c r="B51" s="684">
        <f t="shared" si="0"/>
        <v>432</v>
      </c>
      <c r="C51" s="296">
        <f t="shared" si="4"/>
        <v>1.9502505530224368</v>
      </c>
      <c r="D51" s="39"/>
      <c r="E51" s="692">
        <v>426</v>
      </c>
      <c r="F51" s="633">
        <f t="shared" si="1"/>
        <v>98.611111111111114</v>
      </c>
      <c r="G51" s="692"/>
      <c r="H51" s="692">
        <v>1</v>
      </c>
      <c r="I51" s="633">
        <f t="shared" si="2"/>
        <v>0.23148148148148145</v>
      </c>
      <c r="J51" s="692"/>
      <c r="K51" s="692">
        <v>5</v>
      </c>
      <c r="L51" s="689">
        <f t="shared" si="3"/>
        <v>1.1574074074074074</v>
      </c>
    </row>
    <row r="52" spans="1:12" ht="9.9499999999999993" customHeight="1">
      <c r="A52" s="42"/>
      <c r="B52" s="684" t="str">
        <f t="shared" si="0"/>
        <v/>
      </c>
      <c r="C52" s="296" t="str">
        <f t="shared" si="4"/>
        <v/>
      </c>
      <c r="D52" s="39"/>
      <c r="E52" s="295"/>
      <c r="F52" s="633" t="str">
        <f t="shared" si="1"/>
        <v/>
      </c>
      <c r="G52" s="44"/>
      <c r="H52" s="295"/>
      <c r="I52" s="633" t="str">
        <f t="shared" si="2"/>
        <v/>
      </c>
      <c r="J52" s="44"/>
      <c r="K52" s="295"/>
      <c r="L52" s="689" t="str">
        <f t="shared" si="3"/>
        <v/>
      </c>
    </row>
    <row r="53" spans="1:12" s="661" customFormat="1">
      <c r="A53" s="42" t="s">
        <v>51</v>
      </c>
      <c r="B53" s="684">
        <f t="shared" si="0"/>
        <v>2009</v>
      </c>
      <c r="C53" s="296">
        <f t="shared" si="4"/>
        <v>9.0695679653288792</v>
      </c>
      <c r="D53" s="39"/>
      <c r="E53" s="295">
        <f>SUM(E54:E58)</f>
        <v>1979</v>
      </c>
      <c r="F53" s="633">
        <f t="shared" si="1"/>
        <v>98.506719761075161</v>
      </c>
      <c r="G53" s="44"/>
      <c r="H53" s="295">
        <f>SUM(H54:H58)</f>
        <v>14</v>
      </c>
      <c r="I53" s="633">
        <f t="shared" si="2"/>
        <v>0.69686411149825789</v>
      </c>
      <c r="J53" s="44"/>
      <c r="K53" s="295">
        <f>SUM(K54:K58)</f>
        <v>16</v>
      </c>
      <c r="L53" s="689">
        <f t="shared" si="3"/>
        <v>0.79641612742658041</v>
      </c>
    </row>
    <row r="54" spans="1:12" s="693" customFormat="1">
      <c r="A54" s="42" t="s">
        <v>52</v>
      </c>
      <c r="B54" s="684">
        <f t="shared" si="0"/>
        <v>35</v>
      </c>
      <c r="C54" s="296">
        <f t="shared" si="4"/>
        <v>0.15800641054579928</v>
      </c>
      <c r="D54" s="39"/>
      <c r="E54" s="692">
        <v>34</v>
      </c>
      <c r="F54" s="633">
        <f t="shared" si="1"/>
        <v>97.142857142857139</v>
      </c>
      <c r="G54" s="692"/>
      <c r="H54" s="692">
        <v>1</v>
      </c>
      <c r="I54" s="633">
        <f t="shared" si="2"/>
        <v>2.8571428571428572</v>
      </c>
      <c r="J54" s="692"/>
      <c r="K54" s="692">
        <v>0</v>
      </c>
      <c r="L54" s="689">
        <f t="shared" si="3"/>
        <v>0</v>
      </c>
    </row>
    <row r="55" spans="1:12" s="693" customFormat="1">
      <c r="A55" s="42" t="s">
        <v>53</v>
      </c>
      <c r="B55" s="684">
        <f t="shared" si="0"/>
        <v>1288</v>
      </c>
      <c r="C55" s="296">
        <f t="shared" si="4"/>
        <v>5.814635908085414</v>
      </c>
      <c r="D55" s="39"/>
      <c r="E55" s="692">
        <v>1266</v>
      </c>
      <c r="F55" s="633">
        <f t="shared" si="1"/>
        <v>98.291925465838517</v>
      </c>
      <c r="G55" s="692"/>
      <c r="H55" s="692">
        <v>9</v>
      </c>
      <c r="I55" s="633">
        <f t="shared" si="2"/>
        <v>0.69875776397515532</v>
      </c>
      <c r="J55" s="692"/>
      <c r="K55" s="692">
        <v>13</v>
      </c>
      <c r="L55" s="689">
        <f t="shared" si="3"/>
        <v>1.0093167701863355</v>
      </c>
    </row>
    <row r="56" spans="1:12" s="693" customFormat="1">
      <c r="A56" s="42" t="s">
        <v>54</v>
      </c>
      <c r="B56" s="684">
        <f t="shared" si="0"/>
        <v>226</v>
      </c>
      <c r="C56" s="296">
        <f t="shared" si="4"/>
        <v>1.0202699652385896</v>
      </c>
      <c r="D56" s="39"/>
      <c r="E56" s="692">
        <v>224</v>
      </c>
      <c r="F56" s="633">
        <f t="shared" si="1"/>
        <v>99.115044247787608</v>
      </c>
      <c r="G56" s="692"/>
      <c r="H56" s="692">
        <v>1</v>
      </c>
      <c r="I56" s="633">
        <f t="shared" si="2"/>
        <v>0.44247787610619471</v>
      </c>
      <c r="J56" s="692"/>
      <c r="K56" s="692">
        <v>1</v>
      </c>
      <c r="L56" s="689">
        <f t="shared" si="3"/>
        <v>0.44247787610619471</v>
      </c>
    </row>
    <row r="57" spans="1:12" s="693" customFormat="1">
      <c r="A57" s="42" t="s">
        <v>332</v>
      </c>
      <c r="B57" s="684">
        <f t="shared" si="0"/>
        <v>304</v>
      </c>
      <c r="C57" s="296">
        <f t="shared" si="4"/>
        <v>1.3723985373120853</v>
      </c>
      <c r="D57" s="39"/>
      <c r="E57" s="692">
        <v>301</v>
      </c>
      <c r="F57" s="633">
        <f t="shared" si="1"/>
        <v>99.01315789473685</v>
      </c>
      <c r="G57" s="692"/>
      <c r="H57" s="692">
        <v>2</v>
      </c>
      <c r="I57" s="633">
        <f t="shared" si="2"/>
        <v>0.6578947368421052</v>
      </c>
      <c r="J57" s="692"/>
      <c r="K57" s="692">
        <v>1</v>
      </c>
      <c r="L57" s="689">
        <f t="shared" si="3"/>
        <v>0.3289473684210526</v>
      </c>
    </row>
    <row r="58" spans="1:12" s="693" customFormat="1">
      <c r="A58" s="42" t="s">
        <v>56</v>
      </c>
      <c r="B58" s="684">
        <f t="shared" si="0"/>
        <v>156</v>
      </c>
      <c r="C58" s="296">
        <f t="shared" si="4"/>
        <v>0.70425714414699114</v>
      </c>
      <c r="D58" s="39"/>
      <c r="E58" s="692">
        <v>154</v>
      </c>
      <c r="F58" s="633">
        <f t="shared" si="1"/>
        <v>98.71794871794873</v>
      </c>
      <c r="G58" s="692"/>
      <c r="H58" s="692">
        <v>1</v>
      </c>
      <c r="I58" s="633">
        <f t="shared" si="2"/>
        <v>0.64102564102564097</v>
      </c>
      <c r="J58" s="692"/>
      <c r="K58" s="692">
        <v>1</v>
      </c>
      <c r="L58" s="689">
        <f t="shared" si="3"/>
        <v>0.64102564102564097</v>
      </c>
    </row>
    <row r="59" spans="1:12" ht="9.9499999999999993" customHeight="1">
      <c r="A59" s="42"/>
      <c r="B59" s="684" t="str">
        <f t="shared" si="0"/>
        <v/>
      </c>
      <c r="C59" s="296" t="str">
        <f t="shared" si="4"/>
        <v/>
      </c>
      <c r="D59" s="39"/>
      <c r="E59" s="295"/>
      <c r="F59" s="633" t="str">
        <f t="shared" si="1"/>
        <v/>
      </c>
      <c r="G59" s="44"/>
      <c r="H59" s="295"/>
      <c r="I59" s="633" t="str">
        <f t="shared" si="2"/>
        <v/>
      </c>
      <c r="J59" s="44"/>
      <c r="K59" s="295"/>
      <c r="L59" s="689" t="str">
        <f t="shared" si="3"/>
        <v/>
      </c>
    </row>
    <row r="60" spans="1:12" s="691" customFormat="1" ht="12.75">
      <c r="A60" s="63" t="s">
        <v>333</v>
      </c>
      <c r="B60" s="685">
        <f t="shared" si="0"/>
        <v>1878</v>
      </c>
      <c r="C60" s="667">
        <f t="shared" si="4"/>
        <v>8.4781725430003156</v>
      </c>
      <c r="D60" s="690"/>
      <c r="E60" s="466">
        <f>E61+E63+E70+E72</f>
        <v>1857</v>
      </c>
      <c r="F60" s="668">
        <f t="shared" si="1"/>
        <v>98.881789137380196</v>
      </c>
      <c r="G60" s="688"/>
      <c r="H60" s="466">
        <f>H61+H63+H70+H72</f>
        <v>7</v>
      </c>
      <c r="I60" s="668">
        <f t="shared" si="2"/>
        <v>0.3727369542066028</v>
      </c>
      <c r="J60" s="688"/>
      <c r="K60" s="466">
        <f>K61+K63+K70+K72</f>
        <v>14</v>
      </c>
      <c r="L60" s="665">
        <f t="shared" si="3"/>
        <v>0.7454739084132056</v>
      </c>
    </row>
    <row r="61" spans="1:12" s="661" customFormat="1">
      <c r="A61" s="42" t="s">
        <v>334</v>
      </c>
      <c r="B61" s="684">
        <f t="shared" si="0"/>
        <v>265</v>
      </c>
      <c r="C61" s="296">
        <f t="shared" si="4"/>
        <v>1.1963342512753374</v>
      </c>
      <c r="D61" s="39"/>
      <c r="E61" s="692">
        <v>263</v>
      </c>
      <c r="F61" s="633">
        <f t="shared" si="1"/>
        <v>99.245283018867923</v>
      </c>
      <c r="G61" s="692"/>
      <c r="H61" s="692">
        <v>0</v>
      </c>
      <c r="I61" s="633">
        <f t="shared" si="2"/>
        <v>0</v>
      </c>
      <c r="J61" s="692"/>
      <c r="K61" s="692">
        <v>2</v>
      </c>
      <c r="L61" s="689">
        <f t="shared" si="3"/>
        <v>0.75471698113207553</v>
      </c>
    </row>
    <row r="62" spans="1:12" ht="9.9499999999999993" customHeight="1">
      <c r="B62" s="684" t="str">
        <f t="shared" si="0"/>
        <v/>
      </c>
      <c r="C62" s="296" t="str">
        <f t="shared" si="4"/>
        <v/>
      </c>
      <c r="D62" s="39"/>
      <c r="E62" s="295"/>
      <c r="F62" s="633" t="str">
        <f t="shared" si="1"/>
        <v/>
      </c>
      <c r="G62" s="44"/>
      <c r="H62" s="295"/>
      <c r="I62" s="633" t="str">
        <f t="shared" si="2"/>
        <v/>
      </c>
      <c r="J62" s="44"/>
      <c r="K62" s="295"/>
      <c r="L62" s="689" t="str">
        <f t="shared" si="3"/>
        <v/>
      </c>
    </row>
    <row r="63" spans="1:12" s="661" customFormat="1">
      <c r="A63" s="42" t="s">
        <v>60</v>
      </c>
      <c r="B63" s="684">
        <f t="shared" si="0"/>
        <v>1088</v>
      </c>
      <c r="C63" s="296">
        <f t="shared" si="4"/>
        <v>4.9117421335379889</v>
      </c>
      <c r="D63" s="39"/>
      <c r="E63" s="295">
        <f>SUM(E64:E68)</f>
        <v>1075</v>
      </c>
      <c r="F63" s="633">
        <f t="shared" si="1"/>
        <v>98.805147058823522</v>
      </c>
      <c r="G63" s="44"/>
      <c r="H63" s="295">
        <f>SUM(H64:H68)</f>
        <v>3</v>
      </c>
      <c r="I63" s="633">
        <f t="shared" si="2"/>
        <v>0.27573529411764708</v>
      </c>
      <c r="J63" s="44"/>
      <c r="K63" s="295">
        <f>SUM(K64:K68)</f>
        <v>10</v>
      </c>
      <c r="L63" s="689">
        <f t="shared" si="3"/>
        <v>0.91911764705882359</v>
      </c>
    </row>
    <row r="64" spans="1:12" s="693" customFormat="1">
      <c r="A64" s="42" t="s">
        <v>1759</v>
      </c>
      <c r="B64" s="684">
        <f t="shared" si="0"/>
        <v>245</v>
      </c>
      <c r="C64" s="296">
        <f t="shared" si="4"/>
        <v>1.106044873820595</v>
      </c>
      <c r="D64" s="39"/>
      <c r="E64" s="692">
        <v>242</v>
      </c>
      <c r="F64" s="633">
        <f t="shared" si="1"/>
        <v>98.775510204081627</v>
      </c>
      <c r="G64" s="692"/>
      <c r="H64" s="692">
        <v>2</v>
      </c>
      <c r="I64" s="633">
        <f t="shared" si="2"/>
        <v>0.81632653061224492</v>
      </c>
      <c r="J64" s="692"/>
      <c r="K64" s="692">
        <v>1</v>
      </c>
      <c r="L64" s="689">
        <f t="shared" si="3"/>
        <v>0.40816326530612246</v>
      </c>
    </row>
    <row r="65" spans="1:12" s="693" customFormat="1">
      <c r="A65" s="42" t="s">
        <v>61</v>
      </c>
      <c r="B65" s="684">
        <f t="shared" si="0"/>
        <v>249</v>
      </c>
      <c r="C65" s="296">
        <f t="shared" si="4"/>
        <v>1.1241027493115434</v>
      </c>
      <c r="D65" s="39"/>
      <c r="E65" s="692">
        <v>246</v>
      </c>
      <c r="F65" s="633">
        <f t="shared" si="1"/>
        <v>98.795180722891558</v>
      </c>
      <c r="G65" s="692"/>
      <c r="H65" s="692">
        <v>0</v>
      </c>
      <c r="I65" s="633">
        <f t="shared" si="2"/>
        <v>0</v>
      </c>
      <c r="J65" s="692"/>
      <c r="K65" s="692">
        <v>3</v>
      </c>
      <c r="L65" s="689">
        <f t="shared" si="3"/>
        <v>1.2048192771084338</v>
      </c>
    </row>
    <row r="66" spans="1:12" s="693" customFormat="1">
      <c r="A66" s="42" t="s">
        <v>64</v>
      </c>
      <c r="B66" s="684">
        <f t="shared" si="0"/>
        <v>122</v>
      </c>
      <c r="C66" s="296">
        <f t="shared" si="4"/>
        <v>0.55076520247392902</v>
      </c>
      <c r="D66" s="39"/>
      <c r="E66" s="692">
        <v>120</v>
      </c>
      <c r="F66" s="633">
        <f t="shared" si="1"/>
        <v>98.360655737704917</v>
      </c>
      <c r="G66" s="692"/>
      <c r="H66" s="692">
        <v>0</v>
      </c>
      <c r="I66" s="633">
        <f t="shared" si="2"/>
        <v>0</v>
      </c>
      <c r="J66" s="692"/>
      <c r="K66" s="692">
        <v>2</v>
      </c>
      <c r="L66" s="689">
        <f t="shared" si="3"/>
        <v>1.639344262295082</v>
      </c>
    </row>
    <row r="67" spans="1:12" s="693" customFormat="1">
      <c r="A67" s="42" t="s">
        <v>63</v>
      </c>
      <c r="B67" s="684">
        <f t="shared" si="0"/>
        <v>89</v>
      </c>
      <c r="C67" s="296"/>
      <c r="D67" s="39"/>
      <c r="E67" s="692">
        <v>87</v>
      </c>
      <c r="F67" s="633">
        <f t="shared" si="1"/>
        <v>97.752808988764045</v>
      </c>
      <c r="G67" s="692"/>
      <c r="H67" s="692">
        <v>1</v>
      </c>
      <c r="I67" s="633">
        <f t="shared" si="2"/>
        <v>1.1235955056179776</v>
      </c>
      <c r="J67" s="692"/>
      <c r="K67" s="692">
        <v>1</v>
      </c>
      <c r="L67" s="689">
        <f t="shared" si="3"/>
        <v>1.1235955056179776</v>
      </c>
    </row>
    <row r="68" spans="1:12" s="693" customFormat="1">
      <c r="A68" s="42" t="s">
        <v>1700</v>
      </c>
      <c r="B68" s="684">
        <f t="shared" si="0"/>
        <v>383</v>
      </c>
      <c r="C68" s="296">
        <f t="shared" si="4"/>
        <v>1.7290415782583179</v>
      </c>
      <c r="D68" s="39"/>
      <c r="E68" s="692">
        <v>380</v>
      </c>
      <c r="F68" s="633">
        <f t="shared" si="1"/>
        <v>99.216710182767613</v>
      </c>
      <c r="G68" s="692"/>
      <c r="H68" s="692">
        <v>0</v>
      </c>
      <c r="I68" s="633">
        <f t="shared" si="2"/>
        <v>0</v>
      </c>
      <c r="J68" s="692"/>
      <c r="K68" s="692">
        <v>3</v>
      </c>
      <c r="L68" s="689">
        <f t="shared" si="3"/>
        <v>0.7832898172323759</v>
      </c>
    </row>
    <row r="69" spans="1:12" ht="9.9499999999999993" customHeight="1">
      <c r="A69" s="42"/>
      <c r="B69" s="684" t="str">
        <f t="shared" si="0"/>
        <v/>
      </c>
      <c r="C69" s="296" t="str">
        <f t="shared" si="4"/>
        <v/>
      </c>
      <c r="D69" s="39"/>
      <c r="E69" s="4"/>
      <c r="F69" s="633" t="str">
        <f t="shared" si="1"/>
        <v/>
      </c>
      <c r="G69" s="4"/>
      <c r="H69" s="4"/>
      <c r="I69" s="633" t="str">
        <f t="shared" si="2"/>
        <v/>
      </c>
      <c r="J69" s="4"/>
      <c r="K69" s="4"/>
      <c r="L69" s="689" t="str">
        <f t="shared" si="3"/>
        <v/>
      </c>
    </row>
    <row r="70" spans="1:12" s="661" customFormat="1">
      <c r="A70" s="42" t="s">
        <v>66</v>
      </c>
      <c r="B70" s="684">
        <f t="shared" si="0"/>
        <v>222</v>
      </c>
      <c r="C70" s="296">
        <f t="shared" si="4"/>
        <v>1.0022120897476412</v>
      </c>
      <c r="D70" s="39"/>
      <c r="E70" s="692">
        <v>219</v>
      </c>
      <c r="F70" s="633">
        <f t="shared" si="1"/>
        <v>98.648648648648646</v>
      </c>
      <c r="G70" s="692"/>
      <c r="H70" s="692">
        <v>2</v>
      </c>
      <c r="I70" s="633">
        <f t="shared" si="2"/>
        <v>0.90090090090090091</v>
      </c>
      <c r="J70" s="692"/>
      <c r="K70" s="692">
        <v>1</v>
      </c>
      <c r="L70" s="689">
        <f t="shared" si="3"/>
        <v>0.45045045045045046</v>
      </c>
    </row>
    <row r="71" spans="1:12" ht="9.75" customHeight="1">
      <c r="A71" s="42"/>
      <c r="B71" s="684" t="str">
        <f t="shared" si="0"/>
        <v/>
      </c>
      <c r="C71" s="296" t="str">
        <f t="shared" si="4"/>
        <v/>
      </c>
      <c r="D71" s="39"/>
      <c r="E71" s="692"/>
      <c r="F71" s="633" t="str">
        <f t="shared" si="1"/>
        <v/>
      </c>
      <c r="G71" s="692"/>
      <c r="H71" s="692"/>
      <c r="I71" s="633" t="str">
        <f t="shared" si="2"/>
        <v/>
      </c>
      <c r="J71" s="692"/>
      <c r="K71" s="692"/>
      <c r="L71" s="689" t="str">
        <f t="shared" si="3"/>
        <v/>
      </c>
    </row>
    <row r="72" spans="1:12" s="661" customFormat="1">
      <c r="A72" s="42" t="s">
        <v>67</v>
      </c>
      <c r="B72" s="684">
        <f t="shared" si="0"/>
        <v>303</v>
      </c>
      <c r="C72" s="296">
        <f t="shared" si="4"/>
        <v>1.3678840684393481</v>
      </c>
      <c r="D72" s="39"/>
      <c r="E72" s="692">
        <v>300</v>
      </c>
      <c r="F72" s="633">
        <f t="shared" si="1"/>
        <v>99.009900990099013</v>
      </c>
      <c r="G72" s="692"/>
      <c r="H72" s="692">
        <v>2</v>
      </c>
      <c r="I72" s="633">
        <f t="shared" si="2"/>
        <v>0.66006600660066006</v>
      </c>
      <c r="J72" s="692"/>
      <c r="K72" s="692">
        <v>1</v>
      </c>
      <c r="L72" s="689">
        <f t="shared" si="3"/>
        <v>0.33003300330033003</v>
      </c>
    </row>
    <row r="73" spans="1:12" ht="9.9499999999999993" customHeight="1">
      <c r="A73" s="42"/>
      <c r="B73" s="684" t="str">
        <f t="shared" si="0"/>
        <v/>
      </c>
      <c r="C73" s="296" t="str">
        <f t="shared" si="4"/>
        <v/>
      </c>
      <c r="D73" s="39"/>
      <c r="E73" s="295"/>
      <c r="F73" s="633" t="str">
        <f t="shared" si="1"/>
        <v/>
      </c>
      <c r="G73" s="44"/>
      <c r="H73" s="295"/>
      <c r="I73" s="633" t="str">
        <f t="shared" si="2"/>
        <v/>
      </c>
      <c r="J73" s="44"/>
      <c r="K73" s="295"/>
      <c r="L73" s="689" t="str">
        <f t="shared" si="3"/>
        <v/>
      </c>
    </row>
    <row r="74" spans="1:12" s="691" customFormat="1" ht="12.75">
      <c r="A74" s="63" t="s">
        <v>336</v>
      </c>
      <c r="B74" s="685">
        <f t="shared" si="0"/>
        <v>702</v>
      </c>
      <c r="C74" s="667">
        <f t="shared" si="4"/>
        <v>3.1691571486614598</v>
      </c>
      <c r="D74" s="690"/>
      <c r="E74" s="466">
        <f>E75</f>
        <v>696</v>
      </c>
      <c r="F74" s="668">
        <f t="shared" si="1"/>
        <v>99.145299145299148</v>
      </c>
      <c r="G74" s="688"/>
      <c r="H74" s="466">
        <f>H75</f>
        <v>3</v>
      </c>
      <c r="I74" s="633">
        <f t="shared" si="2"/>
        <v>0.42735042735042739</v>
      </c>
      <c r="J74" s="688"/>
      <c r="K74" s="466">
        <f>K75</f>
        <v>3</v>
      </c>
      <c r="L74" s="689">
        <f t="shared" si="3"/>
        <v>0.42735042735042739</v>
      </c>
    </row>
    <row r="75" spans="1:12" s="661" customFormat="1">
      <c r="A75" s="42" t="s">
        <v>69</v>
      </c>
      <c r="B75" s="684">
        <f t="shared" si="0"/>
        <v>702</v>
      </c>
      <c r="C75" s="296">
        <f t="shared" si="4"/>
        <v>3.1691571486614598</v>
      </c>
      <c r="D75" s="39"/>
      <c r="E75" s="295">
        <f>SUM(E76:E79)</f>
        <v>696</v>
      </c>
      <c r="F75" s="633">
        <f t="shared" si="1"/>
        <v>99.145299145299148</v>
      </c>
      <c r="G75" s="44"/>
      <c r="H75" s="295">
        <f>SUM(H76:H79)</f>
        <v>3</v>
      </c>
      <c r="I75" s="633">
        <f t="shared" si="2"/>
        <v>0.42735042735042739</v>
      </c>
      <c r="J75" s="44"/>
      <c r="K75" s="295">
        <f>SUM(K76:K79)</f>
        <v>3</v>
      </c>
      <c r="L75" s="689">
        <f t="shared" si="3"/>
        <v>0.42735042735042739</v>
      </c>
    </row>
    <row r="76" spans="1:12" s="693" customFormat="1">
      <c r="A76" s="42" t="s">
        <v>70</v>
      </c>
      <c r="B76" s="684">
        <f>IF(A76&lt;&gt;0,E76+H76+K76,"")</f>
        <v>214</v>
      </c>
      <c r="C76" s="296">
        <f t="shared" si="4"/>
        <v>0.96609633876574419</v>
      </c>
      <c r="D76" s="39"/>
      <c r="E76" s="692">
        <v>210</v>
      </c>
      <c r="F76" s="633">
        <f t="shared" si="1"/>
        <v>98.130841121495322</v>
      </c>
      <c r="G76" s="692"/>
      <c r="H76" s="692">
        <v>2</v>
      </c>
      <c r="I76" s="633">
        <f t="shared" ref="I76:I101" si="5">IF(A76&lt;&gt;0,H76/B76*100,"")</f>
        <v>0.93457943925233633</v>
      </c>
      <c r="J76" s="692"/>
      <c r="K76" s="692">
        <v>2</v>
      </c>
      <c r="L76" s="689">
        <f>IF(A76&lt;&gt;0,K76/B76*100,"")</f>
        <v>0.93457943925233633</v>
      </c>
    </row>
    <row r="77" spans="1:12" s="693" customFormat="1">
      <c r="A77" s="42" t="s">
        <v>71</v>
      </c>
      <c r="B77" s="684">
        <f>IF(A77&lt;&gt;0,E77+H77+K77,"")</f>
        <v>274</v>
      </c>
      <c r="C77" s="296">
        <f t="shared" si="4"/>
        <v>1.2369644711299717</v>
      </c>
      <c r="D77" s="39"/>
      <c r="E77" s="692">
        <v>272</v>
      </c>
      <c r="F77" s="633">
        <f>IF(A77&lt;&gt;0,E77/B77*100,"")</f>
        <v>99.270072992700733</v>
      </c>
      <c r="G77" s="692"/>
      <c r="H77" s="692">
        <v>1</v>
      </c>
      <c r="I77" s="633">
        <f t="shared" si="5"/>
        <v>0.36496350364963503</v>
      </c>
      <c r="J77" s="692"/>
      <c r="K77" s="692">
        <v>1</v>
      </c>
      <c r="L77" s="689">
        <f>IF(A77&lt;&gt;0,K77/B77*100,"")</f>
        <v>0.36496350364963503</v>
      </c>
    </row>
    <row r="78" spans="1:12" s="693" customFormat="1">
      <c r="A78" s="42" t="s">
        <v>72</v>
      </c>
      <c r="B78" s="684">
        <f>IF(A78&lt;&gt;0,E78+H78+K78,"")</f>
        <v>154</v>
      </c>
      <c r="C78" s="296">
        <f t="shared" ref="C78:C101" si="6">IF($A78&lt;&gt;0,B78/$B$11*100,"")</f>
        <v>0.69522820640151684</v>
      </c>
      <c r="D78" s="39"/>
      <c r="E78" s="692">
        <v>154</v>
      </c>
      <c r="F78" s="633">
        <f>IF(A78&lt;&gt;0,E78/B78*100,"")</f>
        <v>100</v>
      </c>
      <c r="G78" s="692"/>
      <c r="H78" s="692">
        <v>0</v>
      </c>
      <c r="I78" s="633">
        <f t="shared" si="5"/>
        <v>0</v>
      </c>
      <c r="J78" s="692"/>
      <c r="K78" s="692">
        <v>0</v>
      </c>
      <c r="L78" s="689">
        <f>IF(A78&lt;&gt;0,K78/B78*100,"")</f>
        <v>0</v>
      </c>
    </row>
    <row r="79" spans="1:12" s="693" customFormat="1">
      <c r="A79" s="42" t="s">
        <v>73</v>
      </c>
      <c r="B79" s="684">
        <f>IF(A79&lt;&gt;0,E79+H79+K79,"")</f>
        <v>60</v>
      </c>
      <c r="C79" s="296">
        <f t="shared" si="6"/>
        <v>0.27086813236422735</v>
      </c>
      <c r="D79" s="39"/>
      <c r="E79" s="692">
        <v>60</v>
      </c>
      <c r="F79" s="633">
        <f>IF(A79&lt;&gt;0,E79/B79*100,"")</f>
        <v>100</v>
      </c>
      <c r="G79" s="692"/>
      <c r="H79" s="692">
        <v>0</v>
      </c>
      <c r="I79" s="633">
        <f t="shared" si="5"/>
        <v>0</v>
      </c>
      <c r="J79" s="692"/>
      <c r="K79" s="692">
        <v>0</v>
      </c>
      <c r="L79" s="689">
        <f>IF(A79&lt;&gt;0,K79/B79*100,"")</f>
        <v>0</v>
      </c>
    </row>
    <row r="80" spans="1:12" ht="9.9499999999999993" customHeight="1">
      <c r="A80" s="42"/>
      <c r="B80" s="684" t="str">
        <f t="shared" ref="B80:B101" si="7">IF(A80&lt;&gt;0,E80+H80+K80,"")</f>
        <v/>
      </c>
      <c r="C80" s="296" t="str">
        <f t="shared" si="6"/>
        <v/>
      </c>
      <c r="D80" s="39"/>
      <c r="E80" s="295"/>
      <c r="F80" s="633" t="str">
        <f t="shared" ref="F80:F101" si="8">IF(A80&lt;&gt;0,E80/B80*100,"")</f>
        <v/>
      </c>
      <c r="G80" s="44"/>
      <c r="H80" s="295"/>
      <c r="I80" s="633" t="str">
        <f t="shared" si="5"/>
        <v/>
      </c>
      <c r="J80" s="44"/>
      <c r="K80" s="295"/>
      <c r="L80" s="689" t="str">
        <f>IF(A80&lt;&gt;0,K80/B80*100,"")</f>
        <v/>
      </c>
    </row>
    <row r="81" spans="1:12" s="691" customFormat="1" ht="12.75">
      <c r="A81" s="63" t="s">
        <v>396</v>
      </c>
      <c r="B81" s="685">
        <f t="shared" si="7"/>
        <v>2428</v>
      </c>
      <c r="C81" s="667">
        <f t="shared" si="6"/>
        <v>10.961130423005732</v>
      </c>
      <c r="D81" s="690"/>
      <c r="E81" s="466">
        <f>E82</f>
        <v>2393</v>
      </c>
      <c r="F81" s="668">
        <f t="shared" si="8"/>
        <v>98.558484349258649</v>
      </c>
      <c r="G81" s="688"/>
      <c r="H81" s="466">
        <f>H82</f>
        <v>19</v>
      </c>
      <c r="I81" s="668">
        <f t="shared" si="5"/>
        <v>0.78253706754530472</v>
      </c>
      <c r="J81" s="688"/>
      <c r="K81" s="466">
        <f>K82</f>
        <v>16</v>
      </c>
      <c r="L81" s="665">
        <f t="shared" ref="L81:L101" si="9">IF(A81&lt;&gt;0,K81/B81*100,"")</f>
        <v>0.65897858319604619</v>
      </c>
    </row>
    <row r="82" spans="1:12" s="661" customFormat="1">
      <c r="A82" s="42" t="s">
        <v>75</v>
      </c>
      <c r="B82" s="684">
        <f t="shared" si="7"/>
        <v>2428</v>
      </c>
      <c r="C82" s="296">
        <f t="shared" si="6"/>
        <v>10.961130423005732</v>
      </c>
      <c r="D82" s="39"/>
      <c r="E82" s="295">
        <f>SUM(E83:E91)</f>
        <v>2393</v>
      </c>
      <c r="F82" s="633">
        <f t="shared" si="8"/>
        <v>98.558484349258649</v>
      </c>
      <c r="G82" s="44"/>
      <c r="H82" s="295">
        <f>SUM(H83:H91)</f>
        <v>19</v>
      </c>
      <c r="I82" s="633">
        <f t="shared" si="5"/>
        <v>0.78253706754530472</v>
      </c>
      <c r="J82" s="44"/>
      <c r="K82" s="295">
        <f>SUM(K83:K91)</f>
        <v>16</v>
      </c>
      <c r="L82" s="689">
        <f t="shared" si="9"/>
        <v>0.65897858319604619</v>
      </c>
    </row>
    <row r="83" spans="1:12" s="693" customFormat="1">
      <c r="A83" s="42" t="s">
        <v>338</v>
      </c>
      <c r="B83" s="684">
        <f t="shared" si="7"/>
        <v>241</v>
      </c>
      <c r="C83" s="296">
        <f t="shared" si="6"/>
        <v>1.0879869983296466</v>
      </c>
      <c r="D83" s="39"/>
      <c r="E83" s="692">
        <v>239</v>
      </c>
      <c r="F83" s="633">
        <f t="shared" si="8"/>
        <v>99.170124481327804</v>
      </c>
      <c r="G83" s="692"/>
      <c r="H83" s="692">
        <v>1</v>
      </c>
      <c r="I83" s="633">
        <f t="shared" si="5"/>
        <v>0.41493775933609961</v>
      </c>
      <c r="J83" s="692"/>
      <c r="K83" s="692">
        <v>1</v>
      </c>
      <c r="L83" s="689">
        <f t="shared" si="9"/>
        <v>0.41493775933609961</v>
      </c>
    </row>
    <row r="84" spans="1:12" s="693" customFormat="1">
      <c r="A84" s="42" t="s">
        <v>76</v>
      </c>
      <c r="B84" s="684">
        <f t="shared" si="7"/>
        <v>332</v>
      </c>
      <c r="C84" s="296">
        <f t="shared" si="6"/>
        <v>1.4988036657487247</v>
      </c>
      <c r="D84" s="39"/>
      <c r="E84" s="692">
        <v>328</v>
      </c>
      <c r="F84" s="633">
        <f t="shared" si="8"/>
        <v>98.795180722891558</v>
      </c>
      <c r="G84" s="692"/>
      <c r="H84" s="692">
        <v>1</v>
      </c>
      <c r="I84" s="633">
        <f t="shared" si="5"/>
        <v>0.30120481927710846</v>
      </c>
      <c r="J84" s="692"/>
      <c r="K84" s="692">
        <v>3</v>
      </c>
      <c r="L84" s="689">
        <f t="shared" si="9"/>
        <v>0.90361445783132521</v>
      </c>
    </row>
    <row r="85" spans="1:12" s="693" customFormat="1">
      <c r="A85" s="42" t="s">
        <v>78</v>
      </c>
      <c r="B85" s="684">
        <f t="shared" si="7"/>
        <v>445</v>
      </c>
      <c r="C85" s="296">
        <f t="shared" si="6"/>
        <v>2.0089386483680194</v>
      </c>
      <c r="D85" s="39"/>
      <c r="E85" s="692">
        <v>437</v>
      </c>
      <c r="F85" s="633">
        <f t="shared" si="8"/>
        <v>98.202247191011239</v>
      </c>
      <c r="G85" s="692"/>
      <c r="H85" s="692">
        <v>6</v>
      </c>
      <c r="I85" s="633">
        <f t="shared" si="5"/>
        <v>1.348314606741573</v>
      </c>
      <c r="J85" s="692"/>
      <c r="K85" s="692">
        <v>2</v>
      </c>
      <c r="L85" s="689">
        <f t="shared" si="9"/>
        <v>0.44943820224719105</v>
      </c>
    </row>
    <row r="86" spans="1:12" s="693" customFormat="1">
      <c r="A86" s="42" t="s">
        <v>80</v>
      </c>
      <c r="B86" s="684">
        <f t="shared" si="7"/>
        <v>131</v>
      </c>
      <c r="C86" s="296">
        <f t="shared" si="6"/>
        <v>0.59139542232856301</v>
      </c>
      <c r="D86" s="39"/>
      <c r="E86" s="692">
        <v>129</v>
      </c>
      <c r="F86" s="633">
        <f t="shared" si="8"/>
        <v>98.473282442748086</v>
      </c>
      <c r="G86" s="692"/>
      <c r="H86" s="692">
        <v>0</v>
      </c>
      <c r="I86" s="633">
        <f t="shared" si="5"/>
        <v>0</v>
      </c>
      <c r="J86" s="692"/>
      <c r="K86" s="692">
        <v>2</v>
      </c>
      <c r="L86" s="689">
        <f t="shared" si="9"/>
        <v>1.5267175572519083</v>
      </c>
    </row>
    <row r="87" spans="1:12" s="693" customFormat="1">
      <c r="A87" s="42" t="s">
        <v>79</v>
      </c>
      <c r="B87" s="684">
        <f t="shared" si="7"/>
        <v>181</v>
      </c>
      <c r="C87" s="296">
        <f t="shared" si="6"/>
        <v>0.81711886596541916</v>
      </c>
      <c r="D87" s="39"/>
      <c r="E87" s="692">
        <v>178</v>
      </c>
      <c r="F87" s="633">
        <f t="shared" si="8"/>
        <v>98.342541436464089</v>
      </c>
      <c r="G87" s="692"/>
      <c r="H87" s="692">
        <v>1</v>
      </c>
      <c r="I87" s="633">
        <f t="shared" si="5"/>
        <v>0.55248618784530379</v>
      </c>
      <c r="J87" s="692"/>
      <c r="K87" s="692">
        <v>2</v>
      </c>
      <c r="L87" s="689">
        <f t="shared" si="9"/>
        <v>1.1049723756906076</v>
      </c>
    </row>
    <row r="88" spans="1:12" s="693" customFormat="1">
      <c r="A88" s="42" t="s">
        <v>77</v>
      </c>
      <c r="B88" s="684">
        <f t="shared" si="7"/>
        <v>285</v>
      </c>
      <c r="C88" s="296">
        <f t="shared" si="6"/>
        <v>1.2866236287300798</v>
      </c>
      <c r="D88" s="39"/>
      <c r="E88" s="692">
        <v>281</v>
      </c>
      <c r="F88" s="633">
        <f t="shared" si="8"/>
        <v>98.596491228070164</v>
      </c>
      <c r="G88" s="692"/>
      <c r="H88" s="692">
        <v>0</v>
      </c>
      <c r="I88" s="633">
        <f t="shared" si="5"/>
        <v>0</v>
      </c>
      <c r="J88" s="692"/>
      <c r="K88" s="692">
        <v>4</v>
      </c>
      <c r="L88" s="689">
        <f t="shared" si="9"/>
        <v>1.4035087719298245</v>
      </c>
    </row>
    <row r="89" spans="1:12" s="693" customFormat="1">
      <c r="A89" s="42" t="s">
        <v>81</v>
      </c>
      <c r="B89" s="684">
        <f t="shared" si="7"/>
        <v>301</v>
      </c>
      <c r="C89" s="296">
        <f t="shared" si="6"/>
        <v>1.3588551306938739</v>
      </c>
      <c r="D89" s="39"/>
      <c r="E89" s="692">
        <v>296</v>
      </c>
      <c r="F89" s="633">
        <f t="shared" si="8"/>
        <v>98.338870431893682</v>
      </c>
      <c r="G89" s="692"/>
      <c r="H89" s="692">
        <v>4</v>
      </c>
      <c r="I89" s="633">
        <f t="shared" si="5"/>
        <v>1.3289036544850499</v>
      </c>
      <c r="J89" s="692"/>
      <c r="K89" s="692">
        <v>1</v>
      </c>
      <c r="L89" s="689">
        <f t="shared" si="9"/>
        <v>0.33222591362126247</v>
      </c>
    </row>
    <row r="90" spans="1:12" s="693" customFormat="1">
      <c r="A90" s="42" t="s">
        <v>441</v>
      </c>
      <c r="B90" s="684">
        <f t="shared" si="7"/>
        <v>234</v>
      </c>
      <c r="C90" s="296">
        <f t="shared" si="6"/>
        <v>1.0563857162204866</v>
      </c>
      <c r="D90" s="39"/>
      <c r="E90" s="692">
        <v>229</v>
      </c>
      <c r="F90" s="633">
        <f t="shared" si="8"/>
        <v>97.863247863247864</v>
      </c>
      <c r="G90" s="692"/>
      <c r="H90" s="692">
        <v>4</v>
      </c>
      <c r="I90" s="633">
        <f t="shared" si="5"/>
        <v>1.7094017094017095</v>
      </c>
      <c r="J90" s="692"/>
      <c r="K90" s="692">
        <v>1</v>
      </c>
      <c r="L90" s="689">
        <f t="shared" si="9"/>
        <v>0.42735042735042739</v>
      </c>
    </row>
    <row r="91" spans="1:12" s="693" customFormat="1">
      <c r="A91" s="42" t="s">
        <v>339</v>
      </c>
      <c r="B91" s="684">
        <f t="shared" si="7"/>
        <v>278</v>
      </c>
      <c r="C91" s="296">
        <f t="shared" si="6"/>
        <v>1.25502234662092</v>
      </c>
      <c r="D91" s="39"/>
      <c r="E91" s="692">
        <v>276</v>
      </c>
      <c r="F91" s="633">
        <f t="shared" si="8"/>
        <v>99.280575539568346</v>
      </c>
      <c r="G91" s="692"/>
      <c r="H91" s="692">
        <v>2</v>
      </c>
      <c r="I91" s="633">
        <f t="shared" si="5"/>
        <v>0.71942446043165476</v>
      </c>
      <c r="J91" s="692"/>
      <c r="K91" s="692">
        <v>0</v>
      </c>
      <c r="L91" s="689">
        <f t="shared" si="9"/>
        <v>0</v>
      </c>
    </row>
    <row r="92" spans="1:12" s="693" customFormat="1" ht="9" customHeight="1">
      <c r="A92" s="42"/>
      <c r="B92" s="684" t="str">
        <f t="shared" si="7"/>
        <v/>
      </c>
      <c r="C92" s="296" t="str">
        <f t="shared" si="6"/>
        <v/>
      </c>
      <c r="D92" s="39"/>
      <c r="E92" s="42"/>
      <c r="F92" s="633" t="str">
        <f t="shared" si="8"/>
        <v/>
      </c>
      <c r="G92" s="42"/>
      <c r="H92" s="42"/>
      <c r="I92" s="633" t="str">
        <f t="shared" si="5"/>
        <v/>
      </c>
      <c r="J92" s="42"/>
      <c r="K92" s="42"/>
      <c r="L92" s="689" t="str">
        <f t="shared" si="9"/>
        <v/>
      </c>
    </row>
    <row r="93" spans="1:12" s="693" customFormat="1">
      <c r="A93" s="42" t="s">
        <v>443</v>
      </c>
      <c r="B93" s="684">
        <f t="shared" si="7"/>
        <v>265</v>
      </c>
      <c r="C93" s="296">
        <f t="shared" si="6"/>
        <v>1.1963342512753374</v>
      </c>
      <c r="D93" s="39"/>
      <c r="E93" s="692">
        <v>264</v>
      </c>
      <c r="F93" s="633">
        <f t="shared" si="8"/>
        <v>99.622641509433961</v>
      </c>
      <c r="G93" s="692"/>
      <c r="H93" s="692">
        <v>1</v>
      </c>
      <c r="I93" s="633">
        <f t="shared" si="5"/>
        <v>0.37735849056603776</v>
      </c>
      <c r="J93" s="692"/>
      <c r="K93" s="692">
        <v>0</v>
      </c>
      <c r="L93" s="689">
        <f t="shared" si="9"/>
        <v>0</v>
      </c>
    </row>
    <row r="94" spans="1:12" s="693" customFormat="1">
      <c r="A94" s="42" t="s">
        <v>920</v>
      </c>
      <c r="B94" s="684">
        <f t="shared" si="7"/>
        <v>385</v>
      </c>
      <c r="C94" s="296">
        <f t="shared" si="6"/>
        <v>1.7380705160037919</v>
      </c>
      <c r="D94" s="39"/>
      <c r="E94" s="692">
        <v>379</v>
      </c>
      <c r="F94" s="633">
        <f t="shared" si="8"/>
        <v>98.441558441558442</v>
      </c>
      <c r="G94" s="692"/>
      <c r="H94" s="692">
        <v>2</v>
      </c>
      <c r="I94" s="633">
        <f t="shared" si="5"/>
        <v>0.51948051948051943</v>
      </c>
      <c r="J94" s="692"/>
      <c r="K94" s="692">
        <v>4</v>
      </c>
      <c r="L94" s="689">
        <f t="shared" si="9"/>
        <v>1.0389610389610389</v>
      </c>
    </row>
    <row r="95" spans="1:12" ht="9.9499999999999993" customHeight="1">
      <c r="A95" s="42"/>
      <c r="B95" s="694" t="str">
        <f t="shared" si="7"/>
        <v/>
      </c>
      <c r="C95" s="466" t="str">
        <f t="shared" si="6"/>
        <v/>
      </c>
      <c r="D95" s="39"/>
      <c r="E95" s="295"/>
      <c r="F95" s="633" t="str">
        <f t="shared" si="8"/>
        <v/>
      </c>
      <c r="G95" s="44"/>
      <c r="H95" s="295"/>
      <c r="I95" s="633" t="str">
        <f t="shared" si="5"/>
        <v/>
      </c>
      <c r="J95" s="44"/>
      <c r="K95" s="295"/>
      <c r="L95" s="689" t="str">
        <f t="shared" si="9"/>
        <v/>
      </c>
    </row>
    <row r="96" spans="1:12" s="63" customFormat="1" ht="12.75">
      <c r="A96" s="63" t="s">
        <v>346</v>
      </c>
      <c r="B96" s="694">
        <f t="shared" si="7"/>
        <v>7572</v>
      </c>
      <c r="C96" s="667">
        <f t="shared" si="6"/>
        <v>34.183558304365491</v>
      </c>
      <c r="D96" s="690"/>
      <c r="E96" s="466">
        <f>SUM(E97:E101)</f>
        <v>7431</v>
      </c>
      <c r="F96" s="668">
        <f t="shared" si="8"/>
        <v>98.137876386687793</v>
      </c>
      <c r="G96" s="688"/>
      <c r="H96" s="466">
        <f>SUM(H97:H101)</f>
        <v>90</v>
      </c>
      <c r="I96" s="668">
        <f t="shared" si="5"/>
        <v>1.1885895404120443</v>
      </c>
      <c r="J96" s="688"/>
      <c r="K96" s="466">
        <f>SUM(K97:K101)</f>
        <v>51</v>
      </c>
      <c r="L96" s="665">
        <f t="shared" si="9"/>
        <v>0.67353407290015854</v>
      </c>
    </row>
    <row r="97" spans="1:13">
      <c r="A97" s="42" t="s">
        <v>347</v>
      </c>
      <c r="B97" s="684">
        <f t="shared" si="7"/>
        <v>2429</v>
      </c>
      <c r="C97" s="296">
        <f t="shared" si="6"/>
        <v>10.965644891878471</v>
      </c>
      <c r="D97" s="39"/>
      <c r="E97" s="692">
        <v>2397</v>
      </c>
      <c r="F97" s="633">
        <f t="shared" si="8"/>
        <v>98.682585426101284</v>
      </c>
      <c r="G97" s="692"/>
      <c r="H97" s="692">
        <v>22</v>
      </c>
      <c r="I97" s="633">
        <f t="shared" si="5"/>
        <v>0.90572251955537264</v>
      </c>
      <c r="J97" s="692"/>
      <c r="K97" s="692">
        <v>10</v>
      </c>
      <c r="L97" s="689">
        <f t="shared" si="9"/>
        <v>0.41169205434335115</v>
      </c>
    </row>
    <row r="98" spans="1:13">
      <c r="A98" s="42" t="s">
        <v>348</v>
      </c>
      <c r="B98" s="684">
        <f t="shared" si="7"/>
        <v>1544</v>
      </c>
      <c r="C98" s="296">
        <f t="shared" si="6"/>
        <v>6.9703399395061174</v>
      </c>
      <c r="D98" s="39"/>
      <c r="E98" s="692">
        <v>1525</v>
      </c>
      <c r="F98" s="633">
        <f t="shared" si="8"/>
        <v>98.769430051813472</v>
      </c>
      <c r="G98" s="692"/>
      <c r="H98" s="692">
        <v>11</v>
      </c>
      <c r="I98" s="633">
        <f t="shared" si="5"/>
        <v>0.71243523316062174</v>
      </c>
      <c r="J98" s="692"/>
      <c r="K98" s="692">
        <v>8</v>
      </c>
      <c r="L98" s="689">
        <f t="shared" si="9"/>
        <v>0.5181347150259068</v>
      </c>
    </row>
    <row r="99" spans="1:13">
      <c r="A99" s="42" t="s">
        <v>349</v>
      </c>
      <c r="B99" s="684">
        <f t="shared" si="7"/>
        <v>1520</v>
      </c>
      <c r="C99" s="296">
        <f t="shared" si="6"/>
        <v>6.861992686560427</v>
      </c>
      <c r="D99" s="39"/>
      <c r="E99" s="692">
        <v>1487</v>
      </c>
      <c r="F99" s="633">
        <f t="shared" si="8"/>
        <v>97.828947368421055</v>
      </c>
      <c r="G99" s="692"/>
      <c r="H99" s="692">
        <v>20</v>
      </c>
      <c r="I99" s="633">
        <f t="shared" si="5"/>
        <v>1.3157894736842104</v>
      </c>
      <c r="J99" s="692"/>
      <c r="K99" s="692">
        <v>13</v>
      </c>
      <c r="L99" s="689">
        <f t="shared" si="9"/>
        <v>0.85526315789473695</v>
      </c>
    </row>
    <row r="100" spans="1:13">
      <c r="A100" s="42" t="s">
        <v>378</v>
      </c>
      <c r="B100" s="684">
        <f t="shared" si="7"/>
        <v>1139</v>
      </c>
      <c r="C100" s="296">
        <f t="shared" si="6"/>
        <v>5.1419800460475829</v>
      </c>
      <c r="D100" s="39"/>
      <c r="E100" s="692">
        <v>1098</v>
      </c>
      <c r="F100" s="633">
        <f t="shared" si="8"/>
        <v>96.400351185250216</v>
      </c>
      <c r="G100" s="692"/>
      <c r="H100" s="692">
        <v>28</v>
      </c>
      <c r="I100" s="633">
        <f t="shared" si="5"/>
        <v>2.4582967515364356</v>
      </c>
      <c r="J100" s="692"/>
      <c r="K100" s="692">
        <v>13</v>
      </c>
      <c r="L100" s="689">
        <f t="shared" si="9"/>
        <v>1.1413520632133449</v>
      </c>
    </row>
    <row r="101" spans="1:13">
      <c r="A101" s="42" t="s">
        <v>351</v>
      </c>
      <c r="B101" s="684">
        <f t="shared" si="7"/>
        <v>940</v>
      </c>
      <c r="C101" s="296">
        <f t="shared" si="6"/>
        <v>4.2436007403728953</v>
      </c>
      <c r="D101" s="577"/>
      <c r="E101" s="692">
        <v>924</v>
      </c>
      <c r="F101" s="633">
        <f t="shared" si="8"/>
        <v>98.297872340425528</v>
      </c>
      <c r="G101" s="692"/>
      <c r="H101" s="692">
        <v>9</v>
      </c>
      <c r="I101" s="633">
        <f t="shared" si="5"/>
        <v>0.95744680851063824</v>
      </c>
      <c r="J101" s="692"/>
      <c r="K101" s="692">
        <v>7</v>
      </c>
      <c r="L101" s="689">
        <f t="shared" si="9"/>
        <v>0.74468085106382986</v>
      </c>
    </row>
    <row r="102" spans="1:13" ht="9.9499999999999993" customHeight="1" thickBot="1">
      <c r="A102" s="15"/>
      <c r="B102" s="681"/>
      <c r="C102" s="302"/>
      <c r="D102" s="105"/>
      <c r="E102" s="682"/>
      <c r="F102" s="632"/>
      <c r="G102" s="105"/>
      <c r="H102" s="682"/>
      <c r="I102" s="632"/>
      <c r="J102" s="105"/>
      <c r="K102" s="682"/>
      <c r="L102" s="632"/>
    </row>
    <row r="103" spans="1:13" ht="9.9499999999999993" customHeight="1">
      <c r="B103" s="684"/>
      <c r="C103" s="633"/>
      <c r="D103" s="69"/>
      <c r="E103" s="549"/>
      <c r="F103" s="241"/>
      <c r="G103" s="69"/>
      <c r="H103" s="549"/>
      <c r="I103" s="241"/>
      <c r="J103" s="69"/>
      <c r="K103" s="549"/>
      <c r="L103" s="241"/>
      <c r="M103" s="68"/>
    </row>
    <row r="104" spans="1:13" ht="14.25" customHeight="1">
      <c r="A104" s="4" t="s">
        <v>1702</v>
      </c>
      <c r="C104" s="44"/>
      <c r="D104" s="39"/>
      <c r="F104" s="39"/>
    </row>
    <row r="105" spans="1:13" ht="15" customHeight="1">
      <c r="A105" s="434" t="s">
        <v>1703</v>
      </c>
      <c r="C105" s="44"/>
      <c r="D105" s="39"/>
      <c r="F105" s="39"/>
    </row>
    <row r="106" spans="1:13" ht="8.25" customHeight="1">
      <c r="A106" s="434"/>
      <c r="C106" s="44"/>
      <c r="D106" s="39"/>
      <c r="F106" s="39"/>
    </row>
    <row r="107" spans="1:13">
      <c r="A107" s="434" t="s">
        <v>1704</v>
      </c>
    </row>
    <row r="108" spans="1:13">
      <c r="A108" s="434" t="s">
        <v>1705</v>
      </c>
    </row>
  </sheetData>
  <mergeCells count="4">
    <mergeCell ref="B7:C7"/>
    <mergeCell ref="E7:F7"/>
    <mergeCell ref="H7:I7"/>
    <mergeCell ref="K7:L7"/>
  </mergeCells>
  <printOptions horizontalCentered="1" verticalCentered="1"/>
  <pageMargins left="0" right="0" top="0" bottom="0" header="0.31496062992125984" footer="0.31496062992125984"/>
  <pageSetup paperSize="9" scale="55" orientation="portrait" r:id="rId1"/>
  <drawing r:id="rId2"/>
</worksheet>
</file>

<file path=xl/worksheets/sheet11.xml><?xml version="1.0" encoding="utf-8"?>
<worksheet xmlns="http://schemas.openxmlformats.org/spreadsheetml/2006/main" xmlns:r="http://schemas.openxmlformats.org/officeDocument/2006/relationships">
  <sheetPr>
    <tabColor theme="5" tint="0.59999389629810485"/>
  </sheetPr>
  <dimension ref="A2:K14"/>
  <sheetViews>
    <sheetView workbookViewId="0">
      <selection activeCell="A34" sqref="A34"/>
    </sheetView>
  </sheetViews>
  <sheetFormatPr baseColWidth="10" defaultRowHeight="15"/>
  <sheetData>
    <row r="2" spans="1:11">
      <c r="B2" s="42" t="s">
        <v>289</v>
      </c>
      <c r="C2" s="42" t="s">
        <v>290</v>
      </c>
      <c r="D2" s="42" t="s">
        <v>291</v>
      </c>
      <c r="E2" s="42" t="s">
        <v>292</v>
      </c>
    </row>
    <row r="3" spans="1:11">
      <c r="A3">
        <v>2013</v>
      </c>
      <c r="B3" s="31">
        <v>24.82</v>
      </c>
      <c r="C3" s="31">
        <v>25.55</v>
      </c>
      <c r="D3" s="31">
        <v>10.66</v>
      </c>
      <c r="E3" s="31">
        <v>38.97</v>
      </c>
    </row>
    <row r="4" spans="1:11">
      <c r="A4">
        <v>2014</v>
      </c>
      <c r="B4" s="31">
        <v>25</v>
      </c>
      <c r="C4" s="31">
        <v>25.82</v>
      </c>
      <c r="D4" s="31">
        <v>9.93</v>
      </c>
      <c r="E4" s="31">
        <v>39.25</v>
      </c>
    </row>
    <row r="5" spans="1:11">
      <c r="A5">
        <v>2015</v>
      </c>
      <c r="B5" s="31">
        <v>24.78</v>
      </c>
      <c r="C5" s="31">
        <v>25.49</v>
      </c>
      <c r="D5" s="31">
        <v>9.99</v>
      </c>
      <c r="E5" s="31">
        <v>39.74</v>
      </c>
    </row>
    <row r="6" spans="1:11">
      <c r="A6">
        <v>2016</v>
      </c>
      <c r="B6" s="31">
        <v>24.89</v>
      </c>
      <c r="C6" s="31">
        <v>25.39</v>
      </c>
      <c r="D6" s="31">
        <v>9.67</v>
      </c>
      <c r="E6" s="31">
        <v>40.049999999999997</v>
      </c>
    </row>
    <row r="7" spans="1:11">
      <c r="A7">
        <v>2017</v>
      </c>
      <c r="B7" s="31">
        <v>24.82</v>
      </c>
      <c r="C7" s="31">
        <v>24.92</v>
      </c>
      <c r="D7" s="31">
        <v>9.64</v>
      </c>
      <c r="E7" s="31">
        <v>40.619999999999997</v>
      </c>
    </row>
    <row r="8" spans="1:11">
      <c r="K8" s="17"/>
    </row>
    <row r="9" spans="1:11">
      <c r="K9" s="17"/>
    </row>
    <row r="10" spans="1:11">
      <c r="K10" s="17"/>
    </row>
    <row r="11" spans="1:11">
      <c r="K11" s="17"/>
    </row>
    <row r="12" spans="1:11">
      <c r="K12" s="17"/>
    </row>
    <row r="13" spans="1:11">
      <c r="K13" s="17"/>
    </row>
    <row r="14" spans="1:11">
      <c r="K14" s="17"/>
    </row>
  </sheetData>
  <printOptions horizontalCentered="1" verticalCentered="1"/>
  <pageMargins left="0" right="0" top="0" bottom="0"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dimension ref="A1:K57"/>
  <sheetViews>
    <sheetView topLeftCell="A25" workbookViewId="0">
      <selection activeCell="M16" sqref="M16"/>
    </sheetView>
  </sheetViews>
  <sheetFormatPr baseColWidth="10" defaultColWidth="9.140625" defaultRowHeight="12.75"/>
  <cols>
    <col min="1" max="1" width="37.42578125" style="434" customWidth="1"/>
    <col min="2" max="2" width="8.28515625" style="1058" customWidth="1"/>
    <col min="3" max="3" width="8.28515625" style="1056" customWidth="1"/>
    <col min="4" max="4" width="2.7109375" style="1057" customWidth="1"/>
    <col min="5" max="5" width="8.28515625" style="670" customWidth="1"/>
    <col min="6" max="6" width="8.28515625" style="1056" customWidth="1"/>
    <col min="7" max="7" width="2.85546875" style="1057" customWidth="1"/>
    <col min="8" max="9" width="9.140625" style="1057" customWidth="1"/>
    <col min="10" max="10" width="2.42578125" style="1057" customWidth="1"/>
    <col min="11" max="11" width="4.28515625" style="434" customWidth="1"/>
    <col min="12" max="256" width="9.140625" style="434"/>
    <col min="257" max="257" width="37.42578125" style="434" customWidth="1"/>
    <col min="258" max="259" width="8.28515625" style="434" customWidth="1"/>
    <col min="260" max="260" width="2.7109375" style="434" customWidth="1"/>
    <col min="261" max="262" width="8.28515625" style="434" customWidth="1"/>
    <col min="263" max="263" width="2.85546875" style="434" customWidth="1"/>
    <col min="264" max="265" width="9.140625" style="434" customWidth="1"/>
    <col min="266" max="266" width="2.42578125" style="434" customWidth="1"/>
    <col min="267" max="267" width="4.28515625" style="434" customWidth="1"/>
    <col min="268" max="512" width="9.140625" style="434"/>
    <col min="513" max="513" width="37.42578125" style="434" customWidth="1"/>
    <col min="514" max="515" width="8.28515625" style="434" customWidth="1"/>
    <col min="516" max="516" width="2.7109375" style="434" customWidth="1"/>
    <col min="517" max="518" width="8.28515625" style="434" customWidth="1"/>
    <col min="519" max="519" width="2.85546875" style="434" customWidth="1"/>
    <col min="520" max="521" width="9.140625" style="434" customWidth="1"/>
    <col min="522" max="522" width="2.42578125" style="434" customWidth="1"/>
    <col min="523" max="523" width="4.28515625" style="434" customWidth="1"/>
    <col min="524" max="768" width="9.140625" style="434"/>
    <col min="769" max="769" width="37.42578125" style="434" customWidth="1"/>
    <col min="770" max="771" width="8.28515625" style="434" customWidth="1"/>
    <col min="772" max="772" width="2.7109375" style="434" customWidth="1"/>
    <col min="773" max="774" width="8.28515625" style="434" customWidth="1"/>
    <col min="775" max="775" width="2.85546875" style="434" customWidth="1"/>
    <col min="776" max="777" width="9.140625" style="434" customWidth="1"/>
    <col min="778" max="778" width="2.42578125" style="434" customWidth="1"/>
    <col min="779" max="779" width="4.28515625" style="434" customWidth="1"/>
    <col min="780" max="1024" width="9.140625" style="434"/>
    <col min="1025" max="1025" width="37.42578125" style="434" customWidth="1"/>
    <col min="1026" max="1027" width="8.28515625" style="434" customWidth="1"/>
    <col min="1028" max="1028" width="2.7109375" style="434" customWidth="1"/>
    <col min="1029" max="1030" width="8.28515625" style="434" customWidth="1"/>
    <col min="1031" max="1031" width="2.85546875" style="434" customWidth="1"/>
    <col min="1032" max="1033" width="9.140625" style="434" customWidth="1"/>
    <col min="1034" max="1034" width="2.42578125" style="434" customWidth="1"/>
    <col min="1035" max="1035" width="4.28515625" style="434" customWidth="1"/>
    <col min="1036" max="1280" width="9.140625" style="434"/>
    <col min="1281" max="1281" width="37.42578125" style="434" customWidth="1"/>
    <col min="1282" max="1283" width="8.28515625" style="434" customWidth="1"/>
    <col min="1284" max="1284" width="2.7109375" style="434" customWidth="1"/>
    <col min="1285" max="1286" width="8.28515625" style="434" customWidth="1"/>
    <col min="1287" max="1287" width="2.85546875" style="434" customWidth="1"/>
    <col min="1288" max="1289" width="9.140625" style="434" customWidth="1"/>
    <col min="1290" max="1290" width="2.42578125" style="434" customWidth="1"/>
    <col min="1291" max="1291" width="4.28515625" style="434" customWidth="1"/>
    <col min="1292" max="1536" width="9.140625" style="434"/>
    <col min="1537" max="1537" width="37.42578125" style="434" customWidth="1"/>
    <col min="1538" max="1539" width="8.28515625" style="434" customWidth="1"/>
    <col min="1540" max="1540" width="2.7109375" style="434" customWidth="1"/>
    <col min="1541" max="1542" width="8.28515625" style="434" customWidth="1"/>
    <col min="1543" max="1543" width="2.85546875" style="434" customWidth="1"/>
    <col min="1544" max="1545" width="9.140625" style="434" customWidth="1"/>
    <col min="1546" max="1546" width="2.42578125" style="434" customWidth="1"/>
    <col min="1547" max="1547" width="4.28515625" style="434" customWidth="1"/>
    <col min="1548" max="1792" width="9.140625" style="434"/>
    <col min="1793" max="1793" width="37.42578125" style="434" customWidth="1"/>
    <col min="1794" max="1795" width="8.28515625" style="434" customWidth="1"/>
    <col min="1796" max="1796" width="2.7109375" style="434" customWidth="1"/>
    <col min="1797" max="1798" width="8.28515625" style="434" customWidth="1"/>
    <col min="1799" max="1799" width="2.85546875" style="434" customWidth="1"/>
    <col min="1800" max="1801" width="9.140625" style="434" customWidth="1"/>
    <col min="1802" max="1802" width="2.42578125" style="434" customWidth="1"/>
    <col min="1803" max="1803" width="4.28515625" style="434" customWidth="1"/>
    <col min="1804" max="2048" width="9.140625" style="434"/>
    <col min="2049" max="2049" width="37.42578125" style="434" customWidth="1"/>
    <col min="2050" max="2051" width="8.28515625" style="434" customWidth="1"/>
    <col min="2052" max="2052" width="2.7109375" style="434" customWidth="1"/>
    <col min="2053" max="2054" width="8.28515625" style="434" customWidth="1"/>
    <col min="2055" max="2055" width="2.85546875" style="434" customWidth="1"/>
    <col min="2056" max="2057" width="9.140625" style="434" customWidth="1"/>
    <col min="2058" max="2058" width="2.42578125" style="434" customWidth="1"/>
    <col min="2059" max="2059" width="4.28515625" style="434" customWidth="1"/>
    <col min="2060" max="2304" width="9.140625" style="434"/>
    <col min="2305" max="2305" width="37.42578125" style="434" customWidth="1"/>
    <col min="2306" max="2307" width="8.28515625" style="434" customWidth="1"/>
    <col min="2308" max="2308" width="2.7109375" style="434" customWidth="1"/>
    <col min="2309" max="2310" width="8.28515625" style="434" customWidth="1"/>
    <col min="2311" max="2311" width="2.85546875" style="434" customWidth="1"/>
    <col min="2312" max="2313" width="9.140625" style="434" customWidth="1"/>
    <col min="2314" max="2314" width="2.42578125" style="434" customWidth="1"/>
    <col min="2315" max="2315" width="4.28515625" style="434" customWidth="1"/>
    <col min="2316" max="2560" width="9.140625" style="434"/>
    <col min="2561" max="2561" width="37.42578125" style="434" customWidth="1"/>
    <col min="2562" max="2563" width="8.28515625" style="434" customWidth="1"/>
    <col min="2564" max="2564" width="2.7109375" style="434" customWidth="1"/>
    <col min="2565" max="2566" width="8.28515625" style="434" customWidth="1"/>
    <col min="2567" max="2567" width="2.85546875" style="434" customWidth="1"/>
    <col min="2568" max="2569" width="9.140625" style="434" customWidth="1"/>
    <col min="2570" max="2570" width="2.42578125" style="434" customWidth="1"/>
    <col min="2571" max="2571" width="4.28515625" style="434" customWidth="1"/>
    <col min="2572" max="2816" width="9.140625" style="434"/>
    <col min="2817" max="2817" width="37.42578125" style="434" customWidth="1"/>
    <col min="2818" max="2819" width="8.28515625" style="434" customWidth="1"/>
    <col min="2820" max="2820" width="2.7109375" style="434" customWidth="1"/>
    <col min="2821" max="2822" width="8.28515625" style="434" customWidth="1"/>
    <col min="2823" max="2823" width="2.85546875" style="434" customWidth="1"/>
    <col min="2824" max="2825" width="9.140625" style="434" customWidth="1"/>
    <col min="2826" max="2826" width="2.42578125" style="434" customWidth="1"/>
    <col min="2827" max="2827" width="4.28515625" style="434" customWidth="1"/>
    <col min="2828" max="3072" width="9.140625" style="434"/>
    <col min="3073" max="3073" width="37.42578125" style="434" customWidth="1"/>
    <col min="3074" max="3075" width="8.28515625" style="434" customWidth="1"/>
    <col min="3076" max="3076" width="2.7109375" style="434" customWidth="1"/>
    <col min="3077" max="3078" width="8.28515625" style="434" customWidth="1"/>
    <col min="3079" max="3079" width="2.85546875" style="434" customWidth="1"/>
    <col min="3080" max="3081" width="9.140625" style="434" customWidth="1"/>
    <col min="3082" max="3082" width="2.42578125" style="434" customWidth="1"/>
    <col min="3083" max="3083" width="4.28515625" style="434" customWidth="1"/>
    <col min="3084" max="3328" width="9.140625" style="434"/>
    <col min="3329" max="3329" width="37.42578125" style="434" customWidth="1"/>
    <col min="3330" max="3331" width="8.28515625" style="434" customWidth="1"/>
    <col min="3332" max="3332" width="2.7109375" style="434" customWidth="1"/>
    <col min="3333" max="3334" width="8.28515625" style="434" customWidth="1"/>
    <col min="3335" max="3335" width="2.85546875" style="434" customWidth="1"/>
    <col min="3336" max="3337" width="9.140625" style="434" customWidth="1"/>
    <col min="3338" max="3338" width="2.42578125" style="434" customWidth="1"/>
    <col min="3339" max="3339" width="4.28515625" style="434" customWidth="1"/>
    <col min="3340" max="3584" width="9.140625" style="434"/>
    <col min="3585" max="3585" width="37.42578125" style="434" customWidth="1"/>
    <col min="3586" max="3587" width="8.28515625" style="434" customWidth="1"/>
    <col min="3588" max="3588" width="2.7109375" style="434" customWidth="1"/>
    <col min="3589" max="3590" width="8.28515625" style="434" customWidth="1"/>
    <col min="3591" max="3591" width="2.85546875" style="434" customWidth="1"/>
    <col min="3592" max="3593" width="9.140625" style="434" customWidth="1"/>
    <col min="3594" max="3594" width="2.42578125" style="434" customWidth="1"/>
    <col min="3595" max="3595" width="4.28515625" style="434" customWidth="1"/>
    <col min="3596" max="3840" width="9.140625" style="434"/>
    <col min="3841" max="3841" width="37.42578125" style="434" customWidth="1"/>
    <col min="3842" max="3843" width="8.28515625" style="434" customWidth="1"/>
    <col min="3844" max="3844" width="2.7109375" style="434" customWidth="1"/>
    <col min="3845" max="3846" width="8.28515625" style="434" customWidth="1"/>
    <col min="3847" max="3847" width="2.85546875" style="434" customWidth="1"/>
    <col min="3848" max="3849" width="9.140625" style="434" customWidth="1"/>
    <col min="3850" max="3850" width="2.42578125" style="434" customWidth="1"/>
    <col min="3851" max="3851" width="4.28515625" style="434" customWidth="1"/>
    <col min="3852" max="4096" width="9.140625" style="434"/>
    <col min="4097" max="4097" width="37.42578125" style="434" customWidth="1"/>
    <col min="4098" max="4099" width="8.28515625" style="434" customWidth="1"/>
    <col min="4100" max="4100" width="2.7109375" style="434" customWidth="1"/>
    <col min="4101" max="4102" width="8.28515625" style="434" customWidth="1"/>
    <col min="4103" max="4103" width="2.85546875" style="434" customWidth="1"/>
    <col min="4104" max="4105" width="9.140625" style="434" customWidth="1"/>
    <col min="4106" max="4106" width="2.42578125" style="434" customWidth="1"/>
    <col min="4107" max="4107" width="4.28515625" style="434" customWidth="1"/>
    <col min="4108" max="4352" width="9.140625" style="434"/>
    <col min="4353" max="4353" width="37.42578125" style="434" customWidth="1"/>
    <col min="4354" max="4355" width="8.28515625" style="434" customWidth="1"/>
    <col min="4356" max="4356" width="2.7109375" style="434" customWidth="1"/>
    <col min="4357" max="4358" width="8.28515625" style="434" customWidth="1"/>
    <col min="4359" max="4359" width="2.85546875" style="434" customWidth="1"/>
    <col min="4360" max="4361" width="9.140625" style="434" customWidth="1"/>
    <col min="4362" max="4362" width="2.42578125" style="434" customWidth="1"/>
    <col min="4363" max="4363" width="4.28515625" style="434" customWidth="1"/>
    <col min="4364" max="4608" width="9.140625" style="434"/>
    <col min="4609" max="4609" width="37.42578125" style="434" customWidth="1"/>
    <col min="4610" max="4611" width="8.28515625" style="434" customWidth="1"/>
    <col min="4612" max="4612" width="2.7109375" style="434" customWidth="1"/>
    <col min="4613" max="4614" width="8.28515625" style="434" customWidth="1"/>
    <col min="4615" max="4615" width="2.85546875" style="434" customWidth="1"/>
    <col min="4616" max="4617" width="9.140625" style="434" customWidth="1"/>
    <col min="4618" max="4618" width="2.42578125" style="434" customWidth="1"/>
    <col min="4619" max="4619" width="4.28515625" style="434" customWidth="1"/>
    <col min="4620" max="4864" width="9.140625" style="434"/>
    <col min="4865" max="4865" width="37.42578125" style="434" customWidth="1"/>
    <col min="4866" max="4867" width="8.28515625" style="434" customWidth="1"/>
    <col min="4868" max="4868" width="2.7109375" style="434" customWidth="1"/>
    <col min="4869" max="4870" width="8.28515625" style="434" customWidth="1"/>
    <col min="4871" max="4871" width="2.85546875" style="434" customWidth="1"/>
    <col min="4872" max="4873" width="9.140625" style="434" customWidth="1"/>
    <col min="4874" max="4874" width="2.42578125" style="434" customWidth="1"/>
    <col min="4875" max="4875" width="4.28515625" style="434" customWidth="1"/>
    <col min="4876" max="5120" width="9.140625" style="434"/>
    <col min="5121" max="5121" width="37.42578125" style="434" customWidth="1"/>
    <col min="5122" max="5123" width="8.28515625" style="434" customWidth="1"/>
    <col min="5124" max="5124" width="2.7109375" style="434" customWidth="1"/>
    <col min="5125" max="5126" width="8.28515625" style="434" customWidth="1"/>
    <col min="5127" max="5127" width="2.85546875" style="434" customWidth="1"/>
    <col min="5128" max="5129" width="9.140625" style="434" customWidth="1"/>
    <col min="5130" max="5130" width="2.42578125" style="434" customWidth="1"/>
    <col min="5131" max="5131" width="4.28515625" style="434" customWidth="1"/>
    <col min="5132" max="5376" width="9.140625" style="434"/>
    <col min="5377" max="5377" width="37.42578125" style="434" customWidth="1"/>
    <col min="5378" max="5379" width="8.28515625" style="434" customWidth="1"/>
    <col min="5380" max="5380" width="2.7109375" style="434" customWidth="1"/>
    <col min="5381" max="5382" width="8.28515625" style="434" customWidth="1"/>
    <col min="5383" max="5383" width="2.85546875" style="434" customWidth="1"/>
    <col min="5384" max="5385" width="9.140625" style="434" customWidth="1"/>
    <col min="5386" max="5386" width="2.42578125" style="434" customWidth="1"/>
    <col min="5387" max="5387" width="4.28515625" style="434" customWidth="1"/>
    <col min="5388" max="5632" width="9.140625" style="434"/>
    <col min="5633" max="5633" width="37.42578125" style="434" customWidth="1"/>
    <col min="5634" max="5635" width="8.28515625" style="434" customWidth="1"/>
    <col min="5636" max="5636" width="2.7109375" style="434" customWidth="1"/>
    <col min="5637" max="5638" width="8.28515625" style="434" customWidth="1"/>
    <col min="5639" max="5639" width="2.85546875" style="434" customWidth="1"/>
    <col min="5640" max="5641" width="9.140625" style="434" customWidth="1"/>
    <col min="5642" max="5642" width="2.42578125" style="434" customWidth="1"/>
    <col min="5643" max="5643" width="4.28515625" style="434" customWidth="1"/>
    <col min="5644" max="5888" width="9.140625" style="434"/>
    <col min="5889" max="5889" width="37.42578125" style="434" customWidth="1"/>
    <col min="5890" max="5891" width="8.28515625" style="434" customWidth="1"/>
    <col min="5892" max="5892" width="2.7109375" style="434" customWidth="1"/>
    <col min="5893" max="5894" width="8.28515625" style="434" customWidth="1"/>
    <col min="5895" max="5895" width="2.85546875" style="434" customWidth="1"/>
    <col min="5896" max="5897" width="9.140625" style="434" customWidth="1"/>
    <col min="5898" max="5898" width="2.42578125" style="434" customWidth="1"/>
    <col min="5899" max="5899" width="4.28515625" style="434" customWidth="1"/>
    <col min="5900" max="6144" width="9.140625" style="434"/>
    <col min="6145" max="6145" width="37.42578125" style="434" customWidth="1"/>
    <col min="6146" max="6147" width="8.28515625" style="434" customWidth="1"/>
    <col min="6148" max="6148" width="2.7109375" style="434" customWidth="1"/>
    <col min="6149" max="6150" width="8.28515625" style="434" customWidth="1"/>
    <col min="6151" max="6151" width="2.85546875" style="434" customWidth="1"/>
    <col min="6152" max="6153" width="9.140625" style="434" customWidth="1"/>
    <col min="6154" max="6154" width="2.42578125" style="434" customWidth="1"/>
    <col min="6155" max="6155" width="4.28515625" style="434" customWidth="1"/>
    <col min="6156" max="6400" width="9.140625" style="434"/>
    <col min="6401" max="6401" width="37.42578125" style="434" customWidth="1"/>
    <col min="6402" max="6403" width="8.28515625" style="434" customWidth="1"/>
    <col min="6404" max="6404" width="2.7109375" style="434" customWidth="1"/>
    <col min="6405" max="6406" width="8.28515625" style="434" customWidth="1"/>
    <col min="6407" max="6407" width="2.85546875" style="434" customWidth="1"/>
    <col min="6408" max="6409" width="9.140625" style="434" customWidth="1"/>
    <col min="6410" max="6410" width="2.42578125" style="434" customWidth="1"/>
    <col min="6411" max="6411" width="4.28515625" style="434" customWidth="1"/>
    <col min="6412" max="6656" width="9.140625" style="434"/>
    <col min="6657" max="6657" width="37.42578125" style="434" customWidth="1"/>
    <col min="6658" max="6659" width="8.28515625" style="434" customWidth="1"/>
    <col min="6660" max="6660" width="2.7109375" style="434" customWidth="1"/>
    <col min="6661" max="6662" width="8.28515625" style="434" customWidth="1"/>
    <col min="6663" max="6663" width="2.85546875" style="434" customWidth="1"/>
    <col min="6664" max="6665" width="9.140625" style="434" customWidth="1"/>
    <col min="6666" max="6666" width="2.42578125" style="434" customWidth="1"/>
    <col min="6667" max="6667" width="4.28515625" style="434" customWidth="1"/>
    <col min="6668" max="6912" width="9.140625" style="434"/>
    <col min="6913" max="6913" width="37.42578125" style="434" customWidth="1"/>
    <col min="6914" max="6915" width="8.28515625" style="434" customWidth="1"/>
    <col min="6916" max="6916" width="2.7109375" style="434" customWidth="1"/>
    <col min="6917" max="6918" width="8.28515625" style="434" customWidth="1"/>
    <col min="6919" max="6919" width="2.85546875" style="434" customWidth="1"/>
    <col min="6920" max="6921" width="9.140625" style="434" customWidth="1"/>
    <col min="6922" max="6922" width="2.42578125" style="434" customWidth="1"/>
    <col min="6923" max="6923" width="4.28515625" style="434" customWidth="1"/>
    <col min="6924" max="7168" width="9.140625" style="434"/>
    <col min="7169" max="7169" width="37.42578125" style="434" customWidth="1"/>
    <col min="7170" max="7171" width="8.28515625" style="434" customWidth="1"/>
    <col min="7172" max="7172" width="2.7109375" style="434" customWidth="1"/>
    <col min="7173" max="7174" width="8.28515625" style="434" customWidth="1"/>
    <col min="7175" max="7175" width="2.85546875" style="434" customWidth="1"/>
    <col min="7176" max="7177" width="9.140625" style="434" customWidth="1"/>
    <col min="7178" max="7178" width="2.42578125" style="434" customWidth="1"/>
    <col min="7179" max="7179" width="4.28515625" style="434" customWidth="1"/>
    <col min="7180" max="7424" width="9.140625" style="434"/>
    <col min="7425" max="7425" width="37.42578125" style="434" customWidth="1"/>
    <col min="7426" max="7427" width="8.28515625" style="434" customWidth="1"/>
    <col min="7428" max="7428" width="2.7109375" style="434" customWidth="1"/>
    <col min="7429" max="7430" width="8.28515625" style="434" customWidth="1"/>
    <col min="7431" max="7431" width="2.85546875" style="434" customWidth="1"/>
    <col min="7432" max="7433" width="9.140625" style="434" customWidth="1"/>
    <col min="7434" max="7434" width="2.42578125" style="434" customWidth="1"/>
    <col min="7435" max="7435" width="4.28515625" style="434" customWidth="1"/>
    <col min="7436" max="7680" width="9.140625" style="434"/>
    <col min="7681" max="7681" width="37.42578125" style="434" customWidth="1"/>
    <col min="7682" max="7683" width="8.28515625" style="434" customWidth="1"/>
    <col min="7684" max="7684" width="2.7109375" style="434" customWidth="1"/>
    <col min="7685" max="7686" width="8.28515625" style="434" customWidth="1"/>
    <col min="7687" max="7687" width="2.85546875" style="434" customWidth="1"/>
    <col min="7688" max="7689" width="9.140625" style="434" customWidth="1"/>
    <col min="7690" max="7690" width="2.42578125" style="434" customWidth="1"/>
    <col min="7691" max="7691" width="4.28515625" style="434" customWidth="1"/>
    <col min="7692" max="7936" width="9.140625" style="434"/>
    <col min="7937" max="7937" width="37.42578125" style="434" customWidth="1"/>
    <col min="7938" max="7939" width="8.28515625" style="434" customWidth="1"/>
    <col min="7940" max="7940" width="2.7109375" style="434" customWidth="1"/>
    <col min="7941" max="7942" width="8.28515625" style="434" customWidth="1"/>
    <col min="7943" max="7943" width="2.85546875" style="434" customWidth="1"/>
    <col min="7944" max="7945" width="9.140625" style="434" customWidth="1"/>
    <col min="7946" max="7946" width="2.42578125" style="434" customWidth="1"/>
    <col min="7947" max="7947" width="4.28515625" style="434" customWidth="1"/>
    <col min="7948" max="8192" width="9.140625" style="434"/>
    <col min="8193" max="8193" width="37.42578125" style="434" customWidth="1"/>
    <col min="8194" max="8195" width="8.28515625" style="434" customWidth="1"/>
    <col min="8196" max="8196" width="2.7109375" style="434" customWidth="1"/>
    <col min="8197" max="8198" width="8.28515625" style="434" customWidth="1"/>
    <col min="8199" max="8199" width="2.85546875" style="434" customWidth="1"/>
    <col min="8200" max="8201" width="9.140625" style="434" customWidth="1"/>
    <col min="8202" max="8202" width="2.42578125" style="434" customWidth="1"/>
    <col min="8203" max="8203" width="4.28515625" style="434" customWidth="1"/>
    <col min="8204" max="8448" width="9.140625" style="434"/>
    <col min="8449" max="8449" width="37.42578125" style="434" customWidth="1"/>
    <col min="8450" max="8451" width="8.28515625" style="434" customWidth="1"/>
    <col min="8452" max="8452" width="2.7109375" style="434" customWidth="1"/>
    <col min="8453" max="8454" width="8.28515625" style="434" customWidth="1"/>
    <col min="8455" max="8455" width="2.85546875" style="434" customWidth="1"/>
    <col min="8456" max="8457" width="9.140625" style="434" customWidth="1"/>
    <col min="8458" max="8458" width="2.42578125" style="434" customWidth="1"/>
    <col min="8459" max="8459" width="4.28515625" style="434" customWidth="1"/>
    <col min="8460" max="8704" width="9.140625" style="434"/>
    <col min="8705" max="8705" width="37.42578125" style="434" customWidth="1"/>
    <col min="8706" max="8707" width="8.28515625" style="434" customWidth="1"/>
    <col min="8708" max="8708" width="2.7109375" style="434" customWidth="1"/>
    <col min="8709" max="8710" width="8.28515625" style="434" customWidth="1"/>
    <col min="8711" max="8711" width="2.85546875" style="434" customWidth="1"/>
    <col min="8712" max="8713" width="9.140625" style="434" customWidth="1"/>
    <col min="8714" max="8714" width="2.42578125" style="434" customWidth="1"/>
    <col min="8715" max="8715" width="4.28515625" style="434" customWidth="1"/>
    <col min="8716" max="8960" width="9.140625" style="434"/>
    <col min="8961" max="8961" width="37.42578125" style="434" customWidth="1"/>
    <col min="8962" max="8963" width="8.28515625" style="434" customWidth="1"/>
    <col min="8964" max="8964" width="2.7109375" style="434" customWidth="1"/>
    <col min="8965" max="8966" width="8.28515625" style="434" customWidth="1"/>
    <col min="8967" max="8967" width="2.85546875" style="434" customWidth="1"/>
    <col min="8968" max="8969" width="9.140625" style="434" customWidth="1"/>
    <col min="8970" max="8970" width="2.42578125" style="434" customWidth="1"/>
    <col min="8971" max="8971" width="4.28515625" style="434" customWidth="1"/>
    <col min="8972" max="9216" width="9.140625" style="434"/>
    <col min="9217" max="9217" width="37.42578125" style="434" customWidth="1"/>
    <col min="9218" max="9219" width="8.28515625" style="434" customWidth="1"/>
    <col min="9220" max="9220" width="2.7109375" style="434" customWidth="1"/>
    <col min="9221" max="9222" width="8.28515625" style="434" customWidth="1"/>
    <col min="9223" max="9223" width="2.85546875" style="434" customWidth="1"/>
    <col min="9224" max="9225" width="9.140625" style="434" customWidth="1"/>
    <col min="9226" max="9226" width="2.42578125" style="434" customWidth="1"/>
    <col min="9227" max="9227" width="4.28515625" style="434" customWidth="1"/>
    <col min="9228" max="9472" width="9.140625" style="434"/>
    <col min="9473" max="9473" width="37.42578125" style="434" customWidth="1"/>
    <col min="9474" max="9475" width="8.28515625" style="434" customWidth="1"/>
    <col min="9476" max="9476" width="2.7109375" style="434" customWidth="1"/>
    <col min="9477" max="9478" width="8.28515625" style="434" customWidth="1"/>
    <col min="9479" max="9479" width="2.85546875" style="434" customWidth="1"/>
    <col min="9480" max="9481" width="9.140625" style="434" customWidth="1"/>
    <col min="9482" max="9482" width="2.42578125" style="434" customWidth="1"/>
    <col min="9483" max="9483" width="4.28515625" style="434" customWidth="1"/>
    <col min="9484" max="9728" width="9.140625" style="434"/>
    <col min="9729" max="9729" width="37.42578125" style="434" customWidth="1"/>
    <col min="9730" max="9731" width="8.28515625" style="434" customWidth="1"/>
    <col min="9732" max="9732" width="2.7109375" style="434" customWidth="1"/>
    <col min="9733" max="9734" width="8.28515625" style="434" customWidth="1"/>
    <col min="9735" max="9735" width="2.85546875" style="434" customWidth="1"/>
    <col min="9736" max="9737" width="9.140625" style="434" customWidth="1"/>
    <col min="9738" max="9738" width="2.42578125" style="434" customWidth="1"/>
    <col min="9739" max="9739" width="4.28515625" style="434" customWidth="1"/>
    <col min="9740" max="9984" width="9.140625" style="434"/>
    <col min="9985" max="9985" width="37.42578125" style="434" customWidth="1"/>
    <col min="9986" max="9987" width="8.28515625" style="434" customWidth="1"/>
    <col min="9988" max="9988" width="2.7109375" style="434" customWidth="1"/>
    <col min="9989" max="9990" width="8.28515625" style="434" customWidth="1"/>
    <col min="9991" max="9991" width="2.85546875" style="434" customWidth="1"/>
    <col min="9992" max="9993" width="9.140625" style="434" customWidth="1"/>
    <col min="9994" max="9994" width="2.42578125" style="434" customWidth="1"/>
    <col min="9995" max="9995" width="4.28515625" style="434" customWidth="1"/>
    <col min="9996" max="10240" width="9.140625" style="434"/>
    <col min="10241" max="10241" width="37.42578125" style="434" customWidth="1"/>
    <col min="10242" max="10243" width="8.28515625" style="434" customWidth="1"/>
    <col min="10244" max="10244" width="2.7109375" style="434" customWidth="1"/>
    <col min="10245" max="10246" width="8.28515625" style="434" customWidth="1"/>
    <col min="10247" max="10247" width="2.85546875" style="434" customWidth="1"/>
    <col min="10248" max="10249" width="9.140625" style="434" customWidth="1"/>
    <col min="10250" max="10250" width="2.42578125" style="434" customWidth="1"/>
    <col min="10251" max="10251" width="4.28515625" style="434" customWidth="1"/>
    <col min="10252" max="10496" width="9.140625" style="434"/>
    <col min="10497" max="10497" width="37.42578125" style="434" customWidth="1"/>
    <col min="10498" max="10499" width="8.28515625" style="434" customWidth="1"/>
    <col min="10500" max="10500" width="2.7109375" style="434" customWidth="1"/>
    <col min="10501" max="10502" width="8.28515625" style="434" customWidth="1"/>
    <col min="10503" max="10503" width="2.85546875" style="434" customWidth="1"/>
    <col min="10504" max="10505" width="9.140625" style="434" customWidth="1"/>
    <col min="10506" max="10506" width="2.42578125" style="434" customWidth="1"/>
    <col min="10507" max="10507" width="4.28515625" style="434" customWidth="1"/>
    <col min="10508" max="10752" width="9.140625" style="434"/>
    <col min="10753" max="10753" width="37.42578125" style="434" customWidth="1"/>
    <col min="10754" max="10755" width="8.28515625" style="434" customWidth="1"/>
    <col min="10756" max="10756" width="2.7109375" style="434" customWidth="1"/>
    <col min="10757" max="10758" width="8.28515625" style="434" customWidth="1"/>
    <col min="10759" max="10759" width="2.85546875" style="434" customWidth="1"/>
    <col min="10760" max="10761" width="9.140625" style="434" customWidth="1"/>
    <col min="10762" max="10762" width="2.42578125" style="434" customWidth="1"/>
    <col min="10763" max="10763" width="4.28515625" style="434" customWidth="1"/>
    <col min="10764" max="11008" width="9.140625" style="434"/>
    <col min="11009" max="11009" width="37.42578125" style="434" customWidth="1"/>
    <col min="11010" max="11011" width="8.28515625" style="434" customWidth="1"/>
    <col min="11012" max="11012" width="2.7109375" style="434" customWidth="1"/>
    <col min="11013" max="11014" width="8.28515625" style="434" customWidth="1"/>
    <col min="11015" max="11015" width="2.85546875" style="434" customWidth="1"/>
    <col min="11016" max="11017" width="9.140625" style="434" customWidth="1"/>
    <col min="11018" max="11018" width="2.42578125" style="434" customWidth="1"/>
    <col min="11019" max="11019" width="4.28515625" style="434" customWidth="1"/>
    <col min="11020" max="11264" width="9.140625" style="434"/>
    <col min="11265" max="11265" width="37.42578125" style="434" customWidth="1"/>
    <col min="11266" max="11267" width="8.28515625" style="434" customWidth="1"/>
    <col min="11268" max="11268" width="2.7109375" style="434" customWidth="1"/>
    <col min="11269" max="11270" width="8.28515625" style="434" customWidth="1"/>
    <col min="11271" max="11271" width="2.85546875" style="434" customWidth="1"/>
    <col min="11272" max="11273" width="9.140625" style="434" customWidth="1"/>
    <col min="11274" max="11274" width="2.42578125" style="434" customWidth="1"/>
    <col min="11275" max="11275" width="4.28515625" style="434" customWidth="1"/>
    <col min="11276" max="11520" width="9.140625" style="434"/>
    <col min="11521" max="11521" width="37.42578125" style="434" customWidth="1"/>
    <col min="11522" max="11523" width="8.28515625" style="434" customWidth="1"/>
    <col min="11524" max="11524" width="2.7109375" style="434" customWidth="1"/>
    <col min="11525" max="11526" width="8.28515625" style="434" customWidth="1"/>
    <col min="11527" max="11527" width="2.85546875" style="434" customWidth="1"/>
    <col min="11528" max="11529" width="9.140625" style="434" customWidth="1"/>
    <col min="11530" max="11530" width="2.42578125" style="434" customWidth="1"/>
    <col min="11531" max="11531" width="4.28515625" style="434" customWidth="1"/>
    <col min="11532" max="11776" width="9.140625" style="434"/>
    <col min="11777" max="11777" width="37.42578125" style="434" customWidth="1"/>
    <col min="11778" max="11779" width="8.28515625" style="434" customWidth="1"/>
    <col min="11780" max="11780" width="2.7109375" style="434" customWidth="1"/>
    <col min="11781" max="11782" width="8.28515625" style="434" customWidth="1"/>
    <col min="11783" max="11783" width="2.85546875" style="434" customWidth="1"/>
    <col min="11784" max="11785" width="9.140625" style="434" customWidth="1"/>
    <col min="11786" max="11786" width="2.42578125" style="434" customWidth="1"/>
    <col min="11787" max="11787" width="4.28515625" style="434" customWidth="1"/>
    <col min="11788" max="12032" width="9.140625" style="434"/>
    <col min="12033" max="12033" width="37.42578125" style="434" customWidth="1"/>
    <col min="12034" max="12035" width="8.28515625" style="434" customWidth="1"/>
    <col min="12036" max="12036" width="2.7109375" style="434" customWidth="1"/>
    <col min="12037" max="12038" width="8.28515625" style="434" customWidth="1"/>
    <col min="12039" max="12039" width="2.85546875" style="434" customWidth="1"/>
    <col min="12040" max="12041" width="9.140625" style="434" customWidth="1"/>
    <col min="12042" max="12042" width="2.42578125" style="434" customWidth="1"/>
    <col min="12043" max="12043" width="4.28515625" style="434" customWidth="1"/>
    <col min="12044" max="12288" width="9.140625" style="434"/>
    <col min="12289" max="12289" width="37.42578125" style="434" customWidth="1"/>
    <col min="12290" max="12291" width="8.28515625" style="434" customWidth="1"/>
    <col min="12292" max="12292" width="2.7109375" style="434" customWidth="1"/>
    <col min="12293" max="12294" width="8.28515625" style="434" customWidth="1"/>
    <col min="12295" max="12295" width="2.85546875" style="434" customWidth="1"/>
    <col min="12296" max="12297" width="9.140625" style="434" customWidth="1"/>
    <col min="12298" max="12298" width="2.42578125" style="434" customWidth="1"/>
    <col min="12299" max="12299" width="4.28515625" style="434" customWidth="1"/>
    <col min="12300" max="12544" width="9.140625" style="434"/>
    <col min="12545" max="12545" width="37.42578125" style="434" customWidth="1"/>
    <col min="12546" max="12547" width="8.28515625" style="434" customWidth="1"/>
    <col min="12548" max="12548" width="2.7109375" style="434" customWidth="1"/>
    <col min="12549" max="12550" width="8.28515625" style="434" customWidth="1"/>
    <col min="12551" max="12551" width="2.85546875" style="434" customWidth="1"/>
    <col min="12552" max="12553" width="9.140625" style="434" customWidth="1"/>
    <col min="12554" max="12554" width="2.42578125" style="434" customWidth="1"/>
    <col min="12555" max="12555" width="4.28515625" style="434" customWidth="1"/>
    <col min="12556" max="12800" width="9.140625" style="434"/>
    <col min="12801" max="12801" width="37.42578125" style="434" customWidth="1"/>
    <col min="12802" max="12803" width="8.28515625" style="434" customWidth="1"/>
    <col min="12804" max="12804" width="2.7109375" style="434" customWidth="1"/>
    <col min="12805" max="12806" width="8.28515625" style="434" customWidth="1"/>
    <col min="12807" max="12807" width="2.85546875" style="434" customWidth="1"/>
    <col min="12808" max="12809" width="9.140625" style="434" customWidth="1"/>
    <col min="12810" max="12810" width="2.42578125" style="434" customWidth="1"/>
    <col min="12811" max="12811" width="4.28515625" style="434" customWidth="1"/>
    <col min="12812" max="13056" width="9.140625" style="434"/>
    <col min="13057" max="13057" width="37.42578125" style="434" customWidth="1"/>
    <col min="13058" max="13059" width="8.28515625" style="434" customWidth="1"/>
    <col min="13060" max="13060" width="2.7109375" style="434" customWidth="1"/>
    <col min="13061" max="13062" width="8.28515625" style="434" customWidth="1"/>
    <col min="13063" max="13063" width="2.85546875" style="434" customWidth="1"/>
    <col min="13064" max="13065" width="9.140625" style="434" customWidth="1"/>
    <col min="13066" max="13066" width="2.42578125" style="434" customWidth="1"/>
    <col min="13067" max="13067" width="4.28515625" style="434" customWidth="1"/>
    <col min="13068" max="13312" width="9.140625" style="434"/>
    <col min="13313" max="13313" width="37.42578125" style="434" customWidth="1"/>
    <col min="13314" max="13315" width="8.28515625" style="434" customWidth="1"/>
    <col min="13316" max="13316" width="2.7109375" style="434" customWidth="1"/>
    <col min="13317" max="13318" width="8.28515625" style="434" customWidth="1"/>
    <col min="13319" max="13319" width="2.85546875" style="434" customWidth="1"/>
    <col min="13320" max="13321" width="9.140625" style="434" customWidth="1"/>
    <col min="13322" max="13322" width="2.42578125" style="434" customWidth="1"/>
    <col min="13323" max="13323" width="4.28515625" style="434" customWidth="1"/>
    <col min="13324" max="13568" width="9.140625" style="434"/>
    <col min="13569" max="13569" width="37.42578125" style="434" customWidth="1"/>
    <col min="13570" max="13571" width="8.28515625" style="434" customWidth="1"/>
    <col min="13572" max="13572" width="2.7109375" style="434" customWidth="1"/>
    <col min="13573" max="13574" width="8.28515625" style="434" customWidth="1"/>
    <col min="13575" max="13575" width="2.85546875" style="434" customWidth="1"/>
    <col min="13576" max="13577" width="9.140625" style="434" customWidth="1"/>
    <col min="13578" max="13578" width="2.42578125" style="434" customWidth="1"/>
    <col min="13579" max="13579" width="4.28515625" style="434" customWidth="1"/>
    <col min="13580" max="13824" width="9.140625" style="434"/>
    <col min="13825" max="13825" width="37.42578125" style="434" customWidth="1"/>
    <col min="13826" max="13827" width="8.28515625" style="434" customWidth="1"/>
    <col min="13828" max="13828" width="2.7109375" style="434" customWidth="1"/>
    <col min="13829" max="13830" width="8.28515625" style="434" customWidth="1"/>
    <col min="13831" max="13831" width="2.85546875" style="434" customWidth="1"/>
    <col min="13832" max="13833" width="9.140625" style="434" customWidth="1"/>
    <col min="13834" max="13834" width="2.42578125" style="434" customWidth="1"/>
    <col min="13835" max="13835" width="4.28515625" style="434" customWidth="1"/>
    <col min="13836" max="14080" width="9.140625" style="434"/>
    <col min="14081" max="14081" width="37.42578125" style="434" customWidth="1"/>
    <col min="14082" max="14083" width="8.28515625" style="434" customWidth="1"/>
    <col min="14084" max="14084" width="2.7109375" style="434" customWidth="1"/>
    <col min="14085" max="14086" width="8.28515625" style="434" customWidth="1"/>
    <col min="14087" max="14087" width="2.85546875" style="434" customWidth="1"/>
    <col min="14088" max="14089" width="9.140625" style="434" customWidth="1"/>
    <col min="14090" max="14090" width="2.42578125" style="434" customWidth="1"/>
    <col min="14091" max="14091" width="4.28515625" style="434" customWidth="1"/>
    <col min="14092" max="14336" width="9.140625" style="434"/>
    <col min="14337" max="14337" width="37.42578125" style="434" customWidth="1"/>
    <col min="14338" max="14339" width="8.28515625" style="434" customWidth="1"/>
    <col min="14340" max="14340" width="2.7109375" style="434" customWidth="1"/>
    <col min="14341" max="14342" width="8.28515625" style="434" customWidth="1"/>
    <col min="14343" max="14343" width="2.85546875" style="434" customWidth="1"/>
    <col min="14344" max="14345" width="9.140625" style="434" customWidth="1"/>
    <col min="14346" max="14346" width="2.42578125" style="434" customWidth="1"/>
    <col min="14347" max="14347" width="4.28515625" style="434" customWidth="1"/>
    <col min="14348" max="14592" width="9.140625" style="434"/>
    <col min="14593" max="14593" width="37.42578125" style="434" customWidth="1"/>
    <col min="14594" max="14595" width="8.28515625" style="434" customWidth="1"/>
    <col min="14596" max="14596" width="2.7109375" style="434" customWidth="1"/>
    <col min="14597" max="14598" width="8.28515625" style="434" customWidth="1"/>
    <col min="14599" max="14599" width="2.85546875" style="434" customWidth="1"/>
    <col min="14600" max="14601" width="9.140625" style="434" customWidth="1"/>
    <col min="14602" max="14602" width="2.42578125" style="434" customWidth="1"/>
    <col min="14603" max="14603" width="4.28515625" style="434" customWidth="1"/>
    <col min="14604" max="14848" width="9.140625" style="434"/>
    <col min="14849" max="14849" width="37.42578125" style="434" customWidth="1"/>
    <col min="14850" max="14851" width="8.28515625" style="434" customWidth="1"/>
    <col min="14852" max="14852" width="2.7109375" style="434" customWidth="1"/>
    <col min="14853" max="14854" width="8.28515625" style="434" customWidth="1"/>
    <col min="14855" max="14855" width="2.85546875" style="434" customWidth="1"/>
    <col min="14856" max="14857" width="9.140625" style="434" customWidth="1"/>
    <col min="14858" max="14858" width="2.42578125" style="434" customWidth="1"/>
    <col min="14859" max="14859" width="4.28515625" style="434" customWidth="1"/>
    <col min="14860" max="15104" width="9.140625" style="434"/>
    <col min="15105" max="15105" width="37.42578125" style="434" customWidth="1"/>
    <col min="15106" max="15107" width="8.28515625" style="434" customWidth="1"/>
    <col min="15108" max="15108" width="2.7109375" style="434" customWidth="1"/>
    <col min="15109" max="15110" width="8.28515625" style="434" customWidth="1"/>
    <col min="15111" max="15111" width="2.85546875" style="434" customWidth="1"/>
    <col min="15112" max="15113" width="9.140625" style="434" customWidth="1"/>
    <col min="15114" max="15114" width="2.42578125" style="434" customWidth="1"/>
    <col min="15115" max="15115" width="4.28515625" style="434" customWidth="1"/>
    <col min="15116" max="15360" width="9.140625" style="434"/>
    <col min="15361" max="15361" width="37.42578125" style="434" customWidth="1"/>
    <col min="15362" max="15363" width="8.28515625" style="434" customWidth="1"/>
    <col min="15364" max="15364" width="2.7109375" style="434" customWidth="1"/>
    <col min="15365" max="15366" width="8.28515625" style="434" customWidth="1"/>
    <col min="15367" max="15367" width="2.85546875" style="434" customWidth="1"/>
    <col min="15368" max="15369" width="9.140625" style="434" customWidth="1"/>
    <col min="15370" max="15370" width="2.42578125" style="434" customWidth="1"/>
    <col min="15371" max="15371" width="4.28515625" style="434" customWidth="1"/>
    <col min="15372" max="15616" width="9.140625" style="434"/>
    <col min="15617" max="15617" width="37.42578125" style="434" customWidth="1"/>
    <col min="15618" max="15619" width="8.28515625" style="434" customWidth="1"/>
    <col min="15620" max="15620" width="2.7109375" style="434" customWidth="1"/>
    <col min="15621" max="15622" width="8.28515625" style="434" customWidth="1"/>
    <col min="15623" max="15623" width="2.85546875" style="434" customWidth="1"/>
    <col min="15624" max="15625" width="9.140625" style="434" customWidth="1"/>
    <col min="15626" max="15626" width="2.42578125" style="434" customWidth="1"/>
    <col min="15627" max="15627" width="4.28515625" style="434" customWidth="1"/>
    <col min="15628" max="15872" width="9.140625" style="434"/>
    <col min="15873" max="15873" width="37.42578125" style="434" customWidth="1"/>
    <col min="15874" max="15875" width="8.28515625" style="434" customWidth="1"/>
    <col min="15876" max="15876" width="2.7109375" style="434" customWidth="1"/>
    <col min="15877" max="15878" width="8.28515625" style="434" customWidth="1"/>
    <col min="15879" max="15879" width="2.85546875" style="434" customWidth="1"/>
    <col min="15880" max="15881" width="9.140625" style="434" customWidth="1"/>
    <col min="15882" max="15882" width="2.42578125" style="434" customWidth="1"/>
    <col min="15883" max="15883" width="4.28515625" style="434" customWidth="1"/>
    <col min="15884" max="16128" width="9.140625" style="434"/>
    <col min="16129" max="16129" width="37.42578125" style="434" customWidth="1"/>
    <col min="16130" max="16131" width="8.28515625" style="434" customWidth="1"/>
    <col min="16132" max="16132" width="2.7109375" style="434" customWidth="1"/>
    <col min="16133" max="16134" width="8.28515625" style="434" customWidth="1"/>
    <col min="16135" max="16135" width="2.85546875" style="434" customWidth="1"/>
    <col min="16136" max="16137" width="9.140625" style="434" customWidth="1"/>
    <col min="16138" max="16138" width="2.42578125" style="434" customWidth="1"/>
    <col min="16139" max="16139" width="4.28515625" style="434" customWidth="1"/>
    <col min="16140" max="16384" width="9.140625" style="434"/>
  </cols>
  <sheetData>
    <row r="1" spans="1:11">
      <c r="A1" s="42" t="s">
        <v>496</v>
      </c>
      <c r="B1" s="670"/>
      <c r="C1" s="671"/>
      <c r="D1" s="39"/>
      <c r="F1" s="671"/>
    </row>
    <row r="2" spans="1:11">
      <c r="A2" s="42" t="s">
        <v>497</v>
      </c>
      <c r="B2" s="670"/>
      <c r="C2" s="671"/>
      <c r="D2" s="39"/>
      <c r="F2" s="671"/>
    </row>
    <row r="3" spans="1:11" ht="9.75" customHeight="1">
      <c r="A3" s="42"/>
      <c r="B3" s="670"/>
      <c r="C3" s="671"/>
      <c r="D3" s="39"/>
      <c r="F3" s="671"/>
    </row>
    <row r="4" spans="1:11">
      <c r="A4" s="42" t="s">
        <v>1760</v>
      </c>
      <c r="B4" s="670"/>
      <c r="C4" s="671"/>
      <c r="D4" s="39"/>
      <c r="F4" s="671"/>
    </row>
    <row r="5" spans="1:11" ht="10.5" customHeight="1" thickBot="1">
      <c r="A5" s="42"/>
      <c r="B5" s="670"/>
      <c r="C5" s="671"/>
      <c r="D5" s="39"/>
      <c r="F5" s="671"/>
    </row>
    <row r="6" spans="1:11" ht="12.75" customHeight="1">
      <c r="A6" s="237"/>
      <c r="B6" s="675"/>
      <c r="C6" s="676"/>
      <c r="D6" s="674"/>
      <c r="E6" s="675"/>
      <c r="F6" s="676"/>
      <c r="G6" s="676"/>
      <c r="H6" s="1061"/>
      <c r="I6" s="1061"/>
      <c r="J6" s="1061"/>
    </row>
    <row r="7" spans="1:11" ht="15" customHeight="1">
      <c r="A7" s="95" t="s">
        <v>925</v>
      </c>
      <c r="B7" s="845" t="s">
        <v>1761</v>
      </c>
      <c r="C7" s="241"/>
      <c r="D7" s="846"/>
      <c r="E7" s="1268" t="s">
        <v>1755</v>
      </c>
      <c r="F7" s="1268"/>
      <c r="H7" s="1328" t="s">
        <v>1762</v>
      </c>
      <c r="I7" s="1328"/>
    </row>
    <row r="8" spans="1:11" ht="15" customHeight="1">
      <c r="A8" s="42" t="s">
        <v>1758</v>
      </c>
      <c r="B8" s="246" t="s">
        <v>323</v>
      </c>
      <c r="C8" s="244" t="s">
        <v>324</v>
      </c>
      <c r="D8" s="846"/>
      <c r="E8" s="246" t="s">
        <v>323</v>
      </c>
      <c r="F8" s="244" t="s">
        <v>324</v>
      </c>
      <c r="H8" s="1057" t="s">
        <v>1400</v>
      </c>
      <c r="I8" s="1057" t="s">
        <v>10</v>
      </c>
    </row>
    <row r="9" spans="1:11" ht="14.25" customHeight="1" thickBot="1">
      <c r="A9" s="249"/>
      <c r="B9" s="682"/>
      <c r="C9" s="632"/>
      <c r="D9" s="631"/>
      <c r="E9" s="682"/>
      <c r="F9" s="632"/>
      <c r="H9" s="1067"/>
      <c r="I9" s="1067"/>
    </row>
    <row r="10" spans="1:11" ht="11.25" customHeight="1">
      <c r="A10" s="95"/>
      <c r="B10" s="845"/>
      <c r="C10" s="241"/>
      <c r="D10" s="846"/>
      <c r="E10" s="845"/>
      <c r="F10" s="241"/>
      <c r="G10" s="676"/>
      <c r="I10" s="241"/>
      <c r="J10" s="1061"/>
    </row>
    <row r="11" spans="1:11" ht="12.95" customHeight="1">
      <c r="A11" s="63" t="s">
        <v>149</v>
      </c>
      <c r="B11" s="465">
        <f>IF(A11&lt;&gt;0,E11+H11,"")</f>
        <v>159</v>
      </c>
      <c r="C11" s="695">
        <f>SUM(C12:C50)</f>
        <v>100</v>
      </c>
      <c r="D11" s="312"/>
      <c r="E11" s="465">
        <f>SUM(E12:E50)</f>
        <v>157</v>
      </c>
      <c r="F11" s="633">
        <f>IF(A11&lt;&gt;0,E11/B11*100,"")</f>
        <v>98.742138364779876</v>
      </c>
      <c r="G11" s="838"/>
      <c r="H11" s="316">
        <f>SUM(H12:H50)</f>
        <v>2</v>
      </c>
      <c r="I11" s="241">
        <f t="shared" ref="I11:I50" si="0">IF(A11&lt;&gt;0,H11/B11*100,"")</f>
        <v>1.257861635220126</v>
      </c>
    </row>
    <row r="12" spans="1:11" ht="12" customHeight="1">
      <c r="A12" s="63"/>
      <c r="B12" s="465" t="str">
        <f>IF(A12&lt;&gt;0,E12+#REF!+H12,"")</f>
        <v/>
      </c>
      <c r="C12" s="633"/>
      <c r="D12" s="312"/>
      <c r="E12" s="684"/>
      <c r="F12" s="633"/>
      <c r="G12" s="838"/>
      <c r="H12" s="1227"/>
      <c r="I12" s="241" t="str">
        <f t="shared" si="0"/>
        <v/>
      </c>
    </row>
    <row r="13" spans="1:11" ht="12.95" customHeight="1">
      <c r="A13" s="42" t="s">
        <v>825</v>
      </c>
      <c r="B13" s="465">
        <f>IF(A13&lt;&gt;0,E13+H13,"")</f>
        <v>1</v>
      </c>
      <c r="C13" s="633">
        <f t="shared" ref="C13:C50" si="1">IF(A13&lt;&gt;0,B13/$B$11*100,"")</f>
        <v>0.62893081761006298</v>
      </c>
      <c r="D13" s="312"/>
      <c r="E13" s="1026">
        <v>1</v>
      </c>
      <c r="F13" s="42"/>
      <c r="G13" s="42"/>
      <c r="H13" s="42"/>
      <c r="I13" s="633">
        <f t="shared" si="0"/>
        <v>0</v>
      </c>
      <c r="J13" s="42"/>
      <c r="K13" s="42"/>
    </row>
    <row r="14" spans="1:11" ht="12.95" customHeight="1">
      <c r="A14" s="42" t="s">
        <v>1708</v>
      </c>
      <c r="B14" s="465">
        <f t="shared" ref="B14:B50" si="2">IF(A14&lt;&gt;0,E14+H14,"")</f>
        <v>1</v>
      </c>
      <c r="C14" s="633">
        <f t="shared" si="1"/>
        <v>0.62893081761006298</v>
      </c>
      <c r="D14" s="312"/>
      <c r="E14" s="1026">
        <v>1</v>
      </c>
      <c r="F14" s="42"/>
      <c r="G14" s="42"/>
      <c r="H14" s="42">
        <v>0</v>
      </c>
      <c r="I14" s="633">
        <f t="shared" si="0"/>
        <v>0</v>
      </c>
      <c r="J14" s="42"/>
      <c r="K14" s="42"/>
    </row>
    <row r="15" spans="1:11" ht="12.95" customHeight="1">
      <c r="A15" s="42" t="s">
        <v>828</v>
      </c>
      <c r="B15" s="465">
        <f t="shared" si="2"/>
        <v>3</v>
      </c>
      <c r="C15" s="633">
        <f t="shared" si="1"/>
        <v>1.8867924528301887</v>
      </c>
      <c r="D15" s="312"/>
      <c r="E15" s="1026">
        <v>3</v>
      </c>
      <c r="F15" s="42"/>
      <c r="G15" s="42"/>
      <c r="H15" s="42">
        <v>0</v>
      </c>
      <c r="I15" s="633">
        <f t="shared" si="0"/>
        <v>0</v>
      </c>
      <c r="J15" s="42"/>
      <c r="K15" s="42"/>
    </row>
    <row r="16" spans="1:11" ht="12.95" customHeight="1">
      <c r="A16" s="42" t="s">
        <v>830</v>
      </c>
      <c r="B16" s="465">
        <f t="shared" si="2"/>
        <v>4</v>
      </c>
      <c r="C16" s="633">
        <f t="shared" si="1"/>
        <v>2.5157232704402519</v>
      </c>
      <c r="D16" s="312"/>
      <c r="E16" s="1026">
        <v>4</v>
      </c>
      <c r="F16" s="42"/>
      <c r="G16" s="42"/>
      <c r="H16" s="42">
        <v>0</v>
      </c>
      <c r="I16" s="633">
        <f t="shared" si="0"/>
        <v>0</v>
      </c>
      <c r="J16" s="42"/>
      <c r="K16" s="42"/>
    </row>
    <row r="17" spans="1:11" ht="12.95" customHeight="1">
      <c r="A17" s="42" t="s">
        <v>832</v>
      </c>
      <c r="B17" s="465">
        <f t="shared" si="2"/>
        <v>12</v>
      </c>
      <c r="C17" s="633">
        <f t="shared" si="1"/>
        <v>7.5471698113207548</v>
      </c>
      <c r="D17" s="312"/>
      <c r="E17" s="1026">
        <v>12</v>
      </c>
      <c r="F17" s="42"/>
      <c r="G17" s="42"/>
      <c r="H17" s="42">
        <v>0</v>
      </c>
      <c r="I17" s="633">
        <f t="shared" si="0"/>
        <v>0</v>
      </c>
      <c r="J17" s="42"/>
      <c r="K17" s="42"/>
    </row>
    <row r="18" spans="1:11" ht="12.95" customHeight="1">
      <c r="A18" s="42" t="s">
        <v>1709</v>
      </c>
      <c r="B18" s="465">
        <f t="shared" si="2"/>
        <v>2</v>
      </c>
      <c r="C18" s="633">
        <f t="shared" si="1"/>
        <v>1.257861635220126</v>
      </c>
      <c r="D18" s="312"/>
      <c r="E18" s="1026">
        <v>2</v>
      </c>
      <c r="F18" s="42"/>
      <c r="G18" s="42"/>
      <c r="H18" s="42">
        <v>0</v>
      </c>
      <c r="I18" s="633">
        <f t="shared" si="0"/>
        <v>0</v>
      </c>
      <c r="J18" s="42"/>
      <c r="K18" s="42"/>
    </row>
    <row r="19" spans="1:11" ht="12.95" customHeight="1">
      <c r="A19" s="42" t="s">
        <v>834</v>
      </c>
      <c r="B19" s="465">
        <f t="shared" si="2"/>
        <v>3</v>
      </c>
      <c r="C19" s="633">
        <f t="shared" si="1"/>
        <v>1.8867924528301887</v>
      </c>
      <c r="D19" s="312"/>
      <c r="E19" s="1026">
        <v>3</v>
      </c>
      <c r="F19" s="42"/>
      <c r="G19" s="42"/>
      <c r="H19" s="42">
        <v>0</v>
      </c>
      <c r="I19" s="633">
        <f t="shared" si="0"/>
        <v>0</v>
      </c>
      <c r="J19" s="42"/>
      <c r="K19" s="42"/>
    </row>
    <row r="20" spans="1:11" ht="12.95" customHeight="1">
      <c r="A20" s="42" t="s">
        <v>835</v>
      </c>
      <c r="B20" s="465">
        <f t="shared" si="2"/>
        <v>5</v>
      </c>
      <c r="C20" s="633">
        <f t="shared" si="1"/>
        <v>3.1446540880503147</v>
      </c>
      <c r="D20" s="312"/>
      <c r="E20" s="1026">
        <v>4</v>
      </c>
      <c r="F20" s="42"/>
      <c r="G20" s="42"/>
      <c r="H20" s="42">
        <v>1</v>
      </c>
      <c r="I20" s="633">
        <f t="shared" si="0"/>
        <v>20</v>
      </c>
      <c r="J20" s="42"/>
      <c r="K20" s="42"/>
    </row>
    <row r="21" spans="1:11" ht="12.95" customHeight="1">
      <c r="A21" s="42" t="s">
        <v>836</v>
      </c>
      <c r="B21" s="465">
        <f t="shared" si="2"/>
        <v>1</v>
      </c>
      <c r="C21" s="633">
        <f t="shared" si="1"/>
        <v>0.62893081761006298</v>
      </c>
      <c r="D21" s="312"/>
      <c r="E21" s="1026">
        <v>1</v>
      </c>
      <c r="F21" s="42"/>
      <c r="G21" s="42"/>
      <c r="H21" s="42">
        <v>0</v>
      </c>
      <c r="I21" s="633">
        <f t="shared" si="0"/>
        <v>0</v>
      </c>
      <c r="J21" s="42"/>
      <c r="K21" s="42"/>
    </row>
    <row r="22" spans="1:11" ht="12.95" customHeight="1">
      <c r="A22" s="42" t="s">
        <v>1710</v>
      </c>
      <c r="B22" s="465">
        <f t="shared" si="2"/>
        <v>10</v>
      </c>
      <c r="C22" s="633">
        <f t="shared" si="1"/>
        <v>6.2893081761006293</v>
      </c>
      <c r="D22" s="312"/>
      <c r="E22" s="1026">
        <v>10</v>
      </c>
      <c r="F22" s="42"/>
      <c r="G22" s="42"/>
      <c r="H22" s="42">
        <v>0</v>
      </c>
      <c r="I22" s="633">
        <f t="shared" si="0"/>
        <v>0</v>
      </c>
      <c r="J22" s="42"/>
      <c r="K22" s="42"/>
    </row>
    <row r="23" spans="1:11" ht="12.95" customHeight="1">
      <c r="A23" s="42" t="s">
        <v>839</v>
      </c>
      <c r="B23" s="465">
        <f t="shared" si="2"/>
        <v>1</v>
      </c>
      <c r="C23" s="633">
        <f t="shared" si="1"/>
        <v>0.62893081761006298</v>
      </c>
      <c r="D23" s="312"/>
      <c r="E23" s="1026">
        <v>1</v>
      </c>
      <c r="F23" s="42"/>
      <c r="G23" s="42"/>
      <c r="H23" s="42">
        <v>0</v>
      </c>
      <c r="I23" s="633">
        <f t="shared" si="0"/>
        <v>0</v>
      </c>
      <c r="J23" s="42"/>
      <c r="K23" s="42"/>
    </row>
    <row r="24" spans="1:11" ht="12.95" customHeight="1">
      <c r="A24" s="42" t="s">
        <v>840</v>
      </c>
      <c r="B24" s="465">
        <f t="shared" si="2"/>
        <v>1</v>
      </c>
      <c r="C24" s="633">
        <f t="shared" si="1"/>
        <v>0.62893081761006298</v>
      </c>
      <c r="D24" s="312"/>
      <c r="E24" s="1026">
        <v>1</v>
      </c>
      <c r="F24" s="42"/>
      <c r="G24" s="42"/>
      <c r="H24" s="42">
        <v>0</v>
      </c>
      <c r="I24" s="633">
        <f t="shared" si="0"/>
        <v>0</v>
      </c>
      <c r="J24" s="42"/>
      <c r="K24" s="42"/>
    </row>
    <row r="25" spans="1:11" ht="12.95" customHeight="1">
      <c r="A25" s="42" t="s">
        <v>841</v>
      </c>
      <c r="B25" s="465">
        <f t="shared" si="2"/>
        <v>6</v>
      </c>
      <c r="C25" s="633">
        <f t="shared" si="1"/>
        <v>3.7735849056603774</v>
      </c>
      <c r="D25" s="312"/>
      <c r="E25" s="1026">
        <v>6</v>
      </c>
      <c r="F25" s="42"/>
      <c r="G25" s="42"/>
      <c r="H25" s="42">
        <v>0</v>
      </c>
      <c r="I25" s="633">
        <f t="shared" si="0"/>
        <v>0</v>
      </c>
      <c r="J25" s="42"/>
      <c r="K25" s="42"/>
    </row>
    <row r="26" spans="1:11" ht="12.95" customHeight="1">
      <c r="A26" s="42" t="s">
        <v>1711</v>
      </c>
      <c r="B26" s="465">
        <f t="shared" si="2"/>
        <v>5</v>
      </c>
      <c r="C26" s="633">
        <f t="shared" si="1"/>
        <v>3.1446540880503147</v>
      </c>
      <c r="D26" s="312"/>
      <c r="E26" s="1026">
        <v>5</v>
      </c>
      <c r="F26" s="42"/>
      <c r="G26" s="42"/>
      <c r="H26" s="42">
        <v>0</v>
      </c>
      <c r="I26" s="633">
        <f t="shared" si="0"/>
        <v>0</v>
      </c>
      <c r="J26" s="42"/>
      <c r="K26" s="42"/>
    </row>
    <row r="27" spans="1:11" ht="12.95" customHeight="1">
      <c r="A27" s="42" t="s">
        <v>844</v>
      </c>
      <c r="B27" s="465">
        <f t="shared" si="2"/>
        <v>1</v>
      </c>
      <c r="C27" s="633">
        <f t="shared" si="1"/>
        <v>0.62893081761006298</v>
      </c>
      <c r="D27" s="312"/>
      <c r="E27" s="1026">
        <v>1</v>
      </c>
      <c r="F27" s="42"/>
      <c r="G27" s="42"/>
      <c r="H27" s="42">
        <v>0</v>
      </c>
      <c r="I27" s="633">
        <f t="shared" si="0"/>
        <v>0</v>
      </c>
      <c r="J27" s="42"/>
      <c r="K27" s="42"/>
    </row>
    <row r="28" spans="1:11" ht="12.95" customHeight="1">
      <c r="A28" s="42" t="s">
        <v>845</v>
      </c>
      <c r="B28" s="465">
        <f t="shared" si="2"/>
        <v>5</v>
      </c>
      <c r="C28" s="633">
        <f t="shared" si="1"/>
        <v>3.1446540880503147</v>
      </c>
      <c r="D28" s="312"/>
      <c r="E28" s="1026">
        <v>5</v>
      </c>
      <c r="F28" s="42"/>
      <c r="G28" s="42"/>
      <c r="H28" s="42">
        <v>0</v>
      </c>
      <c r="I28" s="633">
        <f t="shared" si="0"/>
        <v>0</v>
      </c>
      <c r="J28" s="42"/>
      <c r="K28" s="42"/>
    </row>
    <row r="29" spans="1:11" ht="12.95" customHeight="1">
      <c r="A29" s="42" t="s">
        <v>1712</v>
      </c>
      <c r="B29" s="465">
        <f t="shared" si="2"/>
        <v>11</v>
      </c>
      <c r="C29" s="633">
        <f t="shared" si="1"/>
        <v>6.9182389937106921</v>
      </c>
      <c r="D29" s="312"/>
      <c r="E29" s="1026">
        <v>11</v>
      </c>
      <c r="F29" s="42"/>
      <c r="G29" s="42"/>
      <c r="H29" s="42">
        <v>0</v>
      </c>
      <c r="I29" s="633">
        <f t="shared" si="0"/>
        <v>0</v>
      </c>
      <c r="J29" s="42"/>
      <c r="K29" s="42"/>
    </row>
    <row r="30" spans="1:11" ht="12.95" customHeight="1">
      <c r="A30" s="42" t="s">
        <v>847</v>
      </c>
      <c r="B30" s="465">
        <f>IF(A30&lt;&gt;0,E30+H30,"")</f>
        <v>1</v>
      </c>
      <c r="C30" s="633">
        <f>IF(A30&lt;&gt;0,B30/$B$11*100,"")</f>
        <v>0.62893081761006298</v>
      </c>
      <c r="D30" s="312"/>
      <c r="E30" s="1026">
        <v>1</v>
      </c>
      <c r="F30" s="42"/>
      <c r="G30" s="42"/>
      <c r="H30" s="42"/>
      <c r="I30" s="633"/>
      <c r="J30" s="42"/>
      <c r="K30" s="42"/>
    </row>
    <row r="31" spans="1:11" ht="12.95" customHeight="1">
      <c r="A31" s="42" t="s">
        <v>848</v>
      </c>
      <c r="B31" s="465">
        <f>IF(A31&lt;&gt;0,E31+H31,"")</f>
        <v>3</v>
      </c>
      <c r="C31" s="633">
        <f>IF(A31&lt;&gt;0,B31/$B$11*100,"")</f>
        <v>1.8867924528301887</v>
      </c>
      <c r="D31" s="312"/>
      <c r="E31" s="1026">
        <v>3</v>
      </c>
      <c r="F31" s="42"/>
      <c r="G31" s="42"/>
      <c r="H31" s="42">
        <v>0</v>
      </c>
      <c r="I31" s="633">
        <f t="shared" si="0"/>
        <v>0</v>
      </c>
      <c r="J31" s="42"/>
      <c r="K31" s="42"/>
    </row>
    <row r="32" spans="1:11" ht="12.95" customHeight="1">
      <c r="A32" s="42" t="s">
        <v>849</v>
      </c>
      <c r="B32" s="465">
        <f t="shared" si="2"/>
        <v>4</v>
      </c>
      <c r="C32" s="633">
        <f t="shared" si="1"/>
        <v>2.5157232704402519</v>
      </c>
      <c r="D32" s="312"/>
      <c r="E32" s="1026">
        <v>4</v>
      </c>
      <c r="F32" s="42"/>
      <c r="G32" s="42"/>
      <c r="H32" s="42">
        <v>0</v>
      </c>
      <c r="I32" s="633">
        <f t="shared" si="0"/>
        <v>0</v>
      </c>
      <c r="J32" s="42"/>
      <c r="K32" s="42"/>
    </row>
    <row r="33" spans="1:11" ht="12.95" customHeight="1">
      <c r="A33" s="42" t="s">
        <v>1713</v>
      </c>
      <c r="B33" s="465">
        <f t="shared" si="2"/>
        <v>1</v>
      </c>
      <c r="C33" s="633">
        <f t="shared" si="1"/>
        <v>0.62893081761006298</v>
      </c>
      <c r="D33" s="312"/>
      <c r="E33" s="1026">
        <v>1</v>
      </c>
      <c r="F33" s="42"/>
      <c r="G33" s="42"/>
      <c r="H33" s="42">
        <v>0</v>
      </c>
      <c r="I33" s="633">
        <f t="shared" si="0"/>
        <v>0</v>
      </c>
      <c r="J33" s="42"/>
      <c r="K33" s="42"/>
    </row>
    <row r="34" spans="1:11" ht="12.95" customHeight="1">
      <c r="A34" s="42" t="s">
        <v>855</v>
      </c>
      <c r="B34" s="465">
        <f t="shared" si="2"/>
        <v>5</v>
      </c>
      <c r="C34" s="633">
        <f t="shared" si="1"/>
        <v>3.1446540880503147</v>
      </c>
      <c r="D34" s="312"/>
      <c r="E34" s="1026">
        <v>5</v>
      </c>
      <c r="F34" s="42"/>
      <c r="G34" s="42"/>
      <c r="H34" s="42">
        <v>0</v>
      </c>
      <c r="I34" s="633">
        <f t="shared" si="0"/>
        <v>0</v>
      </c>
      <c r="J34" s="42"/>
      <c r="K34" s="42"/>
    </row>
    <row r="35" spans="1:11" ht="12.95" customHeight="1">
      <c r="A35" s="42" t="s">
        <v>856</v>
      </c>
      <c r="B35" s="465">
        <f t="shared" si="2"/>
        <v>3</v>
      </c>
      <c r="C35" s="633">
        <f t="shared" si="1"/>
        <v>1.8867924528301887</v>
      </c>
      <c r="D35" s="312"/>
      <c r="E35" s="1026">
        <v>3</v>
      </c>
      <c r="F35" s="42"/>
      <c r="G35" s="42"/>
      <c r="H35" s="42">
        <v>0</v>
      </c>
      <c r="I35" s="633">
        <f t="shared" si="0"/>
        <v>0</v>
      </c>
      <c r="J35" s="42"/>
      <c r="K35" s="42"/>
    </row>
    <row r="36" spans="1:11" ht="12.95" customHeight="1">
      <c r="A36" s="42" t="s">
        <v>857</v>
      </c>
      <c r="B36" s="465">
        <f>IF(A36&lt;&gt;0,E36+H36,"")</f>
        <v>3</v>
      </c>
      <c r="C36" s="633">
        <f>IF(A36&lt;&gt;0,B36/$B$11*100,"")</f>
        <v>1.8867924528301887</v>
      </c>
      <c r="D36" s="312"/>
      <c r="E36" s="1026">
        <v>3</v>
      </c>
      <c r="F36" s="42"/>
      <c r="G36" s="42"/>
      <c r="H36" s="42"/>
      <c r="I36" s="633"/>
      <c r="J36" s="42"/>
      <c r="K36" s="42"/>
    </row>
    <row r="37" spans="1:11" ht="12.95" customHeight="1">
      <c r="A37" s="42" t="s">
        <v>858</v>
      </c>
      <c r="B37" s="465">
        <f>IF(A37&lt;&gt;0,E37+H37,"")</f>
        <v>1</v>
      </c>
      <c r="C37" s="633">
        <f>IF(A37&lt;&gt;0,B37/$B$11*100,"")</f>
        <v>0.62893081761006298</v>
      </c>
      <c r="D37" s="312"/>
      <c r="E37" s="1026">
        <v>1</v>
      </c>
      <c r="F37" s="42"/>
      <c r="G37" s="42"/>
      <c r="H37" s="42">
        <v>0</v>
      </c>
      <c r="I37" s="633">
        <f t="shared" si="0"/>
        <v>0</v>
      </c>
      <c r="J37" s="42"/>
      <c r="K37" s="42"/>
    </row>
    <row r="38" spans="1:11" ht="12.95" customHeight="1">
      <c r="A38" s="42" t="s">
        <v>859</v>
      </c>
      <c r="B38" s="465">
        <f>IF(A38&lt;&gt;0,E38+H38,"")</f>
        <v>1</v>
      </c>
      <c r="C38" s="633">
        <f>IF(A38&lt;&gt;0,B38/$B$11*100,"")</f>
        <v>0.62893081761006298</v>
      </c>
      <c r="D38" s="312"/>
      <c r="E38" s="1026">
        <v>1</v>
      </c>
      <c r="F38" s="42"/>
      <c r="G38" s="42"/>
      <c r="H38" s="42">
        <v>0</v>
      </c>
      <c r="I38" s="633">
        <f t="shared" si="0"/>
        <v>0</v>
      </c>
      <c r="J38" s="42"/>
      <c r="K38" s="42"/>
    </row>
    <row r="39" spans="1:11" ht="12.95" customHeight="1">
      <c r="A39" s="42" t="s">
        <v>861</v>
      </c>
      <c r="B39" s="465">
        <f t="shared" si="2"/>
        <v>1</v>
      </c>
      <c r="C39" s="633">
        <f t="shared" si="1"/>
        <v>0.62893081761006298</v>
      </c>
      <c r="D39" s="312"/>
      <c r="E39" s="1026">
        <v>1</v>
      </c>
      <c r="F39" s="42"/>
      <c r="G39" s="42"/>
      <c r="H39" s="42">
        <v>0</v>
      </c>
      <c r="I39" s="633">
        <f t="shared" si="0"/>
        <v>0</v>
      </c>
      <c r="J39" s="42"/>
      <c r="K39" s="42"/>
    </row>
    <row r="40" spans="1:11" ht="12.95" customHeight="1">
      <c r="A40" s="42" t="s">
        <v>1714</v>
      </c>
      <c r="B40" s="465">
        <f t="shared" si="2"/>
        <v>2</v>
      </c>
      <c r="C40" s="633">
        <f t="shared" si="1"/>
        <v>1.257861635220126</v>
      </c>
      <c r="D40" s="312"/>
      <c r="E40" s="1026">
        <v>2</v>
      </c>
      <c r="F40" s="42"/>
      <c r="G40" s="42"/>
      <c r="H40" s="42">
        <v>0</v>
      </c>
      <c r="I40" s="633">
        <f t="shared" si="0"/>
        <v>0</v>
      </c>
      <c r="J40" s="42"/>
      <c r="K40" s="42"/>
    </row>
    <row r="41" spans="1:11" ht="12.95" customHeight="1">
      <c r="A41" s="42" t="s">
        <v>864</v>
      </c>
      <c r="B41" s="465">
        <f t="shared" si="2"/>
        <v>14</v>
      </c>
      <c r="C41" s="633">
        <f t="shared" si="1"/>
        <v>8.8050314465408803</v>
      </c>
      <c r="D41" s="312"/>
      <c r="E41" s="1026">
        <v>14</v>
      </c>
      <c r="F41" s="42"/>
      <c r="G41" s="42"/>
      <c r="H41" s="42">
        <v>0</v>
      </c>
      <c r="I41" s="633">
        <f t="shared" si="0"/>
        <v>0</v>
      </c>
      <c r="J41" s="42"/>
      <c r="K41" s="42"/>
    </row>
    <row r="42" spans="1:11" ht="12.95" customHeight="1">
      <c r="A42" s="42" t="s">
        <v>866</v>
      </c>
      <c r="B42" s="465">
        <f t="shared" si="2"/>
        <v>2</v>
      </c>
      <c r="C42" s="633">
        <f t="shared" si="1"/>
        <v>1.257861635220126</v>
      </c>
      <c r="D42" s="312"/>
      <c r="E42" s="1026">
        <v>2</v>
      </c>
      <c r="F42" s="42"/>
      <c r="G42" s="42"/>
      <c r="H42" s="42">
        <v>0</v>
      </c>
      <c r="I42" s="633">
        <f t="shared" si="0"/>
        <v>0</v>
      </c>
      <c r="J42" s="42"/>
      <c r="K42" s="42"/>
    </row>
    <row r="43" spans="1:11" ht="12.95" customHeight="1">
      <c r="A43" s="42" t="s">
        <v>870</v>
      </c>
      <c r="B43" s="465">
        <f t="shared" si="2"/>
        <v>10</v>
      </c>
      <c r="C43" s="633">
        <f t="shared" si="1"/>
        <v>6.2893081761006293</v>
      </c>
      <c r="D43" s="312"/>
      <c r="E43" s="1026">
        <v>10</v>
      </c>
      <c r="F43" s="42"/>
      <c r="G43" s="42"/>
      <c r="H43" s="42"/>
      <c r="I43" s="633">
        <f t="shared" si="0"/>
        <v>0</v>
      </c>
      <c r="J43" s="42"/>
      <c r="K43" s="42"/>
    </row>
    <row r="44" spans="1:11" ht="12.95" customHeight="1">
      <c r="A44" s="42" t="s">
        <v>871</v>
      </c>
      <c r="B44" s="465">
        <f t="shared" si="2"/>
        <v>21</v>
      </c>
      <c r="C44" s="633">
        <f t="shared" si="1"/>
        <v>13.20754716981132</v>
      </c>
      <c r="D44" s="312"/>
      <c r="E44" s="1026">
        <v>21</v>
      </c>
      <c r="F44" s="42"/>
      <c r="G44" s="42"/>
      <c r="H44" s="42"/>
      <c r="I44" s="633">
        <f t="shared" si="0"/>
        <v>0</v>
      </c>
      <c r="J44" s="42"/>
      <c r="K44" s="42"/>
    </row>
    <row r="45" spans="1:11" ht="12.95" customHeight="1">
      <c r="A45" s="42" t="s">
        <v>872</v>
      </c>
      <c r="B45" s="465">
        <f t="shared" si="2"/>
        <v>3</v>
      </c>
      <c r="C45" s="633">
        <f t="shared" si="1"/>
        <v>1.8867924528301887</v>
      </c>
      <c r="D45" s="312"/>
      <c r="E45" s="1026">
        <v>2</v>
      </c>
      <c r="F45" s="42"/>
      <c r="G45" s="42"/>
      <c r="H45" s="42">
        <v>1</v>
      </c>
      <c r="I45" s="633">
        <f t="shared" si="0"/>
        <v>33.333333333333329</v>
      </c>
      <c r="J45" s="42"/>
      <c r="K45" s="42"/>
    </row>
    <row r="46" spans="1:11" ht="12.95" customHeight="1">
      <c r="A46" s="42" t="s">
        <v>1715</v>
      </c>
      <c r="B46" s="465">
        <f t="shared" si="2"/>
        <v>3</v>
      </c>
      <c r="C46" s="633">
        <f t="shared" si="1"/>
        <v>1.8867924528301887</v>
      </c>
      <c r="D46" s="312"/>
      <c r="E46" s="1026">
        <v>3</v>
      </c>
      <c r="F46" s="42"/>
      <c r="G46" s="42"/>
      <c r="H46" s="42">
        <v>0</v>
      </c>
      <c r="I46" s="633">
        <f t="shared" si="0"/>
        <v>0</v>
      </c>
      <c r="J46" s="42"/>
      <c r="K46" s="42"/>
    </row>
    <row r="47" spans="1:11" ht="12.95" customHeight="1">
      <c r="A47" s="42" t="s">
        <v>1716</v>
      </c>
      <c r="B47" s="465">
        <f t="shared" si="2"/>
        <v>2</v>
      </c>
      <c r="C47" s="633">
        <f t="shared" si="1"/>
        <v>1.257861635220126</v>
      </c>
      <c r="D47" s="312"/>
      <c r="E47" s="1026">
        <v>2</v>
      </c>
      <c r="F47" s="42"/>
      <c r="G47" s="42"/>
      <c r="H47" s="42">
        <v>0</v>
      </c>
      <c r="I47" s="633">
        <f t="shared" si="0"/>
        <v>0</v>
      </c>
      <c r="J47" s="42"/>
      <c r="K47" s="42"/>
    </row>
    <row r="48" spans="1:11" ht="12.95" customHeight="1">
      <c r="A48" s="42" t="s">
        <v>878</v>
      </c>
      <c r="B48" s="465">
        <f t="shared" si="2"/>
        <v>4</v>
      </c>
      <c r="C48" s="633">
        <f t="shared" si="1"/>
        <v>2.5157232704402519</v>
      </c>
      <c r="D48" s="312"/>
      <c r="E48" s="1026">
        <v>4</v>
      </c>
      <c r="F48" s="42"/>
      <c r="G48" s="42"/>
      <c r="H48" s="42">
        <v>0</v>
      </c>
      <c r="I48" s="633">
        <f t="shared" si="0"/>
        <v>0</v>
      </c>
      <c r="J48" s="42"/>
      <c r="K48" s="42"/>
    </row>
    <row r="49" spans="1:11" ht="12.95" customHeight="1">
      <c r="A49" s="42" t="s">
        <v>879</v>
      </c>
      <c r="B49" s="465">
        <f>IF(A49&lt;&gt;0,E49+H49,"")</f>
        <v>1</v>
      </c>
      <c r="C49" s="633">
        <f>IF(A49&lt;&gt;0,B49/$B$11*100,"")</f>
        <v>0.62893081761006298</v>
      </c>
      <c r="D49" s="312"/>
      <c r="E49" s="1026">
        <v>1</v>
      </c>
      <c r="F49" s="42"/>
      <c r="G49" s="42"/>
      <c r="H49" s="42"/>
      <c r="I49" s="633"/>
      <c r="J49" s="42"/>
      <c r="K49" s="42"/>
    </row>
    <row r="50" spans="1:11" ht="12.95" customHeight="1">
      <c r="A50" s="42" t="s">
        <v>880</v>
      </c>
      <c r="B50" s="465">
        <f t="shared" si="2"/>
        <v>2</v>
      </c>
      <c r="C50" s="633">
        <f t="shared" si="1"/>
        <v>1.257861635220126</v>
      </c>
      <c r="D50" s="312"/>
      <c r="E50" s="1026">
        <v>2</v>
      </c>
      <c r="F50" s="42"/>
      <c r="G50" s="42"/>
      <c r="H50" s="42">
        <v>0</v>
      </c>
      <c r="I50" s="633">
        <f t="shared" si="0"/>
        <v>0</v>
      </c>
      <c r="J50" s="42"/>
      <c r="K50" s="42"/>
    </row>
    <row r="51" spans="1:11" ht="4.5" customHeight="1" thickBot="1">
      <c r="A51" s="42"/>
      <c r="B51" s="670"/>
      <c r="C51" s="671"/>
      <c r="D51" s="39"/>
      <c r="E51" s="1067"/>
      <c r="F51" s="671"/>
      <c r="H51" s="1067"/>
      <c r="I51" s="1067"/>
      <c r="J51" s="1067"/>
    </row>
    <row r="52" spans="1:11" ht="10.5" customHeight="1">
      <c r="A52" s="237"/>
      <c r="B52" s="675"/>
      <c r="C52" s="676"/>
      <c r="D52" s="674"/>
      <c r="E52" s="675"/>
      <c r="F52" s="676"/>
      <c r="G52" s="676"/>
    </row>
    <row r="53" spans="1:11" ht="15.75" customHeight="1">
      <c r="A53" s="97" t="s">
        <v>1763</v>
      </c>
      <c r="D53" s="1058"/>
      <c r="E53" s="1058"/>
    </row>
    <row r="54" spans="1:11" ht="16.5" customHeight="1">
      <c r="A54" s="95" t="s">
        <v>1703</v>
      </c>
      <c r="B54" s="845"/>
      <c r="C54" s="241"/>
      <c r="D54" s="846"/>
      <c r="E54" s="845"/>
      <c r="F54" s="241"/>
    </row>
    <row r="55" spans="1:11" ht="7.5" customHeight="1">
      <c r="A55" s="42"/>
      <c r="B55" s="670"/>
      <c r="C55" s="671"/>
      <c r="D55" s="39"/>
      <c r="F55" s="671"/>
    </row>
    <row r="56" spans="1:11">
      <c r="A56" s="42" t="s">
        <v>1704</v>
      </c>
      <c r="B56" s="670"/>
      <c r="C56" s="671"/>
      <c r="D56" s="39"/>
      <c r="F56" s="671"/>
    </row>
    <row r="57" spans="1:11">
      <c r="A57" s="434" t="s">
        <v>1705</v>
      </c>
    </row>
  </sheetData>
  <mergeCells count="2">
    <mergeCell ref="E7:F7"/>
    <mergeCell ref="H7:I7"/>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sheetPr>
    <tabColor theme="5" tint="0.59999389629810485"/>
  </sheetPr>
  <dimension ref="A1:K39"/>
  <sheetViews>
    <sheetView workbookViewId="0">
      <selection activeCell="H32" sqref="H32"/>
    </sheetView>
  </sheetViews>
  <sheetFormatPr baseColWidth="10" defaultRowHeight="15"/>
  <sheetData>
    <row r="1" spans="1:11" ht="12.75" customHeight="1">
      <c r="A1" s="42" t="s">
        <v>1755</v>
      </c>
      <c r="B1" s="42" t="s">
        <v>1756</v>
      </c>
      <c r="C1" s="42" t="s">
        <v>1302</v>
      </c>
    </row>
    <row r="2" spans="1:11" ht="12.75" customHeight="1">
      <c r="A2" s="31">
        <v>98.35</v>
      </c>
      <c r="B2" s="31">
        <v>0.87</v>
      </c>
      <c r="C2" s="31">
        <v>0.87</v>
      </c>
      <c r="J2" s="32"/>
    </row>
    <row r="3" spans="1:11" ht="12.75" customHeight="1">
      <c r="B3" t="s">
        <v>11</v>
      </c>
      <c r="H3" s="33"/>
    </row>
    <row r="4" spans="1:11" ht="12.75" customHeight="1">
      <c r="A4" s="767">
        <v>21785</v>
      </c>
      <c r="B4" s="767">
        <v>193</v>
      </c>
      <c r="C4" s="767">
        <v>173</v>
      </c>
      <c r="H4" s="34"/>
      <c r="K4" s="35"/>
    </row>
    <row r="5" spans="1:11">
      <c r="A5" s="768">
        <v>157</v>
      </c>
      <c r="B5" s="769"/>
      <c r="C5" s="770">
        <v>2</v>
      </c>
    </row>
    <row r="6" spans="1:11">
      <c r="A6" s="770">
        <f>SUM(A4:A5)</f>
        <v>21942</v>
      </c>
      <c r="B6" s="770">
        <f>SUM(B4:B5)</f>
        <v>193</v>
      </c>
      <c r="C6" s="770">
        <f>SUM(C4:C5)</f>
        <v>175</v>
      </c>
    </row>
    <row r="7" spans="1:11">
      <c r="A7" s="770"/>
      <c r="B7" s="606"/>
      <c r="C7" s="770"/>
    </row>
    <row r="8" spans="1:11">
      <c r="A8" s="770">
        <f>SUM(A6:C6)</f>
        <v>22310</v>
      </c>
      <c r="B8" s="606"/>
      <c r="C8" s="770"/>
    </row>
    <row r="9" spans="1:11">
      <c r="A9" s="606">
        <f>A6/A8*100</f>
        <v>98.350515463917517</v>
      </c>
      <c r="B9" s="606">
        <f>B6/A8*100</f>
        <v>0.86508292245629759</v>
      </c>
      <c r="C9" s="606">
        <f>C6/A8*100</f>
        <v>0.78440161362617666</v>
      </c>
      <c r="D9" s="31"/>
    </row>
    <row r="10" spans="1:11">
      <c r="B10" s="31"/>
    </row>
    <row r="13" spans="1:11">
      <c r="A13" s="42"/>
    </row>
    <row r="14" spans="1:11">
      <c r="A14" s="42"/>
    </row>
    <row r="15" spans="1:11">
      <c r="A15" s="42"/>
    </row>
    <row r="18" spans="2:2">
      <c r="B18" s="31"/>
    </row>
    <row r="19" spans="2:2">
      <c r="B19" s="31"/>
    </row>
    <row r="20" spans="2:2">
      <c r="B20" s="31"/>
    </row>
    <row r="39" spans="4:4">
      <c r="D3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dimension ref="A1:J108"/>
  <sheetViews>
    <sheetView topLeftCell="A52" workbookViewId="0">
      <selection activeCell="A108" sqref="A108"/>
    </sheetView>
  </sheetViews>
  <sheetFormatPr baseColWidth="10" defaultRowHeight="15"/>
  <cols>
    <col min="1" max="1" width="39.42578125" style="847" bestFit="1" customWidth="1"/>
    <col min="2" max="2" width="10.7109375" style="1071" customWidth="1"/>
    <col min="3" max="3" width="10.7109375" style="1072" customWidth="1"/>
    <col min="4" max="4" width="3.7109375" style="847" customWidth="1"/>
    <col min="5" max="5" width="10.7109375" style="1049" customWidth="1"/>
    <col min="6" max="6" width="10.7109375" style="1046" customWidth="1"/>
    <col min="7" max="7" width="3.7109375" style="854" customWidth="1"/>
    <col min="8" max="8" width="10.7109375" style="1049" customWidth="1"/>
    <col min="9" max="9" width="10.7109375" style="1000" customWidth="1"/>
    <col min="10" max="10" width="3.85546875" style="847" customWidth="1"/>
    <col min="11" max="256" width="11.42578125" style="847"/>
    <col min="257" max="257" width="39.42578125" style="847" bestFit="1" customWidth="1"/>
    <col min="258" max="259" width="10.7109375" style="847" customWidth="1"/>
    <col min="260" max="260" width="3.7109375" style="847" customWidth="1"/>
    <col min="261" max="262" width="10.7109375" style="847" customWidth="1"/>
    <col min="263" max="263" width="3.7109375" style="847" customWidth="1"/>
    <col min="264" max="265" width="10.7109375" style="847" customWidth="1"/>
    <col min="266" max="266" width="3.85546875" style="847" customWidth="1"/>
    <col min="267" max="512" width="11.42578125" style="847"/>
    <col min="513" max="513" width="39.42578125" style="847" bestFit="1" customWidth="1"/>
    <col min="514" max="515" width="10.7109375" style="847" customWidth="1"/>
    <col min="516" max="516" width="3.7109375" style="847" customWidth="1"/>
    <col min="517" max="518" width="10.7109375" style="847" customWidth="1"/>
    <col min="519" max="519" width="3.7109375" style="847" customWidth="1"/>
    <col min="520" max="521" width="10.7109375" style="847" customWidth="1"/>
    <col min="522" max="522" width="3.85546875" style="847" customWidth="1"/>
    <col min="523" max="768" width="11.42578125" style="847"/>
    <col min="769" max="769" width="39.42578125" style="847" bestFit="1" customWidth="1"/>
    <col min="770" max="771" width="10.7109375" style="847" customWidth="1"/>
    <col min="772" max="772" width="3.7109375" style="847" customWidth="1"/>
    <col min="773" max="774" width="10.7109375" style="847" customWidth="1"/>
    <col min="775" max="775" width="3.7109375" style="847" customWidth="1"/>
    <col min="776" max="777" width="10.7109375" style="847" customWidth="1"/>
    <col min="778" max="778" width="3.85546875" style="847" customWidth="1"/>
    <col min="779" max="1024" width="11.42578125" style="847"/>
    <col min="1025" max="1025" width="39.42578125" style="847" bestFit="1" customWidth="1"/>
    <col min="1026" max="1027" width="10.7109375" style="847" customWidth="1"/>
    <col min="1028" max="1028" width="3.7109375" style="847" customWidth="1"/>
    <col min="1029" max="1030" width="10.7109375" style="847" customWidth="1"/>
    <col min="1031" max="1031" width="3.7109375" style="847" customWidth="1"/>
    <col min="1032" max="1033" width="10.7109375" style="847" customWidth="1"/>
    <col min="1034" max="1034" width="3.85546875" style="847" customWidth="1"/>
    <col min="1035" max="1280" width="11.42578125" style="847"/>
    <col min="1281" max="1281" width="39.42578125" style="847" bestFit="1" customWidth="1"/>
    <col min="1282" max="1283" width="10.7109375" style="847" customWidth="1"/>
    <col min="1284" max="1284" width="3.7109375" style="847" customWidth="1"/>
    <col min="1285" max="1286" width="10.7109375" style="847" customWidth="1"/>
    <col min="1287" max="1287" width="3.7109375" style="847" customWidth="1"/>
    <col min="1288" max="1289" width="10.7109375" style="847" customWidth="1"/>
    <col min="1290" max="1290" width="3.85546875" style="847" customWidth="1"/>
    <col min="1291" max="1536" width="11.42578125" style="847"/>
    <col min="1537" max="1537" width="39.42578125" style="847" bestFit="1" customWidth="1"/>
    <col min="1538" max="1539" width="10.7109375" style="847" customWidth="1"/>
    <col min="1540" max="1540" width="3.7109375" style="847" customWidth="1"/>
    <col min="1541" max="1542" width="10.7109375" style="847" customWidth="1"/>
    <col min="1543" max="1543" width="3.7109375" style="847" customWidth="1"/>
    <col min="1544" max="1545" width="10.7109375" style="847" customWidth="1"/>
    <col min="1546" max="1546" width="3.85546875" style="847" customWidth="1"/>
    <col min="1547" max="1792" width="11.42578125" style="847"/>
    <col min="1793" max="1793" width="39.42578125" style="847" bestFit="1" customWidth="1"/>
    <col min="1794" max="1795" width="10.7109375" style="847" customWidth="1"/>
    <col min="1796" max="1796" width="3.7109375" style="847" customWidth="1"/>
    <col min="1797" max="1798" width="10.7109375" style="847" customWidth="1"/>
    <col min="1799" max="1799" width="3.7109375" style="847" customWidth="1"/>
    <col min="1800" max="1801" width="10.7109375" style="847" customWidth="1"/>
    <col min="1802" max="1802" width="3.85546875" style="847" customWidth="1"/>
    <col min="1803" max="2048" width="11.42578125" style="847"/>
    <col min="2049" max="2049" width="39.42578125" style="847" bestFit="1" customWidth="1"/>
    <col min="2050" max="2051" width="10.7109375" style="847" customWidth="1"/>
    <col min="2052" max="2052" width="3.7109375" style="847" customWidth="1"/>
    <col min="2053" max="2054" width="10.7109375" style="847" customWidth="1"/>
    <col min="2055" max="2055" width="3.7109375" style="847" customWidth="1"/>
    <col min="2056" max="2057" width="10.7109375" style="847" customWidth="1"/>
    <col min="2058" max="2058" width="3.85546875" style="847" customWidth="1"/>
    <col min="2059" max="2304" width="11.42578125" style="847"/>
    <col min="2305" max="2305" width="39.42578125" style="847" bestFit="1" customWidth="1"/>
    <col min="2306" max="2307" width="10.7109375" style="847" customWidth="1"/>
    <col min="2308" max="2308" width="3.7109375" style="847" customWidth="1"/>
    <col min="2309" max="2310" width="10.7109375" style="847" customWidth="1"/>
    <col min="2311" max="2311" width="3.7109375" style="847" customWidth="1"/>
    <col min="2312" max="2313" width="10.7109375" style="847" customWidth="1"/>
    <col min="2314" max="2314" width="3.85546875" style="847" customWidth="1"/>
    <col min="2315" max="2560" width="11.42578125" style="847"/>
    <col min="2561" max="2561" width="39.42578125" style="847" bestFit="1" customWidth="1"/>
    <col min="2562" max="2563" width="10.7109375" style="847" customWidth="1"/>
    <col min="2564" max="2564" width="3.7109375" style="847" customWidth="1"/>
    <col min="2565" max="2566" width="10.7109375" style="847" customWidth="1"/>
    <col min="2567" max="2567" width="3.7109375" style="847" customWidth="1"/>
    <col min="2568" max="2569" width="10.7109375" style="847" customWidth="1"/>
    <col min="2570" max="2570" width="3.85546875" style="847" customWidth="1"/>
    <col min="2571" max="2816" width="11.42578125" style="847"/>
    <col min="2817" max="2817" width="39.42578125" style="847" bestFit="1" customWidth="1"/>
    <col min="2818" max="2819" width="10.7109375" style="847" customWidth="1"/>
    <col min="2820" max="2820" width="3.7109375" style="847" customWidth="1"/>
    <col min="2821" max="2822" width="10.7109375" style="847" customWidth="1"/>
    <col min="2823" max="2823" width="3.7109375" style="847" customWidth="1"/>
    <col min="2824" max="2825" width="10.7109375" style="847" customWidth="1"/>
    <col min="2826" max="2826" width="3.85546875" style="847" customWidth="1"/>
    <col min="2827" max="3072" width="11.42578125" style="847"/>
    <col min="3073" max="3073" width="39.42578125" style="847" bestFit="1" customWidth="1"/>
    <col min="3074" max="3075" width="10.7109375" style="847" customWidth="1"/>
    <col min="3076" max="3076" width="3.7109375" style="847" customWidth="1"/>
    <col min="3077" max="3078" width="10.7109375" style="847" customWidth="1"/>
    <col min="3079" max="3079" width="3.7109375" style="847" customWidth="1"/>
    <col min="3080" max="3081" width="10.7109375" style="847" customWidth="1"/>
    <col min="3082" max="3082" width="3.85546875" style="847" customWidth="1"/>
    <col min="3083" max="3328" width="11.42578125" style="847"/>
    <col min="3329" max="3329" width="39.42578125" style="847" bestFit="1" customWidth="1"/>
    <col min="3330" max="3331" width="10.7109375" style="847" customWidth="1"/>
    <col min="3332" max="3332" width="3.7109375" style="847" customWidth="1"/>
    <col min="3333" max="3334" width="10.7109375" style="847" customWidth="1"/>
    <col min="3335" max="3335" width="3.7109375" style="847" customWidth="1"/>
    <col min="3336" max="3337" width="10.7109375" style="847" customWidth="1"/>
    <col min="3338" max="3338" width="3.85546875" style="847" customWidth="1"/>
    <col min="3339" max="3584" width="11.42578125" style="847"/>
    <col min="3585" max="3585" width="39.42578125" style="847" bestFit="1" customWidth="1"/>
    <col min="3586" max="3587" width="10.7109375" style="847" customWidth="1"/>
    <col min="3588" max="3588" width="3.7109375" style="847" customWidth="1"/>
    <col min="3589" max="3590" width="10.7109375" style="847" customWidth="1"/>
    <col min="3591" max="3591" width="3.7109375" style="847" customWidth="1"/>
    <col min="3592" max="3593" width="10.7109375" style="847" customWidth="1"/>
    <col min="3594" max="3594" width="3.85546875" style="847" customWidth="1"/>
    <col min="3595" max="3840" width="11.42578125" style="847"/>
    <col min="3841" max="3841" width="39.42578125" style="847" bestFit="1" customWidth="1"/>
    <col min="3842" max="3843" width="10.7109375" style="847" customWidth="1"/>
    <col min="3844" max="3844" width="3.7109375" style="847" customWidth="1"/>
    <col min="3845" max="3846" width="10.7109375" style="847" customWidth="1"/>
    <col min="3847" max="3847" width="3.7109375" style="847" customWidth="1"/>
    <col min="3848" max="3849" width="10.7109375" style="847" customWidth="1"/>
    <col min="3850" max="3850" width="3.85546875" style="847" customWidth="1"/>
    <col min="3851" max="4096" width="11.42578125" style="847"/>
    <col min="4097" max="4097" width="39.42578125" style="847" bestFit="1" customWidth="1"/>
    <col min="4098" max="4099" width="10.7109375" style="847" customWidth="1"/>
    <col min="4100" max="4100" width="3.7109375" style="847" customWidth="1"/>
    <col min="4101" max="4102" width="10.7109375" style="847" customWidth="1"/>
    <col min="4103" max="4103" width="3.7109375" style="847" customWidth="1"/>
    <col min="4104" max="4105" width="10.7109375" style="847" customWidth="1"/>
    <col min="4106" max="4106" width="3.85546875" style="847" customWidth="1"/>
    <col min="4107" max="4352" width="11.42578125" style="847"/>
    <col min="4353" max="4353" width="39.42578125" style="847" bestFit="1" customWidth="1"/>
    <col min="4354" max="4355" width="10.7109375" style="847" customWidth="1"/>
    <col min="4356" max="4356" width="3.7109375" style="847" customWidth="1"/>
    <col min="4357" max="4358" width="10.7109375" style="847" customWidth="1"/>
    <col min="4359" max="4359" width="3.7109375" style="847" customWidth="1"/>
    <col min="4360" max="4361" width="10.7109375" style="847" customWidth="1"/>
    <col min="4362" max="4362" width="3.85546875" style="847" customWidth="1"/>
    <col min="4363" max="4608" width="11.42578125" style="847"/>
    <col min="4609" max="4609" width="39.42578125" style="847" bestFit="1" customWidth="1"/>
    <col min="4610" max="4611" width="10.7109375" style="847" customWidth="1"/>
    <col min="4612" max="4612" width="3.7109375" style="847" customWidth="1"/>
    <col min="4613" max="4614" width="10.7109375" style="847" customWidth="1"/>
    <col min="4615" max="4615" width="3.7109375" style="847" customWidth="1"/>
    <col min="4616" max="4617" width="10.7109375" style="847" customWidth="1"/>
    <col min="4618" max="4618" width="3.85546875" style="847" customWidth="1"/>
    <col min="4619" max="4864" width="11.42578125" style="847"/>
    <col min="4865" max="4865" width="39.42578125" style="847" bestFit="1" customWidth="1"/>
    <col min="4866" max="4867" width="10.7109375" style="847" customWidth="1"/>
    <col min="4868" max="4868" width="3.7109375" style="847" customWidth="1"/>
    <col min="4869" max="4870" width="10.7109375" style="847" customWidth="1"/>
    <col min="4871" max="4871" width="3.7109375" style="847" customWidth="1"/>
    <col min="4872" max="4873" width="10.7109375" style="847" customWidth="1"/>
    <col min="4874" max="4874" width="3.85546875" style="847" customWidth="1"/>
    <col min="4875" max="5120" width="11.42578125" style="847"/>
    <col min="5121" max="5121" width="39.42578125" style="847" bestFit="1" customWidth="1"/>
    <col min="5122" max="5123" width="10.7109375" style="847" customWidth="1"/>
    <col min="5124" max="5124" width="3.7109375" style="847" customWidth="1"/>
    <col min="5125" max="5126" width="10.7109375" style="847" customWidth="1"/>
    <col min="5127" max="5127" width="3.7109375" style="847" customWidth="1"/>
    <col min="5128" max="5129" width="10.7109375" style="847" customWidth="1"/>
    <col min="5130" max="5130" width="3.85546875" style="847" customWidth="1"/>
    <col min="5131" max="5376" width="11.42578125" style="847"/>
    <col min="5377" max="5377" width="39.42578125" style="847" bestFit="1" customWidth="1"/>
    <col min="5378" max="5379" width="10.7109375" style="847" customWidth="1"/>
    <col min="5380" max="5380" width="3.7109375" style="847" customWidth="1"/>
    <col min="5381" max="5382" width="10.7109375" style="847" customWidth="1"/>
    <col min="5383" max="5383" width="3.7109375" style="847" customWidth="1"/>
    <col min="5384" max="5385" width="10.7109375" style="847" customWidth="1"/>
    <col min="5386" max="5386" width="3.85546875" style="847" customWidth="1"/>
    <col min="5387" max="5632" width="11.42578125" style="847"/>
    <col min="5633" max="5633" width="39.42578125" style="847" bestFit="1" customWidth="1"/>
    <col min="5634" max="5635" width="10.7109375" style="847" customWidth="1"/>
    <col min="5636" max="5636" width="3.7109375" style="847" customWidth="1"/>
    <col min="5637" max="5638" width="10.7109375" style="847" customWidth="1"/>
    <col min="5639" max="5639" width="3.7109375" style="847" customWidth="1"/>
    <col min="5640" max="5641" width="10.7109375" style="847" customWidth="1"/>
    <col min="5642" max="5642" width="3.85546875" style="847" customWidth="1"/>
    <col min="5643" max="5888" width="11.42578125" style="847"/>
    <col min="5889" max="5889" width="39.42578125" style="847" bestFit="1" customWidth="1"/>
    <col min="5890" max="5891" width="10.7109375" style="847" customWidth="1"/>
    <col min="5892" max="5892" width="3.7109375" style="847" customWidth="1"/>
    <col min="5893" max="5894" width="10.7109375" style="847" customWidth="1"/>
    <col min="5895" max="5895" width="3.7109375" style="847" customWidth="1"/>
    <col min="5896" max="5897" width="10.7109375" style="847" customWidth="1"/>
    <col min="5898" max="5898" width="3.85546875" style="847" customWidth="1"/>
    <col min="5899" max="6144" width="11.42578125" style="847"/>
    <col min="6145" max="6145" width="39.42578125" style="847" bestFit="1" customWidth="1"/>
    <col min="6146" max="6147" width="10.7109375" style="847" customWidth="1"/>
    <col min="6148" max="6148" width="3.7109375" style="847" customWidth="1"/>
    <col min="6149" max="6150" width="10.7109375" style="847" customWidth="1"/>
    <col min="6151" max="6151" width="3.7109375" style="847" customWidth="1"/>
    <col min="6152" max="6153" width="10.7109375" style="847" customWidth="1"/>
    <col min="6154" max="6154" width="3.85546875" style="847" customWidth="1"/>
    <col min="6155" max="6400" width="11.42578125" style="847"/>
    <col min="6401" max="6401" width="39.42578125" style="847" bestFit="1" customWidth="1"/>
    <col min="6402" max="6403" width="10.7109375" style="847" customWidth="1"/>
    <col min="6404" max="6404" width="3.7109375" style="847" customWidth="1"/>
    <col min="6405" max="6406" width="10.7109375" style="847" customWidth="1"/>
    <col min="6407" max="6407" width="3.7109375" style="847" customWidth="1"/>
    <col min="6408" max="6409" width="10.7109375" style="847" customWidth="1"/>
    <col min="6410" max="6410" width="3.85546875" style="847" customWidth="1"/>
    <col min="6411" max="6656" width="11.42578125" style="847"/>
    <col min="6657" max="6657" width="39.42578125" style="847" bestFit="1" customWidth="1"/>
    <col min="6658" max="6659" width="10.7109375" style="847" customWidth="1"/>
    <col min="6660" max="6660" width="3.7109375" style="847" customWidth="1"/>
    <col min="6661" max="6662" width="10.7109375" style="847" customWidth="1"/>
    <col min="6663" max="6663" width="3.7109375" style="847" customWidth="1"/>
    <col min="6664" max="6665" width="10.7109375" style="847" customWidth="1"/>
    <col min="6666" max="6666" width="3.85546875" style="847" customWidth="1"/>
    <col min="6667" max="6912" width="11.42578125" style="847"/>
    <col min="6913" max="6913" width="39.42578125" style="847" bestFit="1" customWidth="1"/>
    <col min="6914" max="6915" width="10.7109375" style="847" customWidth="1"/>
    <col min="6916" max="6916" width="3.7109375" style="847" customWidth="1"/>
    <col min="6917" max="6918" width="10.7109375" style="847" customWidth="1"/>
    <col min="6919" max="6919" width="3.7109375" style="847" customWidth="1"/>
    <col min="6920" max="6921" width="10.7109375" style="847" customWidth="1"/>
    <col min="6922" max="6922" width="3.85546875" style="847" customWidth="1"/>
    <col min="6923" max="7168" width="11.42578125" style="847"/>
    <col min="7169" max="7169" width="39.42578125" style="847" bestFit="1" customWidth="1"/>
    <col min="7170" max="7171" width="10.7109375" style="847" customWidth="1"/>
    <col min="7172" max="7172" width="3.7109375" style="847" customWidth="1"/>
    <col min="7173" max="7174" width="10.7109375" style="847" customWidth="1"/>
    <col min="7175" max="7175" width="3.7109375" style="847" customWidth="1"/>
    <col min="7176" max="7177" width="10.7109375" style="847" customWidth="1"/>
    <col min="7178" max="7178" width="3.85546875" style="847" customWidth="1"/>
    <col min="7179" max="7424" width="11.42578125" style="847"/>
    <col min="7425" max="7425" width="39.42578125" style="847" bestFit="1" customWidth="1"/>
    <col min="7426" max="7427" width="10.7109375" style="847" customWidth="1"/>
    <col min="7428" max="7428" width="3.7109375" style="847" customWidth="1"/>
    <col min="7429" max="7430" width="10.7109375" style="847" customWidth="1"/>
    <col min="7431" max="7431" width="3.7109375" style="847" customWidth="1"/>
    <col min="7432" max="7433" width="10.7109375" style="847" customWidth="1"/>
    <col min="7434" max="7434" width="3.85546875" style="847" customWidth="1"/>
    <col min="7435" max="7680" width="11.42578125" style="847"/>
    <col min="7681" max="7681" width="39.42578125" style="847" bestFit="1" customWidth="1"/>
    <col min="7682" max="7683" width="10.7109375" style="847" customWidth="1"/>
    <col min="7684" max="7684" width="3.7109375" style="847" customWidth="1"/>
    <col min="7685" max="7686" width="10.7109375" style="847" customWidth="1"/>
    <col min="7687" max="7687" width="3.7109375" style="847" customWidth="1"/>
    <col min="7688" max="7689" width="10.7109375" style="847" customWidth="1"/>
    <col min="7690" max="7690" width="3.85546875" style="847" customWidth="1"/>
    <col min="7691" max="7936" width="11.42578125" style="847"/>
    <col min="7937" max="7937" width="39.42578125" style="847" bestFit="1" customWidth="1"/>
    <col min="7938" max="7939" width="10.7109375" style="847" customWidth="1"/>
    <col min="7940" max="7940" width="3.7109375" style="847" customWidth="1"/>
    <col min="7941" max="7942" width="10.7109375" style="847" customWidth="1"/>
    <col min="7943" max="7943" width="3.7109375" style="847" customWidth="1"/>
    <col min="7944" max="7945" width="10.7109375" style="847" customWidth="1"/>
    <col min="7946" max="7946" width="3.85546875" style="847" customWidth="1"/>
    <col min="7947" max="8192" width="11.42578125" style="847"/>
    <col min="8193" max="8193" width="39.42578125" style="847" bestFit="1" customWidth="1"/>
    <col min="8194" max="8195" width="10.7109375" style="847" customWidth="1"/>
    <col min="8196" max="8196" width="3.7109375" style="847" customWidth="1"/>
    <col min="8197" max="8198" width="10.7109375" style="847" customWidth="1"/>
    <col min="8199" max="8199" width="3.7109375" style="847" customWidth="1"/>
    <col min="8200" max="8201" width="10.7109375" style="847" customWidth="1"/>
    <col min="8202" max="8202" width="3.85546875" style="847" customWidth="1"/>
    <col min="8203" max="8448" width="11.42578125" style="847"/>
    <col min="8449" max="8449" width="39.42578125" style="847" bestFit="1" customWidth="1"/>
    <col min="8450" max="8451" width="10.7109375" style="847" customWidth="1"/>
    <col min="8452" max="8452" width="3.7109375" style="847" customWidth="1"/>
    <col min="8453" max="8454" width="10.7109375" style="847" customWidth="1"/>
    <col min="8455" max="8455" width="3.7109375" style="847" customWidth="1"/>
    <col min="8456" max="8457" width="10.7109375" style="847" customWidth="1"/>
    <col min="8458" max="8458" width="3.85546875" style="847" customWidth="1"/>
    <col min="8459" max="8704" width="11.42578125" style="847"/>
    <col min="8705" max="8705" width="39.42578125" style="847" bestFit="1" customWidth="1"/>
    <col min="8706" max="8707" width="10.7109375" style="847" customWidth="1"/>
    <col min="8708" max="8708" width="3.7109375" style="847" customWidth="1"/>
    <col min="8709" max="8710" width="10.7109375" style="847" customWidth="1"/>
    <col min="8711" max="8711" width="3.7109375" style="847" customWidth="1"/>
    <col min="8712" max="8713" width="10.7109375" style="847" customWidth="1"/>
    <col min="8714" max="8714" width="3.85546875" style="847" customWidth="1"/>
    <col min="8715" max="8960" width="11.42578125" style="847"/>
    <col min="8961" max="8961" width="39.42578125" style="847" bestFit="1" customWidth="1"/>
    <col min="8962" max="8963" width="10.7109375" style="847" customWidth="1"/>
    <col min="8964" max="8964" width="3.7109375" style="847" customWidth="1"/>
    <col min="8965" max="8966" width="10.7109375" style="847" customWidth="1"/>
    <col min="8967" max="8967" width="3.7109375" style="847" customWidth="1"/>
    <col min="8968" max="8969" width="10.7109375" style="847" customWidth="1"/>
    <col min="8970" max="8970" width="3.85546875" style="847" customWidth="1"/>
    <col min="8971" max="9216" width="11.42578125" style="847"/>
    <col min="9217" max="9217" width="39.42578125" style="847" bestFit="1" customWidth="1"/>
    <col min="9218" max="9219" width="10.7109375" style="847" customWidth="1"/>
    <col min="9220" max="9220" width="3.7109375" style="847" customWidth="1"/>
    <col min="9221" max="9222" width="10.7109375" style="847" customWidth="1"/>
    <col min="9223" max="9223" width="3.7109375" style="847" customWidth="1"/>
    <col min="9224" max="9225" width="10.7109375" style="847" customWidth="1"/>
    <col min="9226" max="9226" width="3.85546875" style="847" customWidth="1"/>
    <col min="9227" max="9472" width="11.42578125" style="847"/>
    <col min="9473" max="9473" width="39.42578125" style="847" bestFit="1" customWidth="1"/>
    <col min="9474" max="9475" width="10.7109375" style="847" customWidth="1"/>
    <col min="9476" max="9476" width="3.7109375" style="847" customWidth="1"/>
    <col min="9477" max="9478" width="10.7109375" style="847" customWidth="1"/>
    <col min="9479" max="9479" width="3.7109375" style="847" customWidth="1"/>
    <col min="9480" max="9481" width="10.7109375" style="847" customWidth="1"/>
    <col min="9482" max="9482" width="3.85546875" style="847" customWidth="1"/>
    <col min="9483" max="9728" width="11.42578125" style="847"/>
    <col min="9729" max="9729" width="39.42578125" style="847" bestFit="1" customWidth="1"/>
    <col min="9730" max="9731" width="10.7109375" style="847" customWidth="1"/>
    <col min="9732" max="9732" width="3.7109375" style="847" customWidth="1"/>
    <col min="9733" max="9734" width="10.7109375" style="847" customWidth="1"/>
    <col min="9735" max="9735" width="3.7109375" style="847" customWidth="1"/>
    <col min="9736" max="9737" width="10.7109375" style="847" customWidth="1"/>
    <col min="9738" max="9738" width="3.85546875" style="847" customWidth="1"/>
    <col min="9739" max="9984" width="11.42578125" style="847"/>
    <col min="9985" max="9985" width="39.42578125" style="847" bestFit="1" customWidth="1"/>
    <col min="9986" max="9987" width="10.7109375" style="847" customWidth="1"/>
    <col min="9988" max="9988" width="3.7109375" style="847" customWidth="1"/>
    <col min="9989" max="9990" width="10.7109375" style="847" customWidth="1"/>
    <col min="9991" max="9991" width="3.7109375" style="847" customWidth="1"/>
    <col min="9992" max="9993" width="10.7109375" style="847" customWidth="1"/>
    <col min="9994" max="9994" width="3.85546875" style="847" customWidth="1"/>
    <col min="9995" max="10240" width="11.42578125" style="847"/>
    <col min="10241" max="10241" width="39.42578125" style="847" bestFit="1" customWidth="1"/>
    <col min="10242" max="10243" width="10.7109375" style="847" customWidth="1"/>
    <col min="10244" max="10244" width="3.7109375" style="847" customWidth="1"/>
    <col min="10245" max="10246" width="10.7109375" style="847" customWidth="1"/>
    <col min="10247" max="10247" width="3.7109375" style="847" customWidth="1"/>
    <col min="10248" max="10249" width="10.7109375" style="847" customWidth="1"/>
    <col min="10250" max="10250" width="3.85546875" style="847" customWidth="1"/>
    <col min="10251" max="10496" width="11.42578125" style="847"/>
    <col min="10497" max="10497" width="39.42578125" style="847" bestFit="1" customWidth="1"/>
    <col min="10498" max="10499" width="10.7109375" style="847" customWidth="1"/>
    <col min="10500" max="10500" width="3.7109375" style="847" customWidth="1"/>
    <col min="10501" max="10502" width="10.7109375" style="847" customWidth="1"/>
    <col min="10503" max="10503" width="3.7109375" style="847" customWidth="1"/>
    <col min="10504" max="10505" width="10.7109375" style="847" customWidth="1"/>
    <col min="10506" max="10506" width="3.85546875" style="847" customWidth="1"/>
    <col min="10507" max="10752" width="11.42578125" style="847"/>
    <col min="10753" max="10753" width="39.42578125" style="847" bestFit="1" customWidth="1"/>
    <col min="10754" max="10755" width="10.7109375" style="847" customWidth="1"/>
    <col min="10756" max="10756" width="3.7109375" style="847" customWidth="1"/>
    <col min="10757" max="10758" width="10.7109375" style="847" customWidth="1"/>
    <col min="10759" max="10759" width="3.7109375" style="847" customWidth="1"/>
    <col min="10760" max="10761" width="10.7109375" style="847" customWidth="1"/>
    <col min="10762" max="10762" width="3.85546875" style="847" customWidth="1"/>
    <col min="10763" max="11008" width="11.42578125" style="847"/>
    <col min="11009" max="11009" width="39.42578125" style="847" bestFit="1" customWidth="1"/>
    <col min="11010" max="11011" width="10.7109375" style="847" customWidth="1"/>
    <col min="11012" max="11012" width="3.7109375" style="847" customWidth="1"/>
    <col min="11013" max="11014" width="10.7109375" style="847" customWidth="1"/>
    <col min="11015" max="11015" width="3.7109375" style="847" customWidth="1"/>
    <col min="11016" max="11017" width="10.7109375" style="847" customWidth="1"/>
    <col min="11018" max="11018" width="3.85546875" style="847" customWidth="1"/>
    <col min="11019" max="11264" width="11.42578125" style="847"/>
    <col min="11265" max="11265" width="39.42578125" style="847" bestFit="1" customWidth="1"/>
    <col min="11266" max="11267" width="10.7109375" style="847" customWidth="1"/>
    <col min="11268" max="11268" width="3.7109375" style="847" customWidth="1"/>
    <col min="11269" max="11270" width="10.7109375" style="847" customWidth="1"/>
    <col min="11271" max="11271" width="3.7109375" style="847" customWidth="1"/>
    <col min="11272" max="11273" width="10.7109375" style="847" customWidth="1"/>
    <col min="11274" max="11274" width="3.85546875" style="847" customWidth="1"/>
    <col min="11275" max="11520" width="11.42578125" style="847"/>
    <col min="11521" max="11521" width="39.42578125" style="847" bestFit="1" customWidth="1"/>
    <col min="11522" max="11523" width="10.7109375" style="847" customWidth="1"/>
    <col min="11524" max="11524" width="3.7109375" style="847" customWidth="1"/>
    <col min="11525" max="11526" width="10.7109375" style="847" customWidth="1"/>
    <col min="11527" max="11527" width="3.7109375" style="847" customWidth="1"/>
    <col min="11528" max="11529" width="10.7109375" style="847" customWidth="1"/>
    <col min="11530" max="11530" width="3.85546875" style="847" customWidth="1"/>
    <col min="11531" max="11776" width="11.42578125" style="847"/>
    <col min="11777" max="11777" width="39.42578125" style="847" bestFit="1" customWidth="1"/>
    <col min="11778" max="11779" width="10.7109375" style="847" customWidth="1"/>
    <col min="11780" max="11780" width="3.7109375" style="847" customWidth="1"/>
    <col min="11781" max="11782" width="10.7109375" style="847" customWidth="1"/>
    <col min="11783" max="11783" width="3.7109375" style="847" customWidth="1"/>
    <col min="11784" max="11785" width="10.7109375" style="847" customWidth="1"/>
    <col min="11786" max="11786" width="3.85546875" style="847" customWidth="1"/>
    <col min="11787" max="12032" width="11.42578125" style="847"/>
    <col min="12033" max="12033" width="39.42578125" style="847" bestFit="1" customWidth="1"/>
    <col min="12034" max="12035" width="10.7109375" style="847" customWidth="1"/>
    <col min="12036" max="12036" width="3.7109375" style="847" customWidth="1"/>
    <col min="12037" max="12038" width="10.7109375" style="847" customWidth="1"/>
    <col min="12039" max="12039" width="3.7109375" style="847" customWidth="1"/>
    <col min="12040" max="12041" width="10.7109375" style="847" customWidth="1"/>
    <col min="12042" max="12042" width="3.85546875" style="847" customWidth="1"/>
    <col min="12043" max="12288" width="11.42578125" style="847"/>
    <col min="12289" max="12289" width="39.42578125" style="847" bestFit="1" customWidth="1"/>
    <col min="12290" max="12291" width="10.7109375" style="847" customWidth="1"/>
    <col min="12292" max="12292" width="3.7109375" style="847" customWidth="1"/>
    <col min="12293" max="12294" width="10.7109375" style="847" customWidth="1"/>
    <col min="12295" max="12295" width="3.7109375" style="847" customWidth="1"/>
    <col min="12296" max="12297" width="10.7109375" style="847" customWidth="1"/>
    <col min="12298" max="12298" width="3.85546875" style="847" customWidth="1"/>
    <col min="12299" max="12544" width="11.42578125" style="847"/>
    <col min="12545" max="12545" width="39.42578125" style="847" bestFit="1" customWidth="1"/>
    <col min="12546" max="12547" width="10.7109375" style="847" customWidth="1"/>
    <col min="12548" max="12548" width="3.7109375" style="847" customWidth="1"/>
    <col min="12549" max="12550" width="10.7109375" style="847" customWidth="1"/>
    <col min="12551" max="12551" width="3.7109375" style="847" customWidth="1"/>
    <col min="12552" max="12553" width="10.7109375" style="847" customWidth="1"/>
    <col min="12554" max="12554" width="3.85546875" style="847" customWidth="1"/>
    <col min="12555" max="12800" width="11.42578125" style="847"/>
    <col min="12801" max="12801" width="39.42578125" style="847" bestFit="1" customWidth="1"/>
    <col min="12802" max="12803" width="10.7109375" style="847" customWidth="1"/>
    <col min="12804" max="12804" width="3.7109375" style="847" customWidth="1"/>
    <col min="12805" max="12806" width="10.7109375" style="847" customWidth="1"/>
    <col min="12807" max="12807" width="3.7109375" style="847" customWidth="1"/>
    <col min="12808" max="12809" width="10.7109375" style="847" customWidth="1"/>
    <col min="12810" max="12810" width="3.85546875" style="847" customWidth="1"/>
    <col min="12811" max="13056" width="11.42578125" style="847"/>
    <col min="13057" max="13057" width="39.42578125" style="847" bestFit="1" customWidth="1"/>
    <col min="13058" max="13059" width="10.7109375" style="847" customWidth="1"/>
    <col min="13060" max="13060" width="3.7109375" style="847" customWidth="1"/>
    <col min="13061" max="13062" width="10.7109375" style="847" customWidth="1"/>
    <col min="13063" max="13063" width="3.7109375" style="847" customWidth="1"/>
    <col min="13064" max="13065" width="10.7109375" style="847" customWidth="1"/>
    <col min="13066" max="13066" width="3.85546875" style="847" customWidth="1"/>
    <col min="13067" max="13312" width="11.42578125" style="847"/>
    <col min="13313" max="13313" width="39.42578125" style="847" bestFit="1" customWidth="1"/>
    <col min="13314" max="13315" width="10.7109375" style="847" customWidth="1"/>
    <col min="13316" max="13316" width="3.7109375" style="847" customWidth="1"/>
    <col min="13317" max="13318" width="10.7109375" style="847" customWidth="1"/>
    <col min="13319" max="13319" width="3.7109375" style="847" customWidth="1"/>
    <col min="13320" max="13321" width="10.7109375" style="847" customWidth="1"/>
    <col min="13322" max="13322" width="3.85546875" style="847" customWidth="1"/>
    <col min="13323" max="13568" width="11.42578125" style="847"/>
    <col min="13569" max="13569" width="39.42578125" style="847" bestFit="1" customWidth="1"/>
    <col min="13570" max="13571" width="10.7109375" style="847" customWidth="1"/>
    <col min="13572" max="13572" width="3.7109375" style="847" customWidth="1"/>
    <col min="13573" max="13574" width="10.7109375" style="847" customWidth="1"/>
    <col min="13575" max="13575" width="3.7109375" style="847" customWidth="1"/>
    <col min="13576" max="13577" width="10.7109375" style="847" customWidth="1"/>
    <col min="13578" max="13578" width="3.85546875" style="847" customWidth="1"/>
    <col min="13579" max="13824" width="11.42578125" style="847"/>
    <col min="13825" max="13825" width="39.42578125" style="847" bestFit="1" customWidth="1"/>
    <col min="13826" max="13827" width="10.7109375" style="847" customWidth="1"/>
    <col min="13828" max="13828" width="3.7109375" style="847" customWidth="1"/>
    <col min="13829" max="13830" width="10.7109375" style="847" customWidth="1"/>
    <col min="13831" max="13831" width="3.7109375" style="847" customWidth="1"/>
    <col min="13832" max="13833" width="10.7109375" style="847" customWidth="1"/>
    <col min="13834" max="13834" width="3.85546875" style="847" customWidth="1"/>
    <col min="13835" max="14080" width="11.42578125" style="847"/>
    <col min="14081" max="14081" width="39.42578125" style="847" bestFit="1" customWidth="1"/>
    <col min="14082" max="14083" width="10.7109375" style="847" customWidth="1"/>
    <col min="14084" max="14084" width="3.7109375" style="847" customWidth="1"/>
    <col min="14085" max="14086" width="10.7109375" style="847" customWidth="1"/>
    <col min="14087" max="14087" width="3.7109375" style="847" customWidth="1"/>
    <col min="14088" max="14089" width="10.7109375" style="847" customWidth="1"/>
    <col min="14090" max="14090" width="3.85546875" style="847" customWidth="1"/>
    <col min="14091" max="14336" width="11.42578125" style="847"/>
    <col min="14337" max="14337" width="39.42578125" style="847" bestFit="1" customWidth="1"/>
    <col min="14338" max="14339" width="10.7109375" style="847" customWidth="1"/>
    <col min="14340" max="14340" width="3.7109375" style="847" customWidth="1"/>
    <col min="14341" max="14342" width="10.7109375" style="847" customWidth="1"/>
    <col min="14343" max="14343" width="3.7109375" style="847" customWidth="1"/>
    <col min="14344" max="14345" width="10.7109375" style="847" customWidth="1"/>
    <col min="14346" max="14346" width="3.85546875" style="847" customWidth="1"/>
    <col min="14347" max="14592" width="11.42578125" style="847"/>
    <col min="14593" max="14593" width="39.42578125" style="847" bestFit="1" customWidth="1"/>
    <col min="14594" max="14595" width="10.7109375" style="847" customWidth="1"/>
    <col min="14596" max="14596" width="3.7109375" style="847" customWidth="1"/>
    <col min="14597" max="14598" width="10.7109375" style="847" customWidth="1"/>
    <col min="14599" max="14599" width="3.7109375" style="847" customWidth="1"/>
    <col min="14600" max="14601" width="10.7109375" style="847" customWidth="1"/>
    <col min="14602" max="14602" width="3.85546875" style="847" customWidth="1"/>
    <col min="14603" max="14848" width="11.42578125" style="847"/>
    <col min="14849" max="14849" width="39.42578125" style="847" bestFit="1" customWidth="1"/>
    <col min="14850" max="14851" width="10.7109375" style="847" customWidth="1"/>
    <col min="14852" max="14852" width="3.7109375" style="847" customWidth="1"/>
    <col min="14853" max="14854" width="10.7109375" style="847" customWidth="1"/>
    <col min="14855" max="14855" width="3.7109375" style="847" customWidth="1"/>
    <col min="14856" max="14857" width="10.7109375" style="847" customWidth="1"/>
    <col min="14858" max="14858" width="3.85546875" style="847" customWidth="1"/>
    <col min="14859" max="15104" width="11.42578125" style="847"/>
    <col min="15105" max="15105" width="39.42578125" style="847" bestFit="1" customWidth="1"/>
    <col min="15106" max="15107" width="10.7109375" style="847" customWidth="1"/>
    <col min="15108" max="15108" width="3.7109375" style="847" customWidth="1"/>
    <col min="15109" max="15110" width="10.7109375" style="847" customWidth="1"/>
    <col min="15111" max="15111" width="3.7109375" style="847" customWidth="1"/>
    <col min="15112" max="15113" width="10.7109375" style="847" customWidth="1"/>
    <col min="15114" max="15114" width="3.85546875" style="847" customWidth="1"/>
    <col min="15115" max="15360" width="11.42578125" style="847"/>
    <col min="15361" max="15361" width="39.42578125" style="847" bestFit="1" customWidth="1"/>
    <col min="15362" max="15363" width="10.7109375" style="847" customWidth="1"/>
    <col min="15364" max="15364" width="3.7109375" style="847" customWidth="1"/>
    <col min="15365" max="15366" width="10.7109375" style="847" customWidth="1"/>
    <col min="15367" max="15367" width="3.7109375" style="847" customWidth="1"/>
    <col min="15368" max="15369" width="10.7109375" style="847" customWidth="1"/>
    <col min="15370" max="15370" width="3.85546875" style="847" customWidth="1"/>
    <col min="15371" max="15616" width="11.42578125" style="847"/>
    <col min="15617" max="15617" width="39.42578125" style="847" bestFit="1" customWidth="1"/>
    <col min="15618" max="15619" width="10.7109375" style="847" customWidth="1"/>
    <col min="15620" max="15620" width="3.7109375" style="847" customWidth="1"/>
    <col min="15621" max="15622" width="10.7109375" style="847" customWidth="1"/>
    <col min="15623" max="15623" width="3.7109375" style="847" customWidth="1"/>
    <col min="15624" max="15625" width="10.7109375" style="847" customWidth="1"/>
    <col min="15626" max="15626" width="3.85546875" style="847" customWidth="1"/>
    <col min="15627" max="15872" width="11.42578125" style="847"/>
    <col min="15873" max="15873" width="39.42578125" style="847" bestFit="1" customWidth="1"/>
    <col min="15874" max="15875" width="10.7109375" style="847" customWidth="1"/>
    <col min="15876" max="15876" width="3.7109375" style="847" customWidth="1"/>
    <col min="15877" max="15878" width="10.7109375" style="847" customWidth="1"/>
    <col min="15879" max="15879" width="3.7109375" style="847" customWidth="1"/>
    <col min="15880" max="15881" width="10.7109375" style="847" customWidth="1"/>
    <col min="15882" max="15882" width="3.85546875" style="847" customWidth="1"/>
    <col min="15883" max="16128" width="11.42578125" style="847"/>
    <col min="16129" max="16129" width="39.42578125" style="847" bestFit="1" customWidth="1"/>
    <col min="16130" max="16131" width="10.7109375" style="847" customWidth="1"/>
    <col min="16132" max="16132" width="3.7109375" style="847" customWidth="1"/>
    <col min="16133" max="16134" width="10.7109375" style="847" customWidth="1"/>
    <col min="16135" max="16135" width="3.7109375" style="847" customWidth="1"/>
    <col min="16136" max="16137" width="10.7109375" style="847" customWidth="1"/>
    <col min="16138" max="16138" width="3.85546875" style="847" customWidth="1"/>
    <col min="16139" max="16384" width="11.42578125" style="847"/>
  </cols>
  <sheetData>
    <row r="1" spans="1:10" ht="11.25" customHeight="1">
      <c r="A1" s="847" t="s">
        <v>496</v>
      </c>
    </row>
    <row r="2" spans="1:10">
      <c r="A2" s="847" t="s">
        <v>497</v>
      </c>
    </row>
    <row r="3" spans="1:10" ht="8.25" customHeight="1"/>
    <row r="4" spans="1:10">
      <c r="A4" s="877" t="s">
        <v>1764</v>
      </c>
      <c r="B4" s="1073"/>
    </row>
    <row r="5" spans="1:10" ht="9.9499999999999993" customHeight="1" thickBot="1">
      <c r="C5" s="1074"/>
      <c r="F5" s="1050"/>
      <c r="J5" s="943"/>
    </row>
    <row r="6" spans="1:10" s="867" customFormat="1" ht="9.9499999999999993" customHeight="1">
      <c r="A6" s="850"/>
      <c r="B6" s="1075"/>
      <c r="C6" s="1076"/>
      <c r="D6" s="850"/>
      <c r="E6" s="1092"/>
      <c r="F6" s="1093"/>
      <c r="G6" s="870"/>
      <c r="H6" s="1092"/>
      <c r="I6" s="1077"/>
      <c r="J6" s="993"/>
    </row>
    <row r="7" spans="1:10" s="867" customFormat="1">
      <c r="A7" s="849" t="s">
        <v>1765</v>
      </c>
      <c r="B7" s="1330" t="s">
        <v>1746</v>
      </c>
      <c r="C7" s="1330"/>
      <c r="D7" s="849"/>
      <c r="E7" s="1322" t="s">
        <v>1766</v>
      </c>
      <c r="F7" s="1322"/>
      <c r="G7" s="877"/>
      <c r="H7" s="1331" t="s">
        <v>1767</v>
      </c>
      <c r="I7" s="1331"/>
      <c r="J7" s="999"/>
    </row>
    <row r="8" spans="1:10">
      <c r="A8" s="847" t="s">
        <v>1768</v>
      </c>
      <c r="B8" s="1078" t="s">
        <v>1769</v>
      </c>
      <c r="C8" s="1079" t="s">
        <v>1750</v>
      </c>
      <c r="D8" s="849"/>
      <c r="E8" s="1094" t="s">
        <v>1769</v>
      </c>
      <c r="F8" s="1095" t="s">
        <v>1750</v>
      </c>
      <c r="G8" s="877"/>
      <c r="H8" s="1094" t="s">
        <v>1769</v>
      </c>
      <c r="I8" s="1080" t="s">
        <v>1750</v>
      </c>
      <c r="J8" s="994"/>
    </row>
    <row r="9" spans="1:10" ht="9.9499999999999993" customHeight="1" thickBot="1">
      <c r="A9" s="848"/>
      <c r="B9" s="1081"/>
      <c r="C9" s="1082"/>
      <c r="D9" s="848"/>
      <c r="E9" s="1096"/>
      <c r="F9" s="1097"/>
      <c r="G9" s="897"/>
      <c r="H9" s="1096"/>
      <c r="I9" s="1083"/>
      <c r="J9" s="996"/>
    </row>
    <row r="10" spans="1:10" ht="9" customHeight="1">
      <c r="A10" s="849"/>
      <c r="B10" s="1073"/>
      <c r="C10" s="1084"/>
      <c r="D10" s="849"/>
      <c r="E10" s="1043"/>
      <c r="F10" s="1044"/>
      <c r="G10" s="877"/>
      <c r="H10" s="1043"/>
      <c r="I10" s="1030"/>
      <c r="J10" s="999"/>
    </row>
    <row r="11" spans="1:10" s="867" customFormat="1">
      <c r="A11" s="867" t="s">
        <v>325</v>
      </c>
      <c r="B11" s="864">
        <f>IF(A11&lt;&gt;0,E11+H11,"")</f>
        <v>22151</v>
      </c>
      <c r="C11" s="1098">
        <f>SUM(C13+C96)</f>
        <v>100</v>
      </c>
      <c r="D11" s="1099"/>
      <c r="E11" s="865">
        <f>SUM(E13+E96)</f>
        <v>19466</v>
      </c>
      <c r="F11" s="1100">
        <f>IF(A11&lt;&gt;0,E11/B11*100,"")</f>
        <v>87.878651076700834</v>
      </c>
      <c r="G11" s="1099"/>
      <c r="H11" s="865">
        <f>SUM(H13+H96)</f>
        <v>2685</v>
      </c>
      <c r="I11" s="1100">
        <f>IF(A11&lt;&gt;0,H11/B11*100,"")</f>
        <v>12.121348923299175</v>
      </c>
      <c r="J11" s="866"/>
    </row>
    <row r="12" spans="1:10" ht="6.95" customHeight="1">
      <c r="B12" s="856" t="str">
        <f t="shared" ref="B12:B75" si="0">IF(A12&lt;&gt;0,E12+H12,"")</f>
        <v/>
      </c>
      <c r="C12" s="1101"/>
      <c r="F12" s="1050" t="str">
        <f t="shared" ref="F12:F75" si="1">IF(A12&lt;&gt;0,E12/B12*100,"")</f>
        <v/>
      </c>
      <c r="I12" s="943" t="str">
        <f t="shared" ref="I12:I75" si="2">IF(A12&lt;&gt;0,H12/B12*100,"")</f>
        <v/>
      </c>
      <c r="J12" s="866"/>
    </row>
    <row r="13" spans="1:10" s="867" customFormat="1" ht="17.25">
      <c r="A13" s="867" t="s">
        <v>2148</v>
      </c>
      <c r="B13" s="864">
        <f t="shared" si="0"/>
        <v>14579</v>
      </c>
      <c r="C13" s="1098">
        <f t="shared" ref="C13:C76" si="3">(B13/$B$11)*100</f>
        <v>65.816441695634509</v>
      </c>
      <c r="D13" s="1099"/>
      <c r="E13" s="1102">
        <f>E15+E26+E34+E60+E67+E79+E93+E94</f>
        <v>12817</v>
      </c>
      <c r="F13" s="1100">
        <f t="shared" si="1"/>
        <v>87.914123053707385</v>
      </c>
      <c r="G13" s="1099"/>
      <c r="H13" s="1102">
        <f>H15+H26+H34+H60+H67+H79+H93+H94</f>
        <v>1762</v>
      </c>
      <c r="I13" s="1100">
        <f t="shared" si="2"/>
        <v>12.085876946292613</v>
      </c>
      <c r="J13" s="866"/>
    </row>
    <row r="14" spans="1:10" ht="6.95" customHeight="1">
      <c r="A14" s="867"/>
      <c r="B14" s="1103" t="str">
        <f t="shared" si="0"/>
        <v/>
      </c>
      <c r="C14" s="1101"/>
      <c r="D14" s="582"/>
      <c r="F14" s="1050" t="str">
        <f t="shared" si="1"/>
        <v/>
      </c>
      <c r="G14" s="1046"/>
      <c r="I14" s="1000" t="str">
        <f t="shared" si="2"/>
        <v/>
      </c>
      <c r="J14" s="866"/>
    </row>
    <row r="15" spans="1:10" s="867" customFormat="1">
      <c r="A15" s="867" t="s">
        <v>327</v>
      </c>
      <c r="B15" s="1104">
        <f t="shared" si="0"/>
        <v>1431</v>
      </c>
      <c r="C15" s="1098">
        <f t="shared" si="3"/>
        <v>6.4602049568868223</v>
      </c>
      <c r="D15" s="1105"/>
      <c r="E15" s="1102">
        <f>E16+E21</f>
        <v>1264</v>
      </c>
      <c r="F15" s="1100">
        <f t="shared" si="1"/>
        <v>88.329839273235507</v>
      </c>
      <c r="G15" s="1105"/>
      <c r="H15" s="1102">
        <f>H16+H21</f>
        <v>167</v>
      </c>
      <c r="I15" s="1100">
        <f t="shared" si="2"/>
        <v>11.6701607267645</v>
      </c>
      <c r="J15" s="866"/>
    </row>
    <row r="16" spans="1:10" s="1086" customFormat="1">
      <c r="A16" s="847" t="s">
        <v>20</v>
      </c>
      <c r="B16" s="1103">
        <f t="shared" si="0"/>
        <v>426</v>
      </c>
      <c r="C16" s="1101">
        <f t="shared" si="3"/>
        <v>1.9231637397860144</v>
      </c>
      <c r="D16" s="1085"/>
      <c r="E16" s="1049">
        <f>SUM(E17:E19)</f>
        <v>372</v>
      </c>
      <c r="F16" s="1050">
        <f t="shared" si="1"/>
        <v>87.323943661971825</v>
      </c>
      <c r="G16" s="1106"/>
      <c r="H16" s="1049">
        <f>SUM(H17:H19)</f>
        <v>54</v>
      </c>
      <c r="I16" s="1000">
        <f t="shared" si="2"/>
        <v>12.676056338028168</v>
      </c>
      <c r="J16" s="866"/>
    </row>
    <row r="17" spans="1:10" s="1088" customFormat="1">
      <c r="A17" s="847" t="s">
        <v>21</v>
      </c>
      <c r="B17" s="1103">
        <f t="shared" si="0"/>
        <v>69</v>
      </c>
      <c r="C17" s="1101">
        <f t="shared" si="3"/>
        <v>0.31149835221886146</v>
      </c>
      <c r="D17" s="1087"/>
      <c r="E17" s="1107">
        <v>65</v>
      </c>
      <c r="F17" s="1050">
        <f t="shared" si="1"/>
        <v>94.20289855072464</v>
      </c>
      <c r="G17" s="1108"/>
      <c r="H17" s="1107">
        <v>4</v>
      </c>
      <c r="I17" s="1000">
        <f t="shared" si="2"/>
        <v>5.7971014492753623</v>
      </c>
      <c r="J17" s="866"/>
    </row>
    <row r="18" spans="1:10" s="1088" customFormat="1">
      <c r="A18" s="847" t="s">
        <v>22</v>
      </c>
      <c r="B18" s="1103">
        <f t="shared" si="0"/>
        <v>91</v>
      </c>
      <c r="C18" s="1101">
        <f t="shared" si="3"/>
        <v>0.41081666741907813</v>
      </c>
      <c r="D18" s="1087"/>
      <c r="E18" s="1107">
        <v>79</v>
      </c>
      <c r="F18" s="1050">
        <f t="shared" si="1"/>
        <v>86.813186813186817</v>
      </c>
      <c r="G18" s="1108"/>
      <c r="H18" s="1107">
        <v>12</v>
      </c>
      <c r="I18" s="1000">
        <f t="shared" si="2"/>
        <v>13.186813186813188</v>
      </c>
      <c r="J18" s="866"/>
    </row>
    <row r="19" spans="1:10" s="1088" customFormat="1">
      <c r="A19" s="847" t="s">
        <v>23</v>
      </c>
      <c r="B19" s="1103">
        <f t="shared" si="0"/>
        <v>266</v>
      </c>
      <c r="C19" s="1101">
        <f t="shared" si="3"/>
        <v>1.2008487201480744</v>
      </c>
      <c r="D19" s="1087"/>
      <c r="E19" s="1107">
        <v>228</v>
      </c>
      <c r="F19" s="1050">
        <f t="shared" si="1"/>
        <v>85.714285714285708</v>
      </c>
      <c r="G19" s="1108"/>
      <c r="H19" s="1107">
        <v>38</v>
      </c>
      <c r="I19" s="1000">
        <f t="shared" si="2"/>
        <v>14.285714285714285</v>
      </c>
      <c r="J19" s="866"/>
    </row>
    <row r="20" spans="1:10" ht="6.95" customHeight="1">
      <c r="B20" s="1103" t="str">
        <f t="shared" si="0"/>
        <v/>
      </c>
      <c r="C20" s="1101"/>
      <c r="D20" s="582"/>
      <c r="F20" s="1050" t="str">
        <f t="shared" si="1"/>
        <v/>
      </c>
      <c r="G20" s="1046"/>
      <c r="I20" s="1000" t="str">
        <f t="shared" si="2"/>
        <v/>
      </c>
      <c r="J20" s="866"/>
    </row>
    <row r="21" spans="1:10" s="1109" customFormat="1">
      <c r="A21" s="847" t="s">
        <v>24</v>
      </c>
      <c r="B21" s="1103">
        <f t="shared" si="0"/>
        <v>1005</v>
      </c>
      <c r="C21" s="1101">
        <f t="shared" si="3"/>
        <v>4.5370412171008079</v>
      </c>
      <c r="D21" s="1106"/>
      <c r="E21" s="1049">
        <f>SUM(E22:E24)</f>
        <v>892</v>
      </c>
      <c r="F21" s="1050">
        <f t="shared" si="1"/>
        <v>88.756218905472636</v>
      </c>
      <c r="G21" s="1106"/>
      <c r="H21" s="1049">
        <f>SUM(H22:H24)</f>
        <v>113</v>
      </c>
      <c r="I21" s="1000">
        <f t="shared" si="2"/>
        <v>11.243781094527364</v>
      </c>
      <c r="J21" s="866"/>
    </row>
    <row r="22" spans="1:10" s="1088" customFormat="1">
      <c r="A22" s="847" t="s">
        <v>25</v>
      </c>
      <c r="B22" s="1103">
        <f t="shared" si="0"/>
        <v>330</v>
      </c>
      <c r="C22" s="1101">
        <f t="shared" si="3"/>
        <v>1.4897747280032503</v>
      </c>
      <c r="D22" s="1087"/>
      <c r="E22" s="1107">
        <v>289</v>
      </c>
      <c r="F22" s="1050">
        <f t="shared" si="1"/>
        <v>87.575757575757578</v>
      </c>
      <c r="G22" s="1108"/>
      <c r="H22" s="1107">
        <v>41</v>
      </c>
      <c r="I22" s="1000">
        <f t="shared" si="2"/>
        <v>12.424242424242424</v>
      </c>
      <c r="J22" s="866"/>
    </row>
    <row r="23" spans="1:10" s="1088" customFormat="1">
      <c r="A23" s="847" t="s">
        <v>26</v>
      </c>
      <c r="B23" s="1103">
        <f t="shared" si="0"/>
        <v>162</v>
      </c>
      <c r="C23" s="1101">
        <f t="shared" si="3"/>
        <v>0.73134395738341385</v>
      </c>
      <c r="D23" s="1087"/>
      <c r="E23" s="1107">
        <v>148</v>
      </c>
      <c r="F23" s="1050">
        <f t="shared" si="1"/>
        <v>91.358024691358025</v>
      </c>
      <c r="G23" s="1108"/>
      <c r="H23" s="1107">
        <v>14</v>
      </c>
      <c r="I23" s="1000">
        <f t="shared" si="2"/>
        <v>8.6419753086419746</v>
      </c>
      <c r="J23" s="866"/>
    </row>
    <row r="24" spans="1:10" s="1088" customFormat="1">
      <c r="A24" s="847" t="s">
        <v>27</v>
      </c>
      <c r="B24" s="1103">
        <f t="shared" si="0"/>
        <v>513</v>
      </c>
      <c r="C24" s="1101">
        <f t="shared" si="3"/>
        <v>2.3159225317141439</v>
      </c>
      <c r="D24" s="1087"/>
      <c r="E24" s="1107">
        <v>455</v>
      </c>
      <c r="F24" s="1050">
        <f t="shared" si="1"/>
        <v>88.693957115009752</v>
      </c>
      <c r="G24" s="1108"/>
      <c r="H24" s="1107">
        <v>58</v>
      </c>
      <c r="I24" s="1000">
        <f t="shared" si="2"/>
        <v>11.306042884990253</v>
      </c>
      <c r="J24" s="866"/>
    </row>
    <row r="25" spans="1:10" ht="6.95" customHeight="1">
      <c r="B25" s="1103" t="str">
        <f t="shared" si="0"/>
        <v/>
      </c>
      <c r="C25" s="1101"/>
      <c r="D25" s="582"/>
      <c r="F25" s="1050" t="str">
        <f t="shared" si="1"/>
        <v/>
      </c>
      <c r="G25" s="1046"/>
      <c r="I25" s="1000" t="str">
        <f t="shared" si="2"/>
        <v/>
      </c>
      <c r="J25" s="866"/>
    </row>
    <row r="26" spans="1:10" s="867" customFormat="1">
      <c r="A26" s="867" t="s">
        <v>375</v>
      </c>
      <c r="B26" s="1104">
        <f t="shared" si="0"/>
        <v>871</v>
      </c>
      <c r="C26" s="1098">
        <f t="shared" si="3"/>
        <v>3.9321023881540338</v>
      </c>
      <c r="D26" s="1105"/>
      <c r="E26" s="1102">
        <f>E27</f>
        <v>746</v>
      </c>
      <c r="F26" s="1100">
        <f t="shared" si="1"/>
        <v>85.648679678530428</v>
      </c>
      <c r="G26" s="1105"/>
      <c r="H26" s="1102">
        <f>H27</f>
        <v>125</v>
      </c>
      <c r="I26" s="1100">
        <f t="shared" si="2"/>
        <v>14.351320321469574</v>
      </c>
      <c r="J26" s="866"/>
    </row>
    <row r="27" spans="1:10" s="1086" customFormat="1">
      <c r="A27" s="847" t="s">
        <v>29</v>
      </c>
      <c r="B27" s="1103">
        <f t="shared" si="0"/>
        <v>871</v>
      </c>
      <c r="C27" s="1101">
        <f t="shared" si="3"/>
        <v>3.9321023881540338</v>
      </c>
      <c r="D27" s="1085"/>
      <c r="E27" s="1049">
        <f>SUM(E28:E32)</f>
        <v>746</v>
      </c>
      <c r="F27" s="1050">
        <f t="shared" si="1"/>
        <v>85.648679678530428</v>
      </c>
      <c r="G27" s="1106"/>
      <c r="H27" s="1049">
        <f>SUM(H28:H32)</f>
        <v>125</v>
      </c>
      <c r="I27" s="1000">
        <f t="shared" si="2"/>
        <v>14.351320321469574</v>
      </c>
      <c r="J27" s="866"/>
    </row>
    <row r="28" spans="1:10" s="1088" customFormat="1">
      <c r="A28" s="847" t="s">
        <v>30</v>
      </c>
      <c r="B28" s="1103">
        <f t="shared" si="0"/>
        <v>140</v>
      </c>
      <c r="C28" s="1101">
        <f t="shared" si="3"/>
        <v>0.63202564218319712</v>
      </c>
      <c r="D28" s="1087"/>
      <c r="E28" s="1107">
        <v>118</v>
      </c>
      <c r="F28" s="1050">
        <f t="shared" si="1"/>
        <v>84.285714285714292</v>
      </c>
      <c r="G28" s="1108"/>
      <c r="H28" s="1107">
        <v>22</v>
      </c>
      <c r="I28" s="1000">
        <f t="shared" si="2"/>
        <v>15.714285714285714</v>
      </c>
      <c r="J28" s="866"/>
    </row>
    <row r="29" spans="1:10" s="1088" customFormat="1">
      <c r="A29" s="847" t="s">
        <v>31</v>
      </c>
      <c r="B29" s="1103">
        <f t="shared" si="0"/>
        <v>230</v>
      </c>
      <c r="C29" s="1101">
        <f t="shared" si="3"/>
        <v>1.0383278407295382</v>
      </c>
      <c r="D29" s="1087"/>
      <c r="E29" s="1107">
        <v>200</v>
      </c>
      <c r="F29" s="1050">
        <f t="shared" si="1"/>
        <v>86.956521739130437</v>
      </c>
      <c r="G29" s="1108"/>
      <c r="H29" s="1107">
        <v>30</v>
      </c>
      <c r="I29" s="1000">
        <f t="shared" si="2"/>
        <v>13.043478260869565</v>
      </c>
      <c r="J29" s="866"/>
    </row>
    <row r="30" spans="1:10" s="1088" customFormat="1">
      <c r="A30" s="847" t="s">
        <v>32</v>
      </c>
      <c r="B30" s="1103">
        <f t="shared" si="0"/>
        <v>192</v>
      </c>
      <c r="C30" s="1101">
        <f t="shared" si="3"/>
        <v>0.86677802356552747</v>
      </c>
      <c r="D30" s="1087"/>
      <c r="E30" s="1107">
        <v>162</v>
      </c>
      <c r="F30" s="1050">
        <f t="shared" si="1"/>
        <v>84.375</v>
      </c>
      <c r="G30" s="1108"/>
      <c r="H30" s="1107">
        <v>30</v>
      </c>
      <c r="I30" s="1000">
        <f t="shared" si="2"/>
        <v>15.625</v>
      </c>
      <c r="J30" s="866"/>
    </row>
    <row r="31" spans="1:10" s="1088" customFormat="1">
      <c r="A31" s="847" t="s">
        <v>33</v>
      </c>
      <c r="B31" s="1103">
        <f t="shared" si="0"/>
        <v>159</v>
      </c>
      <c r="C31" s="1101">
        <f t="shared" si="3"/>
        <v>0.71780055076520244</v>
      </c>
      <c r="D31" s="1087"/>
      <c r="E31" s="1107">
        <v>132</v>
      </c>
      <c r="F31" s="1050">
        <f t="shared" si="1"/>
        <v>83.018867924528308</v>
      </c>
      <c r="G31" s="1108"/>
      <c r="H31" s="1107">
        <v>27</v>
      </c>
      <c r="I31" s="1000">
        <f t="shared" si="2"/>
        <v>16.981132075471699</v>
      </c>
      <c r="J31" s="866"/>
    </row>
    <row r="32" spans="1:10" s="1088" customFormat="1">
      <c r="A32" s="847" t="s">
        <v>34</v>
      </c>
      <c r="B32" s="1103">
        <f t="shared" si="0"/>
        <v>150</v>
      </c>
      <c r="C32" s="1101">
        <f t="shared" si="3"/>
        <v>0.67717033091056833</v>
      </c>
      <c r="D32" s="1087"/>
      <c r="E32" s="1107">
        <v>134</v>
      </c>
      <c r="F32" s="1050">
        <f t="shared" si="1"/>
        <v>89.333333333333329</v>
      </c>
      <c r="G32" s="1108"/>
      <c r="H32" s="1107">
        <v>16</v>
      </c>
      <c r="I32" s="1000">
        <f t="shared" si="2"/>
        <v>10.666666666666668</v>
      </c>
      <c r="J32" s="866"/>
    </row>
    <row r="33" spans="1:10" ht="6.95" customHeight="1">
      <c r="B33" s="1103" t="str">
        <f t="shared" si="0"/>
        <v/>
      </c>
      <c r="C33" s="1101"/>
      <c r="D33" s="582"/>
      <c r="F33" s="1050" t="str">
        <f t="shared" si="1"/>
        <v/>
      </c>
      <c r="G33" s="1046"/>
      <c r="I33" s="1000" t="str">
        <f t="shared" si="2"/>
        <v/>
      </c>
      <c r="J33" s="866"/>
    </row>
    <row r="34" spans="1:10" s="867" customFormat="1">
      <c r="A34" s="867" t="s">
        <v>329</v>
      </c>
      <c r="B34" s="1104">
        <f t="shared" si="0"/>
        <v>6619</v>
      </c>
      <c r="C34" s="1098">
        <f t="shared" si="3"/>
        <v>29.881269468647016</v>
      </c>
      <c r="D34" s="1105"/>
      <c r="E34" s="1102">
        <f>E35+E41+E51+E53</f>
        <v>5814</v>
      </c>
      <c r="F34" s="1100">
        <f t="shared" si="1"/>
        <v>87.838042000302167</v>
      </c>
      <c r="G34" s="1105"/>
      <c r="H34" s="1102">
        <f>H35+H41+H51+H53</f>
        <v>805</v>
      </c>
      <c r="I34" s="1100">
        <f t="shared" si="2"/>
        <v>12.16195799969784</v>
      </c>
      <c r="J34" s="866"/>
    </row>
    <row r="35" spans="1:10" s="1086" customFormat="1">
      <c r="A35" s="847" t="s">
        <v>36</v>
      </c>
      <c r="B35" s="1103">
        <f t="shared" si="0"/>
        <v>2223</v>
      </c>
      <c r="C35" s="1101">
        <f t="shared" si="3"/>
        <v>10.035664304094622</v>
      </c>
      <c r="D35" s="1085"/>
      <c r="E35" s="1049">
        <f>SUM(E36:E39)</f>
        <v>1960</v>
      </c>
      <c r="F35" s="1050">
        <f t="shared" si="1"/>
        <v>88.169140800719745</v>
      </c>
      <c r="G35" s="1106"/>
      <c r="H35" s="1049">
        <f>SUM(H36:H39)</f>
        <v>263</v>
      </c>
      <c r="I35" s="1000">
        <f t="shared" si="2"/>
        <v>11.830859199280253</v>
      </c>
      <c r="J35" s="866"/>
    </row>
    <row r="36" spans="1:10" s="1088" customFormat="1">
      <c r="A36" s="847" t="s">
        <v>37</v>
      </c>
      <c r="B36" s="1103">
        <f t="shared" si="0"/>
        <v>1197</v>
      </c>
      <c r="C36" s="1101">
        <f t="shared" si="3"/>
        <v>5.4038192406663352</v>
      </c>
      <c r="D36" s="1087"/>
      <c r="E36" s="1107">
        <v>1050</v>
      </c>
      <c r="F36" s="1050">
        <f t="shared" si="1"/>
        <v>87.719298245614027</v>
      </c>
      <c r="G36" s="1108"/>
      <c r="H36" s="1107">
        <v>147</v>
      </c>
      <c r="I36" s="1000">
        <f t="shared" si="2"/>
        <v>12.280701754385964</v>
      </c>
      <c r="J36" s="866"/>
    </row>
    <row r="37" spans="1:10" s="1088" customFormat="1">
      <c r="A37" s="847" t="s">
        <v>38</v>
      </c>
      <c r="B37" s="1103">
        <f t="shared" si="0"/>
        <v>596</v>
      </c>
      <c r="C37" s="1101">
        <f t="shared" si="3"/>
        <v>2.6906234481513249</v>
      </c>
      <c r="D37" s="1087"/>
      <c r="E37" s="1107">
        <v>534</v>
      </c>
      <c r="F37" s="1050">
        <f t="shared" si="1"/>
        <v>89.597315436241615</v>
      </c>
      <c r="G37" s="1108"/>
      <c r="H37" s="1107">
        <v>62</v>
      </c>
      <c r="I37" s="1000">
        <f t="shared" si="2"/>
        <v>10.40268456375839</v>
      </c>
      <c r="J37" s="866"/>
    </row>
    <row r="38" spans="1:10" s="1088" customFormat="1">
      <c r="A38" s="847" t="s">
        <v>39</v>
      </c>
      <c r="B38" s="1103">
        <f t="shared" si="0"/>
        <v>187</v>
      </c>
      <c r="C38" s="1101">
        <f t="shared" si="3"/>
        <v>0.84420567920184197</v>
      </c>
      <c r="D38" s="1087"/>
      <c r="E38" s="1107">
        <v>166</v>
      </c>
      <c r="F38" s="1050">
        <f t="shared" si="1"/>
        <v>88.770053475935825</v>
      </c>
      <c r="G38" s="1108"/>
      <c r="H38" s="1107">
        <v>21</v>
      </c>
      <c r="I38" s="1000">
        <f t="shared" si="2"/>
        <v>11.229946524064172</v>
      </c>
      <c r="J38" s="866"/>
    </row>
    <row r="39" spans="1:10" s="1088" customFormat="1">
      <c r="A39" s="847" t="s">
        <v>40</v>
      </c>
      <c r="B39" s="1103">
        <f t="shared" si="0"/>
        <v>243</v>
      </c>
      <c r="C39" s="1101">
        <f t="shared" si="3"/>
        <v>1.0970159360751206</v>
      </c>
      <c r="D39" s="1087"/>
      <c r="E39" s="1107">
        <v>210</v>
      </c>
      <c r="F39" s="1050">
        <f t="shared" si="1"/>
        <v>86.419753086419746</v>
      </c>
      <c r="G39" s="1108"/>
      <c r="H39" s="1107">
        <v>33</v>
      </c>
      <c r="I39" s="1000">
        <f t="shared" si="2"/>
        <v>13.580246913580247</v>
      </c>
      <c r="J39" s="866"/>
    </row>
    <row r="40" spans="1:10" ht="6.95" customHeight="1">
      <c r="B40" s="1103" t="str">
        <f t="shared" si="0"/>
        <v/>
      </c>
      <c r="C40" s="1101"/>
      <c r="D40" s="582"/>
      <c r="F40" s="1050" t="str">
        <f t="shared" si="1"/>
        <v/>
      </c>
      <c r="G40" s="1046"/>
      <c r="I40" s="1000" t="str">
        <f t="shared" si="2"/>
        <v/>
      </c>
      <c r="J40" s="866"/>
    </row>
    <row r="41" spans="1:10" s="1086" customFormat="1">
      <c r="A41" s="847" t="s">
        <v>41</v>
      </c>
      <c r="B41" s="1103">
        <f t="shared" si="0"/>
        <v>1955</v>
      </c>
      <c r="C41" s="1101">
        <f t="shared" si="3"/>
        <v>8.8257866462010739</v>
      </c>
      <c r="D41" s="1085"/>
      <c r="E41" s="1049">
        <f>SUM(E42:E49)</f>
        <v>1707</v>
      </c>
      <c r="F41" s="1050">
        <f t="shared" si="1"/>
        <v>87.314578005115081</v>
      </c>
      <c r="G41" s="1106"/>
      <c r="H41" s="1049">
        <f>SUM(H42:H49)</f>
        <v>248</v>
      </c>
      <c r="I41" s="1000">
        <f t="shared" si="2"/>
        <v>12.68542199488491</v>
      </c>
      <c r="J41" s="866"/>
    </row>
    <row r="42" spans="1:10" s="1088" customFormat="1">
      <c r="A42" s="847" t="s">
        <v>49</v>
      </c>
      <c r="B42" s="1103">
        <f t="shared" si="0"/>
        <v>262</v>
      </c>
      <c r="C42" s="1101">
        <f t="shared" si="3"/>
        <v>1.182790844657126</v>
      </c>
      <c r="D42" s="1087"/>
      <c r="E42" s="1107">
        <v>228</v>
      </c>
      <c r="F42" s="1050">
        <f t="shared" si="1"/>
        <v>87.022900763358777</v>
      </c>
      <c r="G42" s="1108"/>
      <c r="H42" s="1107">
        <v>34</v>
      </c>
      <c r="I42" s="1000">
        <f t="shared" si="2"/>
        <v>12.977099236641221</v>
      </c>
      <c r="J42" s="866"/>
    </row>
    <row r="43" spans="1:10" s="1088" customFormat="1">
      <c r="A43" s="847" t="s">
        <v>42</v>
      </c>
      <c r="B43" s="1103">
        <f t="shared" si="0"/>
        <v>222</v>
      </c>
      <c r="C43" s="1101">
        <f t="shared" si="3"/>
        <v>1.0022120897476412</v>
      </c>
      <c r="D43" s="1087"/>
      <c r="E43" s="1107">
        <v>192</v>
      </c>
      <c r="F43" s="1050">
        <f t="shared" si="1"/>
        <v>86.486486486486484</v>
      </c>
      <c r="G43" s="1108"/>
      <c r="H43" s="1107">
        <v>30</v>
      </c>
      <c r="I43" s="1000">
        <f t="shared" si="2"/>
        <v>13.513513513513514</v>
      </c>
      <c r="J43" s="866"/>
    </row>
    <row r="44" spans="1:10" s="1088" customFormat="1">
      <c r="A44" s="847" t="s">
        <v>43</v>
      </c>
      <c r="B44" s="1103">
        <f t="shared" si="0"/>
        <v>130</v>
      </c>
      <c r="C44" s="1101">
        <f t="shared" si="3"/>
        <v>0.58688095345582592</v>
      </c>
      <c r="D44" s="1087"/>
      <c r="E44" s="1107">
        <v>124</v>
      </c>
      <c r="F44" s="1050">
        <f t="shared" si="1"/>
        <v>95.384615384615387</v>
      </c>
      <c r="G44" s="1108"/>
      <c r="H44" s="1107">
        <v>6</v>
      </c>
      <c r="I44" s="1000">
        <f t="shared" si="2"/>
        <v>4.6153846153846159</v>
      </c>
      <c r="J44" s="866"/>
    </row>
    <row r="45" spans="1:10" s="1088" customFormat="1">
      <c r="A45" s="847" t="s">
        <v>44</v>
      </c>
      <c r="B45" s="1103">
        <f t="shared" si="0"/>
        <v>238</v>
      </c>
      <c r="C45" s="1101">
        <f t="shared" si="3"/>
        <v>1.0744435917114352</v>
      </c>
      <c r="D45" s="1087"/>
      <c r="E45" s="1107">
        <v>208</v>
      </c>
      <c r="F45" s="1050">
        <f t="shared" si="1"/>
        <v>87.394957983193279</v>
      </c>
      <c r="G45" s="1108"/>
      <c r="H45" s="1107">
        <v>30</v>
      </c>
      <c r="I45" s="1000">
        <f t="shared" si="2"/>
        <v>12.605042016806722</v>
      </c>
      <c r="J45" s="866"/>
    </row>
    <row r="46" spans="1:10" s="1088" customFormat="1">
      <c r="A46" s="847" t="s">
        <v>48</v>
      </c>
      <c r="B46" s="1103">
        <f t="shared" si="0"/>
        <v>216</v>
      </c>
      <c r="C46" s="1101">
        <f t="shared" si="3"/>
        <v>0.97512527651121839</v>
      </c>
      <c r="D46" s="1087"/>
      <c r="E46" s="1107">
        <v>184</v>
      </c>
      <c r="F46" s="1050">
        <f t="shared" si="1"/>
        <v>85.18518518518519</v>
      </c>
      <c r="G46" s="1108"/>
      <c r="H46" s="1107">
        <v>32</v>
      </c>
      <c r="I46" s="1000">
        <f t="shared" si="2"/>
        <v>14.814814814814813</v>
      </c>
      <c r="J46" s="866"/>
    </row>
    <row r="47" spans="1:10" s="1088" customFormat="1">
      <c r="A47" s="847" t="s">
        <v>331</v>
      </c>
      <c r="B47" s="1103">
        <f t="shared" si="0"/>
        <v>409</v>
      </c>
      <c r="C47" s="1101">
        <f t="shared" si="3"/>
        <v>1.8464177689494832</v>
      </c>
      <c r="D47" s="1087"/>
      <c r="E47" s="1107">
        <v>350</v>
      </c>
      <c r="F47" s="1050">
        <f t="shared" si="1"/>
        <v>85.574572127139362</v>
      </c>
      <c r="G47" s="1108"/>
      <c r="H47" s="1107">
        <v>59</v>
      </c>
      <c r="I47" s="1000">
        <f t="shared" si="2"/>
        <v>14.425427872860636</v>
      </c>
      <c r="J47" s="866"/>
    </row>
    <row r="48" spans="1:10" s="1088" customFormat="1">
      <c r="A48" s="847" t="s">
        <v>47</v>
      </c>
      <c r="B48" s="1103">
        <f t="shared" si="0"/>
        <v>164</v>
      </c>
      <c r="C48" s="1101">
        <f t="shared" si="3"/>
        <v>0.74037289512888815</v>
      </c>
      <c r="D48" s="1087"/>
      <c r="E48" s="1107">
        <v>144</v>
      </c>
      <c r="F48" s="1050">
        <f t="shared" si="1"/>
        <v>87.804878048780495</v>
      </c>
      <c r="G48" s="1108"/>
      <c r="H48" s="1107">
        <v>20</v>
      </c>
      <c r="I48" s="1000">
        <f t="shared" si="2"/>
        <v>12.195121951219512</v>
      </c>
      <c r="J48" s="866"/>
    </row>
    <row r="49" spans="1:10" s="1088" customFormat="1">
      <c r="A49" s="847" t="s">
        <v>46</v>
      </c>
      <c r="B49" s="1103">
        <f t="shared" si="0"/>
        <v>314</v>
      </c>
      <c r="C49" s="1101">
        <f t="shared" si="3"/>
        <v>1.4175432260394565</v>
      </c>
      <c r="D49" s="1087"/>
      <c r="E49" s="1107">
        <v>277</v>
      </c>
      <c r="F49" s="1050">
        <f t="shared" si="1"/>
        <v>88.216560509554142</v>
      </c>
      <c r="G49" s="1108"/>
      <c r="H49" s="1107">
        <v>37</v>
      </c>
      <c r="I49" s="1000">
        <f t="shared" si="2"/>
        <v>11.783439490445859</v>
      </c>
      <c r="J49" s="866"/>
    </row>
    <row r="50" spans="1:10" ht="7.5" customHeight="1">
      <c r="B50" s="1103" t="str">
        <f t="shared" si="0"/>
        <v/>
      </c>
      <c r="C50" s="1101"/>
      <c r="D50" s="582"/>
      <c r="E50" s="855"/>
      <c r="F50" s="1050" t="str">
        <f t="shared" si="1"/>
        <v/>
      </c>
      <c r="G50" s="855"/>
      <c r="H50" s="855"/>
      <c r="I50" s="1000" t="str">
        <f t="shared" si="2"/>
        <v/>
      </c>
      <c r="J50" s="866"/>
    </row>
    <row r="51" spans="1:10" s="1086" customFormat="1">
      <c r="A51" s="847" t="s">
        <v>50</v>
      </c>
      <c r="B51" s="1103">
        <f t="shared" si="0"/>
        <v>432</v>
      </c>
      <c r="C51" s="1101">
        <f t="shared" si="3"/>
        <v>1.9502505530224368</v>
      </c>
      <c r="D51" s="1085"/>
      <c r="E51" s="1107">
        <v>383</v>
      </c>
      <c r="F51" s="1050">
        <f t="shared" si="1"/>
        <v>88.657407407407405</v>
      </c>
      <c r="G51" s="1108"/>
      <c r="H51" s="1107">
        <v>49</v>
      </c>
      <c r="I51" s="1000">
        <f t="shared" si="2"/>
        <v>11.342592592592593</v>
      </c>
      <c r="J51" s="866"/>
    </row>
    <row r="52" spans="1:10" ht="8.25" customHeight="1">
      <c r="B52" s="1103" t="str">
        <f t="shared" si="0"/>
        <v/>
      </c>
      <c r="C52" s="1101"/>
      <c r="D52" s="582"/>
      <c r="F52" s="1050" t="str">
        <f t="shared" si="1"/>
        <v/>
      </c>
      <c r="G52" s="1046"/>
      <c r="I52" s="1000" t="str">
        <f t="shared" si="2"/>
        <v/>
      </c>
      <c r="J52" s="866"/>
    </row>
    <row r="53" spans="1:10" s="1086" customFormat="1">
      <c r="A53" s="847" t="s">
        <v>51</v>
      </c>
      <c r="B53" s="1103">
        <f t="shared" si="0"/>
        <v>2009</v>
      </c>
      <c r="C53" s="1101">
        <f t="shared" si="3"/>
        <v>9.0695679653288792</v>
      </c>
      <c r="D53" s="1085"/>
      <c r="E53" s="1049">
        <f>SUM(E54:E58)</f>
        <v>1764</v>
      </c>
      <c r="F53" s="1050">
        <f t="shared" si="1"/>
        <v>87.804878048780495</v>
      </c>
      <c r="G53" s="1106"/>
      <c r="H53" s="1049">
        <f>SUM(H54:H58)</f>
        <v>245</v>
      </c>
      <c r="I53" s="1000">
        <f t="shared" si="2"/>
        <v>12.195121951219512</v>
      </c>
      <c r="J53" s="866"/>
    </row>
    <row r="54" spans="1:10" s="1088" customFormat="1">
      <c r="A54" s="847" t="s">
        <v>52</v>
      </c>
      <c r="B54" s="1103">
        <f t="shared" si="0"/>
        <v>35</v>
      </c>
      <c r="C54" s="1101">
        <f t="shared" si="3"/>
        <v>0.15800641054579928</v>
      </c>
      <c r="D54" s="1087"/>
      <c r="E54" s="1107">
        <v>33</v>
      </c>
      <c r="F54" s="1050">
        <f t="shared" si="1"/>
        <v>94.285714285714278</v>
      </c>
      <c r="G54" s="1108"/>
      <c r="H54" s="1107">
        <v>2</v>
      </c>
      <c r="I54" s="1000">
        <f t="shared" si="2"/>
        <v>5.7142857142857144</v>
      </c>
      <c r="J54" s="866"/>
    </row>
    <row r="55" spans="1:10" s="1088" customFormat="1">
      <c r="A55" s="847" t="s">
        <v>53</v>
      </c>
      <c r="B55" s="1103">
        <f t="shared" si="0"/>
        <v>1288</v>
      </c>
      <c r="C55" s="1101">
        <f t="shared" si="3"/>
        <v>5.814635908085414</v>
      </c>
      <c r="D55" s="1087"/>
      <c r="E55" s="1107">
        <v>1127</v>
      </c>
      <c r="F55" s="1050">
        <f t="shared" si="1"/>
        <v>87.5</v>
      </c>
      <c r="G55" s="1108"/>
      <c r="H55" s="1107">
        <v>161</v>
      </c>
      <c r="I55" s="1000">
        <f t="shared" si="2"/>
        <v>12.5</v>
      </c>
      <c r="J55" s="866"/>
    </row>
    <row r="56" spans="1:10" s="1088" customFormat="1">
      <c r="A56" s="847" t="s">
        <v>54</v>
      </c>
      <c r="B56" s="1103">
        <f t="shared" si="0"/>
        <v>226</v>
      </c>
      <c r="C56" s="1101">
        <f t="shared" si="3"/>
        <v>1.0202699652385896</v>
      </c>
      <c r="D56" s="1087"/>
      <c r="E56" s="1107">
        <v>203</v>
      </c>
      <c r="F56" s="1050">
        <f t="shared" si="1"/>
        <v>89.82300884955751</v>
      </c>
      <c r="G56" s="1108"/>
      <c r="H56" s="1107">
        <v>23</v>
      </c>
      <c r="I56" s="1000">
        <f t="shared" si="2"/>
        <v>10.176991150442479</v>
      </c>
      <c r="J56" s="866"/>
    </row>
    <row r="57" spans="1:10" s="1088" customFormat="1">
      <c r="A57" s="847" t="s">
        <v>332</v>
      </c>
      <c r="B57" s="1103">
        <f t="shared" si="0"/>
        <v>304</v>
      </c>
      <c r="C57" s="1101">
        <f t="shared" si="3"/>
        <v>1.3723985373120853</v>
      </c>
      <c r="D57" s="1087"/>
      <c r="E57" s="1107">
        <v>264</v>
      </c>
      <c r="F57" s="1050">
        <f t="shared" si="1"/>
        <v>86.842105263157904</v>
      </c>
      <c r="G57" s="1108"/>
      <c r="H57" s="1107">
        <v>40</v>
      </c>
      <c r="I57" s="1000">
        <f t="shared" si="2"/>
        <v>13.157894736842104</v>
      </c>
      <c r="J57" s="866"/>
    </row>
    <row r="58" spans="1:10" s="1088" customFormat="1">
      <c r="A58" s="847" t="s">
        <v>56</v>
      </c>
      <c r="B58" s="1103">
        <f t="shared" si="0"/>
        <v>156</v>
      </c>
      <c r="C58" s="1101">
        <f t="shared" si="3"/>
        <v>0.70425714414699114</v>
      </c>
      <c r="D58" s="1087"/>
      <c r="E58" s="1107">
        <v>137</v>
      </c>
      <c r="F58" s="1050">
        <f t="shared" si="1"/>
        <v>87.820512820512818</v>
      </c>
      <c r="G58" s="1108"/>
      <c r="H58" s="1107">
        <v>19</v>
      </c>
      <c r="I58" s="1000">
        <f t="shared" si="2"/>
        <v>12.179487179487179</v>
      </c>
      <c r="J58" s="866"/>
    </row>
    <row r="59" spans="1:10" ht="6.95" customHeight="1">
      <c r="B59" s="1103" t="str">
        <f t="shared" si="0"/>
        <v/>
      </c>
      <c r="C59" s="1101"/>
      <c r="D59" s="582"/>
      <c r="F59" s="1050" t="str">
        <f t="shared" si="1"/>
        <v/>
      </c>
      <c r="G59" s="1046"/>
      <c r="I59" s="1000" t="str">
        <f t="shared" si="2"/>
        <v/>
      </c>
      <c r="J59" s="866"/>
    </row>
    <row r="60" spans="1:10" s="867" customFormat="1">
      <c r="A60" s="867" t="s">
        <v>336</v>
      </c>
      <c r="B60" s="1104">
        <f t="shared" si="0"/>
        <v>702</v>
      </c>
      <c r="C60" s="1098">
        <f t="shared" si="3"/>
        <v>3.1691571486614598</v>
      </c>
      <c r="D60" s="1105"/>
      <c r="E60" s="1102">
        <f>E61</f>
        <v>617</v>
      </c>
      <c r="F60" s="1100">
        <f t="shared" si="1"/>
        <v>87.89173789173789</v>
      </c>
      <c r="G60" s="1105"/>
      <c r="H60" s="1102">
        <f>H61</f>
        <v>85</v>
      </c>
      <c r="I60" s="1100">
        <f t="shared" si="2"/>
        <v>12.108262108262108</v>
      </c>
      <c r="J60" s="866"/>
    </row>
    <row r="61" spans="1:10" s="1086" customFormat="1">
      <c r="A61" s="847" t="s">
        <v>337</v>
      </c>
      <c r="B61" s="1103">
        <f t="shared" si="0"/>
        <v>702</v>
      </c>
      <c r="C61" s="1101">
        <f t="shared" si="3"/>
        <v>3.1691571486614598</v>
      </c>
      <c r="D61" s="1085"/>
      <c r="E61" s="1049">
        <f>SUM(E62:E65)</f>
        <v>617</v>
      </c>
      <c r="F61" s="1050">
        <f t="shared" si="1"/>
        <v>87.89173789173789</v>
      </c>
      <c r="G61" s="1106"/>
      <c r="H61" s="1049">
        <f>SUM(H62:H65)</f>
        <v>85</v>
      </c>
      <c r="I61" s="1000">
        <f t="shared" si="2"/>
        <v>12.108262108262108</v>
      </c>
      <c r="J61" s="866"/>
    </row>
    <row r="62" spans="1:10" s="1088" customFormat="1">
      <c r="A62" s="847" t="s">
        <v>70</v>
      </c>
      <c r="B62" s="1103">
        <f t="shared" si="0"/>
        <v>214</v>
      </c>
      <c r="C62" s="1101">
        <f t="shared" si="3"/>
        <v>0.96609633876574419</v>
      </c>
      <c r="D62" s="1087"/>
      <c r="E62" s="1107">
        <v>187</v>
      </c>
      <c r="F62" s="1050">
        <f t="shared" si="1"/>
        <v>87.383177570093466</v>
      </c>
      <c r="G62" s="1108"/>
      <c r="H62" s="1107">
        <v>27</v>
      </c>
      <c r="I62" s="1000">
        <f t="shared" si="2"/>
        <v>12.616822429906541</v>
      </c>
      <c r="J62" s="866"/>
    </row>
    <row r="63" spans="1:10" s="1088" customFormat="1">
      <c r="A63" s="847" t="s">
        <v>71</v>
      </c>
      <c r="B63" s="1103">
        <f t="shared" si="0"/>
        <v>274</v>
      </c>
      <c r="C63" s="1101">
        <f t="shared" si="3"/>
        <v>1.2369644711299717</v>
      </c>
      <c r="D63" s="1087"/>
      <c r="E63" s="1107">
        <v>243</v>
      </c>
      <c r="F63" s="1050">
        <f t="shared" si="1"/>
        <v>88.686131386861305</v>
      </c>
      <c r="G63" s="1108"/>
      <c r="H63" s="1107">
        <v>31</v>
      </c>
      <c r="I63" s="1000">
        <f t="shared" si="2"/>
        <v>11.313868613138686</v>
      </c>
      <c r="J63" s="866"/>
    </row>
    <row r="64" spans="1:10" s="1088" customFormat="1">
      <c r="A64" s="847" t="s">
        <v>72</v>
      </c>
      <c r="B64" s="1103">
        <f t="shared" si="0"/>
        <v>154</v>
      </c>
      <c r="C64" s="1101">
        <f t="shared" si="3"/>
        <v>0.69522820640151684</v>
      </c>
      <c r="D64" s="1087"/>
      <c r="E64" s="1107">
        <v>137</v>
      </c>
      <c r="F64" s="1050">
        <f t="shared" si="1"/>
        <v>88.961038961038966</v>
      </c>
      <c r="G64" s="1108"/>
      <c r="H64" s="1107">
        <v>17</v>
      </c>
      <c r="I64" s="1000">
        <f t="shared" si="2"/>
        <v>11.038961038961039</v>
      </c>
      <c r="J64" s="866"/>
    </row>
    <row r="65" spans="1:10" s="1088" customFormat="1">
      <c r="A65" s="847" t="s">
        <v>73</v>
      </c>
      <c r="B65" s="1103">
        <f t="shared" si="0"/>
        <v>60</v>
      </c>
      <c r="C65" s="1101">
        <f t="shared" si="3"/>
        <v>0.27086813236422735</v>
      </c>
      <c r="D65" s="1087"/>
      <c r="E65" s="1107">
        <v>50</v>
      </c>
      <c r="F65" s="1050">
        <f t="shared" si="1"/>
        <v>83.333333333333343</v>
      </c>
      <c r="G65" s="1108"/>
      <c r="H65" s="1107">
        <v>10</v>
      </c>
      <c r="I65" s="1000">
        <f t="shared" si="2"/>
        <v>16.666666666666664</v>
      </c>
      <c r="J65" s="866"/>
    </row>
    <row r="66" spans="1:10" ht="6.95" customHeight="1">
      <c r="B66" s="1103" t="str">
        <f t="shared" si="0"/>
        <v/>
      </c>
      <c r="C66" s="1101"/>
      <c r="D66" s="582"/>
      <c r="F66" s="1050" t="str">
        <f t="shared" si="1"/>
        <v/>
      </c>
      <c r="G66" s="1046"/>
      <c r="I66" s="1000" t="str">
        <f t="shared" si="2"/>
        <v/>
      </c>
      <c r="J66" s="866"/>
    </row>
    <row r="67" spans="1:10" s="867" customFormat="1">
      <c r="A67" s="867" t="s">
        <v>396</v>
      </c>
      <c r="B67" s="1104">
        <f t="shared" si="0"/>
        <v>2428</v>
      </c>
      <c r="C67" s="1098">
        <f t="shared" si="3"/>
        <v>10.961130423005732</v>
      </c>
      <c r="D67" s="1105"/>
      <c r="E67" s="1102">
        <f>E68</f>
        <v>2124</v>
      </c>
      <c r="F67" s="1100">
        <f t="shared" si="1"/>
        <v>87.479406919275121</v>
      </c>
      <c r="G67" s="1105"/>
      <c r="H67" s="1102">
        <f>H68</f>
        <v>304</v>
      </c>
      <c r="I67" s="1100">
        <f t="shared" si="2"/>
        <v>12.520593080724876</v>
      </c>
      <c r="J67" s="866"/>
    </row>
    <row r="68" spans="1:10" s="1086" customFormat="1">
      <c r="A68" s="847" t="s">
        <v>75</v>
      </c>
      <c r="B68" s="1103">
        <f t="shared" si="0"/>
        <v>2428</v>
      </c>
      <c r="C68" s="1101">
        <f t="shared" si="3"/>
        <v>10.961130423005732</v>
      </c>
      <c r="D68" s="1085"/>
      <c r="E68" s="1049">
        <f>SUM(E69:E77)</f>
        <v>2124</v>
      </c>
      <c r="F68" s="1050">
        <f t="shared" si="1"/>
        <v>87.479406919275121</v>
      </c>
      <c r="G68" s="1106"/>
      <c r="H68" s="1049">
        <f>SUM(H69:H77)</f>
        <v>304</v>
      </c>
      <c r="I68" s="1000">
        <f t="shared" si="2"/>
        <v>12.520593080724876</v>
      </c>
      <c r="J68" s="866"/>
    </row>
    <row r="69" spans="1:10" s="1088" customFormat="1">
      <c r="A69" s="847" t="s">
        <v>338</v>
      </c>
      <c r="B69" s="1103">
        <f t="shared" si="0"/>
        <v>241</v>
      </c>
      <c r="C69" s="1101">
        <f t="shared" si="3"/>
        <v>1.0879869983296466</v>
      </c>
      <c r="D69" s="1087"/>
      <c r="E69" s="1107">
        <v>204</v>
      </c>
      <c r="F69" s="1050">
        <f t="shared" si="1"/>
        <v>84.647302904564313</v>
      </c>
      <c r="G69" s="1108"/>
      <c r="H69" s="1107">
        <v>37</v>
      </c>
      <c r="I69" s="1000">
        <f t="shared" si="2"/>
        <v>15.352697095435685</v>
      </c>
      <c r="J69" s="866"/>
    </row>
    <row r="70" spans="1:10" s="1088" customFormat="1">
      <c r="A70" s="847" t="s">
        <v>76</v>
      </c>
      <c r="B70" s="1103">
        <f t="shared" si="0"/>
        <v>332</v>
      </c>
      <c r="C70" s="1101">
        <f t="shared" si="3"/>
        <v>1.4988036657487247</v>
      </c>
      <c r="D70" s="1087"/>
      <c r="E70" s="1107">
        <v>295</v>
      </c>
      <c r="F70" s="1050">
        <f t="shared" si="1"/>
        <v>88.855421686746979</v>
      </c>
      <c r="G70" s="1108"/>
      <c r="H70" s="1107">
        <v>37</v>
      </c>
      <c r="I70" s="1000">
        <f t="shared" si="2"/>
        <v>11.144578313253012</v>
      </c>
      <c r="J70" s="866"/>
    </row>
    <row r="71" spans="1:10" s="1088" customFormat="1">
      <c r="A71" s="847" t="s">
        <v>78</v>
      </c>
      <c r="B71" s="1103">
        <f t="shared" si="0"/>
        <v>445</v>
      </c>
      <c r="C71" s="1101">
        <f t="shared" si="3"/>
        <v>2.0089386483680194</v>
      </c>
      <c r="D71" s="1087"/>
      <c r="E71" s="1107">
        <v>389</v>
      </c>
      <c r="F71" s="1050">
        <f t="shared" si="1"/>
        <v>87.415730337078656</v>
      </c>
      <c r="G71" s="1108"/>
      <c r="H71" s="1107">
        <v>56</v>
      </c>
      <c r="I71" s="1000">
        <f t="shared" si="2"/>
        <v>12.584269662921349</v>
      </c>
      <c r="J71" s="866"/>
    </row>
    <row r="72" spans="1:10" s="1088" customFormat="1">
      <c r="A72" s="847" t="s">
        <v>80</v>
      </c>
      <c r="B72" s="1103">
        <f t="shared" si="0"/>
        <v>131</v>
      </c>
      <c r="C72" s="1101">
        <f t="shared" si="3"/>
        <v>0.59139542232856301</v>
      </c>
      <c r="D72" s="1087"/>
      <c r="E72" s="1107">
        <v>115</v>
      </c>
      <c r="F72" s="1050">
        <f t="shared" si="1"/>
        <v>87.786259541984734</v>
      </c>
      <c r="G72" s="1108"/>
      <c r="H72" s="1107">
        <v>16</v>
      </c>
      <c r="I72" s="1000">
        <f t="shared" si="2"/>
        <v>12.213740458015266</v>
      </c>
      <c r="J72" s="866"/>
    </row>
    <row r="73" spans="1:10" s="1088" customFormat="1">
      <c r="A73" s="847" t="s">
        <v>79</v>
      </c>
      <c r="B73" s="1103">
        <f t="shared" si="0"/>
        <v>181</v>
      </c>
      <c r="C73" s="1101">
        <f t="shared" si="3"/>
        <v>0.81711886596541916</v>
      </c>
      <c r="D73" s="1087"/>
      <c r="E73" s="1107">
        <v>153</v>
      </c>
      <c r="F73" s="1050">
        <f t="shared" si="1"/>
        <v>84.530386740331494</v>
      </c>
      <c r="G73" s="1108"/>
      <c r="H73" s="1107">
        <v>28</v>
      </c>
      <c r="I73" s="1000">
        <f t="shared" si="2"/>
        <v>15.469613259668508</v>
      </c>
      <c r="J73" s="866"/>
    </row>
    <row r="74" spans="1:10" s="1088" customFormat="1">
      <c r="A74" s="847" t="s">
        <v>77</v>
      </c>
      <c r="B74" s="1103">
        <f t="shared" si="0"/>
        <v>285</v>
      </c>
      <c r="C74" s="1101">
        <f t="shared" si="3"/>
        <v>1.2866236287300798</v>
      </c>
      <c r="D74" s="1087"/>
      <c r="E74" s="1107">
        <v>253</v>
      </c>
      <c r="F74" s="1050">
        <f t="shared" si="1"/>
        <v>88.771929824561397</v>
      </c>
      <c r="G74" s="1108"/>
      <c r="H74" s="1107">
        <v>32</v>
      </c>
      <c r="I74" s="1000">
        <f t="shared" si="2"/>
        <v>11.228070175438596</v>
      </c>
      <c r="J74" s="866"/>
    </row>
    <row r="75" spans="1:10" s="1088" customFormat="1">
      <c r="A75" s="847" t="s">
        <v>81</v>
      </c>
      <c r="B75" s="1103">
        <f t="shared" si="0"/>
        <v>301</v>
      </c>
      <c r="C75" s="1101">
        <f t="shared" si="3"/>
        <v>1.3588551306938739</v>
      </c>
      <c r="D75" s="1087"/>
      <c r="E75" s="1107">
        <v>266</v>
      </c>
      <c r="F75" s="1050">
        <f t="shared" si="1"/>
        <v>88.372093023255815</v>
      </c>
      <c r="G75" s="1108"/>
      <c r="H75" s="1107">
        <v>35</v>
      </c>
      <c r="I75" s="1000">
        <f t="shared" si="2"/>
        <v>11.627906976744185</v>
      </c>
      <c r="J75" s="866"/>
    </row>
    <row r="76" spans="1:10" s="1088" customFormat="1">
      <c r="A76" s="847" t="s">
        <v>84</v>
      </c>
      <c r="B76" s="1103">
        <f t="shared" ref="B76:B101" si="4">IF(A76&lt;&gt;0,E76+H76,"")</f>
        <v>234</v>
      </c>
      <c r="C76" s="1101">
        <f t="shared" si="3"/>
        <v>1.0563857162204866</v>
      </c>
      <c r="D76" s="1087"/>
      <c r="E76" s="1107">
        <v>189</v>
      </c>
      <c r="F76" s="1050">
        <f>IF(A76&lt;&gt;0,E76/B76*100,"")</f>
        <v>80.769230769230774</v>
      </c>
      <c r="G76" s="1108"/>
      <c r="H76" s="1107">
        <v>45</v>
      </c>
      <c r="I76" s="1000">
        <f t="shared" ref="I76:I101" si="5">IF(A76&lt;&gt;0,H76/B76*100,"")</f>
        <v>19.230769230769234</v>
      </c>
      <c r="J76" s="866"/>
    </row>
    <row r="77" spans="1:10" s="1088" customFormat="1">
      <c r="A77" s="847" t="s">
        <v>339</v>
      </c>
      <c r="B77" s="1103">
        <f t="shared" si="4"/>
        <v>278</v>
      </c>
      <c r="C77" s="1101">
        <f t="shared" ref="C77:C101" si="6">(B77/$B$11)*100</f>
        <v>1.25502234662092</v>
      </c>
      <c r="D77" s="1087"/>
      <c r="E77" s="1107">
        <v>260</v>
      </c>
      <c r="F77" s="1050">
        <f>IF(A77&lt;&gt;0,E77/B77*100,"")</f>
        <v>93.525179856115102</v>
      </c>
      <c r="G77" s="1108"/>
      <c r="H77" s="1107">
        <v>18</v>
      </c>
      <c r="I77" s="1000">
        <f t="shared" si="5"/>
        <v>6.4748201438848918</v>
      </c>
      <c r="J77" s="866"/>
    </row>
    <row r="78" spans="1:10" ht="8.25" customHeight="1">
      <c r="B78" s="1103" t="str">
        <f t="shared" si="4"/>
        <v/>
      </c>
      <c r="C78" s="1101"/>
      <c r="D78" s="582"/>
      <c r="F78" s="1050" t="str">
        <f t="shared" ref="F78:F101" si="7">IF(A78&lt;&gt;0,E78/B78*100,"")</f>
        <v/>
      </c>
      <c r="G78" s="1046"/>
      <c r="I78" s="1000" t="str">
        <f t="shared" si="5"/>
        <v/>
      </c>
      <c r="J78" s="866"/>
    </row>
    <row r="79" spans="1:10" s="867" customFormat="1">
      <c r="A79" s="867" t="s">
        <v>333</v>
      </c>
      <c r="B79" s="1104">
        <f t="shared" si="4"/>
        <v>1878</v>
      </c>
      <c r="C79" s="1098">
        <f t="shared" si="6"/>
        <v>8.4781725430003156</v>
      </c>
      <c r="D79" s="1105"/>
      <c r="E79" s="1102">
        <f>E80+E82+E89+E91</f>
        <v>1682</v>
      </c>
      <c r="F79" s="1100">
        <f t="shared" si="7"/>
        <v>89.56336528221513</v>
      </c>
      <c r="G79" s="1105"/>
      <c r="H79" s="1102">
        <f>H80+H82+H89+H91</f>
        <v>196</v>
      </c>
      <c r="I79" s="1100">
        <f t="shared" si="5"/>
        <v>10.436634717784878</v>
      </c>
      <c r="J79" s="866"/>
    </row>
    <row r="80" spans="1:10" s="1086" customFormat="1">
      <c r="A80" s="847" t="s">
        <v>334</v>
      </c>
      <c r="B80" s="1103">
        <f t="shared" si="4"/>
        <v>265</v>
      </c>
      <c r="C80" s="1101">
        <f t="shared" si="6"/>
        <v>1.1963342512753374</v>
      </c>
      <c r="D80" s="1085"/>
      <c r="E80" s="1107">
        <v>245</v>
      </c>
      <c r="F80" s="1050">
        <f t="shared" si="7"/>
        <v>92.452830188679243</v>
      </c>
      <c r="G80" s="1108"/>
      <c r="H80" s="1107">
        <v>20</v>
      </c>
      <c r="I80" s="1000">
        <f t="shared" si="5"/>
        <v>7.5471698113207548</v>
      </c>
      <c r="J80" s="866"/>
    </row>
    <row r="81" spans="1:10" ht="9" customHeight="1">
      <c r="B81" s="1103" t="str">
        <f t="shared" si="4"/>
        <v/>
      </c>
      <c r="C81" s="1101"/>
      <c r="D81" s="582"/>
      <c r="F81" s="1050" t="str">
        <f t="shared" si="7"/>
        <v/>
      </c>
      <c r="G81" s="1046"/>
      <c r="I81" s="1000" t="str">
        <f t="shared" si="5"/>
        <v/>
      </c>
      <c r="J81" s="866"/>
    </row>
    <row r="82" spans="1:10" s="1086" customFormat="1">
      <c r="A82" s="847" t="s">
        <v>60</v>
      </c>
      <c r="B82" s="1103">
        <f t="shared" si="4"/>
        <v>1088</v>
      </c>
      <c r="C82" s="1101">
        <f t="shared" si="6"/>
        <v>4.9117421335379889</v>
      </c>
      <c r="D82" s="1085"/>
      <c r="E82" s="1049">
        <f>SUM(E83:E87)</f>
        <v>968</v>
      </c>
      <c r="F82" s="1050">
        <f t="shared" si="7"/>
        <v>88.970588235294116</v>
      </c>
      <c r="G82" s="1106"/>
      <c r="H82" s="1049">
        <f>SUM(H83:H87)</f>
        <v>120</v>
      </c>
      <c r="I82" s="1000">
        <f t="shared" si="5"/>
        <v>11.029411764705882</v>
      </c>
      <c r="J82" s="866"/>
    </row>
    <row r="83" spans="1:10" s="1088" customFormat="1">
      <c r="A83" s="847" t="s">
        <v>61</v>
      </c>
      <c r="B83" s="1103">
        <f>IF(A83&lt;&gt;0,E83+H83,"")</f>
        <v>249</v>
      </c>
      <c r="C83" s="1101">
        <f t="shared" si="6"/>
        <v>1.1241027493115434</v>
      </c>
      <c r="D83" s="1087"/>
      <c r="E83" s="1107">
        <v>227</v>
      </c>
      <c r="F83" s="1050">
        <f t="shared" si="7"/>
        <v>91.164658634538156</v>
      </c>
      <c r="G83" s="1108"/>
      <c r="H83" s="1107">
        <v>22</v>
      </c>
      <c r="I83" s="1000">
        <f>IF(A83&lt;&gt;0,H83/B83*100,"")</f>
        <v>8.8353413654618471</v>
      </c>
      <c r="J83" s="866"/>
    </row>
    <row r="84" spans="1:10" s="1088" customFormat="1">
      <c r="A84" s="847" t="s">
        <v>62</v>
      </c>
      <c r="B84" s="1103">
        <f>IF(A84&lt;&gt;0,E84+H84,"")</f>
        <v>245</v>
      </c>
      <c r="C84" s="1101">
        <f t="shared" si="6"/>
        <v>1.106044873820595</v>
      </c>
      <c r="D84" s="1087"/>
      <c r="E84" s="1107">
        <v>210</v>
      </c>
      <c r="F84" s="1050">
        <f t="shared" si="7"/>
        <v>85.714285714285708</v>
      </c>
      <c r="G84" s="1108"/>
      <c r="H84" s="1107">
        <v>35</v>
      </c>
      <c r="I84" s="1000">
        <f>IF(A84&lt;&gt;0,H84/B84*100,"")</f>
        <v>14.285714285714285</v>
      </c>
      <c r="J84" s="866"/>
    </row>
    <row r="85" spans="1:10" s="1088" customFormat="1">
      <c r="A85" s="847" t="s">
        <v>64</v>
      </c>
      <c r="B85" s="1103">
        <f t="shared" si="4"/>
        <v>122</v>
      </c>
      <c r="C85" s="1101">
        <f t="shared" si="6"/>
        <v>0.55076520247392902</v>
      </c>
      <c r="D85" s="1087"/>
      <c r="E85" s="1107">
        <v>112</v>
      </c>
      <c r="F85" s="1050">
        <f t="shared" si="7"/>
        <v>91.803278688524586</v>
      </c>
      <c r="G85" s="1108"/>
      <c r="H85" s="1107">
        <v>10</v>
      </c>
      <c r="I85" s="1000">
        <f t="shared" si="5"/>
        <v>8.1967213114754092</v>
      </c>
      <c r="J85" s="866"/>
    </row>
    <row r="86" spans="1:10" s="1088" customFormat="1">
      <c r="A86" s="847" t="s">
        <v>63</v>
      </c>
      <c r="B86" s="1103">
        <f t="shared" si="4"/>
        <v>89</v>
      </c>
      <c r="C86" s="1101">
        <f t="shared" si="6"/>
        <v>0.40178772967360388</v>
      </c>
      <c r="D86" s="1087"/>
      <c r="E86" s="1107">
        <v>82</v>
      </c>
      <c r="F86" s="1050">
        <f t="shared" si="7"/>
        <v>92.134831460674164</v>
      </c>
      <c r="G86" s="1108"/>
      <c r="H86" s="1107">
        <v>7</v>
      </c>
      <c r="I86" s="1000">
        <f t="shared" si="5"/>
        <v>7.8651685393258424</v>
      </c>
      <c r="J86" s="866"/>
    </row>
    <row r="87" spans="1:10" s="1088" customFormat="1">
      <c r="A87" s="847" t="s">
        <v>1700</v>
      </c>
      <c r="B87" s="1103">
        <f t="shared" si="4"/>
        <v>383</v>
      </c>
      <c r="C87" s="1101">
        <f t="shared" si="6"/>
        <v>1.7290415782583179</v>
      </c>
      <c r="D87" s="1087"/>
      <c r="E87" s="1107">
        <v>337</v>
      </c>
      <c r="F87" s="1050">
        <f t="shared" si="7"/>
        <v>87.989556135770229</v>
      </c>
      <c r="G87" s="1108"/>
      <c r="H87" s="1107">
        <v>46</v>
      </c>
      <c r="I87" s="1000">
        <f t="shared" si="5"/>
        <v>12.010443864229766</v>
      </c>
      <c r="J87" s="866"/>
    </row>
    <row r="88" spans="1:10" ht="7.5" customHeight="1">
      <c r="B88" s="1103" t="str">
        <f t="shared" si="4"/>
        <v/>
      </c>
      <c r="C88" s="1101"/>
      <c r="D88" s="582"/>
      <c r="E88" s="855"/>
      <c r="F88" s="1050" t="str">
        <f t="shared" si="7"/>
        <v/>
      </c>
      <c r="G88" s="855"/>
      <c r="H88" s="855"/>
      <c r="I88" s="1000" t="str">
        <f t="shared" si="5"/>
        <v/>
      </c>
      <c r="J88" s="866"/>
    </row>
    <row r="89" spans="1:10" s="1086" customFormat="1">
      <c r="A89" s="847" t="s">
        <v>66</v>
      </c>
      <c r="B89" s="1103">
        <f t="shared" si="4"/>
        <v>222</v>
      </c>
      <c r="C89" s="1101">
        <f t="shared" si="6"/>
        <v>1.0022120897476412</v>
      </c>
      <c r="D89" s="1085"/>
      <c r="E89" s="1107">
        <v>201</v>
      </c>
      <c r="F89" s="1050">
        <f t="shared" si="7"/>
        <v>90.540540540540533</v>
      </c>
      <c r="G89" s="1108"/>
      <c r="H89" s="1107">
        <v>21</v>
      </c>
      <c r="I89" s="1000">
        <f t="shared" si="5"/>
        <v>9.4594594594594597</v>
      </c>
      <c r="J89" s="866"/>
    </row>
    <row r="90" spans="1:10" ht="6.75" customHeight="1">
      <c r="B90" s="1103" t="str">
        <f t="shared" si="4"/>
        <v/>
      </c>
      <c r="C90" s="1101"/>
      <c r="D90" s="582"/>
      <c r="E90" s="855"/>
      <c r="F90" s="1050" t="str">
        <f t="shared" si="7"/>
        <v/>
      </c>
      <c r="G90" s="855"/>
      <c r="H90" s="855"/>
      <c r="I90" s="1000" t="str">
        <f t="shared" si="5"/>
        <v/>
      </c>
      <c r="J90" s="866"/>
    </row>
    <row r="91" spans="1:10" s="1086" customFormat="1">
      <c r="A91" s="847" t="s">
        <v>67</v>
      </c>
      <c r="B91" s="1103">
        <f t="shared" si="4"/>
        <v>303</v>
      </c>
      <c r="C91" s="1101">
        <f t="shared" si="6"/>
        <v>1.3678840684393481</v>
      </c>
      <c r="D91" s="1085"/>
      <c r="E91" s="1107">
        <v>268</v>
      </c>
      <c r="F91" s="1050">
        <f t="shared" si="7"/>
        <v>88.448844884488452</v>
      </c>
      <c r="G91" s="1108"/>
      <c r="H91" s="1107">
        <v>35</v>
      </c>
      <c r="I91" s="1000">
        <f t="shared" si="5"/>
        <v>11.55115511551155</v>
      </c>
      <c r="J91" s="866"/>
    </row>
    <row r="92" spans="1:10" s="1086" customFormat="1" ht="9" customHeight="1">
      <c r="A92" s="847"/>
      <c r="B92" s="1103" t="str">
        <f t="shared" si="4"/>
        <v/>
      </c>
      <c r="C92" s="1101"/>
      <c r="D92" s="1085"/>
      <c r="E92" s="854"/>
      <c r="F92" s="1050" t="str">
        <f t="shared" si="7"/>
        <v/>
      </c>
      <c r="G92" s="854"/>
      <c r="H92" s="854"/>
      <c r="I92" s="1000"/>
      <c r="J92" s="866"/>
    </row>
    <row r="93" spans="1:10" s="1086" customFormat="1">
      <c r="A93" s="847" t="s">
        <v>443</v>
      </c>
      <c r="B93" s="1103">
        <f t="shared" si="4"/>
        <v>265</v>
      </c>
      <c r="C93" s="1101">
        <f t="shared" si="6"/>
        <v>1.1963342512753374</v>
      </c>
      <c r="D93" s="1085"/>
      <c r="E93" s="1107">
        <v>232</v>
      </c>
      <c r="F93" s="1050">
        <f t="shared" si="7"/>
        <v>87.547169811320757</v>
      </c>
      <c r="G93" s="1108"/>
      <c r="H93" s="1107">
        <v>33</v>
      </c>
      <c r="I93" s="1000">
        <f t="shared" si="5"/>
        <v>12.452830188679245</v>
      </c>
      <c r="J93" s="866"/>
    </row>
    <row r="94" spans="1:10" s="1086" customFormat="1">
      <c r="A94" s="847" t="s">
        <v>920</v>
      </c>
      <c r="B94" s="1103">
        <f t="shared" si="4"/>
        <v>385</v>
      </c>
      <c r="C94" s="1101">
        <f t="shared" si="6"/>
        <v>1.7380705160037919</v>
      </c>
      <c r="D94" s="1085"/>
      <c r="E94" s="1107">
        <v>338</v>
      </c>
      <c r="F94" s="1050">
        <f t="shared" si="7"/>
        <v>87.79220779220779</v>
      </c>
      <c r="G94" s="1108"/>
      <c r="H94" s="1107">
        <v>47</v>
      </c>
      <c r="I94" s="1000">
        <f t="shared" si="5"/>
        <v>12.207792207792208</v>
      </c>
      <c r="J94" s="866"/>
    </row>
    <row r="95" spans="1:10" ht="7.5" customHeight="1">
      <c r="B95" s="1103" t="str">
        <f t="shared" si="4"/>
        <v/>
      </c>
      <c r="C95" s="1101"/>
      <c r="D95" s="582"/>
      <c r="F95" s="1050" t="str">
        <f t="shared" si="7"/>
        <v/>
      </c>
      <c r="G95" s="1046"/>
      <c r="I95" s="1000" t="str">
        <f t="shared" si="5"/>
        <v/>
      </c>
      <c r="J95" s="866"/>
    </row>
    <row r="96" spans="1:10" s="867" customFormat="1">
      <c r="A96" s="867" t="s">
        <v>1701</v>
      </c>
      <c r="B96" s="1104">
        <f t="shared" si="4"/>
        <v>7572</v>
      </c>
      <c r="C96" s="1098">
        <f t="shared" si="6"/>
        <v>34.183558304365491</v>
      </c>
      <c r="D96" s="1105"/>
      <c r="E96" s="1102">
        <f>SUM(E97:E101)</f>
        <v>6649</v>
      </c>
      <c r="F96" s="1100">
        <f t="shared" si="7"/>
        <v>87.81035393555203</v>
      </c>
      <c r="G96" s="1105"/>
      <c r="H96" s="1102">
        <f>SUM(H97:H101)</f>
        <v>923</v>
      </c>
      <c r="I96" s="1100">
        <f t="shared" si="5"/>
        <v>12.189646064447967</v>
      </c>
      <c r="J96" s="866"/>
    </row>
    <row r="97" spans="1:10" s="1088" customFormat="1">
      <c r="A97" s="847" t="s">
        <v>347</v>
      </c>
      <c r="B97" s="1103">
        <f t="shared" si="4"/>
        <v>2429</v>
      </c>
      <c r="C97" s="1101">
        <f t="shared" si="6"/>
        <v>10.965644891878471</v>
      </c>
      <c r="D97" s="1087"/>
      <c r="E97" s="1107">
        <v>2137</v>
      </c>
      <c r="F97" s="1050">
        <f t="shared" si="7"/>
        <v>87.978592013174151</v>
      </c>
      <c r="G97" s="1108"/>
      <c r="H97" s="1107">
        <v>292</v>
      </c>
      <c r="I97" s="1000">
        <f t="shared" si="5"/>
        <v>12.021407986825853</v>
      </c>
      <c r="J97" s="866"/>
    </row>
    <row r="98" spans="1:10" s="1088" customFormat="1">
      <c r="A98" s="847" t="s">
        <v>348</v>
      </c>
      <c r="B98" s="1103">
        <f t="shared" si="4"/>
        <v>1544</v>
      </c>
      <c r="C98" s="1101">
        <f t="shared" si="6"/>
        <v>6.9703399395061174</v>
      </c>
      <c r="D98" s="1087"/>
      <c r="E98" s="1107">
        <v>1360</v>
      </c>
      <c r="F98" s="1050">
        <f t="shared" si="7"/>
        <v>88.082901554404145</v>
      </c>
      <c r="G98" s="1108"/>
      <c r="H98" s="1107">
        <v>184</v>
      </c>
      <c r="I98" s="1000">
        <f t="shared" si="5"/>
        <v>11.917098445595855</v>
      </c>
      <c r="J98" s="866"/>
    </row>
    <row r="99" spans="1:10" s="1088" customFormat="1">
      <c r="A99" s="847" t="s">
        <v>349</v>
      </c>
      <c r="B99" s="1103">
        <f t="shared" si="4"/>
        <v>1520</v>
      </c>
      <c r="C99" s="1101">
        <f t="shared" si="6"/>
        <v>6.861992686560427</v>
      </c>
      <c r="D99" s="1087"/>
      <c r="E99" s="1107">
        <v>1323</v>
      </c>
      <c r="F99" s="1050">
        <f t="shared" si="7"/>
        <v>87.03947368421052</v>
      </c>
      <c r="G99" s="1108"/>
      <c r="H99" s="1107">
        <v>197</v>
      </c>
      <c r="I99" s="1000">
        <f t="shared" si="5"/>
        <v>12.960526315789473</v>
      </c>
      <c r="J99" s="866"/>
    </row>
    <row r="100" spans="1:10" s="1088" customFormat="1">
      <c r="A100" s="854" t="s">
        <v>378</v>
      </c>
      <c r="B100" s="1103">
        <f t="shared" si="4"/>
        <v>1139</v>
      </c>
      <c r="C100" s="1101">
        <f t="shared" si="6"/>
        <v>5.1419800460475829</v>
      </c>
      <c r="D100" s="1087"/>
      <c r="E100" s="1107">
        <v>990</v>
      </c>
      <c r="F100" s="1050">
        <f t="shared" si="7"/>
        <v>86.918349429323968</v>
      </c>
      <c r="G100" s="1108"/>
      <c r="H100" s="1107">
        <v>149</v>
      </c>
      <c r="I100" s="1000">
        <f t="shared" si="5"/>
        <v>13.081650570676032</v>
      </c>
      <c r="J100" s="866"/>
    </row>
    <row r="101" spans="1:10" s="1088" customFormat="1">
      <c r="A101" s="847" t="s">
        <v>808</v>
      </c>
      <c r="B101" s="1103">
        <f t="shared" si="4"/>
        <v>940</v>
      </c>
      <c r="C101" s="1110">
        <f t="shared" si="6"/>
        <v>4.2436007403728953</v>
      </c>
      <c r="D101" s="1089"/>
      <c r="E101" s="1107">
        <v>839</v>
      </c>
      <c r="F101" s="1050">
        <f t="shared" si="7"/>
        <v>89.255319148936181</v>
      </c>
      <c r="G101" s="1108"/>
      <c r="H101" s="1107">
        <v>101</v>
      </c>
      <c r="I101" s="1030">
        <f t="shared" si="5"/>
        <v>10.74468085106383</v>
      </c>
      <c r="J101" s="880"/>
    </row>
    <row r="102" spans="1:10" s="1088" customFormat="1" ht="6.75" customHeight="1" thickBot="1">
      <c r="A102" s="848"/>
      <c r="B102" s="1081"/>
      <c r="C102" s="1111"/>
      <c r="D102" s="1090"/>
      <c r="E102" s="1096"/>
      <c r="F102" s="1097"/>
      <c r="G102" s="1112"/>
      <c r="H102" s="1096"/>
      <c r="I102" s="1097"/>
      <c r="J102" s="1113"/>
    </row>
    <row r="103" spans="1:10" s="1088" customFormat="1" ht="7.5" customHeight="1">
      <c r="A103" s="847"/>
      <c r="B103" s="1073"/>
      <c r="C103" s="1110"/>
      <c r="D103" s="1091"/>
      <c r="E103" s="1043"/>
      <c r="F103" s="1044"/>
      <c r="G103" s="1114"/>
      <c r="H103" s="1043"/>
      <c r="I103" s="1044"/>
      <c r="J103" s="866"/>
    </row>
    <row r="104" spans="1:10">
      <c r="A104" s="855" t="s">
        <v>1702</v>
      </c>
    </row>
    <row r="105" spans="1:10">
      <c r="A105" s="847" t="s">
        <v>1770</v>
      </c>
    </row>
    <row r="106" spans="1:10" ht="6.75" customHeight="1"/>
    <row r="107" spans="1:10">
      <c r="A107" s="847" t="s">
        <v>1704</v>
      </c>
    </row>
    <row r="108" spans="1:10">
      <c r="A108" s="847" t="s">
        <v>1705</v>
      </c>
    </row>
  </sheetData>
  <mergeCells count="3">
    <mergeCell ref="B7:C7"/>
    <mergeCell ref="E7:F7"/>
    <mergeCell ref="H7:I7"/>
  </mergeCells>
  <printOptions horizontalCentered="1" verticalCentered="1"/>
  <pageMargins left="0" right="0" top="0" bottom="0" header="0.31496062992125984" footer="0.31496062992125984"/>
  <pageSetup paperSize="9" scale="55" orientation="portrait" r:id="rId1"/>
  <drawing r:id="rId2"/>
</worksheet>
</file>

<file path=xl/worksheets/sheet113.xml><?xml version="1.0" encoding="utf-8"?>
<worksheet xmlns="http://schemas.openxmlformats.org/spreadsheetml/2006/main" xmlns:r="http://schemas.openxmlformats.org/officeDocument/2006/relationships">
  <dimension ref="A1:J58"/>
  <sheetViews>
    <sheetView workbookViewId="0">
      <selection activeCell="A55" sqref="A55"/>
    </sheetView>
  </sheetViews>
  <sheetFormatPr baseColWidth="10" defaultRowHeight="15"/>
  <cols>
    <col min="1" max="1" width="42.140625" style="847" customWidth="1"/>
    <col min="2" max="2" width="8.42578125" style="963" customWidth="1"/>
    <col min="3" max="3" width="8.7109375" style="954" customWidth="1"/>
    <col min="4" max="4" width="3.7109375" style="954" customWidth="1"/>
    <col min="5" max="5" width="8.7109375" style="955" customWidth="1"/>
    <col min="6" max="6" width="8.5703125" style="954" customWidth="1"/>
    <col min="7" max="7" width="3.7109375" style="954" customWidth="1"/>
    <col min="8" max="8" width="9.42578125" style="954" customWidth="1"/>
    <col min="9" max="9" width="10" style="964" customWidth="1"/>
    <col min="10" max="10" width="3.140625" style="847" customWidth="1"/>
    <col min="11" max="256" width="11.42578125" style="847"/>
    <col min="257" max="257" width="42.140625" style="847" customWidth="1"/>
    <col min="258" max="258" width="8.42578125" style="847" customWidth="1"/>
    <col min="259" max="259" width="8.7109375" style="847" customWidth="1"/>
    <col min="260" max="260" width="3.7109375" style="847" customWidth="1"/>
    <col min="261" max="261" width="8.7109375" style="847" customWidth="1"/>
    <col min="262" max="262" width="8.5703125" style="847" customWidth="1"/>
    <col min="263" max="263" width="3.7109375" style="847" customWidth="1"/>
    <col min="264" max="264" width="9.42578125" style="847" customWidth="1"/>
    <col min="265" max="265" width="10" style="847" customWidth="1"/>
    <col min="266" max="266" width="3.140625" style="847" customWidth="1"/>
    <col min="267" max="512" width="11.42578125" style="847"/>
    <col min="513" max="513" width="42.140625" style="847" customWidth="1"/>
    <col min="514" max="514" width="8.42578125" style="847" customWidth="1"/>
    <col min="515" max="515" width="8.7109375" style="847" customWidth="1"/>
    <col min="516" max="516" width="3.7109375" style="847" customWidth="1"/>
    <col min="517" max="517" width="8.7109375" style="847" customWidth="1"/>
    <col min="518" max="518" width="8.5703125" style="847" customWidth="1"/>
    <col min="519" max="519" width="3.7109375" style="847" customWidth="1"/>
    <col min="520" max="520" width="9.42578125" style="847" customWidth="1"/>
    <col min="521" max="521" width="10" style="847" customWidth="1"/>
    <col min="522" max="522" width="3.140625" style="847" customWidth="1"/>
    <col min="523" max="768" width="11.42578125" style="847"/>
    <col min="769" max="769" width="42.140625" style="847" customWidth="1"/>
    <col min="770" max="770" width="8.42578125" style="847" customWidth="1"/>
    <col min="771" max="771" width="8.7109375" style="847" customWidth="1"/>
    <col min="772" max="772" width="3.7109375" style="847" customWidth="1"/>
    <col min="773" max="773" width="8.7109375" style="847" customWidth="1"/>
    <col min="774" max="774" width="8.5703125" style="847" customWidth="1"/>
    <col min="775" max="775" width="3.7109375" style="847" customWidth="1"/>
    <col min="776" max="776" width="9.42578125" style="847" customWidth="1"/>
    <col min="777" max="777" width="10" style="847" customWidth="1"/>
    <col min="778" max="778" width="3.140625" style="847" customWidth="1"/>
    <col min="779" max="1024" width="11.42578125" style="847"/>
    <col min="1025" max="1025" width="42.140625" style="847" customWidth="1"/>
    <col min="1026" max="1026" width="8.42578125" style="847" customWidth="1"/>
    <col min="1027" max="1027" width="8.7109375" style="847" customWidth="1"/>
    <col min="1028" max="1028" width="3.7109375" style="847" customWidth="1"/>
    <col min="1029" max="1029" width="8.7109375" style="847" customWidth="1"/>
    <col min="1030" max="1030" width="8.5703125" style="847" customWidth="1"/>
    <col min="1031" max="1031" width="3.7109375" style="847" customWidth="1"/>
    <col min="1032" max="1032" width="9.42578125" style="847" customWidth="1"/>
    <col min="1033" max="1033" width="10" style="847" customWidth="1"/>
    <col min="1034" max="1034" width="3.140625" style="847" customWidth="1"/>
    <col min="1035" max="1280" width="11.42578125" style="847"/>
    <col min="1281" max="1281" width="42.140625" style="847" customWidth="1"/>
    <col min="1282" max="1282" width="8.42578125" style="847" customWidth="1"/>
    <col min="1283" max="1283" width="8.7109375" style="847" customWidth="1"/>
    <col min="1284" max="1284" width="3.7109375" style="847" customWidth="1"/>
    <col min="1285" max="1285" width="8.7109375" style="847" customWidth="1"/>
    <col min="1286" max="1286" width="8.5703125" style="847" customWidth="1"/>
    <col min="1287" max="1287" width="3.7109375" style="847" customWidth="1"/>
    <col min="1288" max="1288" width="9.42578125" style="847" customWidth="1"/>
    <col min="1289" max="1289" width="10" style="847" customWidth="1"/>
    <col min="1290" max="1290" width="3.140625" style="847" customWidth="1"/>
    <col min="1291" max="1536" width="11.42578125" style="847"/>
    <col min="1537" max="1537" width="42.140625" style="847" customWidth="1"/>
    <col min="1538" max="1538" width="8.42578125" style="847" customWidth="1"/>
    <col min="1539" max="1539" width="8.7109375" style="847" customWidth="1"/>
    <col min="1540" max="1540" width="3.7109375" style="847" customWidth="1"/>
    <col min="1541" max="1541" width="8.7109375" style="847" customWidth="1"/>
    <col min="1542" max="1542" width="8.5703125" style="847" customWidth="1"/>
    <col min="1543" max="1543" width="3.7109375" style="847" customWidth="1"/>
    <col min="1544" max="1544" width="9.42578125" style="847" customWidth="1"/>
    <col min="1545" max="1545" width="10" style="847" customWidth="1"/>
    <col min="1546" max="1546" width="3.140625" style="847" customWidth="1"/>
    <col min="1547" max="1792" width="11.42578125" style="847"/>
    <col min="1793" max="1793" width="42.140625" style="847" customWidth="1"/>
    <col min="1794" max="1794" width="8.42578125" style="847" customWidth="1"/>
    <col min="1795" max="1795" width="8.7109375" style="847" customWidth="1"/>
    <col min="1796" max="1796" width="3.7109375" style="847" customWidth="1"/>
    <col min="1797" max="1797" width="8.7109375" style="847" customWidth="1"/>
    <col min="1798" max="1798" width="8.5703125" style="847" customWidth="1"/>
    <col min="1799" max="1799" width="3.7109375" style="847" customWidth="1"/>
    <col min="1800" max="1800" width="9.42578125" style="847" customWidth="1"/>
    <col min="1801" max="1801" width="10" style="847" customWidth="1"/>
    <col min="1802" max="1802" width="3.140625" style="847" customWidth="1"/>
    <col min="1803" max="2048" width="11.42578125" style="847"/>
    <col min="2049" max="2049" width="42.140625" style="847" customWidth="1"/>
    <col min="2050" max="2050" width="8.42578125" style="847" customWidth="1"/>
    <col min="2051" max="2051" width="8.7109375" style="847" customWidth="1"/>
    <col min="2052" max="2052" width="3.7109375" style="847" customWidth="1"/>
    <col min="2053" max="2053" width="8.7109375" style="847" customWidth="1"/>
    <col min="2054" max="2054" width="8.5703125" style="847" customWidth="1"/>
    <col min="2055" max="2055" width="3.7109375" style="847" customWidth="1"/>
    <col min="2056" max="2056" width="9.42578125" style="847" customWidth="1"/>
    <col min="2057" max="2057" width="10" style="847" customWidth="1"/>
    <col min="2058" max="2058" width="3.140625" style="847" customWidth="1"/>
    <col min="2059" max="2304" width="11.42578125" style="847"/>
    <col min="2305" max="2305" width="42.140625" style="847" customWidth="1"/>
    <col min="2306" max="2306" width="8.42578125" style="847" customWidth="1"/>
    <col min="2307" max="2307" width="8.7109375" style="847" customWidth="1"/>
    <col min="2308" max="2308" width="3.7109375" style="847" customWidth="1"/>
    <col min="2309" max="2309" width="8.7109375" style="847" customWidth="1"/>
    <col min="2310" max="2310" width="8.5703125" style="847" customWidth="1"/>
    <col min="2311" max="2311" width="3.7109375" style="847" customWidth="1"/>
    <col min="2312" max="2312" width="9.42578125" style="847" customWidth="1"/>
    <col min="2313" max="2313" width="10" style="847" customWidth="1"/>
    <col min="2314" max="2314" width="3.140625" style="847" customWidth="1"/>
    <col min="2315" max="2560" width="11.42578125" style="847"/>
    <col min="2561" max="2561" width="42.140625" style="847" customWidth="1"/>
    <col min="2562" max="2562" width="8.42578125" style="847" customWidth="1"/>
    <col min="2563" max="2563" width="8.7109375" style="847" customWidth="1"/>
    <col min="2564" max="2564" width="3.7109375" style="847" customWidth="1"/>
    <col min="2565" max="2565" width="8.7109375" style="847" customWidth="1"/>
    <col min="2566" max="2566" width="8.5703125" style="847" customWidth="1"/>
    <col min="2567" max="2567" width="3.7109375" style="847" customWidth="1"/>
    <col min="2568" max="2568" width="9.42578125" style="847" customWidth="1"/>
    <col min="2569" max="2569" width="10" style="847" customWidth="1"/>
    <col min="2570" max="2570" width="3.140625" style="847" customWidth="1"/>
    <col min="2571" max="2816" width="11.42578125" style="847"/>
    <col min="2817" max="2817" width="42.140625" style="847" customWidth="1"/>
    <col min="2818" max="2818" width="8.42578125" style="847" customWidth="1"/>
    <col min="2819" max="2819" width="8.7109375" style="847" customWidth="1"/>
    <col min="2820" max="2820" width="3.7109375" style="847" customWidth="1"/>
    <col min="2821" max="2821" width="8.7109375" style="847" customWidth="1"/>
    <col min="2822" max="2822" width="8.5703125" style="847" customWidth="1"/>
    <col min="2823" max="2823" width="3.7109375" style="847" customWidth="1"/>
    <col min="2824" max="2824" width="9.42578125" style="847" customWidth="1"/>
    <col min="2825" max="2825" width="10" style="847" customWidth="1"/>
    <col min="2826" max="2826" width="3.140625" style="847" customWidth="1"/>
    <col min="2827" max="3072" width="11.42578125" style="847"/>
    <col min="3073" max="3073" width="42.140625" style="847" customWidth="1"/>
    <col min="3074" max="3074" width="8.42578125" style="847" customWidth="1"/>
    <col min="3075" max="3075" width="8.7109375" style="847" customWidth="1"/>
    <col min="3076" max="3076" width="3.7109375" style="847" customWidth="1"/>
    <col min="3077" max="3077" width="8.7109375" style="847" customWidth="1"/>
    <col min="3078" max="3078" width="8.5703125" style="847" customWidth="1"/>
    <col min="3079" max="3079" width="3.7109375" style="847" customWidth="1"/>
    <col min="3080" max="3080" width="9.42578125" style="847" customWidth="1"/>
    <col min="3081" max="3081" width="10" style="847" customWidth="1"/>
    <col min="3082" max="3082" width="3.140625" style="847" customWidth="1"/>
    <col min="3083" max="3328" width="11.42578125" style="847"/>
    <col min="3329" max="3329" width="42.140625" style="847" customWidth="1"/>
    <col min="3330" max="3330" width="8.42578125" style="847" customWidth="1"/>
    <col min="3331" max="3331" width="8.7109375" style="847" customWidth="1"/>
    <col min="3332" max="3332" width="3.7109375" style="847" customWidth="1"/>
    <col min="3333" max="3333" width="8.7109375" style="847" customWidth="1"/>
    <col min="3334" max="3334" width="8.5703125" style="847" customWidth="1"/>
    <col min="3335" max="3335" width="3.7109375" style="847" customWidth="1"/>
    <col min="3336" max="3336" width="9.42578125" style="847" customWidth="1"/>
    <col min="3337" max="3337" width="10" style="847" customWidth="1"/>
    <col min="3338" max="3338" width="3.140625" style="847" customWidth="1"/>
    <col min="3339" max="3584" width="11.42578125" style="847"/>
    <col min="3585" max="3585" width="42.140625" style="847" customWidth="1"/>
    <col min="3586" max="3586" width="8.42578125" style="847" customWidth="1"/>
    <col min="3587" max="3587" width="8.7109375" style="847" customWidth="1"/>
    <col min="3588" max="3588" width="3.7109375" style="847" customWidth="1"/>
    <col min="3589" max="3589" width="8.7109375" style="847" customWidth="1"/>
    <col min="3590" max="3590" width="8.5703125" style="847" customWidth="1"/>
    <col min="3591" max="3591" width="3.7109375" style="847" customWidth="1"/>
    <col min="3592" max="3592" width="9.42578125" style="847" customWidth="1"/>
    <col min="3593" max="3593" width="10" style="847" customWidth="1"/>
    <col min="3594" max="3594" width="3.140625" style="847" customWidth="1"/>
    <col min="3595" max="3840" width="11.42578125" style="847"/>
    <col min="3841" max="3841" width="42.140625" style="847" customWidth="1"/>
    <col min="3842" max="3842" width="8.42578125" style="847" customWidth="1"/>
    <col min="3843" max="3843" width="8.7109375" style="847" customWidth="1"/>
    <col min="3844" max="3844" width="3.7109375" style="847" customWidth="1"/>
    <col min="3845" max="3845" width="8.7109375" style="847" customWidth="1"/>
    <col min="3846" max="3846" width="8.5703125" style="847" customWidth="1"/>
    <col min="3847" max="3847" width="3.7109375" style="847" customWidth="1"/>
    <col min="3848" max="3848" width="9.42578125" style="847" customWidth="1"/>
    <col min="3849" max="3849" width="10" style="847" customWidth="1"/>
    <col min="3850" max="3850" width="3.140625" style="847" customWidth="1"/>
    <col min="3851" max="4096" width="11.42578125" style="847"/>
    <col min="4097" max="4097" width="42.140625" style="847" customWidth="1"/>
    <col min="4098" max="4098" width="8.42578125" style="847" customWidth="1"/>
    <col min="4099" max="4099" width="8.7109375" style="847" customWidth="1"/>
    <col min="4100" max="4100" width="3.7109375" style="847" customWidth="1"/>
    <col min="4101" max="4101" width="8.7109375" style="847" customWidth="1"/>
    <col min="4102" max="4102" width="8.5703125" style="847" customWidth="1"/>
    <col min="4103" max="4103" width="3.7109375" style="847" customWidth="1"/>
    <col min="4104" max="4104" width="9.42578125" style="847" customWidth="1"/>
    <col min="4105" max="4105" width="10" style="847" customWidth="1"/>
    <col min="4106" max="4106" width="3.140625" style="847" customWidth="1"/>
    <col min="4107" max="4352" width="11.42578125" style="847"/>
    <col min="4353" max="4353" width="42.140625" style="847" customWidth="1"/>
    <col min="4354" max="4354" width="8.42578125" style="847" customWidth="1"/>
    <col min="4355" max="4355" width="8.7109375" style="847" customWidth="1"/>
    <col min="4356" max="4356" width="3.7109375" style="847" customWidth="1"/>
    <col min="4357" max="4357" width="8.7109375" style="847" customWidth="1"/>
    <col min="4358" max="4358" width="8.5703125" style="847" customWidth="1"/>
    <col min="4359" max="4359" width="3.7109375" style="847" customWidth="1"/>
    <col min="4360" max="4360" width="9.42578125" style="847" customWidth="1"/>
    <col min="4361" max="4361" width="10" style="847" customWidth="1"/>
    <col min="4362" max="4362" width="3.140625" style="847" customWidth="1"/>
    <col min="4363" max="4608" width="11.42578125" style="847"/>
    <col min="4609" max="4609" width="42.140625" style="847" customWidth="1"/>
    <col min="4610" max="4610" width="8.42578125" style="847" customWidth="1"/>
    <col min="4611" max="4611" width="8.7109375" style="847" customWidth="1"/>
    <col min="4612" max="4612" width="3.7109375" style="847" customWidth="1"/>
    <col min="4613" max="4613" width="8.7109375" style="847" customWidth="1"/>
    <col min="4614" max="4614" width="8.5703125" style="847" customWidth="1"/>
    <col min="4615" max="4615" width="3.7109375" style="847" customWidth="1"/>
    <col min="4616" max="4616" width="9.42578125" style="847" customWidth="1"/>
    <col min="4617" max="4617" width="10" style="847" customWidth="1"/>
    <col min="4618" max="4618" width="3.140625" style="847" customWidth="1"/>
    <col min="4619" max="4864" width="11.42578125" style="847"/>
    <col min="4865" max="4865" width="42.140625" style="847" customWidth="1"/>
    <col min="4866" max="4866" width="8.42578125" style="847" customWidth="1"/>
    <col min="4867" max="4867" width="8.7109375" style="847" customWidth="1"/>
    <col min="4868" max="4868" width="3.7109375" style="847" customWidth="1"/>
    <col min="4869" max="4869" width="8.7109375" style="847" customWidth="1"/>
    <col min="4870" max="4870" width="8.5703125" style="847" customWidth="1"/>
    <col min="4871" max="4871" width="3.7109375" style="847" customWidth="1"/>
    <col min="4872" max="4872" width="9.42578125" style="847" customWidth="1"/>
    <col min="4873" max="4873" width="10" style="847" customWidth="1"/>
    <col min="4874" max="4874" width="3.140625" style="847" customWidth="1"/>
    <col min="4875" max="5120" width="11.42578125" style="847"/>
    <col min="5121" max="5121" width="42.140625" style="847" customWidth="1"/>
    <col min="5122" max="5122" width="8.42578125" style="847" customWidth="1"/>
    <col min="5123" max="5123" width="8.7109375" style="847" customWidth="1"/>
    <col min="5124" max="5124" width="3.7109375" style="847" customWidth="1"/>
    <col min="5125" max="5125" width="8.7109375" style="847" customWidth="1"/>
    <col min="5126" max="5126" width="8.5703125" style="847" customWidth="1"/>
    <col min="5127" max="5127" width="3.7109375" style="847" customWidth="1"/>
    <col min="5128" max="5128" width="9.42578125" style="847" customWidth="1"/>
    <col min="5129" max="5129" width="10" style="847" customWidth="1"/>
    <col min="5130" max="5130" width="3.140625" style="847" customWidth="1"/>
    <col min="5131" max="5376" width="11.42578125" style="847"/>
    <col min="5377" max="5377" width="42.140625" style="847" customWidth="1"/>
    <col min="5378" max="5378" width="8.42578125" style="847" customWidth="1"/>
    <col min="5379" max="5379" width="8.7109375" style="847" customWidth="1"/>
    <col min="5380" max="5380" width="3.7109375" style="847" customWidth="1"/>
    <col min="5381" max="5381" width="8.7109375" style="847" customWidth="1"/>
    <col min="5382" max="5382" width="8.5703125" style="847" customWidth="1"/>
    <col min="5383" max="5383" width="3.7109375" style="847" customWidth="1"/>
    <col min="5384" max="5384" width="9.42578125" style="847" customWidth="1"/>
    <col min="5385" max="5385" width="10" style="847" customWidth="1"/>
    <col min="5386" max="5386" width="3.140625" style="847" customWidth="1"/>
    <col min="5387" max="5632" width="11.42578125" style="847"/>
    <col min="5633" max="5633" width="42.140625" style="847" customWidth="1"/>
    <col min="5634" max="5634" width="8.42578125" style="847" customWidth="1"/>
    <col min="5635" max="5635" width="8.7109375" style="847" customWidth="1"/>
    <col min="5636" max="5636" width="3.7109375" style="847" customWidth="1"/>
    <col min="5637" max="5637" width="8.7109375" style="847" customWidth="1"/>
    <col min="5638" max="5638" width="8.5703125" style="847" customWidth="1"/>
    <col min="5639" max="5639" width="3.7109375" style="847" customWidth="1"/>
    <col min="5640" max="5640" width="9.42578125" style="847" customWidth="1"/>
    <col min="5641" max="5641" width="10" style="847" customWidth="1"/>
    <col min="5642" max="5642" width="3.140625" style="847" customWidth="1"/>
    <col min="5643" max="5888" width="11.42578125" style="847"/>
    <col min="5889" max="5889" width="42.140625" style="847" customWidth="1"/>
    <col min="5890" max="5890" width="8.42578125" style="847" customWidth="1"/>
    <col min="5891" max="5891" width="8.7109375" style="847" customWidth="1"/>
    <col min="5892" max="5892" width="3.7109375" style="847" customWidth="1"/>
    <col min="5893" max="5893" width="8.7109375" style="847" customWidth="1"/>
    <col min="5894" max="5894" width="8.5703125" style="847" customWidth="1"/>
    <col min="5895" max="5895" width="3.7109375" style="847" customWidth="1"/>
    <col min="5896" max="5896" width="9.42578125" style="847" customWidth="1"/>
    <col min="5897" max="5897" width="10" style="847" customWidth="1"/>
    <col min="5898" max="5898" width="3.140625" style="847" customWidth="1"/>
    <col min="5899" max="6144" width="11.42578125" style="847"/>
    <col min="6145" max="6145" width="42.140625" style="847" customWidth="1"/>
    <col min="6146" max="6146" width="8.42578125" style="847" customWidth="1"/>
    <col min="6147" max="6147" width="8.7109375" style="847" customWidth="1"/>
    <col min="6148" max="6148" width="3.7109375" style="847" customWidth="1"/>
    <col min="6149" max="6149" width="8.7109375" style="847" customWidth="1"/>
    <col min="6150" max="6150" width="8.5703125" style="847" customWidth="1"/>
    <col min="6151" max="6151" width="3.7109375" style="847" customWidth="1"/>
    <col min="6152" max="6152" width="9.42578125" style="847" customWidth="1"/>
    <col min="6153" max="6153" width="10" style="847" customWidth="1"/>
    <col min="6154" max="6154" width="3.140625" style="847" customWidth="1"/>
    <col min="6155" max="6400" width="11.42578125" style="847"/>
    <col min="6401" max="6401" width="42.140625" style="847" customWidth="1"/>
    <col min="6402" max="6402" width="8.42578125" style="847" customWidth="1"/>
    <col min="6403" max="6403" width="8.7109375" style="847" customWidth="1"/>
    <col min="6404" max="6404" width="3.7109375" style="847" customWidth="1"/>
    <col min="6405" max="6405" width="8.7109375" style="847" customWidth="1"/>
    <col min="6406" max="6406" width="8.5703125" style="847" customWidth="1"/>
    <col min="6407" max="6407" width="3.7109375" style="847" customWidth="1"/>
    <col min="6408" max="6408" width="9.42578125" style="847" customWidth="1"/>
    <col min="6409" max="6409" width="10" style="847" customWidth="1"/>
    <col min="6410" max="6410" width="3.140625" style="847" customWidth="1"/>
    <col min="6411" max="6656" width="11.42578125" style="847"/>
    <col min="6657" max="6657" width="42.140625" style="847" customWidth="1"/>
    <col min="6658" max="6658" width="8.42578125" style="847" customWidth="1"/>
    <col min="6659" max="6659" width="8.7109375" style="847" customWidth="1"/>
    <col min="6660" max="6660" width="3.7109375" style="847" customWidth="1"/>
    <col min="6661" max="6661" width="8.7109375" style="847" customWidth="1"/>
    <col min="6662" max="6662" width="8.5703125" style="847" customWidth="1"/>
    <col min="6663" max="6663" width="3.7109375" style="847" customWidth="1"/>
    <col min="6664" max="6664" width="9.42578125" style="847" customWidth="1"/>
    <col min="6665" max="6665" width="10" style="847" customWidth="1"/>
    <col min="6666" max="6666" width="3.140625" style="847" customWidth="1"/>
    <col min="6667" max="6912" width="11.42578125" style="847"/>
    <col min="6913" max="6913" width="42.140625" style="847" customWidth="1"/>
    <col min="6914" max="6914" width="8.42578125" style="847" customWidth="1"/>
    <col min="6915" max="6915" width="8.7109375" style="847" customWidth="1"/>
    <col min="6916" max="6916" width="3.7109375" style="847" customWidth="1"/>
    <col min="6917" max="6917" width="8.7109375" style="847" customWidth="1"/>
    <col min="6918" max="6918" width="8.5703125" style="847" customWidth="1"/>
    <col min="6919" max="6919" width="3.7109375" style="847" customWidth="1"/>
    <col min="6920" max="6920" width="9.42578125" style="847" customWidth="1"/>
    <col min="6921" max="6921" width="10" style="847" customWidth="1"/>
    <col min="6922" max="6922" width="3.140625" style="847" customWidth="1"/>
    <col min="6923" max="7168" width="11.42578125" style="847"/>
    <col min="7169" max="7169" width="42.140625" style="847" customWidth="1"/>
    <col min="7170" max="7170" width="8.42578125" style="847" customWidth="1"/>
    <col min="7171" max="7171" width="8.7109375" style="847" customWidth="1"/>
    <col min="7172" max="7172" width="3.7109375" style="847" customWidth="1"/>
    <col min="7173" max="7173" width="8.7109375" style="847" customWidth="1"/>
    <col min="7174" max="7174" width="8.5703125" style="847" customWidth="1"/>
    <col min="7175" max="7175" width="3.7109375" style="847" customWidth="1"/>
    <col min="7176" max="7176" width="9.42578125" style="847" customWidth="1"/>
    <col min="7177" max="7177" width="10" style="847" customWidth="1"/>
    <col min="7178" max="7178" width="3.140625" style="847" customWidth="1"/>
    <col min="7179" max="7424" width="11.42578125" style="847"/>
    <col min="7425" max="7425" width="42.140625" style="847" customWidth="1"/>
    <col min="7426" max="7426" width="8.42578125" style="847" customWidth="1"/>
    <col min="7427" max="7427" width="8.7109375" style="847" customWidth="1"/>
    <col min="7428" max="7428" width="3.7109375" style="847" customWidth="1"/>
    <col min="7429" max="7429" width="8.7109375" style="847" customWidth="1"/>
    <col min="7430" max="7430" width="8.5703125" style="847" customWidth="1"/>
    <col min="7431" max="7431" width="3.7109375" style="847" customWidth="1"/>
    <col min="7432" max="7432" width="9.42578125" style="847" customWidth="1"/>
    <col min="7433" max="7433" width="10" style="847" customWidth="1"/>
    <col min="7434" max="7434" width="3.140625" style="847" customWidth="1"/>
    <col min="7435" max="7680" width="11.42578125" style="847"/>
    <col min="7681" max="7681" width="42.140625" style="847" customWidth="1"/>
    <col min="7682" max="7682" width="8.42578125" style="847" customWidth="1"/>
    <col min="7683" max="7683" width="8.7109375" style="847" customWidth="1"/>
    <col min="7684" max="7684" width="3.7109375" style="847" customWidth="1"/>
    <col min="7685" max="7685" width="8.7109375" style="847" customWidth="1"/>
    <col min="7686" max="7686" width="8.5703125" style="847" customWidth="1"/>
    <col min="7687" max="7687" width="3.7109375" style="847" customWidth="1"/>
    <col min="7688" max="7688" width="9.42578125" style="847" customWidth="1"/>
    <col min="7689" max="7689" width="10" style="847" customWidth="1"/>
    <col min="7690" max="7690" width="3.140625" style="847" customWidth="1"/>
    <col min="7691" max="7936" width="11.42578125" style="847"/>
    <col min="7937" max="7937" width="42.140625" style="847" customWidth="1"/>
    <col min="7938" max="7938" width="8.42578125" style="847" customWidth="1"/>
    <col min="7939" max="7939" width="8.7109375" style="847" customWidth="1"/>
    <col min="7940" max="7940" width="3.7109375" style="847" customWidth="1"/>
    <col min="7941" max="7941" width="8.7109375" style="847" customWidth="1"/>
    <col min="7942" max="7942" width="8.5703125" style="847" customWidth="1"/>
    <col min="7943" max="7943" width="3.7109375" style="847" customWidth="1"/>
    <col min="7944" max="7944" width="9.42578125" style="847" customWidth="1"/>
    <col min="7945" max="7945" width="10" style="847" customWidth="1"/>
    <col min="7946" max="7946" width="3.140625" style="847" customWidth="1"/>
    <col min="7947" max="8192" width="11.42578125" style="847"/>
    <col min="8193" max="8193" width="42.140625" style="847" customWidth="1"/>
    <col min="8194" max="8194" width="8.42578125" style="847" customWidth="1"/>
    <col min="8195" max="8195" width="8.7109375" style="847" customWidth="1"/>
    <col min="8196" max="8196" width="3.7109375" style="847" customWidth="1"/>
    <col min="8197" max="8197" width="8.7109375" style="847" customWidth="1"/>
    <col min="8198" max="8198" width="8.5703125" style="847" customWidth="1"/>
    <col min="8199" max="8199" width="3.7109375" style="847" customWidth="1"/>
    <col min="8200" max="8200" width="9.42578125" style="847" customWidth="1"/>
    <col min="8201" max="8201" width="10" style="847" customWidth="1"/>
    <col min="8202" max="8202" width="3.140625" style="847" customWidth="1"/>
    <col min="8203" max="8448" width="11.42578125" style="847"/>
    <col min="8449" max="8449" width="42.140625" style="847" customWidth="1"/>
    <col min="8450" max="8450" width="8.42578125" style="847" customWidth="1"/>
    <col min="8451" max="8451" width="8.7109375" style="847" customWidth="1"/>
    <col min="8452" max="8452" width="3.7109375" style="847" customWidth="1"/>
    <col min="8453" max="8453" width="8.7109375" style="847" customWidth="1"/>
    <col min="8454" max="8454" width="8.5703125" style="847" customWidth="1"/>
    <col min="8455" max="8455" width="3.7109375" style="847" customWidth="1"/>
    <col min="8456" max="8456" width="9.42578125" style="847" customWidth="1"/>
    <col min="8457" max="8457" width="10" style="847" customWidth="1"/>
    <col min="8458" max="8458" width="3.140625" style="847" customWidth="1"/>
    <col min="8459" max="8704" width="11.42578125" style="847"/>
    <col min="8705" max="8705" width="42.140625" style="847" customWidth="1"/>
    <col min="8706" max="8706" width="8.42578125" style="847" customWidth="1"/>
    <col min="8707" max="8707" width="8.7109375" style="847" customWidth="1"/>
    <col min="8708" max="8708" width="3.7109375" style="847" customWidth="1"/>
    <col min="8709" max="8709" width="8.7109375" style="847" customWidth="1"/>
    <col min="8710" max="8710" width="8.5703125" style="847" customWidth="1"/>
    <col min="8711" max="8711" width="3.7109375" style="847" customWidth="1"/>
    <col min="8712" max="8712" width="9.42578125" style="847" customWidth="1"/>
    <col min="8713" max="8713" width="10" style="847" customWidth="1"/>
    <col min="8714" max="8714" width="3.140625" style="847" customWidth="1"/>
    <col min="8715" max="8960" width="11.42578125" style="847"/>
    <col min="8961" max="8961" width="42.140625" style="847" customWidth="1"/>
    <col min="8962" max="8962" width="8.42578125" style="847" customWidth="1"/>
    <col min="8963" max="8963" width="8.7109375" style="847" customWidth="1"/>
    <col min="8964" max="8964" width="3.7109375" style="847" customWidth="1"/>
    <col min="8965" max="8965" width="8.7109375" style="847" customWidth="1"/>
    <col min="8966" max="8966" width="8.5703125" style="847" customWidth="1"/>
    <col min="8967" max="8967" width="3.7109375" style="847" customWidth="1"/>
    <col min="8968" max="8968" width="9.42578125" style="847" customWidth="1"/>
    <col min="8969" max="8969" width="10" style="847" customWidth="1"/>
    <col min="8970" max="8970" width="3.140625" style="847" customWidth="1"/>
    <col min="8971" max="9216" width="11.42578125" style="847"/>
    <col min="9217" max="9217" width="42.140625" style="847" customWidth="1"/>
    <col min="9218" max="9218" width="8.42578125" style="847" customWidth="1"/>
    <col min="9219" max="9219" width="8.7109375" style="847" customWidth="1"/>
    <col min="9220" max="9220" width="3.7109375" style="847" customWidth="1"/>
    <col min="9221" max="9221" width="8.7109375" style="847" customWidth="1"/>
    <col min="9222" max="9222" width="8.5703125" style="847" customWidth="1"/>
    <col min="9223" max="9223" width="3.7109375" style="847" customWidth="1"/>
    <col min="9224" max="9224" width="9.42578125" style="847" customWidth="1"/>
    <col min="9225" max="9225" width="10" style="847" customWidth="1"/>
    <col min="9226" max="9226" width="3.140625" style="847" customWidth="1"/>
    <col min="9227" max="9472" width="11.42578125" style="847"/>
    <col min="9473" max="9473" width="42.140625" style="847" customWidth="1"/>
    <col min="9474" max="9474" width="8.42578125" style="847" customWidth="1"/>
    <col min="9475" max="9475" width="8.7109375" style="847" customWidth="1"/>
    <col min="9476" max="9476" width="3.7109375" style="847" customWidth="1"/>
    <col min="9477" max="9477" width="8.7109375" style="847" customWidth="1"/>
    <col min="9478" max="9478" width="8.5703125" style="847" customWidth="1"/>
    <col min="9479" max="9479" width="3.7109375" style="847" customWidth="1"/>
    <col min="9480" max="9480" width="9.42578125" style="847" customWidth="1"/>
    <col min="9481" max="9481" width="10" style="847" customWidth="1"/>
    <col min="9482" max="9482" width="3.140625" style="847" customWidth="1"/>
    <col min="9483" max="9728" width="11.42578125" style="847"/>
    <col min="9729" max="9729" width="42.140625" style="847" customWidth="1"/>
    <col min="9730" max="9730" width="8.42578125" style="847" customWidth="1"/>
    <col min="9731" max="9731" width="8.7109375" style="847" customWidth="1"/>
    <col min="9732" max="9732" width="3.7109375" style="847" customWidth="1"/>
    <col min="9733" max="9733" width="8.7109375" style="847" customWidth="1"/>
    <col min="9734" max="9734" width="8.5703125" style="847" customWidth="1"/>
    <col min="9735" max="9735" width="3.7109375" style="847" customWidth="1"/>
    <col min="9736" max="9736" width="9.42578125" style="847" customWidth="1"/>
    <col min="9737" max="9737" width="10" style="847" customWidth="1"/>
    <col min="9738" max="9738" width="3.140625" style="847" customWidth="1"/>
    <col min="9739" max="9984" width="11.42578125" style="847"/>
    <col min="9985" max="9985" width="42.140625" style="847" customWidth="1"/>
    <col min="9986" max="9986" width="8.42578125" style="847" customWidth="1"/>
    <col min="9987" max="9987" width="8.7109375" style="847" customWidth="1"/>
    <col min="9988" max="9988" width="3.7109375" style="847" customWidth="1"/>
    <col min="9989" max="9989" width="8.7109375" style="847" customWidth="1"/>
    <col min="9990" max="9990" width="8.5703125" style="847" customWidth="1"/>
    <col min="9991" max="9991" width="3.7109375" style="847" customWidth="1"/>
    <col min="9992" max="9992" width="9.42578125" style="847" customWidth="1"/>
    <col min="9993" max="9993" width="10" style="847" customWidth="1"/>
    <col min="9994" max="9994" width="3.140625" style="847" customWidth="1"/>
    <col min="9995" max="10240" width="11.42578125" style="847"/>
    <col min="10241" max="10241" width="42.140625" style="847" customWidth="1"/>
    <col min="10242" max="10242" width="8.42578125" style="847" customWidth="1"/>
    <col min="10243" max="10243" width="8.7109375" style="847" customWidth="1"/>
    <col min="10244" max="10244" width="3.7109375" style="847" customWidth="1"/>
    <col min="10245" max="10245" width="8.7109375" style="847" customWidth="1"/>
    <col min="10246" max="10246" width="8.5703125" style="847" customWidth="1"/>
    <col min="10247" max="10247" width="3.7109375" style="847" customWidth="1"/>
    <col min="10248" max="10248" width="9.42578125" style="847" customWidth="1"/>
    <col min="10249" max="10249" width="10" style="847" customWidth="1"/>
    <col min="10250" max="10250" width="3.140625" style="847" customWidth="1"/>
    <col min="10251" max="10496" width="11.42578125" style="847"/>
    <col min="10497" max="10497" width="42.140625" style="847" customWidth="1"/>
    <col min="10498" max="10498" width="8.42578125" style="847" customWidth="1"/>
    <col min="10499" max="10499" width="8.7109375" style="847" customWidth="1"/>
    <col min="10500" max="10500" width="3.7109375" style="847" customWidth="1"/>
    <col min="10501" max="10501" width="8.7109375" style="847" customWidth="1"/>
    <col min="10502" max="10502" width="8.5703125" style="847" customWidth="1"/>
    <col min="10503" max="10503" width="3.7109375" style="847" customWidth="1"/>
    <col min="10504" max="10504" width="9.42578125" style="847" customWidth="1"/>
    <col min="10505" max="10505" width="10" style="847" customWidth="1"/>
    <col min="10506" max="10506" width="3.140625" style="847" customWidth="1"/>
    <col min="10507" max="10752" width="11.42578125" style="847"/>
    <col min="10753" max="10753" width="42.140625" style="847" customWidth="1"/>
    <col min="10754" max="10754" width="8.42578125" style="847" customWidth="1"/>
    <col min="10755" max="10755" width="8.7109375" style="847" customWidth="1"/>
    <col min="10756" max="10756" width="3.7109375" style="847" customWidth="1"/>
    <col min="10757" max="10757" width="8.7109375" style="847" customWidth="1"/>
    <col min="10758" max="10758" width="8.5703125" style="847" customWidth="1"/>
    <col min="10759" max="10759" width="3.7109375" style="847" customWidth="1"/>
    <col min="10760" max="10760" width="9.42578125" style="847" customWidth="1"/>
    <col min="10761" max="10761" width="10" style="847" customWidth="1"/>
    <col min="10762" max="10762" width="3.140625" style="847" customWidth="1"/>
    <col min="10763" max="11008" width="11.42578125" style="847"/>
    <col min="11009" max="11009" width="42.140625" style="847" customWidth="1"/>
    <col min="11010" max="11010" width="8.42578125" style="847" customWidth="1"/>
    <col min="11011" max="11011" width="8.7109375" style="847" customWidth="1"/>
    <col min="11012" max="11012" width="3.7109375" style="847" customWidth="1"/>
    <col min="11013" max="11013" width="8.7109375" style="847" customWidth="1"/>
    <col min="11014" max="11014" width="8.5703125" style="847" customWidth="1"/>
    <col min="11015" max="11015" width="3.7109375" style="847" customWidth="1"/>
    <col min="11016" max="11016" width="9.42578125" style="847" customWidth="1"/>
    <col min="11017" max="11017" width="10" style="847" customWidth="1"/>
    <col min="11018" max="11018" width="3.140625" style="847" customWidth="1"/>
    <col min="11019" max="11264" width="11.42578125" style="847"/>
    <col min="11265" max="11265" width="42.140625" style="847" customWidth="1"/>
    <col min="11266" max="11266" width="8.42578125" style="847" customWidth="1"/>
    <col min="11267" max="11267" width="8.7109375" style="847" customWidth="1"/>
    <col min="11268" max="11268" width="3.7109375" style="847" customWidth="1"/>
    <col min="11269" max="11269" width="8.7109375" style="847" customWidth="1"/>
    <col min="11270" max="11270" width="8.5703125" style="847" customWidth="1"/>
    <col min="11271" max="11271" width="3.7109375" style="847" customWidth="1"/>
    <col min="11272" max="11272" width="9.42578125" style="847" customWidth="1"/>
    <col min="11273" max="11273" width="10" style="847" customWidth="1"/>
    <col min="11274" max="11274" width="3.140625" style="847" customWidth="1"/>
    <col min="11275" max="11520" width="11.42578125" style="847"/>
    <col min="11521" max="11521" width="42.140625" style="847" customWidth="1"/>
    <col min="11522" max="11522" width="8.42578125" style="847" customWidth="1"/>
    <col min="11523" max="11523" width="8.7109375" style="847" customWidth="1"/>
    <col min="11524" max="11524" width="3.7109375" style="847" customWidth="1"/>
    <col min="11525" max="11525" width="8.7109375" style="847" customWidth="1"/>
    <col min="11526" max="11526" width="8.5703125" style="847" customWidth="1"/>
    <col min="11527" max="11527" width="3.7109375" style="847" customWidth="1"/>
    <col min="11528" max="11528" width="9.42578125" style="847" customWidth="1"/>
    <col min="11529" max="11529" width="10" style="847" customWidth="1"/>
    <col min="11530" max="11530" width="3.140625" style="847" customWidth="1"/>
    <col min="11531" max="11776" width="11.42578125" style="847"/>
    <col min="11777" max="11777" width="42.140625" style="847" customWidth="1"/>
    <col min="11778" max="11778" width="8.42578125" style="847" customWidth="1"/>
    <col min="11779" max="11779" width="8.7109375" style="847" customWidth="1"/>
    <col min="11780" max="11780" width="3.7109375" style="847" customWidth="1"/>
    <col min="11781" max="11781" width="8.7109375" style="847" customWidth="1"/>
    <col min="11782" max="11782" width="8.5703125" style="847" customWidth="1"/>
    <col min="11783" max="11783" width="3.7109375" style="847" customWidth="1"/>
    <col min="11784" max="11784" width="9.42578125" style="847" customWidth="1"/>
    <col min="11785" max="11785" width="10" style="847" customWidth="1"/>
    <col min="11786" max="11786" width="3.140625" style="847" customWidth="1"/>
    <col min="11787" max="12032" width="11.42578125" style="847"/>
    <col min="12033" max="12033" width="42.140625" style="847" customWidth="1"/>
    <col min="12034" max="12034" width="8.42578125" style="847" customWidth="1"/>
    <col min="12035" max="12035" width="8.7109375" style="847" customWidth="1"/>
    <col min="12036" max="12036" width="3.7109375" style="847" customWidth="1"/>
    <col min="12037" max="12037" width="8.7109375" style="847" customWidth="1"/>
    <col min="12038" max="12038" width="8.5703125" style="847" customWidth="1"/>
    <col min="12039" max="12039" width="3.7109375" style="847" customWidth="1"/>
    <col min="12040" max="12040" width="9.42578125" style="847" customWidth="1"/>
    <col min="12041" max="12041" width="10" style="847" customWidth="1"/>
    <col min="12042" max="12042" width="3.140625" style="847" customWidth="1"/>
    <col min="12043" max="12288" width="11.42578125" style="847"/>
    <col min="12289" max="12289" width="42.140625" style="847" customWidth="1"/>
    <col min="12290" max="12290" width="8.42578125" style="847" customWidth="1"/>
    <col min="12291" max="12291" width="8.7109375" style="847" customWidth="1"/>
    <col min="12292" max="12292" width="3.7109375" style="847" customWidth="1"/>
    <col min="12293" max="12293" width="8.7109375" style="847" customWidth="1"/>
    <col min="12294" max="12294" width="8.5703125" style="847" customWidth="1"/>
    <col min="12295" max="12295" width="3.7109375" style="847" customWidth="1"/>
    <col min="12296" max="12296" width="9.42578125" style="847" customWidth="1"/>
    <col min="12297" max="12297" width="10" style="847" customWidth="1"/>
    <col min="12298" max="12298" width="3.140625" style="847" customWidth="1"/>
    <col min="12299" max="12544" width="11.42578125" style="847"/>
    <col min="12545" max="12545" width="42.140625" style="847" customWidth="1"/>
    <col min="12546" max="12546" width="8.42578125" style="847" customWidth="1"/>
    <col min="12547" max="12547" width="8.7109375" style="847" customWidth="1"/>
    <col min="12548" max="12548" width="3.7109375" style="847" customWidth="1"/>
    <col min="12549" max="12549" width="8.7109375" style="847" customWidth="1"/>
    <col min="12550" max="12550" width="8.5703125" style="847" customWidth="1"/>
    <col min="12551" max="12551" width="3.7109375" style="847" customWidth="1"/>
    <col min="12552" max="12552" width="9.42578125" style="847" customWidth="1"/>
    <col min="12553" max="12553" width="10" style="847" customWidth="1"/>
    <col min="12554" max="12554" width="3.140625" style="847" customWidth="1"/>
    <col min="12555" max="12800" width="11.42578125" style="847"/>
    <col min="12801" max="12801" width="42.140625" style="847" customWidth="1"/>
    <col min="12802" max="12802" width="8.42578125" style="847" customWidth="1"/>
    <col min="12803" max="12803" width="8.7109375" style="847" customWidth="1"/>
    <col min="12804" max="12804" width="3.7109375" style="847" customWidth="1"/>
    <col min="12805" max="12805" width="8.7109375" style="847" customWidth="1"/>
    <col min="12806" max="12806" width="8.5703125" style="847" customWidth="1"/>
    <col min="12807" max="12807" width="3.7109375" style="847" customWidth="1"/>
    <col min="12808" max="12808" width="9.42578125" style="847" customWidth="1"/>
    <col min="12809" max="12809" width="10" style="847" customWidth="1"/>
    <col min="12810" max="12810" width="3.140625" style="847" customWidth="1"/>
    <col min="12811" max="13056" width="11.42578125" style="847"/>
    <col min="13057" max="13057" width="42.140625" style="847" customWidth="1"/>
    <col min="13058" max="13058" width="8.42578125" style="847" customWidth="1"/>
    <col min="13059" max="13059" width="8.7109375" style="847" customWidth="1"/>
    <col min="13060" max="13060" width="3.7109375" style="847" customWidth="1"/>
    <col min="13061" max="13061" width="8.7109375" style="847" customWidth="1"/>
    <col min="13062" max="13062" width="8.5703125" style="847" customWidth="1"/>
    <col min="13063" max="13063" width="3.7109375" style="847" customWidth="1"/>
    <col min="13064" max="13064" width="9.42578125" style="847" customWidth="1"/>
    <col min="13065" max="13065" width="10" style="847" customWidth="1"/>
    <col min="13066" max="13066" width="3.140625" style="847" customWidth="1"/>
    <col min="13067" max="13312" width="11.42578125" style="847"/>
    <col min="13313" max="13313" width="42.140625" style="847" customWidth="1"/>
    <col min="13314" max="13314" width="8.42578125" style="847" customWidth="1"/>
    <col min="13315" max="13315" width="8.7109375" style="847" customWidth="1"/>
    <col min="13316" max="13316" width="3.7109375" style="847" customWidth="1"/>
    <col min="13317" max="13317" width="8.7109375" style="847" customWidth="1"/>
    <col min="13318" max="13318" width="8.5703125" style="847" customWidth="1"/>
    <col min="13319" max="13319" width="3.7109375" style="847" customWidth="1"/>
    <col min="13320" max="13320" width="9.42578125" style="847" customWidth="1"/>
    <col min="13321" max="13321" width="10" style="847" customWidth="1"/>
    <col min="13322" max="13322" width="3.140625" style="847" customWidth="1"/>
    <col min="13323" max="13568" width="11.42578125" style="847"/>
    <col min="13569" max="13569" width="42.140625" style="847" customWidth="1"/>
    <col min="13570" max="13570" width="8.42578125" style="847" customWidth="1"/>
    <col min="13571" max="13571" width="8.7109375" style="847" customWidth="1"/>
    <col min="13572" max="13572" width="3.7109375" style="847" customWidth="1"/>
    <col min="13573" max="13573" width="8.7109375" style="847" customWidth="1"/>
    <col min="13574" max="13574" width="8.5703125" style="847" customWidth="1"/>
    <col min="13575" max="13575" width="3.7109375" style="847" customWidth="1"/>
    <col min="13576" max="13576" width="9.42578125" style="847" customWidth="1"/>
    <col min="13577" max="13577" width="10" style="847" customWidth="1"/>
    <col min="13578" max="13578" width="3.140625" style="847" customWidth="1"/>
    <col min="13579" max="13824" width="11.42578125" style="847"/>
    <col min="13825" max="13825" width="42.140625" style="847" customWidth="1"/>
    <col min="13826" max="13826" width="8.42578125" style="847" customWidth="1"/>
    <col min="13827" max="13827" width="8.7109375" style="847" customWidth="1"/>
    <col min="13828" max="13828" width="3.7109375" style="847" customWidth="1"/>
    <col min="13829" max="13829" width="8.7109375" style="847" customWidth="1"/>
    <col min="13830" max="13830" width="8.5703125" style="847" customWidth="1"/>
    <col min="13831" max="13831" width="3.7109375" style="847" customWidth="1"/>
    <col min="13832" max="13832" width="9.42578125" style="847" customWidth="1"/>
    <col min="13833" max="13833" width="10" style="847" customWidth="1"/>
    <col min="13834" max="13834" width="3.140625" style="847" customWidth="1"/>
    <col min="13835" max="14080" width="11.42578125" style="847"/>
    <col min="14081" max="14081" width="42.140625" style="847" customWidth="1"/>
    <col min="14082" max="14082" width="8.42578125" style="847" customWidth="1"/>
    <col min="14083" max="14083" width="8.7109375" style="847" customWidth="1"/>
    <col min="14084" max="14084" width="3.7109375" style="847" customWidth="1"/>
    <col min="14085" max="14085" width="8.7109375" style="847" customWidth="1"/>
    <col min="14086" max="14086" width="8.5703125" style="847" customWidth="1"/>
    <col min="14087" max="14087" width="3.7109375" style="847" customWidth="1"/>
    <col min="14088" max="14088" width="9.42578125" style="847" customWidth="1"/>
    <col min="14089" max="14089" width="10" style="847" customWidth="1"/>
    <col min="14090" max="14090" width="3.140625" style="847" customWidth="1"/>
    <col min="14091" max="14336" width="11.42578125" style="847"/>
    <col min="14337" max="14337" width="42.140625" style="847" customWidth="1"/>
    <col min="14338" max="14338" width="8.42578125" style="847" customWidth="1"/>
    <col min="14339" max="14339" width="8.7109375" style="847" customWidth="1"/>
    <col min="14340" max="14340" width="3.7109375" style="847" customWidth="1"/>
    <col min="14341" max="14341" width="8.7109375" style="847" customWidth="1"/>
    <col min="14342" max="14342" width="8.5703125" style="847" customWidth="1"/>
    <col min="14343" max="14343" width="3.7109375" style="847" customWidth="1"/>
    <col min="14344" max="14344" width="9.42578125" style="847" customWidth="1"/>
    <col min="14345" max="14345" width="10" style="847" customWidth="1"/>
    <col min="14346" max="14346" width="3.140625" style="847" customWidth="1"/>
    <col min="14347" max="14592" width="11.42578125" style="847"/>
    <col min="14593" max="14593" width="42.140625" style="847" customWidth="1"/>
    <col min="14594" max="14594" width="8.42578125" style="847" customWidth="1"/>
    <col min="14595" max="14595" width="8.7109375" style="847" customWidth="1"/>
    <col min="14596" max="14596" width="3.7109375" style="847" customWidth="1"/>
    <col min="14597" max="14597" width="8.7109375" style="847" customWidth="1"/>
    <col min="14598" max="14598" width="8.5703125" style="847" customWidth="1"/>
    <col min="14599" max="14599" width="3.7109375" style="847" customWidth="1"/>
    <col min="14600" max="14600" width="9.42578125" style="847" customWidth="1"/>
    <col min="14601" max="14601" width="10" style="847" customWidth="1"/>
    <col min="14602" max="14602" width="3.140625" style="847" customWidth="1"/>
    <col min="14603" max="14848" width="11.42578125" style="847"/>
    <col min="14849" max="14849" width="42.140625" style="847" customWidth="1"/>
    <col min="14850" max="14850" width="8.42578125" style="847" customWidth="1"/>
    <col min="14851" max="14851" width="8.7109375" style="847" customWidth="1"/>
    <col min="14852" max="14852" width="3.7109375" style="847" customWidth="1"/>
    <col min="14853" max="14853" width="8.7109375" style="847" customWidth="1"/>
    <col min="14854" max="14854" width="8.5703125" style="847" customWidth="1"/>
    <col min="14855" max="14855" width="3.7109375" style="847" customWidth="1"/>
    <col min="14856" max="14856" width="9.42578125" style="847" customWidth="1"/>
    <col min="14857" max="14857" width="10" style="847" customWidth="1"/>
    <col min="14858" max="14858" width="3.140625" style="847" customWidth="1"/>
    <col min="14859" max="15104" width="11.42578125" style="847"/>
    <col min="15105" max="15105" width="42.140625" style="847" customWidth="1"/>
    <col min="15106" max="15106" width="8.42578125" style="847" customWidth="1"/>
    <col min="15107" max="15107" width="8.7109375" style="847" customWidth="1"/>
    <col min="15108" max="15108" width="3.7109375" style="847" customWidth="1"/>
    <col min="15109" max="15109" width="8.7109375" style="847" customWidth="1"/>
    <col min="15110" max="15110" width="8.5703125" style="847" customWidth="1"/>
    <col min="15111" max="15111" width="3.7109375" style="847" customWidth="1"/>
    <col min="15112" max="15112" width="9.42578125" style="847" customWidth="1"/>
    <col min="15113" max="15113" width="10" style="847" customWidth="1"/>
    <col min="15114" max="15114" width="3.140625" style="847" customWidth="1"/>
    <col min="15115" max="15360" width="11.42578125" style="847"/>
    <col min="15361" max="15361" width="42.140625" style="847" customWidth="1"/>
    <col min="15362" max="15362" width="8.42578125" style="847" customWidth="1"/>
    <col min="15363" max="15363" width="8.7109375" style="847" customWidth="1"/>
    <col min="15364" max="15364" width="3.7109375" style="847" customWidth="1"/>
    <col min="15365" max="15365" width="8.7109375" style="847" customWidth="1"/>
    <col min="15366" max="15366" width="8.5703125" style="847" customWidth="1"/>
    <col min="15367" max="15367" width="3.7109375" style="847" customWidth="1"/>
    <col min="15368" max="15368" width="9.42578125" style="847" customWidth="1"/>
    <col min="15369" max="15369" width="10" style="847" customWidth="1"/>
    <col min="15370" max="15370" width="3.140625" style="847" customWidth="1"/>
    <col min="15371" max="15616" width="11.42578125" style="847"/>
    <col min="15617" max="15617" width="42.140625" style="847" customWidth="1"/>
    <col min="15618" max="15618" width="8.42578125" style="847" customWidth="1"/>
    <col min="15619" max="15619" width="8.7109375" style="847" customWidth="1"/>
    <col min="15620" max="15620" width="3.7109375" style="847" customWidth="1"/>
    <col min="15621" max="15621" width="8.7109375" style="847" customWidth="1"/>
    <col min="15622" max="15622" width="8.5703125" style="847" customWidth="1"/>
    <col min="15623" max="15623" width="3.7109375" style="847" customWidth="1"/>
    <col min="15624" max="15624" width="9.42578125" style="847" customWidth="1"/>
    <col min="15625" max="15625" width="10" style="847" customWidth="1"/>
    <col min="15626" max="15626" width="3.140625" style="847" customWidth="1"/>
    <col min="15627" max="15872" width="11.42578125" style="847"/>
    <col min="15873" max="15873" width="42.140625" style="847" customWidth="1"/>
    <col min="15874" max="15874" width="8.42578125" style="847" customWidth="1"/>
    <col min="15875" max="15875" width="8.7109375" style="847" customWidth="1"/>
    <col min="15876" max="15876" width="3.7109375" style="847" customWidth="1"/>
    <col min="15877" max="15877" width="8.7109375" style="847" customWidth="1"/>
    <col min="15878" max="15878" width="8.5703125" style="847" customWidth="1"/>
    <col min="15879" max="15879" width="3.7109375" style="847" customWidth="1"/>
    <col min="15880" max="15880" width="9.42578125" style="847" customWidth="1"/>
    <col min="15881" max="15881" width="10" style="847" customWidth="1"/>
    <col min="15882" max="15882" width="3.140625" style="847" customWidth="1"/>
    <col min="15883" max="16128" width="11.42578125" style="847"/>
    <col min="16129" max="16129" width="42.140625" style="847" customWidth="1"/>
    <col min="16130" max="16130" width="8.42578125" style="847" customWidth="1"/>
    <col min="16131" max="16131" width="8.7109375" style="847" customWidth="1"/>
    <col min="16132" max="16132" width="3.7109375" style="847" customWidth="1"/>
    <col min="16133" max="16133" width="8.7109375" style="847" customWidth="1"/>
    <col min="16134" max="16134" width="8.5703125" style="847" customWidth="1"/>
    <col min="16135" max="16135" width="3.7109375" style="847" customWidth="1"/>
    <col min="16136" max="16136" width="9.42578125" style="847" customWidth="1"/>
    <col min="16137" max="16137" width="10" style="847" customWidth="1"/>
    <col min="16138" max="16138" width="3.140625" style="847" customWidth="1"/>
    <col min="16139" max="16384" width="11.42578125" style="847"/>
  </cols>
  <sheetData>
    <row r="1" spans="1:10">
      <c r="A1" s="847" t="s">
        <v>366</v>
      </c>
    </row>
    <row r="2" spans="1:10" ht="13.15" customHeight="1">
      <c r="A2" s="854" t="s">
        <v>797</v>
      </c>
    </row>
    <row r="3" spans="1:10" ht="7.5" customHeight="1"/>
    <row r="4" spans="1:10" ht="13.15" customHeight="1">
      <c r="A4" s="849" t="s">
        <v>1771</v>
      </c>
      <c r="B4" s="1115"/>
    </row>
    <row r="5" spans="1:10" ht="13.15" customHeight="1">
      <c r="A5" s="1124" t="s">
        <v>1772</v>
      </c>
      <c r="B5" s="1115"/>
    </row>
    <row r="6" spans="1:10" ht="9.75" customHeight="1" thickBot="1">
      <c r="C6" s="964"/>
      <c r="F6" s="964"/>
      <c r="J6" s="943"/>
    </row>
    <row r="7" spans="1:10" ht="13.15" customHeight="1">
      <c r="A7" s="850"/>
      <c r="B7" s="1116"/>
      <c r="C7" s="1117"/>
      <c r="D7" s="957"/>
      <c r="E7" s="956"/>
      <c r="F7" s="1117"/>
      <c r="G7" s="957"/>
      <c r="H7" s="957"/>
      <c r="I7" s="1117"/>
      <c r="J7" s="993"/>
    </row>
    <row r="8" spans="1:10" ht="13.15" customHeight="1">
      <c r="A8" s="849" t="s">
        <v>1773</v>
      </c>
      <c r="B8" s="1331" t="s">
        <v>1774</v>
      </c>
      <c r="C8" s="1331"/>
      <c r="D8" s="961"/>
      <c r="E8" s="1323" t="s">
        <v>1766</v>
      </c>
      <c r="F8" s="1323"/>
      <c r="G8" s="961"/>
      <c r="H8" s="1331" t="s">
        <v>1775</v>
      </c>
      <c r="I8" s="1331"/>
      <c r="J8" s="999"/>
    </row>
    <row r="9" spans="1:10" ht="13.15" customHeight="1">
      <c r="A9" s="851" t="s">
        <v>1776</v>
      </c>
      <c r="B9" s="1118" t="s">
        <v>9</v>
      </c>
      <c r="C9" s="1029" t="s">
        <v>1777</v>
      </c>
      <c r="D9" s="961"/>
      <c r="E9" s="1119" t="s">
        <v>9</v>
      </c>
      <c r="F9" s="1029" t="s">
        <v>10</v>
      </c>
      <c r="G9" s="961"/>
      <c r="H9" s="1119" t="s">
        <v>9</v>
      </c>
      <c r="I9" s="1029" t="s">
        <v>10</v>
      </c>
      <c r="J9" s="994"/>
    </row>
    <row r="10" spans="1:10" ht="13.15" customHeight="1" thickBot="1">
      <c r="A10" s="848"/>
      <c r="B10" s="1120"/>
      <c r="C10" s="1121"/>
      <c r="D10" s="959"/>
      <c r="E10" s="958"/>
      <c r="F10" s="1121"/>
      <c r="G10" s="959"/>
      <c r="H10" s="959"/>
      <c r="I10" s="1121"/>
      <c r="J10" s="996"/>
    </row>
    <row r="11" spans="1:10" ht="9.75" customHeight="1">
      <c r="A11" s="849"/>
      <c r="B11" s="1115"/>
      <c r="C11" s="994"/>
      <c r="D11" s="961"/>
      <c r="E11" s="960"/>
      <c r="F11" s="994"/>
      <c r="G11" s="961"/>
      <c r="H11" s="961"/>
      <c r="I11" s="994"/>
      <c r="J11" s="999"/>
    </row>
    <row r="12" spans="1:10" ht="12.95" customHeight="1">
      <c r="A12" s="867" t="s">
        <v>1778</v>
      </c>
      <c r="B12" s="1104">
        <f>IF($A12&lt;&gt;0,E12+H12,"")</f>
        <v>159</v>
      </c>
      <c r="C12" s="1125">
        <f>SUM(C14:C45)</f>
        <v>90.566037735849051</v>
      </c>
      <c r="D12" s="1102"/>
      <c r="E12" s="1126">
        <f>SUM(E14:E51)</f>
        <v>143</v>
      </c>
      <c r="F12" s="1100">
        <f>IF($A12&lt;&gt;0,E12/B12*100,"")</f>
        <v>89.937106918238996</v>
      </c>
      <c r="G12" s="1102"/>
      <c r="H12" s="1126">
        <f>SUM(H14:H51)</f>
        <v>16</v>
      </c>
      <c r="I12" s="1100">
        <f>IF($A12&lt;&gt;0,H12/B12*100,"")</f>
        <v>10.062893081761008</v>
      </c>
      <c r="J12" s="582"/>
    </row>
    <row r="13" spans="1:10" ht="9" customHeight="1">
      <c r="A13" s="867"/>
      <c r="B13" s="1071"/>
      <c r="C13" s="1000"/>
      <c r="D13" s="582"/>
      <c r="E13" s="1001"/>
      <c r="F13" s="1100" t="str">
        <f t="shared" ref="F13:F51" si="0">IF($A13&lt;&gt;0,E13/B13*100,"")</f>
        <v/>
      </c>
      <c r="G13" s="582"/>
      <c r="H13" s="1001"/>
      <c r="I13" s="1000"/>
      <c r="J13" s="582"/>
    </row>
    <row r="14" spans="1:10" ht="12.95" customHeight="1">
      <c r="A14" s="1127" t="s">
        <v>825</v>
      </c>
      <c r="B14" s="1071">
        <f>IF(A14&lt;&gt;0,E14+H14,"")</f>
        <v>1</v>
      </c>
      <c r="C14" s="1000">
        <f>IF(A14&lt;&gt;0,B14/$B$12*100,"")</f>
        <v>0.62893081761006298</v>
      </c>
      <c r="D14" s="582"/>
      <c r="E14" s="1108">
        <v>1</v>
      </c>
      <c r="F14" s="1050">
        <f t="shared" si="0"/>
        <v>100</v>
      </c>
      <c r="G14" s="1046"/>
      <c r="H14" s="1108">
        <v>0</v>
      </c>
      <c r="I14" s="1000">
        <f t="shared" ref="I14:I51" si="1">IF(A14&lt;&gt;0,H14/B14*100,"")</f>
        <v>0</v>
      </c>
      <c r="J14" s="582"/>
    </row>
    <row r="15" spans="1:10" ht="12.95" customHeight="1">
      <c r="A15" s="1127" t="s">
        <v>1708</v>
      </c>
      <c r="B15" s="1071">
        <f t="shared" ref="B15:B51" si="2">IF(A15&lt;&gt;0,E15+H15,"")</f>
        <v>1</v>
      </c>
      <c r="C15" s="1000">
        <f>IF(A15&lt;&gt;0,B15/$B$12*100,"")</f>
        <v>0.62893081761006298</v>
      </c>
      <c r="D15" s="582"/>
      <c r="E15" s="1108">
        <v>1</v>
      </c>
      <c r="F15" s="1050">
        <f t="shared" si="0"/>
        <v>100</v>
      </c>
      <c r="G15" s="1046"/>
      <c r="H15" s="1108">
        <v>0</v>
      </c>
      <c r="I15" s="1000">
        <f t="shared" si="1"/>
        <v>0</v>
      </c>
      <c r="J15" s="582"/>
    </row>
    <row r="16" spans="1:10" ht="12.95" customHeight="1">
      <c r="A16" s="1127" t="s">
        <v>828</v>
      </c>
      <c r="B16" s="1071">
        <f t="shared" si="2"/>
        <v>3</v>
      </c>
      <c r="C16" s="1000">
        <f>IF(A16&lt;&gt;0,B16/$B$12*100,"")</f>
        <v>1.8867924528301887</v>
      </c>
      <c r="D16" s="582"/>
      <c r="E16" s="1108">
        <v>3</v>
      </c>
      <c r="F16" s="1050">
        <f t="shared" si="0"/>
        <v>100</v>
      </c>
      <c r="G16" s="1046"/>
      <c r="H16" s="1108">
        <v>0</v>
      </c>
      <c r="I16" s="1000">
        <f t="shared" si="1"/>
        <v>0</v>
      </c>
      <c r="J16" s="582"/>
    </row>
    <row r="17" spans="1:10" ht="12.95" customHeight="1">
      <c r="A17" s="1127" t="s">
        <v>830</v>
      </c>
      <c r="B17" s="1071">
        <f t="shared" si="2"/>
        <v>4</v>
      </c>
      <c r="C17" s="1000">
        <f>IF(A17&lt;&gt;0,B17/$B$12*100,"")</f>
        <v>2.5157232704402519</v>
      </c>
      <c r="D17" s="582"/>
      <c r="E17" s="1108">
        <v>4</v>
      </c>
      <c r="F17" s="1050">
        <f t="shared" si="0"/>
        <v>100</v>
      </c>
      <c r="G17" s="1046"/>
      <c r="H17" s="1108">
        <v>0</v>
      </c>
      <c r="I17" s="1000">
        <f t="shared" si="1"/>
        <v>0</v>
      </c>
      <c r="J17" s="582"/>
    </row>
    <row r="18" spans="1:10" ht="12.95" customHeight="1">
      <c r="A18" s="1127" t="s">
        <v>832</v>
      </c>
      <c r="B18" s="1071">
        <f t="shared" si="2"/>
        <v>12</v>
      </c>
      <c r="C18" s="1000">
        <f>IF(A18&lt;&gt;0,B18/$B$12*100,"")</f>
        <v>7.5471698113207548</v>
      </c>
      <c r="D18" s="582"/>
      <c r="E18" s="1108">
        <v>10</v>
      </c>
      <c r="F18" s="1050">
        <f t="shared" si="0"/>
        <v>83.333333333333343</v>
      </c>
      <c r="G18" s="1046"/>
      <c r="H18" s="1108">
        <v>2</v>
      </c>
      <c r="I18" s="1000">
        <f t="shared" si="1"/>
        <v>16.666666666666664</v>
      </c>
      <c r="J18" s="582"/>
    </row>
    <row r="19" spans="1:10" ht="12.95" customHeight="1">
      <c r="A19" s="1127" t="s">
        <v>1709</v>
      </c>
      <c r="B19" s="1071">
        <f t="shared" si="2"/>
        <v>2</v>
      </c>
      <c r="C19" s="1000">
        <f t="shared" ref="C19:C51" si="3">IF(A19&lt;&gt;0,B19/$B$12*100,"")</f>
        <v>1.257861635220126</v>
      </c>
      <c r="D19" s="582"/>
      <c r="E19" s="1108">
        <v>2</v>
      </c>
      <c r="F19" s="1050">
        <f t="shared" si="0"/>
        <v>100</v>
      </c>
      <c r="G19" s="1046"/>
      <c r="H19" s="1108">
        <v>0</v>
      </c>
      <c r="I19" s="1000">
        <f t="shared" si="1"/>
        <v>0</v>
      </c>
      <c r="J19" s="582"/>
    </row>
    <row r="20" spans="1:10" ht="12.95" customHeight="1">
      <c r="A20" s="1127" t="s">
        <v>834</v>
      </c>
      <c r="B20" s="1071">
        <f t="shared" si="2"/>
        <v>3</v>
      </c>
      <c r="C20" s="1000">
        <f t="shared" si="3"/>
        <v>1.8867924528301887</v>
      </c>
      <c r="D20" s="582"/>
      <c r="E20" s="1108">
        <v>3</v>
      </c>
      <c r="F20" s="1050">
        <f t="shared" si="0"/>
        <v>100</v>
      </c>
      <c r="G20" s="1046"/>
      <c r="H20" s="1108">
        <v>0</v>
      </c>
      <c r="I20" s="1000">
        <f t="shared" si="1"/>
        <v>0</v>
      </c>
      <c r="J20" s="582"/>
    </row>
    <row r="21" spans="1:10" ht="12.95" customHeight="1">
      <c r="A21" s="1127" t="s">
        <v>835</v>
      </c>
      <c r="B21" s="1071">
        <f t="shared" si="2"/>
        <v>5</v>
      </c>
      <c r="C21" s="1000">
        <f t="shared" si="3"/>
        <v>3.1446540880503147</v>
      </c>
      <c r="D21" s="582"/>
      <c r="E21" s="1108">
        <v>4</v>
      </c>
      <c r="F21" s="1050">
        <f t="shared" si="0"/>
        <v>80</v>
      </c>
      <c r="G21" s="1046"/>
      <c r="H21" s="1108">
        <v>1</v>
      </c>
      <c r="I21" s="1000">
        <f t="shared" si="1"/>
        <v>20</v>
      </c>
      <c r="J21" s="582"/>
    </row>
    <row r="22" spans="1:10" ht="12.95" customHeight="1">
      <c r="A22" s="1127" t="s">
        <v>836</v>
      </c>
      <c r="B22" s="1071">
        <f t="shared" si="2"/>
        <v>1</v>
      </c>
      <c r="C22" s="1000">
        <f t="shared" si="3"/>
        <v>0.62893081761006298</v>
      </c>
      <c r="D22" s="582"/>
      <c r="E22" s="1108">
        <v>1</v>
      </c>
      <c r="F22" s="1050">
        <f t="shared" si="0"/>
        <v>100</v>
      </c>
      <c r="G22" s="1046"/>
      <c r="H22" s="1108">
        <v>0</v>
      </c>
      <c r="I22" s="1000">
        <f t="shared" si="1"/>
        <v>0</v>
      </c>
      <c r="J22" s="582"/>
    </row>
    <row r="23" spans="1:10" ht="12.95" customHeight="1">
      <c r="A23" s="1127" t="s">
        <v>1710</v>
      </c>
      <c r="B23" s="1071">
        <f t="shared" si="2"/>
        <v>10</v>
      </c>
      <c r="C23" s="1000">
        <f t="shared" si="3"/>
        <v>6.2893081761006293</v>
      </c>
      <c r="D23" s="582"/>
      <c r="E23" s="1108">
        <v>10</v>
      </c>
      <c r="F23" s="1050">
        <f t="shared" si="0"/>
        <v>100</v>
      </c>
      <c r="G23" s="1046"/>
      <c r="H23" s="1108">
        <v>0</v>
      </c>
      <c r="I23" s="1000">
        <f t="shared" si="1"/>
        <v>0</v>
      </c>
      <c r="J23" s="582"/>
    </row>
    <row r="24" spans="1:10" ht="12.95" customHeight="1">
      <c r="A24" s="1127" t="s">
        <v>839</v>
      </c>
      <c r="B24" s="1071">
        <f t="shared" si="2"/>
        <v>1</v>
      </c>
      <c r="C24" s="1000">
        <f t="shared" si="3"/>
        <v>0.62893081761006298</v>
      </c>
      <c r="D24" s="582"/>
      <c r="E24" s="1108">
        <v>1</v>
      </c>
      <c r="F24" s="1050">
        <f t="shared" si="0"/>
        <v>100</v>
      </c>
      <c r="G24" s="1046"/>
      <c r="H24" s="1108">
        <v>0</v>
      </c>
      <c r="I24" s="1000">
        <f t="shared" si="1"/>
        <v>0</v>
      </c>
      <c r="J24" s="582"/>
    </row>
    <row r="25" spans="1:10" ht="12.95" customHeight="1">
      <c r="A25" s="1127" t="s">
        <v>840</v>
      </c>
      <c r="B25" s="1071">
        <f t="shared" si="2"/>
        <v>1</v>
      </c>
      <c r="C25" s="1000">
        <f t="shared" si="3"/>
        <v>0.62893081761006298</v>
      </c>
      <c r="D25" s="582"/>
      <c r="E25" s="1108">
        <v>1</v>
      </c>
      <c r="F25" s="1050">
        <f t="shared" si="0"/>
        <v>100</v>
      </c>
      <c r="G25" s="1046"/>
      <c r="H25" s="1108">
        <v>0</v>
      </c>
      <c r="I25" s="1000">
        <f t="shared" si="1"/>
        <v>0</v>
      </c>
      <c r="J25" s="582"/>
    </row>
    <row r="26" spans="1:10" ht="12.95" customHeight="1">
      <c r="A26" s="1127" t="s">
        <v>841</v>
      </c>
      <c r="B26" s="1071">
        <f t="shared" si="2"/>
        <v>6</v>
      </c>
      <c r="C26" s="1000">
        <f t="shared" si="3"/>
        <v>3.7735849056603774</v>
      </c>
      <c r="D26" s="582"/>
      <c r="E26" s="1108">
        <v>5</v>
      </c>
      <c r="F26" s="1050">
        <f t="shared" si="0"/>
        <v>83.333333333333343</v>
      </c>
      <c r="G26" s="1046"/>
      <c r="H26" s="1108">
        <v>1</v>
      </c>
      <c r="I26" s="1000">
        <f t="shared" si="1"/>
        <v>16.666666666666664</v>
      </c>
      <c r="J26" s="582"/>
    </row>
    <row r="27" spans="1:10" ht="12.95" customHeight="1">
      <c r="A27" s="1127" t="s">
        <v>1711</v>
      </c>
      <c r="B27" s="1071">
        <f t="shared" si="2"/>
        <v>5</v>
      </c>
      <c r="C27" s="1000">
        <f t="shared" si="3"/>
        <v>3.1446540880503147</v>
      </c>
      <c r="D27" s="1122"/>
      <c r="E27" s="1108">
        <v>5</v>
      </c>
      <c r="F27" s="1050">
        <f t="shared" si="0"/>
        <v>100</v>
      </c>
      <c r="G27" s="1046"/>
      <c r="H27" s="1108">
        <v>0</v>
      </c>
      <c r="I27" s="1000">
        <f t="shared" si="1"/>
        <v>0</v>
      </c>
      <c r="J27" s="1122"/>
    </row>
    <row r="28" spans="1:10" ht="12.95" customHeight="1">
      <c r="A28" s="1127" t="s">
        <v>844</v>
      </c>
      <c r="B28" s="1071">
        <f t="shared" si="2"/>
        <v>1</v>
      </c>
      <c r="C28" s="1000">
        <f t="shared" si="3"/>
        <v>0.62893081761006298</v>
      </c>
      <c r="D28" s="1122"/>
      <c r="E28" s="1108">
        <v>0</v>
      </c>
      <c r="F28" s="1050">
        <f t="shared" si="0"/>
        <v>0</v>
      </c>
      <c r="G28" s="1046"/>
      <c r="H28" s="1108">
        <v>1</v>
      </c>
      <c r="I28" s="1000">
        <f t="shared" si="1"/>
        <v>100</v>
      </c>
      <c r="J28" s="1122"/>
    </row>
    <row r="29" spans="1:10" ht="12.95" customHeight="1">
      <c r="A29" s="1127" t="s">
        <v>845</v>
      </c>
      <c r="B29" s="1071">
        <f t="shared" si="2"/>
        <v>5</v>
      </c>
      <c r="C29" s="1000">
        <f t="shared" si="3"/>
        <v>3.1446540880503147</v>
      </c>
      <c r="D29" s="582"/>
      <c r="E29" s="1108">
        <v>5</v>
      </c>
      <c r="F29" s="1050">
        <f t="shared" si="0"/>
        <v>100</v>
      </c>
      <c r="G29" s="1046"/>
      <c r="H29" s="1108">
        <v>0</v>
      </c>
      <c r="I29" s="1000">
        <f t="shared" si="1"/>
        <v>0</v>
      </c>
      <c r="J29" s="582"/>
    </row>
    <row r="30" spans="1:10" ht="12.95" customHeight="1">
      <c r="A30" s="1127" t="s">
        <v>1712</v>
      </c>
      <c r="B30" s="1071">
        <f t="shared" si="2"/>
        <v>11</v>
      </c>
      <c r="C30" s="1000">
        <f t="shared" si="3"/>
        <v>6.9182389937106921</v>
      </c>
      <c r="D30" s="1001"/>
      <c r="E30" s="1108">
        <v>11</v>
      </c>
      <c r="F30" s="1050">
        <f t="shared" si="0"/>
        <v>100</v>
      </c>
      <c r="G30" s="1046"/>
      <c r="H30" s="1108">
        <v>0</v>
      </c>
      <c r="I30" s="1000">
        <f t="shared" si="1"/>
        <v>0</v>
      </c>
      <c r="J30" s="582"/>
    </row>
    <row r="31" spans="1:10" ht="12.95" customHeight="1">
      <c r="A31" s="1127" t="s">
        <v>847</v>
      </c>
      <c r="B31" s="1071">
        <f>IF(A31&lt;&gt;0,E31+H31,"")</f>
        <v>1</v>
      </c>
      <c r="C31" s="1000">
        <f>IF(A31&lt;&gt;0,B31/$B$12*100,"")</f>
        <v>0.62893081761006298</v>
      </c>
      <c r="D31" s="1001"/>
      <c r="E31" s="1108">
        <v>1</v>
      </c>
      <c r="F31" s="1050">
        <f t="shared" si="0"/>
        <v>100</v>
      </c>
      <c r="G31" s="1046"/>
      <c r="H31" s="1108">
        <v>0</v>
      </c>
      <c r="I31" s="1000">
        <f t="shared" si="1"/>
        <v>0</v>
      </c>
      <c r="J31" s="582"/>
    </row>
    <row r="32" spans="1:10" ht="12.95" customHeight="1">
      <c r="A32" s="1127" t="s">
        <v>848</v>
      </c>
      <c r="B32" s="1071">
        <f t="shared" si="2"/>
        <v>3</v>
      </c>
      <c r="C32" s="1000">
        <f t="shared" si="3"/>
        <v>1.8867924528301887</v>
      </c>
      <c r="D32" s="1001"/>
      <c r="E32" s="1108">
        <v>3</v>
      </c>
      <c r="F32" s="1050">
        <f t="shared" si="0"/>
        <v>100</v>
      </c>
      <c r="G32" s="1046"/>
      <c r="H32" s="1108">
        <v>0</v>
      </c>
      <c r="I32" s="1000">
        <f t="shared" si="1"/>
        <v>0</v>
      </c>
      <c r="J32" s="582"/>
    </row>
    <row r="33" spans="1:10" ht="12.95" customHeight="1">
      <c r="A33" s="1127" t="s">
        <v>849</v>
      </c>
      <c r="B33" s="1071">
        <f t="shared" si="2"/>
        <v>4</v>
      </c>
      <c r="C33" s="1000">
        <f t="shared" si="3"/>
        <v>2.5157232704402519</v>
      </c>
      <c r="D33" s="1001"/>
      <c r="E33" s="1108">
        <v>3</v>
      </c>
      <c r="F33" s="1050">
        <f t="shared" si="0"/>
        <v>75</v>
      </c>
      <c r="G33" s="1046"/>
      <c r="H33" s="1108">
        <v>1</v>
      </c>
      <c r="I33" s="1000">
        <f t="shared" si="1"/>
        <v>25</v>
      </c>
      <c r="J33" s="582"/>
    </row>
    <row r="34" spans="1:10" ht="12.95" customHeight="1">
      <c r="A34" s="1127" t="s">
        <v>1713</v>
      </c>
      <c r="B34" s="1071">
        <f t="shared" si="2"/>
        <v>1</v>
      </c>
      <c r="C34" s="1000">
        <f t="shared" si="3"/>
        <v>0.62893081761006298</v>
      </c>
      <c r="D34" s="1001"/>
      <c r="E34" s="1108">
        <v>1</v>
      </c>
      <c r="F34" s="1050">
        <f t="shared" si="0"/>
        <v>100</v>
      </c>
      <c r="G34" s="1046"/>
      <c r="H34" s="1108">
        <v>0</v>
      </c>
      <c r="I34" s="1000">
        <f t="shared" si="1"/>
        <v>0</v>
      </c>
      <c r="J34" s="582"/>
    </row>
    <row r="35" spans="1:10" ht="12.95" customHeight="1">
      <c r="A35" s="1127" t="s">
        <v>855</v>
      </c>
      <c r="B35" s="1071">
        <f t="shared" si="2"/>
        <v>5</v>
      </c>
      <c r="C35" s="1000">
        <f t="shared" si="3"/>
        <v>3.1446540880503147</v>
      </c>
      <c r="D35" s="1001"/>
      <c r="E35" s="1108">
        <v>4</v>
      </c>
      <c r="F35" s="1050">
        <f t="shared" si="0"/>
        <v>80</v>
      </c>
      <c r="G35" s="1046"/>
      <c r="H35" s="1108">
        <v>1</v>
      </c>
      <c r="I35" s="1000">
        <f t="shared" si="1"/>
        <v>20</v>
      </c>
      <c r="J35" s="582"/>
    </row>
    <row r="36" spans="1:10" ht="12.95" customHeight="1">
      <c r="A36" s="1127" t="s">
        <v>856</v>
      </c>
      <c r="B36" s="1071">
        <f t="shared" si="2"/>
        <v>3</v>
      </c>
      <c r="C36" s="1000">
        <f t="shared" si="3"/>
        <v>1.8867924528301887</v>
      </c>
      <c r="D36" s="1001"/>
      <c r="E36" s="1108">
        <v>2</v>
      </c>
      <c r="F36" s="1050">
        <f t="shared" si="0"/>
        <v>66.666666666666657</v>
      </c>
      <c r="G36" s="1046"/>
      <c r="H36" s="1108">
        <v>1</v>
      </c>
      <c r="I36" s="1000">
        <f t="shared" si="1"/>
        <v>33.333333333333329</v>
      </c>
      <c r="J36" s="582"/>
    </row>
    <row r="37" spans="1:10" ht="12.95" customHeight="1">
      <c r="A37" s="1127" t="s">
        <v>857</v>
      </c>
      <c r="B37" s="1071">
        <f>IF(A37&lt;&gt;0,E37+H37,"")</f>
        <v>3</v>
      </c>
      <c r="C37" s="1000">
        <f>IF(A37&lt;&gt;0,B37/$B$12*100,"")</f>
        <v>1.8867924528301887</v>
      </c>
      <c r="D37" s="1001"/>
      <c r="E37" s="1108">
        <v>3</v>
      </c>
      <c r="F37" s="1050">
        <f t="shared" si="0"/>
        <v>100</v>
      </c>
      <c r="G37" s="1046"/>
      <c r="H37" s="1108">
        <v>0</v>
      </c>
      <c r="I37" s="1000">
        <f t="shared" si="1"/>
        <v>0</v>
      </c>
      <c r="J37" s="582"/>
    </row>
    <row r="38" spans="1:10" ht="12.95" customHeight="1">
      <c r="A38" s="1127" t="s">
        <v>858</v>
      </c>
      <c r="B38" s="1071">
        <f t="shared" si="2"/>
        <v>1</v>
      </c>
      <c r="C38" s="1000">
        <f t="shared" si="3"/>
        <v>0.62893081761006298</v>
      </c>
      <c r="D38" s="1001"/>
      <c r="E38" s="1108">
        <v>0</v>
      </c>
      <c r="F38" s="1050">
        <f t="shared" si="0"/>
        <v>0</v>
      </c>
      <c r="G38" s="1046"/>
      <c r="H38" s="1108">
        <v>1</v>
      </c>
      <c r="I38" s="1000">
        <f t="shared" si="1"/>
        <v>100</v>
      </c>
      <c r="J38" s="582"/>
    </row>
    <row r="39" spans="1:10" ht="12.95" customHeight="1">
      <c r="A39" s="1127" t="s">
        <v>859</v>
      </c>
      <c r="B39" s="1071">
        <f t="shared" si="2"/>
        <v>1</v>
      </c>
      <c r="C39" s="1000">
        <f t="shared" si="3"/>
        <v>0.62893081761006298</v>
      </c>
      <c r="D39" s="1001"/>
      <c r="E39" s="1108">
        <v>1</v>
      </c>
      <c r="F39" s="1050">
        <f t="shared" si="0"/>
        <v>100</v>
      </c>
      <c r="G39" s="1046"/>
      <c r="H39" s="1108">
        <v>0</v>
      </c>
      <c r="I39" s="1000">
        <f t="shared" si="1"/>
        <v>0</v>
      </c>
      <c r="J39" s="582"/>
    </row>
    <row r="40" spans="1:10" ht="12.95" customHeight="1">
      <c r="A40" s="1127" t="s">
        <v>861</v>
      </c>
      <c r="B40" s="1071">
        <f t="shared" si="2"/>
        <v>1</v>
      </c>
      <c r="C40" s="1000">
        <f t="shared" si="3"/>
        <v>0.62893081761006298</v>
      </c>
      <c r="D40" s="1001"/>
      <c r="E40" s="1108">
        <v>1</v>
      </c>
      <c r="F40" s="1050">
        <f t="shared" si="0"/>
        <v>100</v>
      </c>
      <c r="G40" s="1046"/>
      <c r="H40" s="1108">
        <v>0</v>
      </c>
      <c r="I40" s="1000">
        <f t="shared" si="1"/>
        <v>0</v>
      </c>
      <c r="J40" s="582"/>
    </row>
    <row r="41" spans="1:10" ht="12.95" customHeight="1">
      <c r="A41" s="1127" t="s">
        <v>1714</v>
      </c>
      <c r="B41" s="1071">
        <f t="shared" si="2"/>
        <v>2</v>
      </c>
      <c r="C41" s="1000">
        <f t="shared" si="3"/>
        <v>1.257861635220126</v>
      </c>
      <c r="D41" s="1001"/>
      <c r="E41" s="1108">
        <v>2</v>
      </c>
      <c r="F41" s="1050">
        <f t="shared" si="0"/>
        <v>100</v>
      </c>
      <c r="G41" s="1046"/>
      <c r="H41" s="1108">
        <v>0</v>
      </c>
      <c r="I41" s="1000">
        <f t="shared" si="1"/>
        <v>0</v>
      </c>
      <c r="J41" s="582"/>
    </row>
    <row r="42" spans="1:10" ht="12.95" customHeight="1">
      <c r="A42" s="1127" t="s">
        <v>864</v>
      </c>
      <c r="B42" s="1071">
        <f t="shared" si="2"/>
        <v>14</v>
      </c>
      <c r="C42" s="1000">
        <f t="shared" si="3"/>
        <v>8.8050314465408803</v>
      </c>
      <c r="D42" s="1001"/>
      <c r="E42" s="1108">
        <v>13</v>
      </c>
      <c r="F42" s="1050">
        <f t="shared" si="0"/>
        <v>92.857142857142861</v>
      </c>
      <c r="G42" s="1046"/>
      <c r="H42" s="1108">
        <v>1</v>
      </c>
      <c r="I42" s="1000">
        <f t="shared" si="1"/>
        <v>7.1428571428571423</v>
      </c>
      <c r="J42" s="582"/>
    </row>
    <row r="43" spans="1:10" ht="12.95" customHeight="1">
      <c r="A43" s="1127" t="s">
        <v>866</v>
      </c>
      <c r="B43" s="1071">
        <f t="shared" si="2"/>
        <v>2</v>
      </c>
      <c r="C43" s="1000">
        <f t="shared" si="3"/>
        <v>1.257861635220126</v>
      </c>
      <c r="D43" s="1001"/>
      <c r="E43" s="1108">
        <v>2</v>
      </c>
      <c r="F43" s="1050">
        <f t="shared" si="0"/>
        <v>100</v>
      </c>
      <c r="G43" s="1046"/>
      <c r="H43" s="1108">
        <v>0</v>
      </c>
      <c r="I43" s="1000">
        <f t="shared" si="1"/>
        <v>0</v>
      </c>
      <c r="J43" s="582"/>
    </row>
    <row r="44" spans="1:10" ht="12.95" customHeight="1">
      <c r="A44" s="1127" t="s">
        <v>870</v>
      </c>
      <c r="B44" s="1071">
        <f t="shared" si="2"/>
        <v>10</v>
      </c>
      <c r="C44" s="1000">
        <f t="shared" si="3"/>
        <v>6.2893081761006293</v>
      </c>
      <c r="D44" s="1001"/>
      <c r="E44" s="1108">
        <v>8</v>
      </c>
      <c r="F44" s="1050">
        <f t="shared" si="0"/>
        <v>80</v>
      </c>
      <c r="G44" s="1046"/>
      <c r="H44" s="1108">
        <v>2</v>
      </c>
      <c r="I44" s="1000">
        <f t="shared" si="1"/>
        <v>20</v>
      </c>
      <c r="J44" s="582"/>
    </row>
    <row r="45" spans="1:10" ht="12.95" customHeight="1">
      <c r="A45" s="1127" t="s">
        <v>871</v>
      </c>
      <c r="B45" s="1071">
        <f t="shared" si="2"/>
        <v>21</v>
      </c>
      <c r="C45" s="1000">
        <f t="shared" si="3"/>
        <v>13.20754716981132</v>
      </c>
      <c r="D45" s="1001"/>
      <c r="E45" s="1108">
        <v>20</v>
      </c>
      <c r="F45" s="1050">
        <f t="shared" si="0"/>
        <v>95.238095238095227</v>
      </c>
      <c r="G45" s="1046"/>
      <c r="H45" s="1108">
        <v>1</v>
      </c>
      <c r="I45" s="1000">
        <f t="shared" si="1"/>
        <v>4.7619047619047619</v>
      </c>
      <c r="J45" s="582"/>
    </row>
    <row r="46" spans="1:10" ht="12.95" customHeight="1">
      <c r="A46" s="1127" t="s">
        <v>872</v>
      </c>
      <c r="B46" s="1071">
        <f t="shared" si="2"/>
        <v>3</v>
      </c>
      <c r="C46" s="1000">
        <f t="shared" si="3"/>
        <v>1.8867924528301887</v>
      </c>
      <c r="D46" s="1001"/>
      <c r="E46" s="1108">
        <v>3</v>
      </c>
      <c r="F46" s="1050">
        <f t="shared" si="0"/>
        <v>100</v>
      </c>
      <c r="G46" s="1046"/>
      <c r="H46" s="1108">
        <v>0</v>
      </c>
      <c r="I46" s="1000">
        <f t="shared" si="1"/>
        <v>0</v>
      </c>
      <c r="J46" s="582"/>
    </row>
    <row r="47" spans="1:10" ht="12.95" customHeight="1">
      <c r="A47" s="1127" t="s">
        <v>1715</v>
      </c>
      <c r="B47" s="1071">
        <f t="shared" si="2"/>
        <v>3</v>
      </c>
      <c r="C47" s="1000">
        <f t="shared" si="3"/>
        <v>1.8867924528301887</v>
      </c>
      <c r="D47" s="1001"/>
      <c r="E47" s="1108">
        <v>2</v>
      </c>
      <c r="F47" s="1050">
        <f t="shared" si="0"/>
        <v>66.666666666666657</v>
      </c>
      <c r="G47" s="1046"/>
      <c r="H47" s="1108">
        <v>1</v>
      </c>
      <c r="I47" s="1000">
        <f t="shared" si="1"/>
        <v>33.333333333333329</v>
      </c>
      <c r="J47" s="582"/>
    </row>
    <row r="48" spans="1:10" ht="12.95" customHeight="1">
      <c r="A48" s="1127" t="s">
        <v>1716</v>
      </c>
      <c r="B48" s="1071">
        <f t="shared" si="2"/>
        <v>2</v>
      </c>
      <c r="C48" s="1000">
        <f t="shared" si="3"/>
        <v>1.257861635220126</v>
      </c>
      <c r="D48" s="1001"/>
      <c r="E48" s="1108">
        <v>1</v>
      </c>
      <c r="F48" s="1050">
        <f t="shared" si="0"/>
        <v>50</v>
      </c>
      <c r="G48" s="1046"/>
      <c r="H48" s="1108">
        <v>1</v>
      </c>
      <c r="I48" s="1000">
        <f t="shared" si="1"/>
        <v>50</v>
      </c>
      <c r="J48" s="582"/>
    </row>
    <row r="49" spans="1:10" ht="12.95" customHeight="1">
      <c r="A49" s="1127" t="s">
        <v>878</v>
      </c>
      <c r="B49" s="1071">
        <f t="shared" si="2"/>
        <v>4</v>
      </c>
      <c r="C49" s="1000">
        <f t="shared" si="3"/>
        <v>2.5157232704402519</v>
      </c>
      <c r="D49" s="1001"/>
      <c r="E49" s="1108">
        <v>4</v>
      </c>
      <c r="F49" s="1050">
        <f t="shared" si="0"/>
        <v>100</v>
      </c>
      <c r="G49" s="1046"/>
      <c r="H49" s="1108">
        <v>0</v>
      </c>
      <c r="I49" s="1000">
        <f t="shared" si="1"/>
        <v>0</v>
      </c>
      <c r="J49" s="582"/>
    </row>
    <row r="50" spans="1:10" ht="12.95" customHeight="1">
      <c r="A50" s="1127" t="s">
        <v>879</v>
      </c>
      <c r="B50" s="1071">
        <f>IF(A50&lt;&gt;0,E50+H50,"")</f>
        <v>1</v>
      </c>
      <c r="C50" s="1000">
        <f>IF(A50&lt;&gt;0,B50/$B$12*100,"")</f>
        <v>0.62893081761006298</v>
      </c>
      <c r="D50" s="1001"/>
      <c r="E50" s="1108">
        <v>1</v>
      </c>
      <c r="F50" s="1050">
        <f t="shared" si="0"/>
        <v>100</v>
      </c>
      <c r="G50" s="1046"/>
      <c r="H50" s="1108">
        <v>0</v>
      </c>
      <c r="I50" s="1000">
        <f t="shared" si="1"/>
        <v>0</v>
      </c>
      <c r="J50" s="582"/>
    </row>
    <row r="51" spans="1:10" ht="12.95" customHeight="1">
      <c r="A51" s="1127" t="s">
        <v>880</v>
      </c>
      <c r="B51" s="1071">
        <f t="shared" si="2"/>
        <v>2</v>
      </c>
      <c r="C51" s="1000">
        <f t="shared" si="3"/>
        <v>1.257861635220126</v>
      </c>
      <c r="D51" s="1001"/>
      <c r="E51" s="1108">
        <v>1</v>
      </c>
      <c r="F51" s="1050">
        <f t="shared" si="0"/>
        <v>50</v>
      </c>
      <c r="G51" s="1046"/>
      <c r="H51" s="1108">
        <v>1</v>
      </c>
      <c r="I51" s="1000">
        <f t="shared" si="1"/>
        <v>50</v>
      </c>
      <c r="J51" s="582"/>
    </row>
    <row r="52" spans="1:10" ht="6" customHeight="1" thickBot="1">
      <c r="A52" s="848"/>
      <c r="B52" s="1120"/>
      <c r="C52" s="959"/>
      <c r="D52" s="959"/>
      <c r="E52" s="959"/>
      <c r="F52" s="1128"/>
      <c r="G52" s="959"/>
      <c r="H52" s="959"/>
      <c r="I52" s="959"/>
      <c r="J52" s="1123"/>
    </row>
    <row r="53" spans="1:10" ht="6.75" customHeight="1">
      <c r="A53" s="849"/>
      <c r="B53" s="1115"/>
      <c r="C53" s="961"/>
      <c r="D53" s="961"/>
      <c r="E53" s="961"/>
      <c r="F53" s="961"/>
      <c r="G53" s="961"/>
      <c r="H53" s="954">
        <v>0</v>
      </c>
      <c r="I53" s="961"/>
      <c r="J53" s="849"/>
    </row>
    <row r="54" spans="1:10" ht="13.5" customHeight="1">
      <c r="A54" s="1124" t="s">
        <v>1702</v>
      </c>
      <c r="B54" s="1115"/>
      <c r="C54" s="961"/>
      <c r="D54" s="961"/>
      <c r="E54" s="961"/>
      <c r="F54" s="961"/>
      <c r="G54" s="961"/>
      <c r="I54" s="961"/>
      <c r="J54" s="849"/>
    </row>
    <row r="55" spans="1:10" ht="12" customHeight="1">
      <c r="A55" s="847" t="s">
        <v>1703</v>
      </c>
      <c r="B55" s="962"/>
      <c r="C55" s="964"/>
      <c r="F55" s="964"/>
    </row>
    <row r="56" spans="1:10" ht="13.15" customHeight="1">
      <c r="B56" s="962"/>
      <c r="C56" s="964"/>
      <c r="F56" s="964"/>
    </row>
    <row r="57" spans="1:10" ht="11.25" customHeight="1">
      <c r="A57" s="847" t="s">
        <v>1704</v>
      </c>
      <c r="B57" s="962"/>
      <c r="C57" s="964"/>
      <c r="F57" s="964"/>
    </row>
    <row r="58" spans="1:10" ht="13.15" customHeight="1">
      <c r="A58" s="847" t="s">
        <v>1705</v>
      </c>
      <c r="B58" s="962"/>
      <c r="C58" s="964"/>
      <c r="F58" s="964"/>
    </row>
  </sheetData>
  <mergeCells count="3">
    <mergeCell ref="B8:C8"/>
    <mergeCell ref="E8:F8"/>
    <mergeCell ref="H8:I8"/>
  </mergeCells>
  <printOptions horizontalCentered="1" verticalCentered="1"/>
  <pageMargins left="0" right="0" top="0" bottom="0" header="0.31496062992125984" footer="0.31496062992125984"/>
  <pageSetup paperSize="9" scale="75" orientation="portrait" r:id="rId1"/>
  <drawing r:id="rId2"/>
</worksheet>
</file>

<file path=xl/worksheets/sheet114.xml><?xml version="1.0" encoding="utf-8"?>
<worksheet xmlns="http://schemas.openxmlformats.org/spreadsheetml/2006/main" xmlns:r="http://schemas.openxmlformats.org/officeDocument/2006/relationships">
  <sheetPr>
    <tabColor theme="5" tint="0.59999389629810485"/>
  </sheetPr>
  <dimension ref="A3:F9"/>
  <sheetViews>
    <sheetView workbookViewId="0">
      <selection activeCell="K11" sqref="K11"/>
    </sheetView>
  </sheetViews>
  <sheetFormatPr baseColWidth="10" defaultRowHeight="15"/>
  <sheetData>
    <row r="3" spans="1:6">
      <c r="C3" t="s">
        <v>1074</v>
      </c>
    </row>
    <row r="4" spans="1:6">
      <c r="B4" t="s">
        <v>1942</v>
      </c>
      <c r="C4" s="46">
        <v>19609</v>
      </c>
      <c r="D4" s="46"/>
    </row>
    <row r="5" spans="1:6">
      <c r="B5" t="s">
        <v>1943</v>
      </c>
      <c r="C5" s="46">
        <v>2701</v>
      </c>
      <c r="D5" s="46"/>
    </row>
    <row r="6" spans="1:6">
      <c r="C6" s="46"/>
      <c r="D6" s="46"/>
      <c r="E6" s="31"/>
      <c r="F6" s="31"/>
    </row>
    <row r="7" spans="1:6">
      <c r="B7" s="318">
        <v>19466</v>
      </c>
      <c r="C7" s="318">
        <v>2685</v>
      </c>
      <c r="D7" s="46"/>
    </row>
    <row r="8" spans="1:6">
      <c r="A8" s="31"/>
      <c r="B8" s="696">
        <v>143</v>
      </c>
      <c r="C8" s="696">
        <v>16</v>
      </c>
      <c r="D8" s="46"/>
    </row>
    <row r="9" spans="1:6">
      <c r="A9" s="31"/>
      <c r="B9" s="31">
        <f>SUM(B7:B8)</f>
        <v>19609</v>
      </c>
      <c r="C9" s="31">
        <f>SUM(C7:C8)</f>
        <v>2701</v>
      </c>
      <c r="D9" s="31"/>
      <c r="E9" s="31"/>
      <c r="F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15.xml><?xml version="1.0" encoding="utf-8"?>
<worksheet xmlns="http://schemas.openxmlformats.org/spreadsheetml/2006/main" xmlns:r="http://schemas.openxmlformats.org/officeDocument/2006/relationships">
  <dimension ref="A1:T109"/>
  <sheetViews>
    <sheetView workbookViewId="0">
      <selection activeCell="C27" sqref="C27"/>
    </sheetView>
  </sheetViews>
  <sheetFormatPr baseColWidth="10" defaultColWidth="9.140625" defaultRowHeight="15"/>
  <cols>
    <col min="1" max="1" width="34.42578125" style="847" customWidth="1"/>
    <col min="2" max="2" width="8.28515625" style="856" customWidth="1"/>
    <col min="3" max="3" width="8.28515625" style="866" customWidth="1"/>
    <col min="4" max="4" width="2.7109375" style="867" customWidth="1"/>
    <col min="5" max="5" width="5.7109375" style="858" customWidth="1"/>
    <col min="6" max="6" width="7.42578125" style="866" customWidth="1"/>
    <col min="7" max="7" width="2.7109375" style="866" customWidth="1"/>
    <col min="8" max="8" width="5.7109375" style="858" customWidth="1"/>
    <col min="9" max="9" width="6.42578125" style="867" customWidth="1"/>
    <col min="10" max="10" width="2.7109375" style="867" customWidth="1"/>
    <col min="11" max="11" width="5.7109375" style="858" customWidth="1"/>
    <col min="12" max="12" width="6.5703125" style="867" customWidth="1"/>
    <col min="13" max="13" width="2.7109375" style="867" customWidth="1"/>
    <col min="14" max="14" width="5.7109375" style="858" customWidth="1"/>
    <col min="15" max="15" width="6.42578125" style="867" customWidth="1"/>
    <col min="16" max="16" width="2.7109375" style="867" customWidth="1"/>
    <col min="17" max="17" width="6.5703125" style="858" customWidth="1"/>
    <col min="18" max="18" width="6.42578125" style="867" customWidth="1"/>
    <col min="19" max="19" width="2.7109375" style="867" customWidth="1"/>
    <col min="20" max="20" width="3.5703125" style="847" customWidth="1"/>
    <col min="21" max="256" width="9.140625" style="847"/>
    <col min="257" max="257" width="34.42578125" style="847" customWidth="1"/>
    <col min="258" max="259" width="8.28515625" style="847" customWidth="1"/>
    <col min="260" max="260" width="2.7109375" style="847" customWidth="1"/>
    <col min="261" max="261" width="5.7109375" style="847" customWidth="1"/>
    <col min="262" max="262" width="7.42578125" style="847" customWidth="1"/>
    <col min="263" max="263" width="2.7109375" style="847" customWidth="1"/>
    <col min="264" max="264" width="5.7109375" style="847" customWidth="1"/>
    <col min="265" max="265" width="6.42578125" style="847" customWidth="1"/>
    <col min="266" max="266" width="2.7109375" style="847" customWidth="1"/>
    <col min="267" max="267" width="5.7109375" style="847" customWidth="1"/>
    <col min="268" max="268" width="6.5703125" style="847" customWidth="1"/>
    <col min="269" max="269" width="2.7109375" style="847" customWidth="1"/>
    <col min="270" max="270" width="5.7109375" style="847" customWidth="1"/>
    <col min="271" max="271" width="6.42578125" style="847" customWidth="1"/>
    <col min="272" max="272" width="2.7109375" style="847" customWidth="1"/>
    <col min="273" max="273" width="6.5703125" style="847" customWidth="1"/>
    <col min="274" max="274" width="6.42578125" style="847" customWidth="1"/>
    <col min="275" max="275" width="2.7109375" style="847" customWidth="1"/>
    <col min="276" max="276" width="3.5703125" style="847" customWidth="1"/>
    <col min="277" max="512" width="9.140625" style="847"/>
    <col min="513" max="513" width="34.42578125" style="847" customWidth="1"/>
    <col min="514" max="515" width="8.28515625" style="847" customWidth="1"/>
    <col min="516" max="516" width="2.7109375" style="847" customWidth="1"/>
    <col min="517" max="517" width="5.7109375" style="847" customWidth="1"/>
    <col min="518" max="518" width="7.42578125" style="847" customWidth="1"/>
    <col min="519" max="519" width="2.7109375" style="847" customWidth="1"/>
    <col min="520" max="520" width="5.7109375" style="847" customWidth="1"/>
    <col min="521" max="521" width="6.42578125" style="847" customWidth="1"/>
    <col min="522" max="522" width="2.7109375" style="847" customWidth="1"/>
    <col min="523" max="523" width="5.7109375" style="847" customWidth="1"/>
    <col min="524" max="524" width="6.5703125" style="847" customWidth="1"/>
    <col min="525" max="525" width="2.7109375" style="847" customWidth="1"/>
    <col min="526" max="526" width="5.7109375" style="847" customWidth="1"/>
    <col min="527" max="527" width="6.42578125" style="847" customWidth="1"/>
    <col min="528" max="528" width="2.7109375" style="847" customWidth="1"/>
    <col min="529" max="529" width="6.5703125" style="847" customWidth="1"/>
    <col min="530" max="530" width="6.42578125" style="847" customWidth="1"/>
    <col min="531" max="531" width="2.7109375" style="847" customWidth="1"/>
    <col min="532" max="532" width="3.5703125" style="847" customWidth="1"/>
    <col min="533" max="768" width="9.140625" style="847"/>
    <col min="769" max="769" width="34.42578125" style="847" customWidth="1"/>
    <col min="770" max="771" width="8.28515625" style="847" customWidth="1"/>
    <col min="772" max="772" width="2.7109375" style="847" customWidth="1"/>
    <col min="773" max="773" width="5.7109375" style="847" customWidth="1"/>
    <col min="774" max="774" width="7.42578125" style="847" customWidth="1"/>
    <col min="775" max="775" width="2.7109375" style="847" customWidth="1"/>
    <col min="776" max="776" width="5.7109375" style="847" customWidth="1"/>
    <col min="777" max="777" width="6.42578125" style="847" customWidth="1"/>
    <col min="778" max="778" width="2.7109375" style="847" customWidth="1"/>
    <col min="779" max="779" width="5.7109375" style="847" customWidth="1"/>
    <col min="780" max="780" width="6.5703125" style="847" customWidth="1"/>
    <col min="781" max="781" width="2.7109375" style="847" customWidth="1"/>
    <col min="782" max="782" width="5.7109375" style="847" customWidth="1"/>
    <col min="783" max="783" width="6.42578125" style="847" customWidth="1"/>
    <col min="784" max="784" width="2.7109375" style="847" customWidth="1"/>
    <col min="785" max="785" width="6.5703125" style="847" customWidth="1"/>
    <col min="786" max="786" width="6.42578125" style="847" customWidth="1"/>
    <col min="787" max="787" width="2.7109375" style="847" customWidth="1"/>
    <col min="788" max="788" width="3.5703125" style="847" customWidth="1"/>
    <col min="789" max="1024" width="9.140625" style="847"/>
    <col min="1025" max="1025" width="34.42578125" style="847" customWidth="1"/>
    <col min="1026" max="1027" width="8.28515625" style="847" customWidth="1"/>
    <col min="1028" max="1028" width="2.7109375" style="847" customWidth="1"/>
    <col min="1029" max="1029" width="5.7109375" style="847" customWidth="1"/>
    <col min="1030" max="1030" width="7.42578125" style="847" customWidth="1"/>
    <col min="1031" max="1031" width="2.7109375" style="847" customWidth="1"/>
    <col min="1032" max="1032" width="5.7109375" style="847" customWidth="1"/>
    <col min="1033" max="1033" width="6.42578125" style="847" customWidth="1"/>
    <col min="1034" max="1034" width="2.7109375" style="847" customWidth="1"/>
    <col min="1035" max="1035" width="5.7109375" style="847" customWidth="1"/>
    <col min="1036" max="1036" width="6.5703125" style="847" customWidth="1"/>
    <col min="1037" max="1037" width="2.7109375" style="847" customWidth="1"/>
    <col min="1038" max="1038" width="5.7109375" style="847" customWidth="1"/>
    <col min="1039" max="1039" width="6.42578125" style="847" customWidth="1"/>
    <col min="1040" max="1040" width="2.7109375" style="847" customWidth="1"/>
    <col min="1041" max="1041" width="6.5703125" style="847" customWidth="1"/>
    <col min="1042" max="1042" width="6.42578125" style="847" customWidth="1"/>
    <col min="1043" max="1043" width="2.7109375" style="847" customWidth="1"/>
    <col min="1044" max="1044" width="3.5703125" style="847" customWidth="1"/>
    <col min="1045" max="1280" width="9.140625" style="847"/>
    <col min="1281" max="1281" width="34.42578125" style="847" customWidth="1"/>
    <col min="1282" max="1283" width="8.28515625" style="847" customWidth="1"/>
    <col min="1284" max="1284" width="2.7109375" style="847" customWidth="1"/>
    <col min="1285" max="1285" width="5.7109375" style="847" customWidth="1"/>
    <col min="1286" max="1286" width="7.42578125" style="847" customWidth="1"/>
    <col min="1287" max="1287" width="2.7109375" style="847" customWidth="1"/>
    <col min="1288" max="1288" width="5.7109375" style="847" customWidth="1"/>
    <col min="1289" max="1289" width="6.42578125" style="847" customWidth="1"/>
    <col min="1290" max="1290" width="2.7109375" style="847" customWidth="1"/>
    <col min="1291" max="1291" width="5.7109375" style="847" customWidth="1"/>
    <col min="1292" max="1292" width="6.5703125" style="847" customWidth="1"/>
    <col min="1293" max="1293" width="2.7109375" style="847" customWidth="1"/>
    <col min="1294" max="1294" width="5.7109375" style="847" customWidth="1"/>
    <col min="1295" max="1295" width="6.42578125" style="847" customWidth="1"/>
    <col min="1296" max="1296" width="2.7109375" style="847" customWidth="1"/>
    <col min="1297" max="1297" width="6.5703125" style="847" customWidth="1"/>
    <col min="1298" max="1298" width="6.42578125" style="847" customWidth="1"/>
    <col min="1299" max="1299" width="2.7109375" style="847" customWidth="1"/>
    <col min="1300" max="1300" width="3.5703125" style="847" customWidth="1"/>
    <col min="1301" max="1536" width="9.140625" style="847"/>
    <col min="1537" max="1537" width="34.42578125" style="847" customWidth="1"/>
    <col min="1538" max="1539" width="8.28515625" style="847" customWidth="1"/>
    <col min="1540" max="1540" width="2.7109375" style="847" customWidth="1"/>
    <col min="1541" max="1541" width="5.7109375" style="847" customWidth="1"/>
    <col min="1542" max="1542" width="7.42578125" style="847" customWidth="1"/>
    <col min="1543" max="1543" width="2.7109375" style="847" customWidth="1"/>
    <col min="1544" max="1544" width="5.7109375" style="847" customWidth="1"/>
    <col min="1545" max="1545" width="6.42578125" style="847" customWidth="1"/>
    <col min="1546" max="1546" width="2.7109375" style="847" customWidth="1"/>
    <col min="1547" max="1547" width="5.7109375" style="847" customWidth="1"/>
    <col min="1548" max="1548" width="6.5703125" style="847" customWidth="1"/>
    <col min="1549" max="1549" width="2.7109375" style="847" customWidth="1"/>
    <col min="1550" max="1550" width="5.7109375" style="847" customWidth="1"/>
    <col min="1551" max="1551" width="6.42578125" style="847" customWidth="1"/>
    <col min="1552" max="1552" width="2.7109375" style="847" customWidth="1"/>
    <col min="1553" max="1553" width="6.5703125" style="847" customWidth="1"/>
    <col min="1554" max="1554" width="6.42578125" style="847" customWidth="1"/>
    <col min="1555" max="1555" width="2.7109375" style="847" customWidth="1"/>
    <col min="1556" max="1556" width="3.5703125" style="847" customWidth="1"/>
    <col min="1557" max="1792" width="9.140625" style="847"/>
    <col min="1793" max="1793" width="34.42578125" style="847" customWidth="1"/>
    <col min="1794" max="1795" width="8.28515625" style="847" customWidth="1"/>
    <col min="1796" max="1796" width="2.7109375" style="847" customWidth="1"/>
    <col min="1797" max="1797" width="5.7109375" style="847" customWidth="1"/>
    <col min="1798" max="1798" width="7.42578125" style="847" customWidth="1"/>
    <col min="1799" max="1799" width="2.7109375" style="847" customWidth="1"/>
    <col min="1800" max="1800" width="5.7109375" style="847" customWidth="1"/>
    <col min="1801" max="1801" width="6.42578125" style="847" customWidth="1"/>
    <col min="1802" max="1802" width="2.7109375" style="847" customWidth="1"/>
    <col min="1803" max="1803" width="5.7109375" style="847" customWidth="1"/>
    <col min="1804" max="1804" width="6.5703125" style="847" customWidth="1"/>
    <col min="1805" max="1805" width="2.7109375" style="847" customWidth="1"/>
    <col min="1806" max="1806" width="5.7109375" style="847" customWidth="1"/>
    <col min="1807" max="1807" width="6.42578125" style="847" customWidth="1"/>
    <col min="1808" max="1808" width="2.7109375" style="847" customWidth="1"/>
    <col min="1809" max="1809" width="6.5703125" style="847" customWidth="1"/>
    <col min="1810" max="1810" width="6.42578125" style="847" customWidth="1"/>
    <col min="1811" max="1811" width="2.7109375" style="847" customWidth="1"/>
    <col min="1812" max="1812" width="3.5703125" style="847" customWidth="1"/>
    <col min="1813" max="2048" width="9.140625" style="847"/>
    <col min="2049" max="2049" width="34.42578125" style="847" customWidth="1"/>
    <col min="2050" max="2051" width="8.28515625" style="847" customWidth="1"/>
    <col min="2052" max="2052" width="2.7109375" style="847" customWidth="1"/>
    <col min="2053" max="2053" width="5.7109375" style="847" customWidth="1"/>
    <col min="2054" max="2054" width="7.42578125" style="847" customWidth="1"/>
    <col min="2055" max="2055" width="2.7109375" style="847" customWidth="1"/>
    <col min="2056" max="2056" width="5.7109375" style="847" customWidth="1"/>
    <col min="2057" max="2057" width="6.42578125" style="847" customWidth="1"/>
    <col min="2058" max="2058" width="2.7109375" style="847" customWidth="1"/>
    <col min="2059" max="2059" width="5.7109375" style="847" customWidth="1"/>
    <col min="2060" max="2060" width="6.5703125" style="847" customWidth="1"/>
    <col min="2061" max="2061" width="2.7109375" style="847" customWidth="1"/>
    <col min="2062" max="2062" width="5.7109375" style="847" customWidth="1"/>
    <col min="2063" max="2063" width="6.42578125" style="847" customWidth="1"/>
    <col min="2064" max="2064" width="2.7109375" style="847" customWidth="1"/>
    <col min="2065" max="2065" width="6.5703125" style="847" customWidth="1"/>
    <col min="2066" max="2066" width="6.42578125" style="847" customWidth="1"/>
    <col min="2067" max="2067" width="2.7109375" style="847" customWidth="1"/>
    <col min="2068" max="2068" width="3.5703125" style="847" customWidth="1"/>
    <col min="2069" max="2304" width="9.140625" style="847"/>
    <col min="2305" max="2305" width="34.42578125" style="847" customWidth="1"/>
    <col min="2306" max="2307" width="8.28515625" style="847" customWidth="1"/>
    <col min="2308" max="2308" width="2.7109375" style="847" customWidth="1"/>
    <col min="2309" max="2309" width="5.7109375" style="847" customWidth="1"/>
    <col min="2310" max="2310" width="7.42578125" style="847" customWidth="1"/>
    <col min="2311" max="2311" width="2.7109375" style="847" customWidth="1"/>
    <col min="2312" max="2312" width="5.7109375" style="847" customWidth="1"/>
    <col min="2313" max="2313" width="6.42578125" style="847" customWidth="1"/>
    <col min="2314" max="2314" width="2.7109375" style="847" customWidth="1"/>
    <col min="2315" max="2315" width="5.7109375" style="847" customWidth="1"/>
    <col min="2316" max="2316" width="6.5703125" style="847" customWidth="1"/>
    <col min="2317" max="2317" width="2.7109375" style="847" customWidth="1"/>
    <col min="2318" max="2318" width="5.7109375" style="847" customWidth="1"/>
    <col min="2319" max="2319" width="6.42578125" style="847" customWidth="1"/>
    <col min="2320" max="2320" width="2.7109375" style="847" customWidth="1"/>
    <col min="2321" max="2321" width="6.5703125" style="847" customWidth="1"/>
    <col min="2322" max="2322" width="6.42578125" style="847" customWidth="1"/>
    <col min="2323" max="2323" width="2.7109375" style="847" customWidth="1"/>
    <col min="2324" max="2324" width="3.5703125" style="847" customWidth="1"/>
    <col min="2325" max="2560" width="9.140625" style="847"/>
    <col min="2561" max="2561" width="34.42578125" style="847" customWidth="1"/>
    <col min="2562" max="2563" width="8.28515625" style="847" customWidth="1"/>
    <col min="2564" max="2564" width="2.7109375" style="847" customWidth="1"/>
    <col min="2565" max="2565" width="5.7109375" style="847" customWidth="1"/>
    <col min="2566" max="2566" width="7.42578125" style="847" customWidth="1"/>
    <col min="2567" max="2567" width="2.7109375" style="847" customWidth="1"/>
    <col min="2568" max="2568" width="5.7109375" style="847" customWidth="1"/>
    <col min="2569" max="2569" width="6.42578125" style="847" customWidth="1"/>
    <col min="2570" max="2570" width="2.7109375" style="847" customWidth="1"/>
    <col min="2571" max="2571" width="5.7109375" style="847" customWidth="1"/>
    <col min="2572" max="2572" width="6.5703125" style="847" customWidth="1"/>
    <col min="2573" max="2573" width="2.7109375" style="847" customWidth="1"/>
    <col min="2574" max="2574" width="5.7109375" style="847" customWidth="1"/>
    <col min="2575" max="2575" width="6.42578125" style="847" customWidth="1"/>
    <col min="2576" max="2576" width="2.7109375" style="847" customWidth="1"/>
    <col min="2577" max="2577" width="6.5703125" style="847" customWidth="1"/>
    <col min="2578" max="2578" width="6.42578125" style="847" customWidth="1"/>
    <col min="2579" max="2579" width="2.7109375" style="847" customWidth="1"/>
    <col min="2580" max="2580" width="3.5703125" style="847" customWidth="1"/>
    <col min="2581" max="2816" width="9.140625" style="847"/>
    <col min="2817" max="2817" width="34.42578125" style="847" customWidth="1"/>
    <col min="2818" max="2819" width="8.28515625" style="847" customWidth="1"/>
    <col min="2820" max="2820" width="2.7109375" style="847" customWidth="1"/>
    <col min="2821" max="2821" width="5.7109375" style="847" customWidth="1"/>
    <col min="2822" max="2822" width="7.42578125" style="847" customWidth="1"/>
    <col min="2823" max="2823" width="2.7109375" style="847" customWidth="1"/>
    <col min="2824" max="2824" width="5.7109375" style="847" customWidth="1"/>
    <col min="2825" max="2825" width="6.42578125" style="847" customWidth="1"/>
    <col min="2826" max="2826" width="2.7109375" style="847" customWidth="1"/>
    <col min="2827" max="2827" width="5.7109375" style="847" customWidth="1"/>
    <col min="2828" max="2828" width="6.5703125" style="847" customWidth="1"/>
    <col min="2829" max="2829" width="2.7109375" style="847" customWidth="1"/>
    <col min="2830" max="2830" width="5.7109375" style="847" customWidth="1"/>
    <col min="2831" max="2831" width="6.42578125" style="847" customWidth="1"/>
    <col min="2832" max="2832" width="2.7109375" style="847" customWidth="1"/>
    <col min="2833" max="2833" width="6.5703125" style="847" customWidth="1"/>
    <col min="2834" max="2834" width="6.42578125" style="847" customWidth="1"/>
    <col min="2835" max="2835" width="2.7109375" style="847" customWidth="1"/>
    <col min="2836" max="2836" width="3.5703125" style="847" customWidth="1"/>
    <col min="2837" max="3072" width="9.140625" style="847"/>
    <col min="3073" max="3073" width="34.42578125" style="847" customWidth="1"/>
    <col min="3074" max="3075" width="8.28515625" style="847" customWidth="1"/>
    <col min="3076" max="3076" width="2.7109375" style="847" customWidth="1"/>
    <col min="3077" max="3077" width="5.7109375" style="847" customWidth="1"/>
    <col min="3078" max="3078" width="7.42578125" style="847" customWidth="1"/>
    <col min="3079" max="3079" width="2.7109375" style="847" customWidth="1"/>
    <col min="3080" max="3080" width="5.7109375" style="847" customWidth="1"/>
    <col min="3081" max="3081" width="6.42578125" style="847" customWidth="1"/>
    <col min="3082" max="3082" width="2.7109375" style="847" customWidth="1"/>
    <col min="3083" max="3083" width="5.7109375" style="847" customWidth="1"/>
    <col min="3084" max="3084" width="6.5703125" style="847" customWidth="1"/>
    <col min="3085" max="3085" width="2.7109375" style="847" customWidth="1"/>
    <col min="3086" max="3086" width="5.7109375" style="847" customWidth="1"/>
    <col min="3087" max="3087" width="6.42578125" style="847" customWidth="1"/>
    <col min="3088" max="3088" width="2.7109375" style="847" customWidth="1"/>
    <col min="3089" max="3089" width="6.5703125" style="847" customWidth="1"/>
    <col min="3090" max="3090" width="6.42578125" style="847" customWidth="1"/>
    <col min="3091" max="3091" width="2.7109375" style="847" customWidth="1"/>
    <col min="3092" max="3092" width="3.5703125" style="847" customWidth="1"/>
    <col min="3093" max="3328" width="9.140625" style="847"/>
    <col min="3329" max="3329" width="34.42578125" style="847" customWidth="1"/>
    <col min="3330" max="3331" width="8.28515625" style="847" customWidth="1"/>
    <col min="3332" max="3332" width="2.7109375" style="847" customWidth="1"/>
    <col min="3333" max="3333" width="5.7109375" style="847" customWidth="1"/>
    <col min="3334" max="3334" width="7.42578125" style="847" customWidth="1"/>
    <col min="3335" max="3335" width="2.7109375" style="847" customWidth="1"/>
    <col min="3336" max="3336" width="5.7109375" style="847" customWidth="1"/>
    <col min="3337" max="3337" width="6.42578125" style="847" customWidth="1"/>
    <col min="3338" max="3338" width="2.7109375" style="847" customWidth="1"/>
    <col min="3339" max="3339" width="5.7109375" style="847" customWidth="1"/>
    <col min="3340" max="3340" width="6.5703125" style="847" customWidth="1"/>
    <col min="3341" max="3341" width="2.7109375" style="847" customWidth="1"/>
    <col min="3342" max="3342" width="5.7109375" style="847" customWidth="1"/>
    <col min="3343" max="3343" width="6.42578125" style="847" customWidth="1"/>
    <col min="3344" max="3344" width="2.7109375" style="847" customWidth="1"/>
    <col min="3345" max="3345" width="6.5703125" style="847" customWidth="1"/>
    <col min="3346" max="3346" width="6.42578125" style="847" customWidth="1"/>
    <col min="3347" max="3347" width="2.7109375" style="847" customWidth="1"/>
    <col min="3348" max="3348" width="3.5703125" style="847" customWidth="1"/>
    <col min="3349" max="3584" width="9.140625" style="847"/>
    <col min="3585" max="3585" width="34.42578125" style="847" customWidth="1"/>
    <col min="3586" max="3587" width="8.28515625" style="847" customWidth="1"/>
    <col min="3588" max="3588" width="2.7109375" style="847" customWidth="1"/>
    <col min="3589" max="3589" width="5.7109375" style="847" customWidth="1"/>
    <col min="3590" max="3590" width="7.42578125" style="847" customWidth="1"/>
    <col min="3591" max="3591" width="2.7109375" style="847" customWidth="1"/>
    <col min="3592" max="3592" width="5.7109375" style="847" customWidth="1"/>
    <col min="3593" max="3593" width="6.42578125" style="847" customWidth="1"/>
    <col min="3594" max="3594" width="2.7109375" style="847" customWidth="1"/>
    <col min="3595" max="3595" width="5.7109375" style="847" customWidth="1"/>
    <col min="3596" max="3596" width="6.5703125" style="847" customWidth="1"/>
    <col min="3597" max="3597" width="2.7109375" style="847" customWidth="1"/>
    <col min="3598" max="3598" width="5.7109375" style="847" customWidth="1"/>
    <col min="3599" max="3599" width="6.42578125" style="847" customWidth="1"/>
    <col min="3600" max="3600" width="2.7109375" style="847" customWidth="1"/>
    <col min="3601" max="3601" width="6.5703125" style="847" customWidth="1"/>
    <col min="3602" max="3602" width="6.42578125" style="847" customWidth="1"/>
    <col min="3603" max="3603" width="2.7109375" style="847" customWidth="1"/>
    <col min="3604" max="3604" width="3.5703125" style="847" customWidth="1"/>
    <col min="3605" max="3840" width="9.140625" style="847"/>
    <col min="3841" max="3841" width="34.42578125" style="847" customWidth="1"/>
    <col min="3842" max="3843" width="8.28515625" style="847" customWidth="1"/>
    <col min="3844" max="3844" width="2.7109375" style="847" customWidth="1"/>
    <col min="3845" max="3845" width="5.7109375" style="847" customWidth="1"/>
    <col min="3846" max="3846" width="7.42578125" style="847" customWidth="1"/>
    <col min="3847" max="3847" width="2.7109375" style="847" customWidth="1"/>
    <col min="3848" max="3848" width="5.7109375" style="847" customWidth="1"/>
    <col min="3849" max="3849" width="6.42578125" style="847" customWidth="1"/>
    <col min="3850" max="3850" width="2.7109375" style="847" customWidth="1"/>
    <col min="3851" max="3851" width="5.7109375" style="847" customWidth="1"/>
    <col min="3852" max="3852" width="6.5703125" style="847" customWidth="1"/>
    <col min="3853" max="3853" width="2.7109375" style="847" customWidth="1"/>
    <col min="3854" max="3854" width="5.7109375" style="847" customWidth="1"/>
    <col min="3855" max="3855" width="6.42578125" style="847" customWidth="1"/>
    <col min="3856" max="3856" width="2.7109375" style="847" customWidth="1"/>
    <col min="3857" max="3857" width="6.5703125" style="847" customWidth="1"/>
    <col min="3858" max="3858" width="6.42578125" style="847" customWidth="1"/>
    <col min="3859" max="3859" width="2.7109375" style="847" customWidth="1"/>
    <col min="3860" max="3860" width="3.5703125" style="847" customWidth="1"/>
    <col min="3861" max="4096" width="9.140625" style="847"/>
    <col min="4097" max="4097" width="34.42578125" style="847" customWidth="1"/>
    <col min="4098" max="4099" width="8.28515625" style="847" customWidth="1"/>
    <col min="4100" max="4100" width="2.7109375" style="847" customWidth="1"/>
    <col min="4101" max="4101" width="5.7109375" style="847" customWidth="1"/>
    <col min="4102" max="4102" width="7.42578125" style="847" customWidth="1"/>
    <col min="4103" max="4103" width="2.7109375" style="847" customWidth="1"/>
    <col min="4104" max="4104" width="5.7109375" style="847" customWidth="1"/>
    <col min="4105" max="4105" width="6.42578125" style="847" customWidth="1"/>
    <col min="4106" max="4106" width="2.7109375" style="847" customWidth="1"/>
    <col min="4107" max="4107" width="5.7109375" style="847" customWidth="1"/>
    <col min="4108" max="4108" width="6.5703125" style="847" customWidth="1"/>
    <col min="4109" max="4109" width="2.7109375" style="847" customWidth="1"/>
    <col min="4110" max="4110" width="5.7109375" style="847" customWidth="1"/>
    <col min="4111" max="4111" width="6.42578125" style="847" customWidth="1"/>
    <col min="4112" max="4112" width="2.7109375" style="847" customWidth="1"/>
    <col min="4113" max="4113" width="6.5703125" style="847" customWidth="1"/>
    <col min="4114" max="4114" width="6.42578125" style="847" customWidth="1"/>
    <col min="4115" max="4115" width="2.7109375" style="847" customWidth="1"/>
    <col min="4116" max="4116" width="3.5703125" style="847" customWidth="1"/>
    <col min="4117" max="4352" width="9.140625" style="847"/>
    <col min="4353" max="4353" width="34.42578125" style="847" customWidth="1"/>
    <col min="4354" max="4355" width="8.28515625" style="847" customWidth="1"/>
    <col min="4356" max="4356" width="2.7109375" style="847" customWidth="1"/>
    <col min="4357" max="4357" width="5.7109375" style="847" customWidth="1"/>
    <col min="4358" max="4358" width="7.42578125" style="847" customWidth="1"/>
    <col min="4359" max="4359" width="2.7109375" style="847" customWidth="1"/>
    <col min="4360" max="4360" width="5.7109375" style="847" customWidth="1"/>
    <col min="4361" max="4361" width="6.42578125" style="847" customWidth="1"/>
    <col min="4362" max="4362" width="2.7109375" style="847" customWidth="1"/>
    <col min="4363" max="4363" width="5.7109375" style="847" customWidth="1"/>
    <col min="4364" max="4364" width="6.5703125" style="847" customWidth="1"/>
    <col min="4365" max="4365" width="2.7109375" style="847" customWidth="1"/>
    <col min="4366" max="4366" width="5.7109375" style="847" customWidth="1"/>
    <col min="4367" max="4367" width="6.42578125" style="847" customWidth="1"/>
    <col min="4368" max="4368" width="2.7109375" style="847" customWidth="1"/>
    <col min="4369" max="4369" width="6.5703125" style="847" customWidth="1"/>
    <col min="4370" max="4370" width="6.42578125" style="847" customWidth="1"/>
    <col min="4371" max="4371" width="2.7109375" style="847" customWidth="1"/>
    <col min="4372" max="4372" width="3.5703125" style="847" customWidth="1"/>
    <col min="4373" max="4608" width="9.140625" style="847"/>
    <col min="4609" max="4609" width="34.42578125" style="847" customWidth="1"/>
    <col min="4610" max="4611" width="8.28515625" style="847" customWidth="1"/>
    <col min="4612" max="4612" width="2.7109375" style="847" customWidth="1"/>
    <col min="4613" max="4613" width="5.7109375" style="847" customWidth="1"/>
    <col min="4614" max="4614" width="7.42578125" style="847" customWidth="1"/>
    <col min="4615" max="4615" width="2.7109375" style="847" customWidth="1"/>
    <col min="4616" max="4616" width="5.7109375" style="847" customWidth="1"/>
    <col min="4617" max="4617" width="6.42578125" style="847" customWidth="1"/>
    <col min="4618" max="4618" width="2.7109375" style="847" customWidth="1"/>
    <col min="4619" max="4619" width="5.7109375" style="847" customWidth="1"/>
    <col min="4620" max="4620" width="6.5703125" style="847" customWidth="1"/>
    <col min="4621" max="4621" width="2.7109375" style="847" customWidth="1"/>
    <col min="4622" max="4622" width="5.7109375" style="847" customWidth="1"/>
    <col min="4623" max="4623" width="6.42578125" style="847" customWidth="1"/>
    <col min="4624" max="4624" width="2.7109375" style="847" customWidth="1"/>
    <col min="4625" max="4625" width="6.5703125" style="847" customWidth="1"/>
    <col min="4626" max="4626" width="6.42578125" style="847" customWidth="1"/>
    <col min="4627" max="4627" width="2.7109375" style="847" customWidth="1"/>
    <col min="4628" max="4628" width="3.5703125" style="847" customWidth="1"/>
    <col min="4629" max="4864" width="9.140625" style="847"/>
    <col min="4865" max="4865" width="34.42578125" style="847" customWidth="1"/>
    <col min="4866" max="4867" width="8.28515625" style="847" customWidth="1"/>
    <col min="4868" max="4868" width="2.7109375" style="847" customWidth="1"/>
    <col min="4869" max="4869" width="5.7109375" style="847" customWidth="1"/>
    <col min="4870" max="4870" width="7.42578125" style="847" customWidth="1"/>
    <col min="4871" max="4871" width="2.7109375" style="847" customWidth="1"/>
    <col min="4872" max="4872" width="5.7109375" style="847" customWidth="1"/>
    <col min="4873" max="4873" width="6.42578125" style="847" customWidth="1"/>
    <col min="4874" max="4874" width="2.7109375" style="847" customWidth="1"/>
    <col min="4875" max="4875" width="5.7109375" style="847" customWidth="1"/>
    <col min="4876" max="4876" width="6.5703125" style="847" customWidth="1"/>
    <col min="4877" max="4877" width="2.7109375" style="847" customWidth="1"/>
    <col min="4878" max="4878" width="5.7109375" style="847" customWidth="1"/>
    <col min="4879" max="4879" width="6.42578125" style="847" customWidth="1"/>
    <col min="4880" max="4880" width="2.7109375" style="847" customWidth="1"/>
    <col min="4881" max="4881" width="6.5703125" style="847" customWidth="1"/>
    <col min="4882" max="4882" width="6.42578125" style="847" customWidth="1"/>
    <col min="4883" max="4883" width="2.7109375" style="847" customWidth="1"/>
    <col min="4884" max="4884" width="3.5703125" style="847" customWidth="1"/>
    <col min="4885" max="5120" width="9.140625" style="847"/>
    <col min="5121" max="5121" width="34.42578125" style="847" customWidth="1"/>
    <col min="5122" max="5123" width="8.28515625" style="847" customWidth="1"/>
    <col min="5124" max="5124" width="2.7109375" style="847" customWidth="1"/>
    <col min="5125" max="5125" width="5.7109375" style="847" customWidth="1"/>
    <col min="5126" max="5126" width="7.42578125" style="847" customWidth="1"/>
    <col min="5127" max="5127" width="2.7109375" style="847" customWidth="1"/>
    <col min="5128" max="5128" width="5.7109375" style="847" customWidth="1"/>
    <col min="5129" max="5129" width="6.42578125" style="847" customWidth="1"/>
    <col min="5130" max="5130" width="2.7109375" style="847" customWidth="1"/>
    <col min="5131" max="5131" width="5.7109375" style="847" customWidth="1"/>
    <col min="5132" max="5132" width="6.5703125" style="847" customWidth="1"/>
    <col min="5133" max="5133" width="2.7109375" style="847" customWidth="1"/>
    <col min="5134" max="5134" width="5.7109375" style="847" customWidth="1"/>
    <col min="5135" max="5135" width="6.42578125" style="847" customWidth="1"/>
    <col min="5136" max="5136" width="2.7109375" style="847" customWidth="1"/>
    <col min="5137" max="5137" width="6.5703125" style="847" customWidth="1"/>
    <col min="5138" max="5138" width="6.42578125" style="847" customWidth="1"/>
    <col min="5139" max="5139" width="2.7109375" style="847" customWidth="1"/>
    <col min="5140" max="5140" width="3.5703125" style="847" customWidth="1"/>
    <col min="5141" max="5376" width="9.140625" style="847"/>
    <col min="5377" max="5377" width="34.42578125" style="847" customWidth="1"/>
    <col min="5378" max="5379" width="8.28515625" style="847" customWidth="1"/>
    <col min="5380" max="5380" width="2.7109375" style="847" customWidth="1"/>
    <col min="5381" max="5381" width="5.7109375" style="847" customWidth="1"/>
    <col min="5382" max="5382" width="7.42578125" style="847" customWidth="1"/>
    <col min="5383" max="5383" width="2.7109375" style="847" customWidth="1"/>
    <col min="5384" max="5384" width="5.7109375" style="847" customWidth="1"/>
    <col min="5385" max="5385" width="6.42578125" style="847" customWidth="1"/>
    <col min="5386" max="5386" width="2.7109375" style="847" customWidth="1"/>
    <col min="5387" max="5387" width="5.7109375" style="847" customWidth="1"/>
    <col min="5388" max="5388" width="6.5703125" style="847" customWidth="1"/>
    <col min="5389" max="5389" width="2.7109375" style="847" customWidth="1"/>
    <col min="5390" max="5390" width="5.7109375" style="847" customWidth="1"/>
    <col min="5391" max="5391" width="6.42578125" style="847" customWidth="1"/>
    <col min="5392" max="5392" width="2.7109375" style="847" customWidth="1"/>
    <col min="5393" max="5393" width="6.5703125" style="847" customWidth="1"/>
    <col min="5394" max="5394" width="6.42578125" style="847" customWidth="1"/>
    <col min="5395" max="5395" width="2.7109375" style="847" customWidth="1"/>
    <col min="5396" max="5396" width="3.5703125" style="847" customWidth="1"/>
    <col min="5397" max="5632" width="9.140625" style="847"/>
    <col min="5633" max="5633" width="34.42578125" style="847" customWidth="1"/>
    <col min="5634" max="5635" width="8.28515625" style="847" customWidth="1"/>
    <col min="5636" max="5636" width="2.7109375" style="847" customWidth="1"/>
    <col min="5637" max="5637" width="5.7109375" style="847" customWidth="1"/>
    <col min="5638" max="5638" width="7.42578125" style="847" customWidth="1"/>
    <col min="5639" max="5639" width="2.7109375" style="847" customWidth="1"/>
    <col min="5640" max="5640" width="5.7109375" style="847" customWidth="1"/>
    <col min="5641" max="5641" width="6.42578125" style="847" customWidth="1"/>
    <col min="5642" max="5642" width="2.7109375" style="847" customWidth="1"/>
    <col min="5643" max="5643" width="5.7109375" style="847" customWidth="1"/>
    <col min="5644" max="5644" width="6.5703125" style="847" customWidth="1"/>
    <col min="5645" max="5645" width="2.7109375" style="847" customWidth="1"/>
    <col min="5646" max="5646" width="5.7109375" style="847" customWidth="1"/>
    <col min="5647" max="5647" width="6.42578125" style="847" customWidth="1"/>
    <col min="5648" max="5648" width="2.7109375" style="847" customWidth="1"/>
    <col min="5649" max="5649" width="6.5703125" style="847" customWidth="1"/>
    <col min="5650" max="5650" width="6.42578125" style="847" customWidth="1"/>
    <col min="5651" max="5651" width="2.7109375" style="847" customWidth="1"/>
    <col min="5652" max="5652" width="3.5703125" style="847" customWidth="1"/>
    <col min="5653" max="5888" width="9.140625" style="847"/>
    <col min="5889" max="5889" width="34.42578125" style="847" customWidth="1"/>
    <col min="5890" max="5891" width="8.28515625" style="847" customWidth="1"/>
    <col min="5892" max="5892" width="2.7109375" style="847" customWidth="1"/>
    <col min="5893" max="5893" width="5.7109375" style="847" customWidth="1"/>
    <col min="5894" max="5894" width="7.42578125" style="847" customWidth="1"/>
    <col min="5895" max="5895" width="2.7109375" style="847" customWidth="1"/>
    <col min="5896" max="5896" width="5.7109375" style="847" customWidth="1"/>
    <col min="5897" max="5897" width="6.42578125" style="847" customWidth="1"/>
    <col min="5898" max="5898" width="2.7109375" style="847" customWidth="1"/>
    <col min="5899" max="5899" width="5.7109375" style="847" customWidth="1"/>
    <col min="5900" max="5900" width="6.5703125" style="847" customWidth="1"/>
    <col min="5901" max="5901" width="2.7109375" style="847" customWidth="1"/>
    <col min="5902" max="5902" width="5.7109375" style="847" customWidth="1"/>
    <col min="5903" max="5903" width="6.42578125" style="847" customWidth="1"/>
    <col min="5904" max="5904" width="2.7109375" style="847" customWidth="1"/>
    <col min="5905" max="5905" width="6.5703125" style="847" customWidth="1"/>
    <col min="5906" max="5906" width="6.42578125" style="847" customWidth="1"/>
    <col min="5907" max="5907" width="2.7109375" style="847" customWidth="1"/>
    <col min="5908" max="5908" width="3.5703125" style="847" customWidth="1"/>
    <col min="5909" max="6144" width="9.140625" style="847"/>
    <col min="6145" max="6145" width="34.42578125" style="847" customWidth="1"/>
    <col min="6146" max="6147" width="8.28515625" style="847" customWidth="1"/>
    <col min="6148" max="6148" width="2.7109375" style="847" customWidth="1"/>
    <col min="6149" max="6149" width="5.7109375" style="847" customWidth="1"/>
    <col min="6150" max="6150" width="7.42578125" style="847" customWidth="1"/>
    <col min="6151" max="6151" width="2.7109375" style="847" customWidth="1"/>
    <col min="6152" max="6152" width="5.7109375" style="847" customWidth="1"/>
    <col min="6153" max="6153" width="6.42578125" style="847" customWidth="1"/>
    <col min="6154" max="6154" width="2.7109375" style="847" customWidth="1"/>
    <col min="6155" max="6155" width="5.7109375" style="847" customWidth="1"/>
    <col min="6156" max="6156" width="6.5703125" style="847" customWidth="1"/>
    <col min="6157" max="6157" width="2.7109375" style="847" customWidth="1"/>
    <col min="6158" max="6158" width="5.7109375" style="847" customWidth="1"/>
    <col min="6159" max="6159" width="6.42578125" style="847" customWidth="1"/>
    <col min="6160" max="6160" width="2.7109375" style="847" customWidth="1"/>
    <col min="6161" max="6161" width="6.5703125" style="847" customWidth="1"/>
    <col min="6162" max="6162" width="6.42578125" style="847" customWidth="1"/>
    <col min="6163" max="6163" width="2.7109375" style="847" customWidth="1"/>
    <col min="6164" max="6164" width="3.5703125" style="847" customWidth="1"/>
    <col min="6165" max="6400" width="9.140625" style="847"/>
    <col min="6401" max="6401" width="34.42578125" style="847" customWidth="1"/>
    <col min="6402" max="6403" width="8.28515625" style="847" customWidth="1"/>
    <col min="6404" max="6404" width="2.7109375" style="847" customWidth="1"/>
    <col min="6405" max="6405" width="5.7109375" style="847" customWidth="1"/>
    <col min="6406" max="6406" width="7.42578125" style="847" customWidth="1"/>
    <col min="6407" max="6407" width="2.7109375" style="847" customWidth="1"/>
    <col min="6408" max="6408" width="5.7109375" style="847" customWidth="1"/>
    <col min="6409" max="6409" width="6.42578125" style="847" customWidth="1"/>
    <col min="6410" max="6410" width="2.7109375" style="847" customWidth="1"/>
    <col min="6411" max="6411" width="5.7109375" style="847" customWidth="1"/>
    <col min="6412" max="6412" width="6.5703125" style="847" customWidth="1"/>
    <col min="6413" max="6413" width="2.7109375" style="847" customWidth="1"/>
    <col min="6414" max="6414" width="5.7109375" style="847" customWidth="1"/>
    <col min="6415" max="6415" width="6.42578125" style="847" customWidth="1"/>
    <col min="6416" max="6416" width="2.7109375" style="847" customWidth="1"/>
    <col min="6417" max="6417" width="6.5703125" style="847" customWidth="1"/>
    <col min="6418" max="6418" width="6.42578125" style="847" customWidth="1"/>
    <col min="6419" max="6419" width="2.7109375" style="847" customWidth="1"/>
    <col min="6420" max="6420" width="3.5703125" style="847" customWidth="1"/>
    <col min="6421" max="6656" width="9.140625" style="847"/>
    <col min="6657" max="6657" width="34.42578125" style="847" customWidth="1"/>
    <col min="6658" max="6659" width="8.28515625" style="847" customWidth="1"/>
    <col min="6660" max="6660" width="2.7109375" style="847" customWidth="1"/>
    <col min="6661" max="6661" width="5.7109375" style="847" customWidth="1"/>
    <col min="6662" max="6662" width="7.42578125" style="847" customWidth="1"/>
    <col min="6663" max="6663" width="2.7109375" style="847" customWidth="1"/>
    <col min="6664" max="6664" width="5.7109375" style="847" customWidth="1"/>
    <col min="6665" max="6665" width="6.42578125" style="847" customWidth="1"/>
    <col min="6666" max="6666" width="2.7109375" style="847" customWidth="1"/>
    <col min="6667" max="6667" width="5.7109375" style="847" customWidth="1"/>
    <col min="6668" max="6668" width="6.5703125" style="847" customWidth="1"/>
    <col min="6669" max="6669" width="2.7109375" style="847" customWidth="1"/>
    <col min="6670" max="6670" width="5.7109375" style="847" customWidth="1"/>
    <col min="6671" max="6671" width="6.42578125" style="847" customWidth="1"/>
    <col min="6672" max="6672" width="2.7109375" style="847" customWidth="1"/>
    <col min="6673" max="6673" width="6.5703125" style="847" customWidth="1"/>
    <col min="6674" max="6674" width="6.42578125" style="847" customWidth="1"/>
    <col min="6675" max="6675" width="2.7109375" style="847" customWidth="1"/>
    <col min="6676" max="6676" width="3.5703125" style="847" customWidth="1"/>
    <col min="6677" max="6912" width="9.140625" style="847"/>
    <col min="6913" max="6913" width="34.42578125" style="847" customWidth="1"/>
    <col min="6914" max="6915" width="8.28515625" style="847" customWidth="1"/>
    <col min="6916" max="6916" width="2.7109375" style="847" customWidth="1"/>
    <col min="6917" max="6917" width="5.7109375" style="847" customWidth="1"/>
    <col min="6918" max="6918" width="7.42578125" style="847" customWidth="1"/>
    <col min="6919" max="6919" width="2.7109375" style="847" customWidth="1"/>
    <col min="6920" max="6920" width="5.7109375" style="847" customWidth="1"/>
    <col min="6921" max="6921" width="6.42578125" style="847" customWidth="1"/>
    <col min="6922" max="6922" width="2.7109375" style="847" customWidth="1"/>
    <col min="6923" max="6923" width="5.7109375" style="847" customWidth="1"/>
    <col min="6924" max="6924" width="6.5703125" style="847" customWidth="1"/>
    <col min="6925" max="6925" width="2.7109375" style="847" customWidth="1"/>
    <col min="6926" max="6926" width="5.7109375" style="847" customWidth="1"/>
    <col min="6927" max="6927" width="6.42578125" style="847" customWidth="1"/>
    <col min="6928" max="6928" width="2.7109375" style="847" customWidth="1"/>
    <col min="6929" max="6929" width="6.5703125" style="847" customWidth="1"/>
    <col min="6930" max="6930" width="6.42578125" style="847" customWidth="1"/>
    <col min="6931" max="6931" width="2.7109375" style="847" customWidth="1"/>
    <col min="6932" max="6932" width="3.5703125" style="847" customWidth="1"/>
    <col min="6933" max="7168" width="9.140625" style="847"/>
    <col min="7169" max="7169" width="34.42578125" style="847" customWidth="1"/>
    <col min="7170" max="7171" width="8.28515625" style="847" customWidth="1"/>
    <col min="7172" max="7172" width="2.7109375" style="847" customWidth="1"/>
    <col min="7173" max="7173" width="5.7109375" style="847" customWidth="1"/>
    <col min="7174" max="7174" width="7.42578125" style="847" customWidth="1"/>
    <col min="7175" max="7175" width="2.7109375" style="847" customWidth="1"/>
    <col min="7176" max="7176" width="5.7109375" style="847" customWidth="1"/>
    <col min="7177" max="7177" width="6.42578125" style="847" customWidth="1"/>
    <col min="7178" max="7178" width="2.7109375" style="847" customWidth="1"/>
    <col min="7179" max="7179" width="5.7109375" style="847" customWidth="1"/>
    <col min="7180" max="7180" width="6.5703125" style="847" customWidth="1"/>
    <col min="7181" max="7181" width="2.7109375" style="847" customWidth="1"/>
    <col min="7182" max="7182" width="5.7109375" style="847" customWidth="1"/>
    <col min="7183" max="7183" width="6.42578125" style="847" customWidth="1"/>
    <col min="7184" max="7184" width="2.7109375" style="847" customWidth="1"/>
    <col min="7185" max="7185" width="6.5703125" style="847" customWidth="1"/>
    <col min="7186" max="7186" width="6.42578125" style="847" customWidth="1"/>
    <col min="7187" max="7187" width="2.7109375" style="847" customWidth="1"/>
    <col min="7188" max="7188" width="3.5703125" style="847" customWidth="1"/>
    <col min="7189" max="7424" width="9.140625" style="847"/>
    <col min="7425" max="7425" width="34.42578125" style="847" customWidth="1"/>
    <col min="7426" max="7427" width="8.28515625" style="847" customWidth="1"/>
    <col min="7428" max="7428" width="2.7109375" style="847" customWidth="1"/>
    <col min="7429" max="7429" width="5.7109375" style="847" customWidth="1"/>
    <col min="7430" max="7430" width="7.42578125" style="847" customWidth="1"/>
    <col min="7431" max="7431" width="2.7109375" style="847" customWidth="1"/>
    <col min="7432" max="7432" width="5.7109375" style="847" customWidth="1"/>
    <col min="7433" max="7433" width="6.42578125" style="847" customWidth="1"/>
    <col min="7434" max="7434" width="2.7109375" style="847" customWidth="1"/>
    <col min="7435" max="7435" width="5.7109375" style="847" customWidth="1"/>
    <col min="7436" max="7436" width="6.5703125" style="847" customWidth="1"/>
    <col min="7437" max="7437" width="2.7109375" style="847" customWidth="1"/>
    <col min="7438" max="7438" width="5.7109375" style="847" customWidth="1"/>
    <col min="7439" max="7439" width="6.42578125" style="847" customWidth="1"/>
    <col min="7440" max="7440" width="2.7109375" style="847" customWidth="1"/>
    <col min="7441" max="7441" width="6.5703125" style="847" customWidth="1"/>
    <col min="7442" max="7442" width="6.42578125" style="847" customWidth="1"/>
    <col min="7443" max="7443" width="2.7109375" style="847" customWidth="1"/>
    <col min="7444" max="7444" width="3.5703125" style="847" customWidth="1"/>
    <col min="7445" max="7680" width="9.140625" style="847"/>
    <col min="7681" max="7681" width="34.42578125" style="847" customWidth="1"/>
    <col min="7682" max="7683" width="8.28515625" style="847" customWidth="1"/>
    <col min="7684" max="7684" width="2.7109375" style="847" customWidth="1"/>
    <col min="7685" max="7685" width="5.7109375" style="847" customWidth="1"/>
    <col min="7686" max="7686" width="7.42578125" style="847" customWidth="1"/>
    <col min="7687" max="7687" width="2.7109375" style="847" customWidth="1"/>
    <col min="7688" max="7688" width="5.7109375" style="847" customWidth="1"/>
    <col min="7689" max="7689" width="6.42578125" style="847" customWidth="1"/>
    <col min="7690" max="7690" width="2.7109375" style="847" customWidth="1"/>
    <col min="7691" max="7691" width="5.7109375" style="847" customWidth="1"/>
    <col min="7692" max="7692" width="6.5703125" style="847" customWidth="1"/>
    <col min="7693" max="7693" width="2.7109375" style="847" customWidth="1"/>
    <col min="7694" max="7694" width="5.7109375" style="847" customWidth="1"/>
    <col min="7695" max="7695" width="6.42578125" style="847" customWidth="1"/>
    <col min="7696" max="7696" width="2.7109375" style="847" customWidth="1"/>
    <col min="7697" max="7697" width="6.5703125" style="847" customWidth="1"/>
    <col min="7698" max="7698" width="6.42578125" style="847" customWidth="1"/>
    <col min="7699" max="7699" width="2.7109375" style="847" customWidth="1"/>
    <col min="7700" max="7700" width="3.5703125" style="847" customWidth="1"/>
    <col min="7701" max="7936" width="9.140625" style="847"/>
    <col min="7937" max="7937" width="34.42578125" style="847" customWidth="1"/>
    <col min="7938" max="7939" width="8.28515625" style="847" customWidth="1"/>
    <col min="7940" max="7940" width="2.7109375" style="847" customWidth="1"/>
    <col min="7941" max="7941" width="5.7109375" style="847" customWidth="1"/>
    <col min="7942" max="7942" width="7.42578125" style="847" customWidth="1"/>
    <col min="7943" max="7943" width="2.7109375" style="847" customWidth="1"/>
    <col min="7944" max="7944" width="5.7109375" style="847" customWidth="1"/>
    <col min="7945" max="7945" width="6.42578125" style="847" customWidth="1"/>
    <col min="7946" max="7946" width="2.7109375" style="847" customWidth="1"/>
    <col min="7947" max="7947" width="5.7109375" style="847" customWidth="1"/>
    <col min="7948" max="7948" width="6.5703125" style="847" customWidth="1"/>
    <col min="7949" max="7949" width="2.7109375" style="847" customWidth="1"/>
    <col min="7950" max="7950" width="5.7109375" style="847" customWidth="1"/>
    <col min="7951" max="7951" width="6.42578125" style="847" customWidth="1"/>
    <col min="7952" max="7952" width="2.7109375" style="847" customWidth="1"/>
    <col min="7953" max="7953" width="6.5703125" style="847" customWidth="1"/>
    <col min="7954" max="7954" width="6.42578125" style="847" customWidth="1"/>
    <col min="7955" max="7955" width="2.7109375" style="847" customWidth="1"/>
    <col min="7956" max="7956" width="3.5703125" style="847" customWidth="1"/>
    <col min="7957" max="8192" width="9.140625" style="847"/>
    <col min="8193" max="8193" width="34.42578125" style="847" customWidth="1"/>
    <col min="8194" max="8195" width="8.28515625" style="847" customWidth="1"/>
    <col min="8196" max="8196" width="2.7109375" style="847" customWidth="1"/>
    <col min="8197" max="8197" width="5.7109375" style="847" customWidth="1"/>
    <col min="8198" max="8198" width="7.42578125" style="847" customWidth="1"/>
    <col min="8199" max="8199" width="2.7109375" style="847" customWidth="1"/>
    <col min="8200" max="8200" width="5.7109375" style="847" customWidth="1"/>
    <col min="8201" max="8201" width="6.42578125" style="847" customWidth="1"/>
    <col min="8202" max="8202" width="2.7109375" style="847" customWidth="1"/>
    <col min="8203" max="8203" width="5.7109375" style="847" customWidth="1"/>
    <col min="8204" max="8204" width="6.5703125" style="847" customWidth="1"/>
    <col min="8205" max="8205" width="2.7109375" style="847" customWidth="1"/>
    <col min="8206" max="8206" width="5.7109375" style="847" customWidth="1"/>
    <col min="8207" max="8207" width="6.42578125" style="847" customWidth="1"/>
    <col min="8208" max="8208" width="2.7109375" style="847" customWidth="1"/>
    <col min="8209" max="8209" width="6.5703125" style="847" customWidth="1"/>
    <col min="8210" max="8210" width="6.42578125" style="847" customWidth="1"/>
    <col min="8211" max="8211" width="2.7109375" style="847" customWidth="1"/>
    <col min="8212" max="8212" width="3.5703125" style="847" customWidth="1"/>
    <col min="8213" max="8448" width="9.140625" style="847"/>
    <col min="8449" max="8449" width="34.42578125" style="847" customWidth="1"/>
    <col min="8450" max="8451" width="8.28515625" style="847" customWidth="1"/>
    <col min="8452" max="8452" width="2.7109375" style="847" customWidth="1"/>
    <col min="8453" max="8453" width="5.7109375" style="847" customWidth="1"/>
    <col min="8454" max="8454" width="7.42578125" style="847" customWidth="1"/>
    <col min="8455" max="8455" width="2.7109375" style="847" customWidth="1"/>
    <col min="8456" max="8456" width="5.7109375" style="847" customWidth="1"/>
    <col min="8457" max="8457" width="6.42578125" style="847" customWidth="1"/>
    <col min="8458" max="8458" width="2.7109375" style="847" customWidth="1"/>
    <col min="8459" max="8459" width="5.7109375" style="847" customWidth="1"/>
    <col min="8460" max="8460" width="6.5703125" style="847" customWidth="1"/>
    <col min="8461" max="8461" width="2.7109375" style="847" customWidth="1"/>
    <col min="8462" max="8462" width="5.7109375" style="847" customWidth="1"/>
    <col min="8463" max="8463" width="6.42578125" style="847" customWidth="1"/>
    <col min="8464" max="8464" width="2.7109375" style="847" customWidth="1"/>
    <col min="8465" max="8465" width="6.5703125" style="847" customWidth="1"/>
    <col min="8466" max="8466" width="6.42578125" style="847" customWidth="1"/>
    <col min="8467" max="8467" width="2.7109375" style="847" customWidth="1"/>
    <col min="8468" max="8468" width="3.5703125" style="847" customWidth="1"/>
    <col min="8469" max="8704" width="9.140625" style="847"/>
    <col min="8705" max="8705" width="34.42578125" style="847" customWidth="1"/>
    <col min="8706" max="8707" width="8.28515625" style="847" customWidth="1"/>
    <col min="8708" max="8708" width="2.7109375" style="847" customWidth="1"/>
    <col min="8709" max="8709" width="5.7109375" style="847" customWidth="1"/>
    <col min="8710" max="8710" width="7.42578125" style="847" customWidth="1"/>
    <col min="8711" max="8711" width="2.7109375" style="847" customWidth="1"/>
    <col min="8712" max="8712" width="5.7109375" style="847" customWidth="1"/>
    <col min="8713" max="8713" width="6.42578125" style="847" customWidth="1"/>
    <col min="8714" max="8714" width="2.7109375" style="847" customWidth="1"/>
    <col min="8715" max="8715" width="5.7109375" style="847" customWidth="1"/>
    <col min="8716" max="8716" width="6.5703125" style="847" customWidth="1"/>
    <col min="8717" max="8717" width="2.7109375" style="847" customWidth="1"/>
    <col min="8718" max="8718" width="5.7109375" style="847" customWidth="1"/>
    <col min="8719" max="8719" width="6.42578125" style="847" customWidth="1"/>
    <col min="8720" max="8720" width="2.7109375" style="847" customWidth="1"/>
    <col min="8721" max="8721" width="6.5703125" style="847" customWidth="1"/>
    <col min="8722" max="8722" width="6.42578125" style="847" customWidth="1"/>
    <col min="8723" max="8723" width="2.7109375" style="847" customWidth="1"/>
    <col min="8724" max="8724" width="3.5703125" style="847" customWidth="1"/>
    <col min="8725" max="8960" width="9.140625" style="847"/>
    <col min="8961" max="8961" width="34.42578125" style="847" customWidth="1"/>
    <col min="8962" max="8963" width="8.28515625" style="847" customWidth="1"/>
    <col min="8964" max="8964" width="2.7109375" style="847" customWidth="1"/>
    <col min="8965" max="8965" width="5.7109375" style="847" customWidth="1"/>
    <col min="8966" max="8966" width="7.42578125" style="847" customWidth="1"/>
    <col min="8967" max="8967" width="2.7109375" style="847" customWidth="1"/>
    <col min="8968" max="8968" width="5.7109375" style="847" customWidth="1"/>
    <col min="8969" max="8969" width="6.42578125" style="847" customWidth="1"/>
    <col min="8970" max="8970" width="2.7109375" style="847" customWidth="1"/>
    <col min="8971" max="8971" width="5.7109375" style="847" customWidth="1"/>
    <col min="8972" max="8972" width="6.5703125" style="847" customWidth="1"/>
    <col min="8973" max="8973" width="2.7109375" style="847" customWidth="1"/>
    <col min="8974" max="8974" width="5.7109375" style="847" customWidth="1"/>
    <col min="8975" max="8975" width="6.42578125" style="847" customWidth="1"/>
    <col min="8976" max="8976" width="2.7109375" style="847" customWidth="1"/>
    <col min="8977" max="8977" width="6.5703125" style="847" customWidth="1"/>
    <col min="8978" max="8978" width="6.42578125" style="847" customWidth="1"/>
    <col min="8979" max="8979" width="2.7109375" style="847" customWidth="1"/>
    <col min="8980" max="8980" width="3.5703125" style="847" customWidth="1"/>
    <col min="8981" max="9216" width="9.140625" style="847"/>
    <col min="9217" max="9217" width="34.42578125" style="847" customWidth="1"/>
    <col min="9218" max="9219" width="8.28515625" style="847" customWidth="1"/>
    <col min="9220" max="9220" width="2.7109375" style="847" customWidth="1"/>
    <col min="9221" max="9221" width="5.7109375" style="847" customWidth="1"/>
    <col min="9222" max="9222" width="7.42578125" style="847" customWidth="1"/>
    <col min="9223" max="9223" width="2.7109375" style="847" customWidth="1"/>
    <col min="9224" max="9224" width="5.7109375" style="847" customWidth="1"/>
    <col min="9225" max="9225" width="6.42578125" style="847" customWidth="1"/>
    <col min="9226" max="9226" width="2.7109375" style="847" customWidth="1"/>
    <col min="9227" max="9227" width="5.7109375" style="847" customWidth="1"/>
    <col min="9228" max="9228" width="6.5703125" style="847" customWidth="1"/>
    <col min="9229" max="9229" width="2.7109375" style="847" customWidth="1"/>
    <col min="9230" max="9230" width="5.7109375" style="847" customWidth="1"/>
    <col min="9231" max="9231" width="6.42578125" style="847" customWidth="1"/>
    <col min="9232" max="9232" width="2.7109375" style="847" customWidth="1"/>
    <col min="9233" max="9233" width="6.5703125" style="847" customWidth="1"/>
    <col min="9234" max="9234" width="6.42578125" style="847" customWidth="1"/>
    <col min="9235" max="9235" width="2.7109375" style="847" customWidth="1"/>
    <col min="9236" max="9236" width="3.5703125" style="847" customWidth="1"/>
    <col min="9237" max="9472" width="9.140625" style="847"/>
    <col min="9473" max="9473" width="34.42578125" style="847" customWidth="1"/>
    <col min="9474" max="9475" width="8.28515625" style="847" customWidth="1"/>
    <col min="9476" max="9476" width="2.7109375" style="847" customWidth="1"/>
    <col min="9477" max="9477" width="5.7109375" style="847" customWidth="1"/>
    <col min="9478" max="9478" width="7.42578125" style="847" customWidth="1"/>
    <col min="9479" max="9479" width="2.7109375" style="847" customWidth="1"/>
    <col min="9480" max="9480" width="5.7109375" style="847" customWidth="1"/>
    <col min="9481" max="9481" width="6.42578125" style="847" customWidth="1"/>
    <col min="9482" max="9482" width="2.7109375" style="847" customWidth="1"/>
    <col min="9483" max="9483" width="5.7109375" style="847" customWidth="1"/>
    <col min="9484" max="9484" width="6.5703125" style="847" customWidth="1"/>
    <col min="9485" max="9485" width="2.7109375" style="847" customWidth="1"/>
    <col min="9486" max="9486" width="5.7109375" style="847" customWidth="1"/>
    <col min="9487" max="9487" width="6.42578125" style="847" customWidth="1"/>
    <col min="9488" max="9488" width="2.7109375" style="847" customWidth="1"/>
    <col min="9489" max="9489" width="6.5703125" style="847" customWidth="1"/>
    <col min="9490" max="9490" width="6.42578125" style="847" customWidth="1"/>
    <col min="9491" max="9491" width="2.7109375" style="847" customWidth="1"/>
    <col min="9492" max="9492" width="3.5703125" style="847" customWidth="1"/>
    <col min="9493" max="9728" width="9.140625" style="847"/>
    <col min="9729" max="9729" width="34.42578125" style="847" customWidth="1"/>
    <col min="9730" max="9731" width="8.28515625" style="847" customWidth="1"/>
    <col min="9732" max="9732" width="2.7109375" style="847" customWidth="1"/>
    <col min="9733" max="9733" width="5.7109375" style="847" customWidth="1"/>
    <col min="9734" max="9734" width="7.42578125" style="847" customWidth="1"/>
    <col min="9735" max="9735" width="2.7109375" style="847" customWidth="1"/>
    <col min="9736" max="9736" width="5.7109375" style="847" customWidth="1"/>
    <col min="9737" max="9737" width="6.42578125" style="847" customWidth="1"/>
    <col min="9738" max="9738" width="2.7109375" style="847" customWidth="1"/>
    <col min="9739" max="9739" width="5.7109375" style="847" customWidth="1"/>
    <col min="9740" max="9740" width="6.5703125" style="847" customWidth="1"/>
    <col min="9741" max="9741" width="2.7109375" style="847" customWidth="1"/>
    <col min="9742" max="9742" width="5.7109375" style="847" customWidth="1"/>
    <col min="9743" max="9743" width="6.42578125" style="847" customWidth="1"/>
    <col min="9744" max="9744" width="2.7109375" style="847" customWidth="1"/>
    <col min="9745" max="9745" width="6.5703125" style="847" customWidth="1"/>
    <col min="9746" max="9746" width="6.42578125" style="847" customWidth="1"/>
    <col min="9747" max="9747" width="2.7109375" style="847" customWidth="1"/>
    <col min="9748" max="9748" width="3.5703125" style="847" customWidth="1"/>
    <col min="9749" max="9984" width="9.140625" style="847"/>
    <col min="9985" max="9985" width="34.42578125" style="847" customWidth="1"/>
    <col min="9986" max="9987" width="8.28515625" style="847" customWidth="1"/>
    <col min="9988" max="9988" width="2.7109375" style="847" customWidth="1"/>
    <col min="9989" max="9989" width="5.7109375" style="847" customWidth="1"/>
    <col min="9990" max="9990" width="7.42578125" style="847" customWidth="1"/>
    <col min="9991" max="9991" width="2.7109375" style="847" customWidth="1"/>
    <col min="9992" max="9992" width="5.7109375" style="847" customWidth="1"/>
    <col min="9993" max="9993" width="6.42578125" style="847" customWidth="1"/>
    <col min="9994" max="9994" width="2.7109375" style="847" customWidth="1"/>
    <col min="9995" max="9995" width="5.7109375" style="847" customWidth="1"/>
    <col min="9996" max="9996" width="6.5703125" style="847" customWidth="1"/>
    <col min="9997" max="9997" width="2.7109375" style="847" customWidth="1"/>
    <col min="9998" max="9998" width="5.7109375" style="847" customWidth="1"/>
    <col min="9999" max="9999" width="6.42578125" style="847" customWidth="1"/>
    <col min="10000" max="10000" width="2.7109375" style="847" customWidth="1"/>
    <col min="10001" max="10001" width="6.5703125" style="847" customWidth="1"/>
    <col min="10002" max="10002" width="6.42578125" style="847" customWidth="1"/>
    <col min="10003" max="10003" width="2.7109375" style="847" customWidth="1"/>
    <col min="10004" max="10004" width="3.5703125" style="847" customWidth="1"/>
    <col min="10005" max="10240" width="9.140625" style="847"/>
    <col min="10241" max="10241" width="34.42578125" style="847" customWidth="1"/>
    <col min="10242" max="10243" width="8.28515625" style="847" customWidth="1"/>
    <col min="10244" max="10244" width="2.7109375" style="847" customWidth="1"/>
    <col min="10245" max="10245" width="5.7109375" style="847" customWidth="1"/>
    <col min="10246" max="10246" width="7.42578125" style="847" customWidth="1"/>
    <col min="10247" max="10247" width="2.7109375" style="847" customWidth="1"/>
    <col min="10248" max="10248" width="5.7109375" style="847" customWidth="1"/>
    <col min="10249" max="10249" width="6.42578125" style="847" customWidth="1"/>
    <col min="10250" max="10250" width="2.7109375" style="847" customWidth="1"/>
    <col min="10251" max="10251" width="5.7109375" style="847" customWidth="1"/>
    <col min="10252" max="10252" width="6.5703125" style="847" customWidth="1"/>
    <col min="10253" max="10253" width="2.7109375" style="847" customWidth="1"/>
    <col min="10254" max="10254" width="5.7109375" style="847" customWidth="1"/>
    <col min="10255" max="10255" width="6.42578125" style="847" customWidth="1"/>
    <col min="10256" max="10256" width="2.7109375" style="847" customWidth="1"/>
    <col min="10257" max="10257" width="6.5703125" style="847" customWidth="1"/>
    <col min="10258" max="10258" width="6.42578125" style="847" customWidth="1"/>
    <col min="10259" max="10259" width="2.7109375" style="847" customWidth="1"/>
    <col min="10260" max="10260" width="3.5703125" style="847" customWidth="1"/>
    <col min="10261" max="10496" width="9.140625" style="847"/>
    <col min="10497" max="10497" width="34.42578125" style="847" customWidth="1"/>
    <col min="10498" max="10499" width="8.28515625" style="847" customWidth="1"/>
    <col min="10500" max="10500" width="2.7109375" style="847" customWidth="1"/>
    <col min="10501" max="10501" width="5.7109375" style="847" customWidth="1"/>
    <col min="10502" max="10502" width="7.42578125" style="847" customWidth="1"/>
    <col min="10503" max="10503" width="2.7109375" style="847" customWidth="1"/>
    <col min="10504" max="10504" width="5.7109375" style="847" customWidth="1"/>
    <col min="10505" max="10505" width="6.42578125" style="847" customWidth="1"/>
    <col min="10506" max="10506" width="2.7109375" style="847" customWidth="1"/>
    <col min="10507" max="10507" width="5.7109375" style="847" customWidth="1"/>
    <col min="10508" max="10508" width="6.5703125" style="847" customWidth="1"/>
    <col min="10509" max="10509" width="2.7109375" style="847" customWidth="1"/>
    <col min="10510" max="10510" width="5.7109375" style="847" customWidth="1"/>
    <col min="10511" max="10511" width="6.42578125" style="847" customWidth="1"/>
    <col min="10512" max="10512" width="2.7109375" style="847" customWidth="1"/>
    <col min="10513" max="10513" width="6.5703125" style="847" customWidth="1"/>
    <col min="10514" max="10514" width="6.42578125" style="847" customWidth="1"/>
    <col min="10515" max="10515" width="2.7109375" style="847" customWidth="1"/>
    <col min="10516" max="10516" width="3.5703125" style="847" customWidth="1"/>
    <col min="10517" max="10752" width="9.140625" style="847"/>
    <col min="10753" max="10753" width="34.42578125" style="847" customWidth="1"/>
    <col min="10754" max="10755" width="8.28515625" style="847" customWidth="1"/>
    <col min="10756" max="10756" width="2.7109375" style="847" customWidth="1"/>
    <col min="10757" max="10757" width="5.7109375" style="847" customWidth="1"/>
    <col min="10758" max="10758" width="7.42578125" style="847" customWidth="1"/>
    <col min="10759" max="10759" width="2.7109375" style="847" customWidth="1"/>
    <col min="10760" max="10760" width="5.7109375" style="847" customWidth="1"/>
    <col min="10761" max="10761" width="6.42578125" style="847" customWidth="1"/>
    <col min="10762" max="10762" width="2.7109375" style="847" customWidth="1"/>
    <col min="10763" max="10763" width="5.7109375" style="847" customWidth="1"/>
    <col min="10764" max="10764" width="6.5703125" style="847" customWidth="1"/>
    <col min="10765" max="10765" width="2.7109375" style="847" customWidth="1"/>
    <col min="10766" max="10766" width="5.7109375" style="847" customWidth="1"/>
    <col min="10767" max="10767" width="6.42578125" style="847" customWidth="1"/>
    <col min="10768" max="10768" width="2.7109375" style="847" customWidth="1"/>
    <col min="10769" max="10769" width="6.5703125" style="847" customWidth="1"/>
    <col min="10770" max="10770" width="6.42578125" style="847" customWidth="1"/>
    <col min="10771" max="10771" width="2.7109375" style="847" customWidth="1"/>
    <col min="10772" max="10772" width="3.5703125" style="847" customWidth="1"/>
    <col min="10773" max="11008" width="9.140625" style="847"/>
    <col min="11009" max="11009" width="34.42578125" style="847" customWidth="1"/>
    <col min="11010" max="11011" width="8.28515625" style="847" customWidth="1"/>
    <col min="11012" max="11012" width="2.7109375" style="847" customWidth="1"/>
    <col min="11013" max="11013" width="5.7109375" style="847" customWidth="1"/>
    <col min="11014" max="11014" width="7.42578125" style="847" customWidth="1"/>
    <col min="11015" max="11015" width="2.7109375" style="847" customWidth="1"/>
    <col min="11016" max="11016" width="5.7109375" style="847" customWidth="1"/>
    <col min="11017" max="11017" width="6.42578125" style="847" customWidth="1"/>
    <col min="11018" max="11018" width="2.7109375" style="847" customWidth="1"/>
    <col min="11019" max="11019" width="5.7109375" style="847" customWidth="1"/>
    <col min="11020" max="11020" width="6.5703125" style="847" customWidth="1"/>
    <col min="11021" max="11021" width="2.7109375" style="847" customWidth="1"/>
    <col min="11022" max="11022" width="5.7109375" style="847" customWidth="1"/>
    <col min="11023" max="11023" width="6.42578125" style="847" customWidth="1"/>
    <col min="11024" max="11024" width="2.7109375" style="847" customWidth="1"/>
    <col min="11025" max="11025" width="6.5703125" style="847" customWidth="1"/>
    <col min="11026" max="11026" width="6.42578125" style="847" customWidth="1"/>
    <col min="11027" max="11027" width="2.7109375" style="847" customWidth="1"/>
    <col min="11028" max="11028" width="3.5703125" style="847" customWidth="1"/>
    <col min="11029" max="11264" width="9.140625" style="847"/>
    <col min="11265" max="11265" width="34.42578125" style="847" customWidth="1"/>
    <col min="11266" max="11267" width="8.28515625" style="847" customWidth="1"/>
    <col min="11268" max="11268" width="2.7109375" style="847" customWidth="1"/>
    <col min="11269" max="11269" width="5.7109375" style="847" customWidth="1"/>
    <col min="11270" max="11270" width="7.42578125" style="847" customWidth="1"/>
    <col min="11271" max="11271" width="2.7109375" style="847" customWidth="1"/>
    <col min="11272" max="11272" width="5.7109375" style="847" customWidth="1"/>
    <col min="11273" max="11273" width="6.42578125" style="847" customWidth="1"/>
    <col min="11274" max="11274" width="2.7109375" style="847" customWidth="1"/>
    <col min="11275" max="11275" width="5.7109375" style="847" customWidth="1"/>
    <col min="11276" max="11276" width="6.5703125" style="847" customWidth="1"/>
    <col min="11277" max="11277" width="2.7109375" style="847" customWidth="1"/>
    <col min="11278" max="11278" width="5.7109375" style="847" customWidth="1"/>
    <col min="11279" max="11279" width="6.42578125" style="847" customWidth="1"/>
    <col min="11280" max="11280" width="2.7109375" style="847" customWidth="1"/>
    <col min="11281" max="11281" width="6.5703125" style="847" customWidth="1"/>
    <col min="11282" max="11282" width="6.42578125" style="847" customWidth="1"/>
    <col min="11283" max="11283" width="2.7109375" style="847" customWidth="1"/>
    <col min="11284" max="11284" width="3.5703125" style="847" customWidth="1"/>
    <col min="11285" max="11520" width="9.140625" style="847"/>
    <col min="11521" max="11521" width="34.42578125" style="847" customWidth="1"/>
    <col min="11522" max="11523" width="8.28515625" style="847" customWidth="1"/>
    <col min="11524" max="11524" width="2.7109375" style="847" customWidth="1"/>
    <col min="11525" max="11525" width="5.7109375" style="847" customWidth="1"/>
    <col min="11526" max="11526" width="7.42578125" style="847" customWidth="1"/>
    <col min="11527" max="11527" width="2.7109375" style="847" customWidth="1"/>
    <col min="11528" max="11528" width="5.7109375" style="847" customWidth="1"/>
    <col min="11529" max="11529" width="6.42578125" style="847" customWidth="1"/>
    <col min="11530" max="11530" width="2.7109375" style="847" customWidth="1"/>
    <col min="11531" max="11531" width="5.7109375" style="847" customWidth="1"/>
    <col min="11532" max="11532" width="6.5703125" style="847" customWidth="1"/>
    <col min="11533" max="11533" width="2.7109375" style="847" customWidth="1"/>
    <col min="11534" max="11534" width="5.7109375" style="847" customWidth="1"/>
    <col min="11535" max="11535" width="6.42578125" style="847" customWidth="1"/>
    <col min="11536" max="11536" width="2.7109375" style="847" customWidth="1"/>
    <col min="11537" max="11537" width="6.5703125" style="847" customWidth="1"/>
    <col min="11538" max="11538" width="6.42578125" style="847" customWidth="1"/>
    <col min="11539" max="11539" width="2.7109375" style="847" customWidth="1"/>
    <col min="11540" max="11540" width="3.5703125" style="847" customWidth="1"/>
    <col min="11541" max="11776" width="9.140625" style="847"/>
    <col min="11777" max="11777" width="34.42578125" style="847" customWidth="1"/>
    <col min="11778" max="11779" width="8.28515625" style="847" customWidth="1"/>
    <col min="11780" max="11780" width="2.7109375" style="847" customWidth="1"/>
    <col min="11781" max="11781" width="5.7109375" style="847" customWidth="1"/>
    <col min="11782" max="11782" width="7.42578125" style="847" customWidth="1"/>
    <col min="11783" max="11783" width="2.7109375" style="847" customWidth="1"/>
    <col min="11784" max="11784" width="5.7109375" style="847" customWidth="1"/>
    <col min="11785" max="11785" width="6.42578125" style="847" customWidth="1"/>
    <col min="11786" max="11786" width="2.7109375" style="847" customWidth="1"/>
    <col min="11787" max="11787" width="5.7109375" style="847" customWidth="1"/>
    <col min="11788" max="11788" width="6.5703125" style="847" customWidth="1"/>
    <col min="11789" max="11789" width="2.7109375" style="847" customWidth="1"/>
    <col min="11790" max="11790" width="5.7109375" style="847" customWidth="1"/>
    <col min="11791" max="11791" width="6.42578125" style="847" customWidth="1"/>
    <col min="11792" max="11792" width="2.7109375" style="847" customWidth="1"/>
    <col min="11793" max="11793" width="6.5703125" style="847" customWidth="1"/>
    <col min="11794" max="11794" width="6.42578125" style="847" customWidth="1"/>
    <col min="11795" max="11795" width="2.7109375" style="847" customWidth="1"/>
    <col min="11796" max="11796" width="3.5703125" style="847" customWidth="1"/>
    <col min="11797" max="12032" width="9.140625" style="847"/>
    <col min="12033" max="12033" width="34.42578125" style="847" customWidth="1"/>
    <col min="12034" max="12035" width="8.28515625" style="847" customWidth="1"/>
    <col min="12036" max="12036" width="2.7109375" style="847" customWidth="1"/>
    <col min="12037" max="12037" width="5.7109375" style="847" customWidth="1"/>
    <col min="12038" max="12038" width="7.42578125" style="847" customWidth="1"/>
    <col min="12039" max="12039" width="2.7109375" style="847" customWidth="1"/>
    <col min="12040" max="12040" width="5.7109375" style="847" customWidth="1"/>
    <col min="12041" max="12041" width="6.42578125" style="847" customWidth="1"/>
    <col min="12042" max="12042" width="2.7109375" style="847" customWidth="1"/>
    <col min="12043" max="12043" width="5.7109375" style="847" customWidth="1"/>
    <col min="12044" max="12044" width="6.5703125" style="847" customWidth="1"/>
    <col min="12045" max="12045" width="2.7109375" style="847" customWidth="1"/>
    <col min="12046" max="12046" width="5.7109375" style="847" customWidth="1"/>
    <col min="12047" max="12047" width="6.42578125" style="847" customWidth="1"/>
    <col min="12048" max="12048" width="2.7109375" style="847" customWidth="1"/>
    <col min="12049" max="12049" width="6.5703125" style="847" customWidth="1"/>
    <col min="12050" max="12050" width="6.42578125" style="847" customWidth="1"/>
    <col min="12051" max="12051" width="2.7109375" style="847" customWidth="1"/>
    <col min="12052" max="12052" width="3.5703125" style="847" customWidth="1"/>
    <col min="12053" max="12288" width="9.140625" style="847"/>
    <col min="12289" max="12289" width="34.42578125" style="847" customWidth="1"/>
    <col min="12290" max="12291" width="8.28515625" style="847" customWidth="1"/>
    <col min="12292" max="12292" width="2.7109375" style="847" customWidth="1"/>
    <col min="12293" max="12293" width="5.7109375" style="847" customWidth="1"/>
    <col min="12294" max="12294" width="7.42578125" style="847" customWidth="1"/>
    <col min="12295" max="12295" width="2.7109375" style="847" customWidth="1"/>
    <col min="12296" max="12296" width="5.7109375" style="847" customWidth="1"/>
    <col min="12297" max="12297" width="6.42578125" style="847" customWidth="1"/>
    <col min="12298" max="12298" width="2.7109375" style="847" customWidth="1"/>
    <col min="12299" max="12299" width="5.7109375" style="847" customWidth="1"/>
    <col min="12300" max="12300" width="6.5703125" style="847" customWidth="1"/>
    <col min="12301" max="12301" width="2.7109375" style="847" customWidth="1"/>
    <col min="12302" max="12302" width="5.7109375" style="847" customWidth="1"/>
    <col min="12303" max="12303" width="6.42578125" style="847" customWidth="1"/>
    <col min="12304" max="12304" width="2.7109375" style="847" customWidth="1"/>
    <col min="12305" max="12305" width="6.5703125" style="847" customWidth="1"/>
    <col min="12306" max="12306" width="6.42578125" style="847" customWidth="1"/>
    <col min="12307" max="12307" width="2.7109375" style="847" customWidth="1"/>
    <col min="12308" max="12308" width="3.5703125" style="847" customWidth="1"/>
    <col min="12309" max="12544" width="9.140625" style="847"/>
    <col min="12545" max="12545" width="34.42578125" style="847" customWidth="1"/>
    <col min="12546" max="12547" width="8.28515625" style="847" customWidth="1"/>
    <col min="12548" max="12548" width="2.7109375" style="847" customWidth="1"/>
    <col min="12549" max="12549" width="5.7109375" style="847" customWidth="1"/>
    <col min="12550" max="12550" width="7.42578125" style="847" customWidth="1"/>
    <col min="12551" max="12551" width="2.7109375" style="847" customWidth="1"/>
    <col min="12552" max="12552" width="5.7109375" style="847" customWidth="1"/>
    <col min="12553" max="12553" width="6.42578125" style="847" customWidth="1"/>
    <col min="12554" max="12554" width="2.7109375" style="847" customWidth="1"/>
    <col min="12555" max="12555" width="5.7109375" style="847" customWidth="1"/>
    <col min="12556" max="12556" width="6.5703125" style="847" customWidth="1"/>
    <col min="12557" max="12557" width="2.7109375" style="847" customWidth="1"/>
    <col min="12558" max="12558" width="5.7109375" style="847" customWidth="1"/>
    <col min="12559" max="12559" width="6.42578125" style="847" customWidth="1"/>
    <col min="12560" max="12560" width="2.7109375" style="847" customWidth="1"/>
    <col min="12561" max="12561" width="6.5703125" style="847" customWidth="1"/>
    <col min="12562" max="12562" width="6.42578125" style="847" customWidth="1"/>
    <col min="12563" max="12563" width="2.7109375" style="847" customWidth="1"/>
    <col min="12564" max="12564" width="3.5703125" style="847" customWidth="1"/>
    <col min="12565" max="12800" width="9.140625" style="847"/>
    <col min="12801" max="12801" width="34.42578125" style="847" customWidth="1"/>
    <col min="12802" max="12803" width="8.28515625" style="847" customWidth="1"/>
    <col min="12804" max="12804" width="2.7109375" style="847" customWidth="1"/>
    <col min="12805" max="12805" width="5.7109375" style="847" customWidth="1"/>
    <col min="12806" max="12806" width="7.42578125" style="847" customWidth="1"/>
    <col min="12807" max="12807" width="2.7109375" style="847" customWidth="1"/>
    <col min="12808" max="12808" width="5.7109375" style="847" customWidth="1"/>
    <col min="12809" max="12809" width="6.42578125" style="847" customWidth="1"/>
    <col min="12810" max="12810" width="2.7109375" style="847" customWidth="1"/>
    <col min="12811" max="12811" width="5.7109375" style="847" customWidth="1"/>
    <col min="12812" max="12812" width="6.5703125" style="847" customWidth="1"/>
    <col min="12813" max="12813" width="2.7109375" style="847" customWidth="1"/>
    <col min="12814" max="12814" width="5.7109375" style="847" customWidth="1"/>
    <col min="12815" max="12815" width="6.42578125" style="847" customWidth="1"/>
    <col min="12816" max="12816" width="2.7109375" style="847" customWidth="1"/>
    <col min="12817" max="12817" width="6.5703125" style="847" customWidth="1"/>
    <col min="12818" max="12818" width="6.42578125" style="847" customWidth="1"/>
    <col min="12819" max="12819" width="2.7109375" style="847" customWidth="1"/>
    <col min="12820" max="12820" width="3.5703125" style="847" customWidth="1"/>
    <col min="12821" max="13056" width="9.140625" style="847"/>
    <col min="13057" max="13057" width="34.42578125" style="847" customWidth="1"/>
    <col min="13058" max="13059" width="8.28515625" style="847" customWidth="1"/>
    <col min="13060" max="13060" width="2.7109375" style="847" customWidth="1"/>
    <col min="13061" max="13061" width="5.7109375" style="847" customWidth="1"/>
    <col min="13062" max="13062" width="7.42578125" style="847" customWidth="1"/>
    <col min="13063" max="13063" width="2.7109375" style="847" customWidth="1"/>
    <col min="13064" max="13064" width="5.7109375" style="847" customWidth="1"/>
    <col min="13065" max="13065" width="6.42578125" style="847" customWidth="1"/>
    <col min="13066" max="13066" width="2.7109375" style="847" customWidth="1"/>
    <col min="13067" max="13067" width="5.7109375" style="847" customWidth="1"/>
    <col min="13068" max="13068" width="6.5703125" style="847" customWidth="1"/>
    <col min="13069" max="13069" width="2.7109375" style="847" customWidth="1"/>
    <col min="13070" max="13070" width="5.7109375" style="847" customWidth="1"/>
    <col min="13071" max="13071" width="6.42578125" style="847" customWidth="1"/>
    <col min="13072" max="13072" width="2.7109375" style="847" customWidth="1"/>
    <col min="13073" max="13073" width="6.5703125" style="847" customWidth="1"/>
    <col min="13074" max="13074" width="6.42578125" style="847" customWidth="1"/>
    <col min="13075" max="13075" width="2.7109375" style="847" customWidth="1"/>
    <col min="13076" max="13076" width="3.5703125" style="847" customWidth="1"/>
    <col min="13077" max="13312" width="9.140625" style="847"/>
    <col min="13313" max="13313" width="34.42578125" style="847" customWidth="1"/>
    <col min="13314" max="13315" width="8.28515625" style="847" customWidth="1"/>
    <col min="13316" max="13316" width="2.7109375" style="847" customWidth="1"/>
    <col min="13317" max="13317" width="5.7109375" style="847" customWidth="1"/>
    <col min="13318" max="13318" width="7.42578125" style="847" customWidth="1"/>
    <col min="13319" max="13319" width="2.7109375" style="847" customWidth="1"/>
    <col min="13320" max="13320" width="5.7109375" style="847" customWidth="1"/>
    <col min="13321" max="13321" width="6.42578125" style="847" customWidth="1"/>
    <col min="13322" max="13322" width="2.7109375" style="847" customWidth="1"/>
    <col min="13323" max="13323" width="5.7109375" style="847" customWidth="1"/>
    <col min="13324" max="13324" width="6.5703125" style="847" customWidth="1"/>
    <col min="13325" max="13325" width="2.7109375" style="847" customWidth="1"/>
    <col min="13326" max="13326" width="5.7109375" style="847" customWidth="1"/>
    <col min="13327" max="13327" width="6.42578125" style="847" customWidth="1"/>
    <col min="13328" max="13328" width="2.7109375" style="847" customWidth="1"/>
    <col min="13329" max="13329" width="6.5703125" style="847" customWidth="1"/>
    <col min="13330" max="13330" width="6.42578125" style="847" customWidth="1"/>
    <col min="13331" max="13331" width="2.7109375" style="847" customWidth="1"/>
    <col min="13332" max="13332" width="3.5703125" style="847" customWidth="1"/>
    <col min="13333" max="13568" width="9.140625" style="847"/>
    <col min="13569" max="13569" width="34.42578125" style="847" customWidth="1"/>
    <col min="13570" max="13571" width="8.28515625" style="847" customWidth="1"/>
    <col min="13572" max="13572" width="2.7109375" style="847" customWidth="1"/>
    <col min="13573" max="13573" width="5.7109375" style="847" customWidth="1"/>
    <col min="13574" max="13574" width="7.42578125" style="847" customWidth="1"/>
    <col min="13575" max="13575" width="2.7109375" style="847" customWidth="1"/>
    <col min="13576" max="13576" width="5.7109375" style="847" customWidth="1"/>
    <col min="13577" max="13577" width="6.42578125" style="847" customWidth="1"/>
    <col min="13578" max="13578" width="2.7109375" style="847" customWidth="1"/>
    <col min="13579" max="13579" width="5.7109375" style="847" customWidth="1"/>
    <col min="13580" max="13580" width="6.5703125" style="847" customWidth="1"/>
    <col min="13581" max="13581" width="2.7109375" style="847" customWidth="1"/>
    <col min="13582" max="13582" width="5.7109375" style="847" customWidth="1"/>
    <col min="13583" max="13583" width="6.42578125" style="847" customWidth="1"/>
    <col min="13584" max="13584" width="2.7109375" style="847" customWidth="1"/>
    <col min="13585" max="13585" width="6.5703125" style="847" customWidth="1"/>
    <col min="13586" max="13586" width="6.42578125" style="847" customWidth="1"/>
    <col min="13587" max="13587" width="2.7109375" style="847" customWidth="1"/>
    <col min="13588" max="13588" width="3.5703125" style="847" customWidth="1"/>
    <col min="13589" max="13824" width="9.140625" style="847"/>
    <col min="13825" max="13825" width="34.42578125" style="847" customWidth="1"/>
    <col min="13826" max="13827" width="8.28515625" style="847" customWidth="1"/>
    <col min="13828" max="13828" width="2.7109375" style="847" customWidth="1"/>
    <col min="13829" max="13829" width="5.7109375" style="847" customWidth="1"/>
    <col min="13830" max="13830" width="7.42578125" style="847" customWidth="1"/>
    <col min="13831" max="13831" width="2.7109375" style="847" customWidth="1"/>
    <col min="13832" max="13832" width="5.7109375" style="847" customWidth="1"/>
    <col min="13833" max="13833" width="6.42578125" style="847" customWidth="1"/>
    <col min="13834" max="13834" width="2.7109375" style="847" customWidth="1"/>
    <col min="13835" max="13835" width="5.7109375" style="847" customWidth="1"/>
    <col min="13836" max="13836" width="6.5703125" style="847" customWidth="1"/>
    <col min="13837" max="13837" width="2.7109375" style="847" customWidth="1"/>
    <col min="13838" max="13838" width="5.7109375" style="847" customWidth="1"/>
    <col min="13839" max="13839" width="6.42578125" style="847" customWidth="1"/>
    <col min="13840" max="13840" width="2.7109375" style="847" customWidth="1"/>
    <col min="13841" max="13841" width="6.5703125" style="847" customWidth="1"/>
    <col min="13842" max="13842" width="6.42578125" style="847" customWidth="1"/>
    <col min="13843" max="13843" width="2.7109375" style="847" customWidth="1"/>
    <col min="13844" max="13844" width="3.5703125" style="847" customWidth="1"/>
    <col min="13845" max="14080" width="9.140625" style="847"/>
    <col min="14081" max="14081" width="34.42578125" style="847" customWidth="1"/>
    <col min="14082" max="14083" width="8.28515625" style="847" customWidth="1"/>
    <col min="14084" max="14084" width="2.7109375" style="847" customWidth="1"/>
    <col min="14085" max="14085" width="5.7109375" style="847" customWidth="1"/>
    <col min="14086" max="14086" width="7.42578125" style="847" customWidth="1"/>
    <col min="14087" max="14087" width="2.7109375" style="847" customWidth="1"/>
    <col min="14088" max="14088" width="5.7109375" style="847" customWidth="1"/>
    <col min="14089" max="14089" width="6.42578125" style="847" customWidth="1"/>
    <col min="14090" max="14090" width="2.7109375" style="847" customWidth="1"/>
    <col min="14091" max="14091" width="5.7109375" style="847" customWidth="1"/>
    <col min="14092" max="14092" width="6.5703125" style="847" customWidth="1"/>
    <col min="14093" max="14093" width="2.7109375" style="847" customWidth="1"/>
    <col min="14094" max="14094" width="5.7109375" style="847" customWidth="1"/>
    <col min="14095" max="14095" width="6.42578125" style="847" customWidth="1"/>
    <col min="14096" max="14096" width="2.7109375" style="847" customWidth="1"/>
    <col min="14097" max="14097" width="6.5703125" style="847" customWidth="1"/>
    <col min="14098" max="14098" width="6.42578125" style="847" customWidth="1"/>
    <col min="14099" max="14099" width="2.7109375" style="847" customWidth="1"/>
    <col min="14100" max="14100" width="3.5703125" style="847" customWidth="1"/>
    <col min="14101" max="14336" width="9.140625" style="847"/>
    <col min="14337" max="14337" width="34.42578125" style="847" customWidth="1"/>
    <col min="14338" max="14339" width="8.28515625" style="847" customWidth="1"/>
    <col min="14340" max="14340" width="2.7109375" style="847" customWidth="1"/>
    <col min="14341" max="14341" width="5.7109375" style="847" customWidth="1"/>
    <col min="14342" max="14342" width="7.42578125" style="847" customWidth="1"/>
    <col min="14343" max="14343" width="2.7109375" style="847" customWidth="1"/>
    <col min="14344" max="14344" width="5.7109375" style="847" customWidth="1"/>
    <col min="14345" max="14345" width="6.42578125" style="847" customWidth="1"/>
    <col min="14346" max="14346" width="2.7109375" style="847" customWidth="1"/>
    <col min="14347" max="14347" width="5.7109375" style="847" customWidth="1"/>
    <col min="14348" max="14348" width="6.5703125" style="847" customWidth="1"/>
    <col min="14349" max="14349" width="2.7109375" style="847" customWidth="1"/>
    <col min="14350" max="14350" width="5.7109375" style="847" customWidth="1"/>
    <col min="14351" max="14351" width="6.42578125" style="847" customWidth="1"/>
    <col min="14352" max="14352" width="2.7109375" style="847" customWidth="1"/>
    <col min="14353" max="14353" width="6.5703125" style="847" customWidth="1"/>
    <col min="14354" max="14354" width="6.42578125" style="847" customWidth="1"/>
    <col min="14355" max="14355" width="2.7109375" style="847" customWidth="1"/>
    <col min="14356" max="14356" width="3.5703125" style="847" customWidth="1"/>
    <col min="14357" max="14592" width="9.140625" style="847"/>
    <col min="14593" max="14593" width="34.42578125" style="847" customWidth="1"/>
    <col min="14594" max="14595" width="8.28515625" style="847" customWidth="1"/>
    <col min="14596" max="14596" width="2.7109375" style="847" customWidth="1"/>
    <col min="14597" max="14597" width="5.7109375" style="847" customWidth="1"/>
    <col min="14598" max="14598" width="7.42578125" style="847" customWidth="1"/>
    <col min="14599" max="14599" width="2.7109375" style="847" customWidth="1"/>
    <col min="14600" max="14600" width="5.7109375" style="847" customWidth="1"/>
    <col min="14601" max="14601" width="6.42578125" style="847" customWidth="1"/>
    <col min="14602" max="14602" width="2.7109375" style="847" customWidth="1"/>
    <col min="14603" max="14603" width="5.7109375" style="847" customWidth="1"/>
    <col min="14604" max="14604" width="6.5703125" style="847" customWidth="1"/>
    <col min="14605" max="14605" width="2.7109375" style="847" customWidth="1"/>
    <col min="14606" max="14606" width="5.7109375" style="847" customWidth="1"/>
    <col min="14607" max="14607" width="6.42578125" style="847" customWidth="1"/>
    <col min="14608" max="14608" width="2.7109375" style="847" customWidth="1"/>
    <col min="14609" max="14609" width="6.5703125" style="847" customWidth="1"/>
    <col min="14610" max="14610" width="6.42578125" style="847" customWidth="1"/>
    <col min="14611" max="14611" width="2.7109375" style="847" customWidth="1"/>
    <col min="14612" max="14612" width="3.5703125" style="847" customWidth="1"/>
    <col min="14613" max="14848" width="9.140625" style="847"/>
    <col min="14849" max="14849" width="34.42578125" style="847" customWidth="1"/>
    <col min="14850" max="14851" width="8.28515625" style="847" customWidth="1"/>
    <col min="14852" max="14852" width="2.7109375" style="847" customWidth="1"/>
    <col min="14853" max="14853" width="5.7109375" style="847" customWidth="1"/>
    <col min="14854" max="14854" width="7.42578125" style="847" customWidth="1"/>
    <col min="14855" max="14855" width="2.7109375" style="847" customWidth="1"/>
    <col min="14856" max="14856" width="5.7109375" style="847" customWidth="1"/>
    <col min="14857" max="14857" width="6.42578125" style="847" customWidth="1"/>
    <col min="14858" max="14858" width="2.7109375" style="847" customWidth="1"/>
    <col min="14859" max="14859" width="5.7109375" style="847" customWidth="1"/>
    <col min="14860" max="14860" width="6.5703125" style="847" customWidth="1"/>
    <col min="14861" max="14861" width="2.7109375" style="847" customWidth="1"/>
    <col min="14862" max="14862" width="5.7109375" style="847" customWidth="1"/>
    <col min="14863" max="14863" width="6.42578125" style="847" customWidth="1"/>
    <col min="14864" max="14864" width="2.7109375" style="847" customWidth="1"/>
    <col min="14865" max="14865" width="6.5703125" style="847" customWidth="1"/>
    <col min="14866" max="14866" width="6.42578125" style="847" customWidth="1"/>
    <col min="14867" max="14867" width="2.7109375" style="847" customWidth="1"/>
    <col min="14868" max="14868" width="3.5703125" style="847" customWidth="1"/>
    <col min="14869" max="15104" width="9.140625" style="847"/>
    <col min="15105" max="15105" width="34.42578125" style="847" customWidth="1"/>
    <col min="15106" max="15107" width="8.28515625" style="847" customWidth="1"/>
    <col min="15108" max="15108" width="2.7109375" style="847" customWidth="1"/>
    <col min="15109" max="15109" width="5.7109375" style="847" customWidth="1"/>
    <col min="15110" max="15110" width="7.42578125" style="847" customWidth="1"/>
    <col min="15111" max="15111" width="2.7109375" style="847" customWidth="1"/>
    <col min="15112" max="15112" width="5.7109375" style="847" customWidth="1"/>
    <col min="15113" max="15113" width="6.42578125" style="847" customWidth="1"/>
    <col min="15114" max="15114" width="2.7109375" style="847" customWidth="1"/>
    <col min="15115" max="15115" width="5.7109375" style="847" customWidth="1"/>
    <col min="15116" max="15116" width="6.5703125" style="847" customWidth="1"/>
    <col min="15117" max="15117" width="2.7109375" style="847" customWidth="1"/>
    <col min="15118" max="15118" width="5.7109375" style="847" customWidth="1"/>
    <col min="15119" max="15119" width="6.42578125" style="847" customWidth="1"/>
    <col min="15120" max="15120" width="2.7109375" style="847" customWidth="1"/>
    <col min="15121" max="15121" width="6.5703125" style="847" customWidth="1"/>
    <col min="15122" max="15122" width="6.42578125" style="847" customWidth="1"/>
    <col min="15123" max="15123" width="2.7109375" style="847" customWidth="1"/>
    <col min="15124" max="15124" width="3.5703125" style="847" customWidth="1"/>
    <col min="15125" max="15360" width="9.140625" style="847"/>
    <col min="15361" max="15361" width="34.42578125" style="847" customWidth="1"/>
    <col min="15362" max="15363" width="8.28515625" style="847" customWidth="1"/>
    <col min="15364" max="15364" width="2.7109375" style="847" customWidth="1"/>
    <col min="15365" max="15365" width="5.7109375" style="847" customWidth="1"/>
    <col min="15366" max="15366" width="7.42578125" style="847" customWidth="1"/>
    <col min="15367" max="15367" width="2.7109375" style="847" customWidth="1"/>
    <col min="15368" max="15368" width="5.7109375" style="847" customWidth="1"/>
    <col min="15369" max="15369" width="6.42578125" style="847" customWidth="1"/>
    <col min="15370" max="15370" width="2.7109375" style="847" customWidth="1"/>
    <col min="15371" max="15371" width="5.7109375" style="847" customWidth="1"/>
    <col min="15372" max="15372" width="6.5703125" style="847" customWidth="1"/>
    <col min="15373" max="15373" width="2.7109375" style="847" customWidth="1"/>
    <col min="15374" max="15374" width="5.7109375" style="847" customWidth="1"/>
    <col min="15375" max="15375" width="6.42578125" style="847" customWidth="1"/>
    <col min="15376" max="15376" width="2.7109375" style="847" customWidth="1"/>
    <col min="15377" max="15377" width="6.5703125" style="847" customWidth="1"/>
    <col min="15378" max="15378" width="6.42578125" style="847" customWidth="1"/>
    <col min="15379" max="15379" width="2.7109375" style="847" customWidth="1"/>
    <col min="15380" max="15380" width="3.5703125" style="847" customWidth="1"/>
    <col min="15381" max="15616" width="9.140625" style="847"/>
    <col min="15617" max="15617" width="34.42578125" style="847" customWidth="1"/>
    <col min="15618" max="15619" width="8.28515625" style="847" customWidth="1"/>
    <col min="15620" max="15620" width="2.7109375" style="847" customWidth="1"/>
    <col min="15621" max="15621" width="5.7109375" style="847" customWidth="1"/>
    <col min="15622" max="15622" width="7.42578125" style="847" customWidth="1"/>
    <col min="15623" max="15623" width="2.7109375" style="847" customWidth="1"/>
    <col min="15624" max="15624" width="5.7109375" style="847" customWidth="1"/>
    <col min="15625" max="15625" width="6.42578125" style="847" customWidth="1"/>
    <col min="15626" max="15626" width="2.7109375" style="847" customWidth="1"/>
    <col min="15627" max="15627" width="5.7109375" style="847" customWidth="1"/>
    <col min="15628" max="15628" width="6.5703125" style="847" customWidth="1"/>
    <col min="15629" max="15629" width="2.7109375" style="847" customWidth="1"/>
    <col min="15630" max="15630" width="5.7109375" style="847" customWidth="1"/>
    <col min="15631" max="15631" width="6.42578125" style="847" customWidth="1"/>
    <col min="15632" max="15632" width="2.7109375" style="847" customWidth="1"/>
    <col min="15633" max="15633" width="6.5703125" style="847" customWidth="1"/>
    <col min="15634" max="15634" width="6.42578125" style="847" customWidth="1"/>
    <col min="15635" max="15635" width="2.7109375" style="847" customWidth="1"/>
    <col min="15636" max="15636" width="3.5703125" style="847" customWidth="1"/>
    <col min="15637" max="15872" width="9.140625" style="847"/>
    <col min="15873" max="15873" width="34.42578125" style="847" customWidth="1"/>
    <col min="15874" max="15875" width="8.28515625" style="847" customWidth="1"/>
    <col min="15876" max="15876" width="2.7109375" style="847" customWidth="1"/>
    <col min="15877" max="15877" width="5.7109375" style="847" customWidth="1"/>
    <col min="15878" max="15878" width="7.42578125" style="847" customWidth="1"/>
    <col min="15879" max="15879" width="2.7109375" style="847" customWidth="1"/>
    <col min="15880" max="15880" width="5.7109375" style="847" customWidth="1"/>
    <col min="15881" max="15881" width="6.42578125" style="847" customWidth="1"/>
    <col min="15882" max="15882" width="2.7109375" style="847" customWidth="1"/>
    <col min="15883" max="15883" width="5.7109375" style="847" customWidth="1"/>
    <col min="15884" max="15884" width="6.5703125" style="847" customWidth="1"/>
    <col min="15885" max="15885" width="2.7109375" style="847" customWidth="1"/>
    <col min="15886" max="15886" width="5.7109375" style="847" customWidth="1"/>
    <col min="15887" max="15887" width="6.42578125" style="847" customWidth="1"/>
    <col min="15888" max="15888" width="2.7109375" style="847" customWidth="1"/>
    <col min="15889" max="15889" width="6.5703125" style="847" customWidth="1"/>
    <col min="15890" max="15890" width="6.42578125" style="847" customWidth="1"/>
    <col min="15891" max="15891" width="2.7109375" style="847" customWidth="1"/>
    <col min="15892" max="15892" width="3.5703125" style="847" customWidth="1"/>
    <col min="15893" max="16128" width="9.140625" style="847"/>
    <col min="16129" max="16129" width="34.42578125" style="847" customWidth="1"/>
    <col min="16130" max="16131" width="8.28515625" style="847" customWidth="1"/>
    <col min="16132" max="16132" width="2.7109375" style="847" customWidth="1"/>
    <col min="16133" max="16133" width="5.7109375" style="847" customWidth="1"/>
    <col min="16134" max="16134" width="7.42578125" style="847" customWidth="1"/>
    <col min="16135" max="16135" width="2.7109375" style="847" customWidth="1"/>
    <col min="16136" max="16136" width="5.7109375" style="847" customWidth="1"/>
    <col min="16137" max="16137" width="6.42578125" style="847" customWidth="1"/>
    <col min="16138" max="16138" width="2.7109375" style="847" customWidth="1"/>
    <col min="16139" max="16139" width="5.7109375" style="847" customWidth="1"/>
    <col min="16140" max="16140" width="6.5703125" style="847" customWidth="1"/>
    <col min="16141" max="16141" width="2.7109375" style="847" customWidth="1"/>
    <col min="16142" max="16142" width="5.7109375" style="847" customWidth="1"/>
    <col min="16143" max="16143" width="6.42578125" style="847" customWidth="1"/>
    <col min="16144" max="16144" width="2.7109375" style="847" customWidth="1"/>
    <col min="16145" max="16145" width="6.5703125" style="847" customWidth="1"/>
    <col min="16146" max="16146" width="6.42578125" style="847" customWidth="1"/>
    <col min="16147" max="16147" width="2.7109375" style="847" customWidth="1"/>
    <col min="16148" max="16148" width="3.5703125" style="847" customWidth="1"/>
    <col min="16149" max="16384" width="9.140625" style="847"/>
  </cols>
  <sheetData>
    <row r="1" spans="1:19" ht="0.75" customHeight="1">
      <c r="A1" s="1129">
        <f ca="1">TODAY()</f>
        <v>43375</v>
      </c>
      <c r="B1" s="856" t="s">
        <v>1779</v>
      </c>
    </row>
    <row r="2" spans="1:19" ht="12.75" customHeight="1">
      <c r="A2" s="847" t="s">
        <v>366</v>
      </c>
    </row>
    <row r="3" spans="1:19" ht="12.75" customHeight="1">
      <c r="A3" s="847" t="s">
        <v>367</v>
      </c>
      <c r="L3" s="867" t="s">
        <v>253</v>
      </c>
    </row>
    <row r="4" spans="1:19" ht="12.75" customHeight="1"/>
    <row r="5" spans="1:19" ht="12.75" customHeight="1">
      <c r="A5" s="854" t="s">
        <v>1780</v>
      </c>
    </row>
    <row r="6" spans="1:19" ht="12.75" customHeight="1" thickBot="1">
      <c r="E6" s="1130"/>
      <c r="F6" s="1131"/>
      <c r="G6" s="1131"/>
      <c r="H6" s="1130"/>
      <c r="I6" s="1131"/>
      <c r="J6" s="1099"/>
      <c r="K6" s="1130"/>
      <c r="L6" s="1131"/>
      <c r="M6" s="1132"/>
      <c r="N6" s="1130"/>
      <c r="O6" s="1131"/>
      <c r="P6" s="1099"/>
      <c r="Q6" s="1130"/>
      <c r="R6" s="1131"/>
      <c r="S6" s="1131"/>
    </row>
    <row r="7" spans="1:19">
      <c r="A7" s="850"/>
      <c r="B7" s="1033"/>
      <c r="C7" s="873"/>
      <c r="D7" s="874"/>
      <c r="E7" s="1035"/>
      <c r="F7" s="873"/>
      <c r="G7" s="873"/>
      <c r="H7" s="1035"/>
      <c r="I7" s="873"/>
      <c r="J7" s="874"/>
      <c r="K7" s="1035"/>
      <c r="L7" s="873"/>
      <c r="N7" s="1035"/>
      <c r="O7" s="873"/>
      <c r="P7" s="874"/>
      <c r="Q7" s="1035"/>
      <c r="R7" s="873"/>
      <c r="S7" s="873"/>
    </row>
    <row r="8" spans="1:19" ht="17.25">
      <c r="A8" s="849" t="s">
        <v>1781</v>
      </c>
      <c r="B8" s="1332" t="s">
        <v>2141</v>
      </c>
      <c r="C8" s="1332"/>
      <c r="D8" s="881"/>
      <c r="E8" s="1322">
        <v>1</v>
      </c>
      <c r="F8" s="1322"/>
      <c r="G8" s="1133"/>
      <c r="H8" s="1322">
        <v>2</v>
      </c>
      <c r="I8" s="1322"/>
      <c r="J8" s="1133"/>
      <c r="K8" s="1322">
        <v>3</v>
      </c>
      <c r="L8" s="1322"/>
      <c r="M8" s="1134"/>
      <c r="N8" s="1322">
        <v>4</v>
      </c>
      <c r="O8" s="1322"/>
      <c r="P8" s="1133"/>
      <c r="Q8" s="1322">
        <v>5</v>
      </c>
      <c r="R8" s="1322"/>
      <c r="S8" s="1133"/>
    </row>
    <row r="9" spans="1:19">
      <c r="A9" s="847" t="s">
        <v>1782</v>
      </c>
      <c r="B9" s="1037" t="s">
        <v>1140</v>
      </c>
      <c r="C9" s="1135" t="s">
        <v>324</v>
      </c>
      <c r="D9" s="881"/>
      <c r="E9" s="1039" t="s">
        <v>1552</v>
      </c>
      <c r="F9" s="1135" t="s">
        <v>324</v>
      </c>
      <c r="G9" s="1136"/>
      <c r="H9" s="1039" t="s">
        <v>1552</v>
      </c>
      <c r="I9" s="1135" t="s">
        <v>324</v>
      </c>
      <c r="J9" s="881"/>
      <c r="K9" s="1039" t="s">
        <v>1552</v>
      </c>
      <c r="L9" s="1135" t="s">
        <v>324</v>
      </c>
      <c r="N9" s="1039" t="s">
        <v>1552</v>
      </c>
      <c r="O9" s="1135" t="s">
        <v>324</v>
      </c>
      <c r="P9" s="881"/>
      <c r="Q9" s="1039" t="s">
        <v>1552</v>
      </c>
      <c r="R9" s="1135" t="s">
        <v>324</v>
      </c>
      <c r="S9" s="1136"/>
    </row>
    <row r="10" spans="1:19" ht="15.75" thickBot="1">
      <c r="A10" s="848"/>
      <c r="B10" s="1040"/>
      <c r="C10" s="1113"/>
      <c r="D10" s="1137"/>
      <c r="E10" s="1042"/>
      <c r="F10" s="1113"/>
      <c r="G10" s="1113"/>
      <c r="H10" s="1042"/>
      <c r="I10" s="1113"/>
      <c r="J10" s="1137"/>
      <c r="K10" s="1042"/>
      <c r="L10" s="1113"/>
      <c r="M10" s="1137"/>
      <c r="N10" s="1042"/>
      <c r="O10" s="1113"/>
      <c r="P10" s="1137"/>
      <c r="Q10" s="1042"/>
      <c r="R10" s="1113"/>
      <c r="S10" s="1113"/>
    </row>
    <row r="11" spans="1:19" ht="12.95" customHeight="1">
      <c r="A11" s="849"/>
      <c r="B11" s="857"/>
      <c r="C11" s="880"/>
      <c r="D11" s="881"/>
      <c r="E11" s="859"/>
      <c r="F11" s="880"/>
      <c r="G11" s="880"/>
      <c r="H11" s="859"/>
      <c r="I11" s="1138"/>
      <c r="J11" s="881"/>
      <c r="K11" s="859"/>
      <c r="L11" s="880"/>
      <c r="M11" s="881"/>
      <c r="N11" s="859"/>
      <c r="O11" s="880"/>
      <c r="P11" s="881"/>
      <c r="Q11" s="859"/>
      <c r="R11" s="880"/>
      <c r="S11" s="880"/>
    </row>
    <row r="12" spans="1:19" s="867" customFormat="1" ht="12.95" customHeight="1">
      <c r="A12" s="867" t="s">
        <v>325</v>
      </c>
      <c r="B12" s="1139">
        <f>IF(A12&lt;&gt;0,E12+H12+K12+N12+Q12,"")</f>
        <v>22151</v>
      </c>
      <c r="C12" s="1138">
        <f>SUM(C14+C97)</f>
        <v>100</v>
      </c>
      <c r="D12" s="1139"/>
      <c r="E12" s="1139">
        <f>SUM(E14+E97)</f>
        <v>893</v>
      </c>
      <c r="F12" s="1138">
        <f>IF($A12&lt;&gt;0,E12/$B12*100,"")</f>
        <v>4.0314207033542511</v>
      </c>
      <c r="G12" s="1139"/>
      <c r="H12" s="1139">
        <f>SUM(H14+H97)</f>
        <v>1273</v>
      </c>
      <c r="I12" s="1138">
        <f>IF($A12&lt;&gt;0,H12/$B12*100,"")</f>
        <v>5.7469188749943569</v>
      </c>
      <c r="J12" s="1139"/>
      <c r="K12" s="1139">
        <f>SUM(K14+K97)</f>
        <v>2279</v>
      </c>
      <c r="L12" s="1138">
        <f>IF($A12&lt;&gt;0,K12/$B12*100,"")</f>
        <v>10.288474560967902</v>
      </c>
      <c r="M12" s="1139"/>
      <c r="N12" s="1139">
        <f>SUM(N14+N97)</f>
        <v>2421</v>
      </c>
      <c r="O12" s="1138">
        <f>IF($A12&lt;&gt;0,N12/$B12*100,"")</f>
        <v>10.929529140896573</v>
      </c>
      <c r="P12" s="1139"/>
      <c r="Q12" s="1139">
        <f>SUM(Q14+Q97)</f>
        <v>15285</v>
      </c>
      <c r="R12" s="1138">
        <f>IF($A12&lt;&gt;0,Q12/$B12*100,"")</f>
        <v>69.003656719786918</v>
      </c>
      <c r="S12" s="1139"/>
    </row>
    <row r="13" spans="1:19" ht="8.25" customHeight="1">
      <c r="B13" s="1139" t="str">
        <f t="shared" ref="B13:B73" si="0">IF(A13&lt;&gt;0,E13+H13+K13+N13+Q13,"")</f>
        <v/>
      </c>
      <c r="C13" s="1140" t="str">
        <f t="shared" ref="C13:C73" si="1">IF(A13&lt;&gt;0,B13/$B$12*100,"")</f>
        <v/>
      </c>
      <c r="D13" s="1141"/>
      <c r="E13" s="1141"/>
      <c r="F13" s="1140" t="str">
        <f t="shared" ref="F13:F76" si="2">IF($A13&lt;&gt;0,E13/$B13*100,"")</f>
        <v/>
      </c>
      <c r="G13" s="1141"/>
      <c r="H13" s="1141"/>
      <c r="I13" s="1140" t="str">
        <f t="shared" ref="I13:I76" si="3">IF($A13&lt;&gt;0,H13/$B13*100,"")</f>
        <v/>
      </c>
      <c r="J13" s="1141"/>
      <c r="K13" s="1141"/>
      <c r="L13" s="1140" t="str">
        <f t="shared" ref="L13:L76" si="4">IF($A13&lt;&gt;0,K13/$B13*100,"")</f>
        <v/>
      </c>
      <c r="M13" s="1141"/>
      <c r="N13" s="1141"/>
      <c r="O13" s="1140" t="str">
        <f t="shared" ref="O13:O76" si="5">IF($A13&lt;&gt;0,N13/$B13*100,"")</f>
        <v/>
      </c>
      <c r="P13" s="1141"/>
      <c r="Q13" s="1141"/>
      <c r="R13" s="1140" t="str">
        <f t="shared" ref="R13:R73" si="6">IF($A13&lt;&gt;0,Q13/$B13*100,"")</f>
        <v/>
      </c>
      <c r="S13" s="1141"/>
    </row>
    <row r="14" spans="1:19" s="867" customFormat="1" ht="12.95" customHeight="1">
      <c r="A14" s="867" t="s">
        <v>326</v>
      </c>
      <c r="B14" s="1139">
        <f t="shared" si="0"/>
        <v>14579</v>
      </c>
      <c r="C14" s="1138">
        <f t="shared" si="1"/>
        <v>65.816441695634509</v>
      </c>
      <c r="D14" s="1139"/>
      <c r="E14" s="1139">
        <f>E16+E27+E35+E75+E61+E82+E94+E95</f>
        <v>723</v>
      </c>
      <c r="F14" s="1138">
        <f t="shared" si="2"/>
        <v>4.9591878729679673</v>
      </c>
      <c r="G14" s="1139"/>
      <c r="H14" s="1139">
        <f>H16+H27+H35+H75+H61+H82+H94+H95</f>
        <v>1021</v>
      </c>
      <c r="I14" s="1138">
        <f t="shared" si="3"/>
        <v>7.0032238150764803</v>
      </c>
      <c r="J14" s="1139"/>
      <c r="K14" s="1139">
        <f>K16+K27+K35+K75+K61+K82+K94+K95</f>
        <v>1812</v>
      </c>
      <c r="L14" s="1138">
        <f t="shared" si="4"/>
        <v>12.42883599698196</v>
      </c>
      <c r="M14" s="1139"/>
      <c r="N14" s="1139">
        <f>N16+N27+N35+N75+N61+N82+N94+N95</f>
        <v>1800</v>
      </c>
      <c r="O14" s="1138">
        <f t="shared" si="5"/>
        <v>12.346525824816517</v>
      </c>
      <c r="P14" s="1139"/>
      <c r="Q14" s="1139">
        <f>Q16+Q27+Q35+Q75+Q61+Q82+Q94+Q95</f>
        <v>9223</v>
      </c>
      <c r="R14" s="1138">
        <f t="shared" si="6"/>
        <v>63.262226490157083</v>
      </c>
      <c r="S14" s="1139"/>
    </row>
    <row r="15" spans="1:19" ht="9" customHeight="1">
      <c r="A15" s="867"/>
      <c r="B15" s="1139" t="str">
        <f t="shared" si="0"/>
        <v/>
      </c>
      <c r="C15" s="1140"/>
      <c r="D15" s="1141"/>
      <c r="E15" s="1141"/>
      <c r="F15" s="1140" t="str">
        <f t="shared" si="2"/>
        <v/>
      </c>
      <c r="G15" s="1141"/>
      <c r="H15" s="1141"/>
      <c r="I15" s="1140" t="str">
        <f t="shared" si="3"/>
        <v/>
      </c>
      <c r="J15" s="1141"/>
      <c r="K15" s="1141"/>
      <c r="L15" s="1140" t="str">
        <f t="shared" si="4"/>
        <v/>
      </c>
      <c r="M15" s="1141"/>
      <c r="N15" s="1141"/>
      <c r="O15" s="1140" t="str">
        <f t="shared" si="5"/>
        <v/>
      </c>
      <c r="P15" s="1141"/>
      <c r="Q15" s="1141"/>
      <c r="R15" s="1140" t="str">
        <f t="shared" si="6"/>
        <v/>
      </c>
      <c r="S15" s="1141"/>
    </row>
    <row r="16" spans="1:19" s="867" customFormat="1" ht="12.95" customHeight="1">
      <c r="A16" s="867" t="s">
        <v>327</v>
      </c>
      <c r="B16" s="1139">
        <f t="shared" si="0"/>
        <v>1431</v>
      </c>
      <c r="C16" s="1138">
        <f t="shared" si="1"/>
        <v>6.4602049568868223</v>
      </c>
      <c r="D16" s="1139"/>
      <c r="E16" s="1139">
        <f>E17+E22</f>
        <v>71</v>
      </c>
      <c r="F16" s="1138">
        <f t="shared" si="2"/>
        <v>4.9615653389238297</v>
      </c>
      <c r="G16" s="1139"/>
      <c r="H16" s="1139">
        <f>H17+H22</f>
        <v>100</v>
      </c>
      <c r="I16" s="1138">
        <f t="shared" si="3"/>
        <v>6.9881201956673662</v>
      </c>
      <c r="J16" s="1139"/>
      <c r="K16" s="1139">
        <f>K17+K22</f>
        <v>186</v>
      </c>
      <c r="L16" s="1138">
        <f t="shared" si="4"/>
        <v>12.997903563941298</v>
      </c>
      <c r="M16" s="1139"/>
      <c r="N16" s="1139">
        <f>N17+N22</f>
        <v>183</v>
      </c>
      <c r="O16" s="1138">
        <f t="shared" si="5"/>
        <v>12.788259958071279</v>
      </c>
      <c r="P16" s="1139"/>
      <c r="Q16" s="1139">
        <f>Q17+Q22</f>
        <v>891</v>
      </c>
      <c r="R16" s="1138">
        <f t="shared" si="6"/>
        <v>62.264150943396224</v>
      </c>
      <c r="S16" s="1139"/>
    </row>
    <row r="17" spans="1:19" ht="12.95" customHeight="1">
      <c r="A17" s="847" t="s">
        <v>20</v>
      </c>
      <c r="B17" s="1139">
        <f t="shared" si="0"/>
        <v>426</v>
      </c>
      <c r="C17" s="1138">
        <f t="shared" si="1"/>
        <v>1.9231637397860144</v>
      </c>
      <c r="D17" s="1139"/>
      <c r="E17" s="1139">
        <f>SUM(E18:E20)</f>
        <v>25</v>
      </c>
      <c r="F17" s="1138">
        <f t="shared" si="2"/>
        <v>5.868544600938967</v>
      </c>
      <c r="G17" s="1139"/>
      <c r="H17" s="1139">
        <f>SUM(H18:H20)</f>
        <v>32</v>
      </c>
      <c r="I17" s="1138">
        <f t="shared" si="3"/>
        <v>7.511737089201878</v>
      </c>
      <c r="J17" s="1139"/>
      <c r="K17" s="1139">
        <f>SUM(K18:K20)</f>
        <v>70</v>
      </c>
      <c r="L17" s="1138">
        <f t="shared" si="4"/>
        <v>16.431924882629108</v>
      </c>
      <c r="M17" s="1139"/>
      <c r="N17" s="1139">
        <f>SUM(N18:N20)</f>
        <v>56</v>
      </c>
      <c r="O17" s="1138">
        <f t="shared" si="5"/>
        <v>13.145539906103288</v>
      </c>
      <c r="P17" s="1139"/>
      <c r="Q17" s="1139">
        <f>SUM(Q18:Q20)</f>
        <v>243</v>
      </c>
      <c r="R17" s="1138">
        <f t="shared" si="6"/>
        <v>57.04225352112676</v>
      </c>
      <c r="S17" s="1141"/>
    </row>
    <row r="18" spans="1:19" ht="12.95" customHeight="1">
      <c r="A18" s="854" t="s">
        <v>21</v>
      </c>
      <c r="B18" s="1139">
        <f t="shared" si="0"/>
        <v>69</v>
      </c>
      <c r="C18" s="1140">
        <f t="shared" si="1"/>
        <v>0.31149835221886146</v>
      </c>
      <c r="D18" s="1141"/>
      <c r="E18" s="1047">
        <v>3</v>
      </c>
      <c r="F18" s="1140">
        <f t="shared" si="2"/>
        <v>4.3478260869565215</v>
      </c>
      <c r="G18" s="1142"/>
      <c r="H18" s="1047">
        <v>3</v>
      </c>
      <c r="I18" s="1140">
        <f t="shared" si="3"/>
        <v>4.3478260869565215</v>
      </c>
      <c r="J18" s="1142"/>
      <c r="K18" s="1047">
        <v>6</v>
      </c>
      <c r="L18" s="1140">
        <f t="shared" si="4"/>
        <v>8.695652173913043</v>
      </c>
      <c r="M18" s="1142"/>
      <c r="N18" s="1047">
        <v>12</v>
      </c>
      <c r="O18" s="1140">
        <f t="shared" si="5"/>
        <v>17.391304347826086</v>
      </c>
      <c r="P18" s="1142"/>
      <c r="Q18" s="1047">
        <v>45</v>
      </c>
      <c r="R18" s="1140">
        <f t="shared" si="6"/>
        <v>65.217391304347828</v>
      </c>
      <c r="S18" s="847"/>
    </row>
    <row r="19" spans="1:19" ht="12.95" customHeight="1">
      <c r="A19" s="847" t="s">
        <v>22</v>
      </c>
      <c r="B19" s="1139">
        <f t="shared" si="0"/>
        <v>91</v>
      </c>
      <c r="C19" s="1140">
        <f t="shared" si="1"/>
        <v>0.41081666741907813</v>
      </c>
      <c r="D19" s="1141"/>
      <c r="E19" s="1047">
        <v>6</v>
      </c>
      <c r="F19" s="1140">
        <f t="shared" si="2"/>
        <v>6.593406593406594</v>
      </c>
      <c r="G19" s="1142"/>
      <c r="H19" s="1047">
        <v>9</v>
      </c>
      <c r="I19" s="1140">
        <f t="shared" si="3"/>
        <v>9.8901098901098905</v>
      </c>
      <c r="J19" s="1142"/>
      <c r="K19" s="1047">
        <v>17</v>
      </c>
      <c r="L19" s="1140">
        <f t="shared" si="4"/>
        <v>18.681318681318682</v>
      </c>
      <c r="M19" s="1142"/>
      <c r="N19" s="1047">
        <v>13</v>
      </c>
      <c r="O19" s="1140">
        <f t="shared" si="5"/>
        <v>14.285714285714285</v>
      </c>
      <c r="P19" s="1142"/>
      <c r="Q19" s="1047">
        <v>46</v>
      </c>
      <c r="R19" s="1140">
        <f t="shared" si="6"/>
        <v>50.549450549450547</v>
      </c>
      <c r="S19" s="847"/>
    </row>
    <row r="20" spans="1:19" ht="12.95" customHeight="1">
      <c r="A20" s="847" t="s">
        <v>23</v>
      </c>
      <c r="B20" s="1139">
        <f t="shared" si="0"/>
        <v>266</v>
      </c>
      <c r="C20" s="1140">
        <f t="shared" si="1"/>
        <v>1.2008487201480744</v>
      </c>
      <c r="D20" s="1141"/>
      <c r="E20" s="1047">
        <v>16</v>
      </c>
      <c r="F20" s="1140">
        <f t="shared" si="2"/>
        <v>6.0150375939849621</v>
      </c>
      <c r="G20" s="1142"/>
      <c r="H20" s="1047">
        <v>20</v>
      </c>
      <c r="I20" s="1140">
        <f t="shared" si="3"/>
        <v>7.518796992481203</v>
      </c>
      <c r="J20" s="1142"/>
      <c r="K20" s="1047">
        <v>47</v>
      </c>
      <c r="L20" s="1140">
        <f t="shared" si="4"/>
        <v>17.669172932330827</v>
      </c>
      <c r="M20" s="1142"/>
      <c r="N20" s="1047">
        <v>31</v>
      </c>
      <c r="O20" s="1140">
        <f t="shared" si="5"/>
        <v>11.654135338345863</v>
      </c>
      <c r="P20" s="1142"/>
      <c r="Q20" s="1047">
        <v>152</v>
      </c>
      <c r="R20" s="1140">
        <f t="shared" si="6"/>
        <v>57.142857142857139</v>
      </c>
      <c r="S20" s="847"/>
    </row>
    <row r="21" spans="1:19" ht="9" customHeight="1">
      <c r="B21" s="1139" t="str">
        <f t="shared" si="0"/>
        <v/>
      </c>
      <c r="C21" s="1140" t="str">
        <f t="shared" si="1"/>
        <v/>
      </c>
      <c r="D21" s="1141"/>
      <c r="E21" s="1141"/>
      <c r="F21" s="1140" t="str">
        <f t="shared" si="2"/>
        <v/>
      </c>
      <c r="G21" s="1141"/>
      <c r="H21" s="1141"/>
      <c r="I21" s="1140" t="str">
        <f t="shared" si="3"/>
        <v/>
      </c>
      <c r="J21" s="1141"/>
      <c r="K21" s="1141"/>
      <c r="L21" s="1140" t="str">
        <f t="shared" si="4"/>
        <v/>
      </c>
      <c r="M21" s="1141"/>
      <c r="N21" s="1141"/>
      <c r="O21" s="1140" t="str">
        <f t="shared" si="5"/>
        <v/>
      </c>
      <c r="P21" s="1141"/>
      <c r="Q21" s="1141"/>
      <c r="R21" s="1140" t="str">
        <f t="shared" si="6"/>
        <v/>
      </c>
      <c r="S21" s="1141"/>
    </row>
    <row r="22" spans="1:19" ht="12.95" customHeight="1">
      <c r="A22" s="847" t="s">
        <v>24</v>
      </c>
      <c r="B22" s="1139">
        <f t="shared" si="0"/>
        <v>1005</v>
      </c>
      <c r="C22" s="1138">
        <f t="shared" si="1"/>
        <v>4.5370412171008079</v>
      </c>
      <c r="D22" s="1139"/>
      <c r="E22" s="1139">
        <f>SUM(E23:E25)</f>
        <v>46</v>
      </c>
      <c r="F22" s="1140">
        <f t="shared" si="2"/>
        <v>4.5771144278606961</v>
      </c>
      <c r="G22" s="1139"/>
      <c r="H22" s="1139">
        <f>SUM(H23:H25)</f>
        <v>68</v>
      </c>
      <c r="I22" s="1140">
        <f t="shared" si="3"/>
        <v>6.766169154228856</v>
      </c>
      <c r="J22" s="1139"/>
      <c r="K22" s="1139">
        <f>SUM(K23:K25)</f>
        <v>116</v>
      </c>
      <c r="L22" s="1140">
        <f t="shared" si="4"/>
        <v>11.542288557213929</v>
      </c>
      <c r="M22" s="1139"/>
      <c r="N22" s="1139">
        <f>SUM(N23:N25)</f>
        <v>127</v>
      </c>
      <c r="O22" s="1140">
        <f t="shared" si="5"/>
        <v>12.636815920398009</v>
      </c>
      <c r="P22" s="1139"/>
      <c r="Q22" s="1139">
        <f>SUM(Q23:Q25)</f>
        <v>648</v>
      </c>
      <c r="R22" s="1138">
        <f t="shared" si="6"/>
        <v>64.477611940298502</v>
      </c>
      <c r="S22" s="1141"/>
    </row>
    <row r="23" spans="1:19" ht="12.95" customHeight="1">
      <c r="A23" s="847" t="s">
        <v>25</v>
      </c>
      <c r="B23" s="1139">
        <f t="shared" si="0"/>
        <v>330</v>
      </c>
      <c r="C23" s="1138">
        <f t="shared" si="1"/>
        <v>1.4897747280032503</v>
      </c>
      <c r="D23" s="1139"/>
      <c r="E23" s="1143">
        <v>10</v>
      </c>
      <c r="F23" s="1138">
        <f t="shared" si="2"/>
        <v>3.0303030303030303</v>
      </c>
      <c r="G23" s="1144"/>
      <c r="H23" s="1143">
        <v>24</v>
      </c>
      <c r="I23" s="1138">
        <f t="shared" si="3"/>
        <v>7.2727272727272725</v>
      </c>
      <c r="J23" s="1144"/>
      <c r="K23" s="1143">
        <v>37</v>
      </c>
      <c r="L23" s="1138">
        <f t="shared" si="4"/>
        <v>11.212121212121213</v>
      </c>
      <c r="M23" s="1144"/>
      <c r="N23" s="1143">
        <v>39</v>
      </c>
      <c r="O23" s="1138">
        <f t="shared" si="5"/>
        <v>11.818181818181818</v>
      </c>
      <c r="P23" s="1144"/>
      <c r="Q23" s="1143">
        <v>220</v>
      </c>
      <c r="R23" s="1138">
        <f t="shared" si="6"/>
        <v>66.666666666666657</v>
      </c>
      <c r="S23" s="847"/>
    </row>
    <row r="24" spans="1:19" ht="12.95" customHeight="1">
      <c r="A24" s="847" t="s">
        <v>26</v>
      </c>
      <c r="B24" s="1139">
        <f t="shared" si="0"/>
        <v>162</v>
      </c>
      <c r="C24" s="1140">
        <f t="shared" si="1"/>
        <v>0.73134395738341385</v>
      </c>
      <c r="D24" s="1141"/>
      <c r="E24" s="1047">
        <v>5</v>
      </c>
      <c r="F24" s="1140">
        <f t="shared" si="2"/>
        <v>3.0864197530864197</v>
      </c>
      <c r="G24" s="1142"/>
      <c r="H24" s="1047">
        <v>7</v>
      </c>
      <c r="I24" s="1140">
        <f t="shared" si="3"/>
        <v>4.3209876543209873</v>
      </c>
      <c r="J24" s="1142"/>
      <c r="K24" s="1047">
        <v>13</v>
      </c>
      <c r="L24" s="1140">
        <f t="shared" si="4"/>
        <v>8.0246913580246915</v>
      </c>
      <c r="M24" s="1142"/>
      <c r="N24" s="1047">
        <v>16</v>
      </c>
      <c r="O24" s="1140">
        <f t="shared" si="5"/>
        <v>9.8765432098765427</v>
      </c>
      <c r="P24" s="1142"/>
      <c r="Q24" s="1047">
        <v>121</v>
      </c>
      <c r="R24" s="1140">
        <f t="shared" si="6"/>
        <v>74.691358024691354</v>
      </c>
      <c r="S24" s="847"/>
    </row>
    <row r="25" spans="1:19" ht="12.95" customHeight="1">
      <c r="A25" s="847" t="s">
        <v>27</v>
      </c>
      <c r="B25" s="1139">
        <f t="shared" si="0"/>
        <v>513</v>
      </c>
      <c r="C25" s="1140">
        <f t="shared" si="1"/>
        <v>2.3159225317141439</v>
      </c>
      <c r="D25" s="1141"/>
      <c r="E25" s="1047">
        <v>31</v>
      </c>
      <c r="F25" s="1140">
        <f t="shared" si="2"/>
        <v>6.0428849902534107</v>
      </c>
      <c r="G25" s="1142"/>
      <c r="H25" s="1047">
        <v>37</v>
      </c>
      <c r="I25" s="1140">
        <f t="shared" si="3"/>
        <v>7.2124756335282649</v>
      </c>
      <c r="J25" s="1142"/>
      <c r="K25" s="1047">
        <v>66</v>
      </c>
      <c r="L25" s="1140">
        <f t="shared" si="4"/>
        <v>12.865497076023392</v>
      </c>
      <c r="M25" s="1142"/>
      <c r="N25" s="1047">
        <v>72</v>
      </c>
      <c r="O25" s="1140">
        <f t="shared" si="5"/>
        <v>14.035087719298245</v>
      </c>
      <c r="P25" s="1142"/>
      <c r="Q25" s="1047">
        <v>307</v>
      </c>
      <c r="R25" s="1140">
        <f t="shared" si="6"/>
        <v>59.844054580896689</v>
      </c>
      <c r="S25" s="847"/>
    </row>
    <row r="26" spans="1:19" ht="9" customHeight="1">
      <c r="B26" s="1139" t="str">
        <f t="shared" si="0"/>
        <v/>
      </c>
      <c r="C26" s="1140" t="str">
        <f t="shared" si="1"/>
        <v/>
      </c>
      <c r="D26" s="1141"/>
      <c r="E26" s="1141"/>
      <c r="F26" s="1140" t="str">
        <f t="shared" si="2"/>
        <v/>
      </c>
      <c r="G26" s="1141"/>
      <c r="H26" s="1141"/>
      <c r="I26" s="1140" t="str">
        <f t="shared" si="3"/>
        <v/>
      </c>
      <c r="J26" s="1141"/>
      <c r="K26" s="1141"/>
      <c r="L26" s="1140" t="str">
        <f t="shared" si="4"/>
        <v/>
      </c>
      <c r="M26" s="1141"/>
      <c r="N26" s="1141"/>
      <c r="O26" s="1140" t="str">
        <f t="shared" si="5"/>
        <v/>
      </c>
      <c r="P26" s="1141"/>
      <c r="Q26" s="1141"/>
      <c r="R26" s="1140" t="str">
        <f t="shared" si="6"/>
        <v/>
      </c>
      <c r="S26" s="1141"/>
    </row>
    <row r="27" spans="1:19" s="867" customFormat="1" ht="12.95" customHeight="1">
      <c r="A27" s="867" t="s">
        <v>375</v>
      </c>
      <c r="B27" s="1139">
        <f t="shared" si="0"/>
        <v>871</v>
      </c>
      <c r="C27" s="1138">
        <f t="shared" si="1"/>
        <v>3.9321023881540338</v>
      </c>
      <c r="D27" s="1139"/>
      <c r="E27" s="1139">
        <f>SUM(E28)</f>
        <v>45</v>
      </c>
      <c r="F27" s="1140">
        <f t="shared" si="2"/>
        <v>5.1664753157290475</v>
      </c>
      <c r="G27" s="1139"/>
      <c r="H27" s="1139">
        <f>SUM(H28)</f>
        <v>51</v>
      </c>
      <c r="I27" s="1140">
        <f t="shared" si="3"/>
        <v>5.8553386911595871</v>
      </c>
      <c r="J27" s="1139"/>
      <c r="K27" s="1139">
        <f>SUM(K28)</f>
        <v>115</v>
      </c>
      <c r="L27" s="1140">
        <f t="shared" si="4"/>
        <v>13.203214695752008</v>
      </c>
      <c r="M27" s="1139"/>
      <c r="N27" s="1139">
        <f>SUM(N28)</f>
        <v>117</v>
      </c>
      <c r="O27" s="1140">
        <f t="shared" si="5"/>
        <v>13.432835820895523</v>
      </c>
      <c r="P27" s="1139"/>
      <c r="Q27" s="1139">
        <f>SUM(Q28)</f>
        <v>543</v>
      </c>
      <c r="R27" s="1138">
        <f t="shared" si="6"/>
        <v>62.342135476463831</v>
      </c>
      <c r="S27" s="1139"/>
    </row>
    <row r="28" spans="1:19" ht="12.95" customHeight="1">
      <c r="A28" s="847" t="s">
        <v>29</v>
      </c>
      <c r="B28" s="1139">
        <f t="shared" si="0"/>
        <v>871</v>
      </c>
      <c r="C28" s="1138">
        <f t="shared" si="1"/>
        <v>3.9321023881540338</v>
      </c>
      <c r="D28" s="1139"/>
      <c r="E28" s="1139">
        <f>SUM(E29:E33)</f>
        <v>45</v>
      </c>
      <c r="F28" s="1138">
        <f t="shared" si="2"/>
        <v>5.1664753157290475</v>
      </c>
      <c r="G28" s="1139"/>
      <c r="H28" s="1139">
        <f>SUM(H29:H33)</f>
        <v>51</v>
      </c>
      <c r="I28" s="1138">
        <f t="shared" si="3"/>
        <v>5.8553386911595871</v>
      </c>
      <c r="J28" s="1139"/>
      <c r="K28" s="1139">
        <f>SUM(K29:K33)</f>
        <v>115</v>
      </c>
      <c r="L28" s="1138">
        <f t="shared" si="4"/>
        <v>13.203214695752008</v>
      </c>
      <c r="M28" s="1139"/>
      <c r="N28" s="1139">
        <f>SUM(N29:N33)</f>
        <v>117</v>
      </c>
      <c r="O28" s="1138">
        <f t="shared" si="5"/>
        <v>13.432835820895523</v>
      </c>
      <c r="P28" s="1139"/>
      <c r="Q28" s="1139">
        <f>SUM(Q29:Q33)</f>
        <v>543</v>
      </c>
      <c r="R28" s="1138">
        <f t="shared" si="6"/>
        <v>62.342135476463831</v>
      </c>
      <c r="S28" s="1141"/>
    </row>
    <row r="29" spans="1:19" ht="12.95" customHeight="1">
      <c r="A29" s="847" t="s">
        <v>30</v>
      </c>
      <c r="B29" s="1139">
        <f t="shared" si="0"/>
        <v>140</v>
      </c>
      <c r="C29" s="1140">
        <f t="shared" si="1"/>
        <v>0.63202564218319712</v>
      </c>
      <c r="D29" s="1141"/>
      <c r="E29" s="1047">
        <v>7</v>
      </c>
      <c r="F29" s="1140">
        <f t="shared" si="2"/>
        <v>5</v>
      </c>
      <c r="G29" s="1142"/>
      <c r="H29" s="1047">
        <v>6</v>
      </c>
      <c r="I29" s="1140">
        <f t="shared" si="3"/>
        <v>4.2857142857142856</v>
      </c>
      <c r="J29" s="1142"/>
      <c r="K29" s="1047">
        <v>17</v>
      </c>
      <c r="L29" s="1140">
        <f t="shared" si="4"/>
        <v>12.142857142857142</v>
      </c>
      <c r="M29" s="1142"/>
      <c r="N29" s="1047">
        <v>20</v>
      </c>
      <c r="O29" s="1140">
        <f t="shared" si="5"/>
        <v>14.285714285714285</v>
      </c>
      <c r="P29" s="1142"/>
      <c r="Q29" s="1047">
        <v>90</v>
      </c>
      <c r="R29" s="1140">
        <f t="shared" si="6"/>
        <v>64.285714285714292</v>
      </c>
      <c r="S29" s="847"/>
    </row>
    <row r="30" spans="1:19" ht="12.95" customHeight="1">
      <c r="A30" s="847" t="s">
        <v>31</v>
      </c>
      <c r="B30" s="1139">
        <f t="shared" si="0"/>
        <v>230</v>
      </c>
      <c r="C30" s="1140">
        <f t="shared" si="1"/>
        <v>1.0383278407295382</v>
      </c>
      <c r="D30" s="1141"/>
      <c r="E30" s="1047">
        <v>14</v>
      </c>
      <c r="F30" s="1140">
        <f t="shared" si="2"/>
        <v>6.0869565217391308</v>
      </c>
      <c r="G30" s="1142"/>
      <c r="H30" s="1047">
        <v>11</v>
      </c>
      <c r="I30" s="1140">
        <f t="shared" si="3"/>
        <v>4.7826086956521738</v>
      </c>
      <c r="J30" s="1142"/>
      <c r="K30" s="1047">
        <v>33</v>
      </c>
      <c r="L30" s="1140">
        <f t="shared" si="4"/>
        <v>14.347826086956522</v>
      </c>
      <c r="M30" s="1142"/>
      <c r="N30" s="1047">
        <v>34</v>
      </c>
      <c r="O30" s="1140">
        <f t="shared" si="5"/>
        <v>14.782608695652174</v>
      </c>
      <c r="P30" s="1142"/>
      <c r="Q30" s="1047">
        <v>138</v>
      </c>
      <c r="R30" s="1140">
        <f t="shared" si="6"/>
        <v>60</v>
      </c>
      <c r="S30" s="847"/>
    </row>
    <row r="31" spans="1:19" ht="12.95" customHeight="1">
      <c r="A31" s="847" t="s">
        <v>32</v>
      </c>
      <c r="B31" s="1139">
        <f t="shared" si="0"/>
        <v>192</v>
      </c>
      <c r="C31" s="1140">
        <f t="shared" si="1"/>
        <v>0.86677802356552747</v>
      </c>
      <c r="D31" s="1141"/>
      <c r="E31" s="1047">
        <v>8</v>
      </c>
      <c r="F31" s="1140">
        <f t="shared" si="2"/>
        <v>4.1666666666666661</v>
      </c>
      <c r="G31" s="1142"/>
      <c r="H31" s="1047">
        <v>15</v>
      </c>
      <c r="I31" s="1140">
        <f t="shared" si="3"/>
        <v>7.8125</v>
      </c>
      <c r="J31" s="1142"/>
      <c r="K31" s="1047">
        <v>26</v>
      </c>
      <c r="L31" s="1140">
        <f t="shared" si="4"/>
        <v>13.541666666666666</v>
      </c>
      <c r="M31" s="1142"/>
      <c r="N31" s="1047">
        <v>23</v>
      </c>
      <c r="O31" s="1140">
        <f t="shared" si="5"/>
        <v>11.979166666666668</v>
      </c>
      <c r="P31" s="1142"/>
      <c r="Q31" s="1047">
        <v>120</v>
      </c>
      <c r="R31" s="1140">
        <f t="shared" si="6"/>
        <v>62.5</v>
      </c>
      <c r="S31" s="847"/>
    </row>
    <row r="32" spans="1:19" ht="12.95" customHeight="1">
      <c r="A32" s="847" t="s">
        <v>33</v>
      </c>
      <c r="B32" s="1139">
        <f t="shared" si="0"/>
        <v>159</v>
      </c>
      <c r="C32" s="1140">
        <f t="shared" si="1"/>
        <v>0.71780055076520244</v>
      </c>
      <c r="D32" s="1141"/>
      <c r="E32" s="1047">
        <v>6</v>
      </c>
      <c r="F32" s="1140">
        <f t="shared" si="2"/>
        <v>3.7735849056603774</v>
      </c>
      <c r="G32" s="1142"/>
      <c r="H32" s="1047">
        <v>6</v>
      </c>
      <c r="I32" s="1140">
        <f t="shared" si="3"/>
        <v>3.7735849056603774</v>
      </c>
      <c r="J32" s="1142"/>
      <c r="K32" s="1047">
        <v>20</v>
      </c>
      <c r="L32" s="1140">
        <f t="shared" si="4"/>
        <v>12.578616352201259</v>
      </c>
      <c r="M32" s="1142"/>
      <c r="N32" s="1047">
        <v>18</v>
      </c>
      <c r="O32" s="1140">
        <f t="shared" si="5"/>
        <v>11.320754716981133</v>
      </c>
      <c r="P32" s="1142"/>
      <c r="Q32" s="1047">
        <v>109</v>
      </c>
      <c r="R32" s="1140">
        <f t="shared" si="6"/>
        <v>68.55345911949685</v>
      </c>
      <c r="S32" s="847"/>
    </row>
    <row r="33" spans="1:19" ht="12.95" customHeight="1">
      <c r="A33" s="847" t="s">
        <v>34</v>
      </c>
      <c r="B33" s="1139">
        <f t="shared" si="0"/>
        <v>150</v>
      </c>
      <c r="C33" s="1140">
        <f t="shared" si="1"/>
        <v>0.67717033091056833</v>
      </c>
      <c r="D33" s="1141"/>
      <c r="E33" s="1047">
        <v>10</v>
      </c>
      <c r="F33" s="1140">
        <f t="shared" si="2"/>
        <v>6.666666666666667</v>
      </c>
      <c r="G33" s="1142"/>
      <c r="H33" s="1047">
        <v>13</v>
      </c>
      <c r="I33" s="1140">
        <f t="shared" si="3"/>
        <v>8.6666666666666679</v>
      </c>
      <c r="J33" s="1142"/>
      <c r="K33" s="1047">
        <v>19</v>
      </c>
      <c r="L33" s="1140">
        <f t="shared" si="4"/>
        <v>12.666666666666668</v>
      </c>
      <c r="M33" s="1142"/>
      <c r="N33" s="1047">
        <v>22</v>
      </c>
      <c r="O33" s="1140">
        <f t="shared" si="5"/>
        <v>14.666666666666666</v>
      </c>
      <c r="P33" s="1142"/>
      <c r="Q33" s="1047">
        <v>86</v>
      </c>
      <c r="R33" s="1140">
        <f t="shared" si="6"/>
        <v>57.333333333333336</v>
      </c>
      <c r="S33" s="847"/>
    </row>
    <row r="34" spans="1:19" ht="8.25" customHeight="1">
      <c r="B34" s="1139" t="str">
        <f t="shared" si="0"/>
        <v/>
      </c>
      <c r="C34" s="1140" t="str">
        <f t="shared" si="1"/>
        <v/>
      </c>
      <c r="D34" s="1141"/>
      <c r="E34" s="1141"/>
      <c r="F34" s="1140" t="str">
        <f t="shared" si="2"/>
        <v/>
      </c>
      <c r="G34" s="1141"/>
      <c r="H34" s="1141"/>
      <c r="I34" s="1140" t="str">
        <f t="shared" si="3"/>
        <v/>
      </c>
      <c r="J34" s="1141"/>
      <c r="K34" s="1141"/>
      <c r="L34" s="1140" t="str">
        <f t="shared" si="4"/>
        <v/>
      </c>
      <c r="M34" s="1141"/>
      <c r="N34" s="1141"/>
      <c r="O34" s="1140" t="str">
        <f t="shared" si="5"/>
        <v/>
      </c>
      <c r="P34" s="1141"/>
      <c r="Q34" s="1141"/>
      <c r="R34" s="1140" t="str">
        <f t="shared" si="6"/>
        <v/>
      </c>
      <c r="S34" s="1141"/>
    </row>
    <row r="35" spans="1:19" s="867" customFormat="1" ht="12.95" customHeight="1">
      <c r="A35" s="867" t="s">
        <v>329</v>
      </c>
      <c r="B35" s="1139">
        <f t="shared" si="0"/>
        <v>6619</v>
      </c>
      <c r="C35" s="1138">
        <f t="shared" si="1"/>
        <v>29.881269468647016</v>
      </c>
      <c r="D35" s="1139"/>
      <c r="E35" s="1139">
        <f>SUM(E36+E42+E52+E54)</f>
        <v>296</v>
      </c>
      <c r="F35" s="1140">
        <f t="shared" si="2"/>
        <v>4.4719746185224354</v>
      </c>
      <c r="G35" s="1139"/>
      <c r="H35" s="1139">
        <f>SUM(H36+H42+H52+H54)</f>
        <v>422</v>
      </c>
      <c r="I35" s="1140">
        <f t="shared" si="3"/>
        <v>6.3755854358664443</v>
      </c>
      <c r="J35" s="1139"/>
      <c r="K35" s="1139">
        <f>SUM(K36+K42+K52+K54)</f>
        <v>753</v>
      </c>
      <c r="L35" s="1140">
        <f t="shared" si="4"/>
        <v>11.376340836984438</v>
      </c>
      <c r="M35" s="1139"/>
      <c r="N35" s="1139">
        <f>SUM(N36+N42+N52+N54)</f>
        <v>808</v>
      </c>
      <c r="O35" s="1140">
        <f t="shared" si="5"/>
        <v>12.207282066777459</v>
      </c>
      <c r="P35" s="1139"/>
      <c r="Q35" s="1139">
        <f>SUM(Q36+Q42+Q52+Q54)</f>
        <v>4340</v>
      </c>
      <c r="R35" s="1138">
        <f t="shared" si="6"/>
        <v>65.568817041849229</v>
      </c>
      <c r="S35" s="1139"/>
    </row>
    <row r="36" spans="1:19" ht="12.95" customHeight="1">
      <c r="A36" s="847" t="s">
        <v>36</v>
      </c>
      <c r="B36" s="1139">
        <f t="shared" si="0"/>
        <v>2223</v>
      </c>
      <c r="C36" s="1138">
        <f t="shared" si="1"/>
        <v>10.035664304094622</v>
      </c>
      <c r="D36" s="1139"/>
      <c r="E36" s="1139">
        <f>SUM(E37:E40)</f>
        <v>115</v>
      </c>
      <c r="F36" s="1138">
        <f t="shared" si="2"/>
        <v>5.1731893837156999</v>
      </c>
      <c r="G36" s="1139"/>
      <c r="H36" s="1139">
        <f>SUM(H37:H40)</f>
        <v>157</v>
      </c>
      <c r="I36" s="1138">
        <f t="shared" si="3"/>
        <v>7.0625281151596937</v>
      </c>
      <c r="J36" s="1139"/>
      <c r="K36" s="1139">
        <f>SUM(K37:K40)</f>
        <v>286</v>
      </c>
      <c r="L36" s="1138">
        <f t="shared" si="4"/>
        <v>12.865497076023392</v>
      </c>
      <c r="M36" s="1139"/>
      <c r="N36" s="1139">
        <f>SUM(N37:N40)</f>
        <v>273</v>
      </c>
      <c r="O36" s="1138">
        <f t="shared" si="5"/>
        <v>12.280701754385964</v>
      </c>
      <c r="P36" s="1139"/>
      <c r="Q36" s="1139">
        <f>SUM(Q37:Q40)</f>
        <v>1392</v>
      </c>
      <c r="R36" s="1138">
        <f t="shared" si="6"/>
        <v>62.618083670715251</v>
      </c>
      <c r="S36" s="1141"/>
    </row>
    <row r="37" spans="1:19" ht="12.95" customHeight="1">
      <c r="A37" s="847" t="s">
        <v>37</v>
      </c>
      <c r="B37" s="1139">
        <f t="shared" si="0"/>
        <v>1197</v>
      </c>
      <c r="C37" s="1140">
        <f t="shared" si="1"/>
        <v>5.4038192406663352</v>
      </c>
      <c r="D37" s="1141"/>
      <c r="E37" s="1047">
        <v>59</v>
      </c>
      <c r="F37" s="1140">
        <f t="shared" si="2"/>
        <v>4.9289891395154548</v>
      </c>
      <c r="G37" s="1142"/>
      <c r="H37" s="1047">
        <v>75</v>
      </c>
      <c r="I37" s="1140">
        <f t="shared" si="3"/>
        <v>6.2656641604010019</v>
      </c>
      <c r="J37" s="1142"/>
      <c r="K37" s="1047">
        <v>170</v>
      </c>
      <c r="L37" s="1140">
        <f t="shared" si="4"/>
        <v>14.202172096908939</v>
      </c>
      <c r="M37" s="1142"/>
      <c r="N37" s="1047">
        <v>149</v>
      </c>
      <c r="O37" s="1140">
        <f t="shared" si="5"/>
        <v>12.447786131996658</v>
      </c>
      <c r="P37" s="1142"/>
      <c r="Q37" s="1047">
        <v>744</v>
      </c>
      <c r="R37" s="1140">
        <f t="shared" si="6"/>
        <v>62.155388471177943</v>
      </c>
      <c r="S37" s="847"/>
    </row>
    <row r="38" spans="1:19" ht="12.95" customHeight="1">
      <c r="A38" s="847" t="s">
        <v>38</v>
      </c>
      <c r="B38" s="1139">
        <f t="shared" si="0"/>
        <v>596</v>
      </c>
      <c r="C38" s="1140">
        <f t="shared" si="1"/>
        <v>2.6906234481513249</v>
      </c>
      <c r="D38" s="1141"/>
      <c r="E38" s="1047">
        <v>27</v>
      </c>
      <c r="F38" s="1140">
        <f t="shared" si="2"/>
        <v>4.5302013422818792</v>
      </c>
      <c r="G38" s="1142"/>
      <c r="H38" s="1047">
        <v>46</v>
      </c>
      <c r="I38" s="1140">
        <f t="shared" si="3"/>
        <v>7.7181208053691277</v>
      </c>
      <c r="J38" s="1142"/>
      <c r="K38" s="1047">
        <v>72</v>
      </c>
      <c r="L38" s="1140">
        <f t="shared" si="4"/>
        <v>12.080536912751679</v>
      </c>
      <c r="M38" s="1142"/>
      <c r="N38" s="1047">
        <v>71</v>
      </c>
      <c r="O38" s="1140">
        <f t="shared" si="5"/>
        <v>11.912751677852349</v>
      </c>
      <c r="P38" s="1142"/>
      <c r="Q38" s="1047">
        <v>380</v>
      </c>
      <c r="R38" s="1140">
        <f t="shared" si="6"/>
        <v>63.758389261744966</v>
      </c>
      <c r="S38" s="847"/>
    </row>
    <row r="39" spans="1:19" ht="12.95" customHeight="1">
      <c r="A39" s="847" t="s">
        <v>39</v>
      </c>
      <c r="B39" s="1139">
        <f t="shared" si="0"/>
        <v>187</v>
      </c>
      <c r="C39" s="1140">
        <f t="shared" si="1"/>
        <v>0.84420567920184197</v>
      </c>
      <c r="D39" s="1141"/>
      <c r="E39" s="1047">
        <v>18</v>
      </c>
      <c r="F39" s="1140">
        <f t="shared" si="2"/>
        <v>9.6256684491978604</v>
      </c>
      <c r="G39" s="1142"/>
      <c r="H39" s="1047">
        <v>26</v>
      </c>
      <c r="I39" s="1140">
        <f t="shared" si="3"/>
        <v>13.903743315508022</v>
      </c>
      <c r="J39" s="1142"/>
      <c r="K39" s="1047">
        <v>26</v>
      </c>
      <c r="L39" s="1140">
        <f t="shared" si="4"/>
        <v>13.903743315508022</v>
      </c>
      <c r="M39" s="1142"/>
      <c r="N39" s="1047">
        <v>19</v>
      </c>
      <c r="O39" s="1140">
        <f t="shared" si="5"/>
        <v>10.160427807486631</v>
      </c>
      <c r="P39" s="1142"/>
      <c r="Q39" s="1047">
        <v>98</v>
      </c>
      <c r="R39" s="1140">
        <f t="shared" si="6"/>
        <v>52.406417112299465</v>
      </c>
      <c r="S39" s="847"/>
    </row>
    <row r="40" spans="1:19" ht="12.95" customHeight="1">
      <c r="A40" s="847" t="s">
        <v>40</v>
      </c>
      <c r="B40" s="1139">
        <f t="shared" si="0"/>
        <v>243</v>
      </c>
      <c r="C40" s="1140">
        <f t="shared" si="1"/>
        <v>1.0970159360751206</v>
      </c>
      <c r="D40" s="1141"/>
      <c r="E40" s="1047">
        <v>11</v>
      </c>
      <c r="F40" s="1140">
        <f t="shared" si="2"/>
        <v>4.5267489711934159</v>
      </c>
      <c r="G40" s="1142"/>
      <c r="H40" s="1047">
        <v>10</v>
      </c>
      <c r="I40" s="1140">
        <f t="shared" si="3"/>
        <v>4.1152263374485596</v>
      </c>
      <c r="J40" s="1142"/>
      <c r="K40" s="1047">
        <v>18</v>
      </c>
      <c r="L40" s="1140">
        <f t="shared" si="4"/>
        <v>7.4074074074074066</v>
      </c>
      <c r="M40" s="1142"/>
      <c r="N40" s="1047">
        <v>34</v>
      </c>
      <c r="O40" s="1140">
        <f t="shared" si="5"/>
        <v>13.991769547325102</v>
      </c>
      <c r="P40" s="1142"/>
      <c r="Q40" s="1047">
        <v>170</v>
      </c>
      <c r="R40" s="1140">
        <f t="shared" si="6"/>
        <v>69.958847736625515</v>
      </c>
      <c r="S40" s="847"/>
    </row>
    <row r="41" spans="1:19" ht="8.25" customHeight="1">
      <c r="B41" s="1139" t="str">
        <f t="shared" si="0"/>
        <v/>
      </c>
      <c r="C41" s="1140" t="str">
        <f t="shared" si="1"/>
        <v/>
      </c>
      <c r="D41" s="1141"/>
      <c r="E41" s="1141"/>
      <c r="F41" s="1140" t="str">
        <f t="shared" si="2"/>
        <v/>
      </c>
      <c r="G41" s="1141"/>
      <c r="H41" s="1141"/>
      <c r="I41" s="1140" t="str">
        <f t="shared" si="3"/>
        <v/>
      </c>
      <c r="J41" s="1141"/>
      <c r="K41" s="1141"/>
      <c r="L41" s="1140" t="str">
        <f t="shared" si="4"/>
        <v/>
      </c>
      <c r="M41" s="1141"/>
      <c r="N41" s="1141"/>
      <c r="O41" s="1140" t="str">
        <f t="shared" si="5"/>
        <v/>
      </c>
      <c r="P41" s="1141"/>
      <c r="Q41" s="1141"/>
      <c r="R41" s="1140" t="str">
        <f t="shared" si="6"/>
        <v/>
      </c>
      <c r="S41" s="1141"/>
    </row>
    <row r="42" spans="1:19" ht="12.95" customHeight="1">
      <c r="A42" s="847" t="s">
        <v>41</v>
      </c>
      <c r="B42" s="1139">
        <f t="shared" si="0"/>
        <v>1955</v>
      </c>
      <c r="C42" s="1140">
        <f t="shared" si="1"/>
        <v>8.8257866462010739</v>
      </c>
      <c r="D42" s="1141"/>
      <c r="E42" s="1141">
        <f>SUM(E43:E50)</f>
        <v>95</v>
      </c>
      <c r="F42" s="1140">
        <f t="shared" si="2"/>
        <v>4.859335038363171</v>
      </c>
      <c r="G42" s="1141"/>
      <c r="H42" s="1141">
        <f>SUM(H43:H50)</f>
        <v>147</v>
      </c>
      <c r="I42" s="1140">
        <f t="shared" si="3"/>
        <v>7.5191815856777495</v>
      </c>
      <c r="J42" s="1141"/>
      <c r="K42" s="1141">
        <f>SUM(K43:K50)</f>
        <v>211</v>
      </c>
      <c r="L42" s="1140">
        <f t="shared" si="4"/>
        <v>10.792838874680307</v>
      </c>
      <c r="M42" s="1141"/>
      <c r="N42" s="1141">
        <f>SUM(N43:N50)</f>
        <v>222</v>
      </c>
      <c r="O42" s="1140">
        <f t="shared" si="5"/>
        <v>11.355498721227622</v>
      </c>
      <c r="P42" s="1141"/>
      <c r="Q42" s="1141">
        <f>SUM(Q43:Q50)</f>
        <v>1280</v>
      </c>
      <c r="R42" s="1140">
        <f t="shared" si="6"/>
        <v>65.473145780051155</v>
      </c>
      <c r="S42" s="1141"/>
    </row>
    <row r="43" spans="1:19" ht="12.95" customHeight="1">
      <c r="A43" s="847" t="s">
        <v>330</v>
      </c>
      <c r="B43" s="1139">
        <f t="shared" si="0"/>
        <v>262</v>
      </c>
      <c r="C43" s="1140">
        <f t="shared" si="1"/>
        <v>1.182790844657126</v>
      </c>
      <c r="D43" s="1141"/>
      <c r="E43" s="1047">
        <v>14</v>
      </c>
      <c r="F43" s="1140">
        <f t="shared" si="2"/>
        <v>5.343511450381679</v>
      </c>
      <c r="G43" s="1142"/>
      <c r="H43" s="1047">
        <v>15</v>
      </c>
      <c r="I43" s="1140">
        <f t="shared" si="3"/>
        <v>5.7251908396946565</v>
      </c>
      <c r="J43" s="1142"/>
      <c r="K43" s="1047">
        <v>23</v>
      </c>
      <c r="L43" s="1140">
        <f t="shared" si="4"/>
        <v>8.778625954198473</v>
      </c>
      <c r="M43" s="1142"/>
      <c r="N43" s="1047">
        <v>27</v>
      </c>
      <c r="O43" s="1140">
        <f t="shared" si="5"/>
        <v>10.305343511450381</v>
      </c>
      <c r="P43" s="1142"/>
      <c r="Q43" s="1047">
        <v>183</v>
      </c>
      <c r="R43" s="1142">
        <v>69.847328244274806</v>
      </c>
      <c r="S43" s="847"/>
    </row>
    <row r="44" spans="1:19" ht="12.95" customHeight="1">
      <c r="A44" s="847" t="s">
        <v>42</v>
      </c>
      <c r="B44" s="1139">
        <f t="shared" si="0"/>
        <v>222</v>
      </c>
      <c r="C44" s="1140">
        <f t="shared" si="1"/>
        <v>1.0022120897476412</v>
      </c>
      <c r="D44" s="1141"/>
      <c r="E44" s="1047">
        <v>6</v>
      </c>
      <c r="F44" s="1140">
        <f t="shared" si="2"/>
        <v>2.7027027027027026</v>
      </c>
      <c r="G44" s="1142"/>
      <c r="H44" s="1047">
        <v>18</v>
      </c>
      <c r="I44" s="1140">
        <f t="shared" si="3"/>
        <v>8.1081081081081088</v>
      </c>
      <c r="J44" s="1142"/>
      <c r="K44" s="1047">
        <v>19</v>
      </c>
      <c r="L44" s="1140">
        <f t="shared" si="4"/>
        <v>8.5585585585585591</v>
      </c>
      <c r="M44" s="1142"/>
      <c r="N44" s="1047">
        <v>22</v>
      </c>
      <c r="O44" s="1140">
        <f t="shared" si="5"/>
        <v>9.9099099099099099</v>
      </c>
      <c r="P44" s="1142"/>
      <c r="Q44" s="1047">
        <v>157</v>
      </c>
      <c r="R44" s="1142">
        <v>70.720720720720706</v>
      </c>
      <c r="S44" s="847"/>
    </row>
    <row r="45" spans="1:19" ht="12.95" customHeight="1">
      <c r="A45" s="847" t="s">
        <v>43</v>
      </c>
      <c r="B45" s="1139">
        <f t="shared" si="0"/>
        <v>130</v>
      </c>
      <c r="C45" s="1140">
        <f t="shared" si="1"/>
        <v>0.58688095345582592</v>
      </c>
      <c r="D45" s="1141"/>
      <c r="E45" s="1047">
        <v>15</v>
      </c>
      <c r="F45" s="1140">
        <f t="shared" si="2"/>
        <v>11.538461538461538</v>
      </c>
      <c r="G45" s="1142"/>
      <c r="H45" s="1047">
        <v>18</v>
      </c>
      <c r="I45" s="1140">
        <f t="shared" si="3"/>
        <v>13.846153846153847</v>
      </c>
      <c r="J45" s="1142"/>
      <c r="K45" s="1047">
        <v>28</v>
      </c>
      <c r="L45" s="1140">
        <f t="shared" si="4"/>
        <v>21.53846153846154</v>
      </c>
      <c r="M45" s="1142"/>
      <c r="N45" s="1047">
        <v>22</v>
      </c>
      <c r="O45" s="1140">
        <f t="shared" si="5"/>
        <v>16.923076923076923</v>
      </c>
      <c r="P45" s="1142"/>
      <c r="Q45" s="1047">
        <v>47</v>
      </c>
      <c r="R45" s="1142">
        <v>36.153846153846203</v>
      </c>
      <c r="S45" s="847"/>
    </row>
    <row r="46" spans="1:19" ht="12.95" customHeight="1">
      <c r="A46" s="847" t="s">
        <v>44</v>
      </c>
      <c r="B46" s="1139">
        <f t="shared" si="0"/>
        <v>238</v>
      </c>
      <c r="C46" s="1140">
        <f t="shared" si="1"/>
        <v>1.0744435917114352</v>
      </c>
      <c r="D46" s="1141"/>
      <c r="E46" s="1047">
        <v>10</v>
      </c>
      <c r="F46" s="1140">
        <f t="shared" si="2"/>
        <v>4.2016806722689077</v>
      </c>
      <c r="G46" s="1142"/>
      <c r="H46" s="1047">
        <v>21</v>
      </c>
      <c r="I46" s="1140">
        <f t="shared" si="3"/>
        <v>8.8235294117647065</v>
      </c>
      <c r="J46" s="1142"/>
      <c r="K46" s="1047">
        <v>21</v>
      </c>
      <c r="L46" s="1140">
        <f t="shared" si="4"/>
        <v>8.8235294117647065</v>
      </c>
      <c r="M46" s="1142"/>
      <c r="N46" s="1047">
        <v>34</v>
      </c>
      <c r="O46" s="1140">
        <f t="shared" si="5"/>
        <v>14.285714285714285</v>
      </c>
      <c r="P46" s="1142"/>
      <c r="Q46" s="1047">
        <v>152</v>
      </c>
      <c r="R46" s="1142">
        <v>63.865546218487403</v>
      </c>
      <c r="S46" s="847"/>
    </row>
    <row r="47" spans="1:19" ht="12.95" customHeight="1">
      <c r="A47" s="847" t="s">
        <v>48</v>
      </c>
      <c r="B47" s="1139">
        <f t="shared" si="0"/>
        <v>409</v>
      </c>
      <c r="C47" s="1140">
        <f t="shared" si="1"/>
        <v>1.8464177689494832</v>
      </c>
      <c r="D47" s="1141"/>
      <c r="E47" s="1047">
        <v>14</v>
      </c>
      <c r="F47" s="1140">
        <f t="shared" si="2"/>
        <v>3.4229828850855744</v>
      </c>
      <c r="G47" s="1142"/>
      <c r="H47" s="1047">
        <v>35</v>
      </c>
      <c r="I47" s="1140">
        <f t="shared" si="3"/>
        <v>8.5574572127139366</v>
      </c>
      <c r="J47" s="1142"/>
      <c r="K47" s="1047">
        <v>41</v>
      </c>
      <c r="L47" s="1140">
        <f t="shared" si="4"/>
        <v>10.024449877750612</v>
      </c>
      <c r="M47" s="1142"/>
      <c r="N47" s="1047">
        <v>49</v>
      </c>
      <c r="O47" s="1140">
        <f t="shared" si="5"/>
        <v>11.98044009779951</v>
      </c>
      <c r="P47" s="1142"/>
      <c r="Q47" s="1047">
        <v>270</v>
      </c>
      <c r="R47" s="1142">
        <v>66.014669926650399</v>
      </c>
      <c r="S47" s="847"/>
    </row>
    <row r="48" spans="1:19" ht="12.95" customHeight="1">
      <c r="A48" s="847" t="s">
        <v>331</v>
      </c>
      <c r="B48" s="1139">
        <f t="shared" si="0"/>
        <v>216</v>
      </c>
      <c r="C48" s="1140">
        <f>IF(A48&lt;&gt;0,B48/$B$12*100,"")</f>
        <v>0.97512527651121839</v>
      </c>
      <c r="D48" s="1141"/>
      <c r="E48" s="1047">
        <v>5</v>
      </c>
      <c r="F48" s="1140">
        <f t="shared" si="2"/>
        <v>2.3148148148148149</v>
      </c>
      <c r="G48" s="1142"/>
      <c r="H48" s="1047">
        <v>11</v>
      </c>
      <c r="I48" s="1140">
        <f t="shared" si="3"/>
        <v>5.0925925925925926</v>
      </c>
      <c r="J48" s="1142"/>
      <c r="K48" s="1047">
        <v>16</v>
      </c>
      <c r="L48" s="1140">
        <f t="shared" si="4"/>
        <v>7.4074074074074066</v>
      </c>
      <c r="M48" s="1142"/>
      <c r="N48" s="1047">
        <v>12</v>
      </c>
      <c r="O48" s="1140">
        <f t="shared" si="5"/>
        <v>5.5555555555555554</v>
      </c>
      <c r="P48" s="1142"/>
      <c r="Q48" s="1047">
        <v>172</v>
      </c>
      <c r="R48" s="1142">
        <v>79.629629629629605</v>
      </c>
      <c r="S48" s="847"/>
    </row>
    <row r="49" spans="1:19" ht="12.95" customHeight="1">
      <c r="A49" s="847" t="s">
        <v>47</v>
      </c>
      <c r="B49" s="1139">
        <f t="shared" si="0"/>
        <v>164</v>
      </c>
      <c r="C49" s="1140">
        <f t="shared" si="1"/>
        <v>0.74037289512888815</v>
      </c>
      <c r="D49" s="1141"/>
      <c r="E49" s="1047">
        <v>15</v>
      </c>
      <c r="F49" s="1140">
        <f t="shared" si="2"/>
        <v>9.1463414634146343</v>
      </c>
      <c r="G49" s="1142"/>
      <c r="H49" s="1047">
        <v>12</v>
      </c>
      <c r="I49" s="1140">
        <f t="shared" si="3"/>
        <v>7.3170731707317067</v>
      </c>
      <c r="J49" s="1142"/>
      <c r="K49" s="1047">
        <v>26</v>
      </c>
      <c r="L49" s="1140">
        <f t="shared" si="4"/>
        <v>15.853658536585366</v>
      </c>
      <c r="M49" s="1142"/>
      <c r="N49" s="1047">
        <v>18</v>
      </c>
      <c r="O49" s="1140">
        <f t="shared" si="5"/>
        <v>10.975609756097562</v>
      </c>
      <c r="P49" s="1142"/>
      <c r="Q49" s="1047">
        <v>93</v>
      </c>
      <c r="R49" s="1142">
        <v>56.707317073170699</v>
      </c>
      <c r="S49" s="847"/>
    </row>
    <row r="50" spans="1:19" ht="12.95" customHeight="1">
      <c r="A50" s="847" t="s">
        <v>46</v>
      </c>
      <c r="B50" s="1139">
        <f t="shared" si="0"/>
        <v>314</v>
      </c>
      <c r="C50" s="1140">
        <f t="shared" si="1"/>
        <v>1.4175432260394565</v>
      </c>
      <c r="D50" s="1141"/>
      <c r="E50" s="1047">
        <v>16</v>
      </c>
      <c r="F50" s="1140">
        <f t="shared" si="2"/>
        <v>5.095541401273886</v>
      </c>
      <c r="G50" s="1142"/>
      <c r="H50" s="1047">
        <v>17</v>
      </c>
      <c r="I50" s="1140">
        <f t="shared" si="3"/>
        <v>5.4140127388535033</v>
      </c>
      <c r="J50" s="1142"/>
      <c r="K50" s="1047">
        <v>37</v>
      </c>
      <c r="L50" s="1140">
        <f t="shared" si="4"/>
        <v>11.783439490445859</v>
      </c>
      <c r="M50" s="1142"/>
      <c r="N50" s="1047">
        <v>38</v>
      </c>
      <c r="O50" s="1140">
        <f t="shared" si="5"/>
        <v>12.101910828025478</v>
      </c>
      <c r="P50" s="1142"/>
      <c r="Q50" s="1047">
        <v>206</v>
      </c>
      <c r="R50" s="1142">
        <v>65.605095541401298</v>
      </c>
      <c r="S50" s="847"/>
    </row>
    <row r="51" spans="1:19" ht="9" customHeight="1">
      <c r="B51" s="1139" t="str">
        <f t="shared" si="0"/>
        <v/>
      </c>
      <c r="C51" s="1140" t="str">
        <f t="shared" si="1"/>
        <v/>
      </c>
      <c r="D51" s="1141"/>
      <c r="E51" s="1047"/>
      <c r="F51" s="1140" t="str">
        <f t="shared" si="2"/>
        <v/>
      </c>
      <c r="G51" s="1142"/>
      <c r="H51" s="1047"/>
      <c r="I51" s="1140" t="str">
        <f t="shared" si="3"/>
        <v/>
      </c>
      <c r="J51" s="1142"/>
      <c r="K51" s="1047"/>
      <c r="L51" s="1140" t="str">
        <f t="shared" si="4"/>
        <v/>
      </c>
      <c r="M51" s="1142"/>
      <c r="N51" s="1047"/>
      <c r="O51" s="1140" t="str">
        <f t="shared" si="5"/>
        <v/>
      </c>
      <c r="P51" s="1142"/>
      <c r="Q51" s="1047"/>
      <c r="R51" s="1142"/>
      <c r="S51" s="847"/>
    </row>
    <row r="52" spans="1:19" ht="12.95" customHeight="1">
      <c r="A52" s="847" t="s">
        <v>50</v>
      </c>
      <c r="B52" s="1139">
        <f t="shared" si="0"/>
        <v>432</v>
      </c>
      <c r="C52" s="1140">
        <f t="shared" si="1"/>
        <v>1.9502505530224368</v>
      </c>
      <c r="D52" s="1141"/>
      <c r="E52" s="1047">
        <v>29</v>
      </c>
      <c r="F52" s="1140">
        <f t="shared" si="2"/>
        <v>6.7129629629629637</v>
      </c>
      <c r="G52" s="1142"/>
      <c r="H52" s="1047">
        <v>29</v>
      </c>
      <c r="I52" s="1140">
        <f t="shared" si="3"/>
        <v>6.7129629629629637</v>
      </c>
      <c r="J52" s="1142"/>
      <c r="K52" s="1047">
        <v>65</v>
      </c>
      <c r="L52" s="1140">
        <f t="shared" si="4"/>
        <v>15.046296296296296</v>
      </c>
      <c r="M52" s="1142"/>
      <c r="N52" s="1047">
        <v>63</v>
      </c>
      <c r="O52" s="1140">
        <f t="shared" si="5"/>
        <v>14.583333333333334</v>
      </c>
      <c r="P52" s="1142"/>
      <c r="Q52" s="1047">
        <v>246</v>
      </c>
      <c r="R52" s="1142">
        <v>56.9444444444444</v>
      </c>
      <c r="S52" s="847"/>
    </row>
    <row r="53" spans="1:19" ht="8.25" customHeight="1">
      <c r="B53" s="1139" t="str">
        <f t="shared" si="0"/>
        <v/>
      </c>
      <c r="C53" s="1140" t="str">
        <f t="shared" si="1"/>
        <v/>
      </c>
      <c r="D53" s="1141"/>
      <c r="E53" s="1141"/>
      <c r="F53" s="1140" t="str">
        <f t="shared" si="2"/>
        <v/>
      </c>
      <c r="G53" s="1141"/>
      <c r="H53" s="1141"/>
      <c r="I53" s="1140" t="str">
        <f t="shared" si="3"/>
        <v/>
      </c>
      <c r="J53" s="1141"/>
      <c r="K53" s="1141"/>
      <c r="L53" s="1140" t="str">
        <f t="shared" si="4"/>
        <v/>
      </c>
      <c r="M53" s="1141"/>
      <c r="N53" s="1141"/>
      <c r="O53" s="1140" t="str">
        <f t="shared" si="5"/>
        <v/>
      </c>
      <c r="P53" s="1141"/>
      <c r="Q53" s="1141"/>
      <c r="R53" s="1140" t="str">
        <f t="shared" si="6"/>
        <v/>
      </c>
      <c r="S53" s="1141"/>
    </row>
    <row r="54" spans="1:19" ht="12.95" customHeight="1">
      <c r="A54" s="847" t="s">
        <v>51</v>
      </c>
      <c r="B54" s="1139">
        <f t="shared" si="0"/>
        <v>2009</v>
      </c>
      <c r="C54" s="1140">
        <f t="shared" si="1"/>
        <v>9.0695679653288792</v>
      </c>
      <c r="D54" s="1141"/>
      <c r="E54" s="1141">
        <f>SUM(E55:E59)</f>
        <v>57</v>
      </c>
      <c r="F54" s="1140">
        <f t="shared" si="2"/>
        <v>2.8372324539571925</v>
      </c>
      <c r="G54" s="1141"/>
      <c r="H54" s="1141">
        <f>SUM(H55:H59)</f>
        <v>89</v>
      </c>
      <c r="I54" s="1140">
        <f t="shared" si="3"/>
        <v>4.4300647088103533</v>
      </c>
      <c r="J54" s="1141"/>
      <c r="K54" s="1141">
        <f>SUM(K55:K59)</f>
        <v>191</v>
      </c>
      <c r="L54" s="1140">
        <f t="shared" si="4"/>
        <v>9.5072175211548036</v>
      </c>
      <c r="M54" s="1141"/>
      <c r="N54" s="1141">
        <f>SUM(N55:N59)</f>
        <v>250</v>
      </c>
      <c r="O54" s="1140">
        <f t="shared" si="5"/>
        <v>12.444001991040318</v>
      </c>
      <c r="P54" s="1141"/>
      <c r="Q54" s="1141">
        <f>SUM(Q55:Q59)</f>
        <v>1422</v>
      </c>
      <c r="R54" s="1140">
        <f t="shared" si="6"/>
        <v>70.781483325037328</v>
      </c>
      <c r="S54" s="1141"/>
    </row>
    <row r="55" spans="1:19" ht="12.95" customHeight="1">
      <c r="A55" s="847" t="s">
        <v>52</v>
      </c>
      <c r="B55" s="1139">
        <f t="shared" si="0"/>
        <v>35</v>
      </c>
      <c r="C55" s="1140">
        <f t="shared" si="1"/>
        <v>0.15800641054579928</v>
      </c>
      <c r="D55" s="1141"/>
      <c r="E55" s="1047">
        <v>0</v>
      </c>
      <c r="F55" s="1140">
        <f t="shared" si="2"/>
        <v>0</v>
      </c>
      <c r="G55" s="1142"/>
      <c r="H55" s="1047">
        <v>1</v>
      </c>
      <c r="I55" s="1140">
        <f t="shared" si="3"/>
        <v>2.8571428571428572</v>
      </c>
      <c r="J55" s="1142"/>
      <c r="K55" s="1047">
        <v>2</v>
      </c>
      <c r="L55" s="1140">
        <f t="shared" si="4"/>
        <v>5.7142857142857144</v>
      </c>
      <c r="M55" s="1142"/>
      <c r="N55" s="1047">
        <v>5</v>
      </c>
      <c r="O55" s="1140">
        <f t="shared" si="5"/>
        <v>14.285714285714285</v>
      </c>
      <c r="P55" s="1142"/>
      <c r="Q55" s="1047">
        <v>27</v>
      </c>
      <c r="R55" s="1140">
        <f t="shared" si="6"/>
        <v>77.142857142857153</v>
      </c>
      <c r="S55" s="847"/>
    </row>
    <row r="56" spans="1:19" ht="12.95" customHeight="1">
      <c r="A56" s="847" t="s">
        <v>53</v>
      </c>
      <c r="B56" s="1139">
        <f t="shared" si="0"/>
        <v>1288</v>
      </c>
      <c r="C56" s="1140">
        <f t="shared" si="1"/>
        <v>5.814635908085414</v>
      </c>
      <c r="D56" s="1141"/>
      <c r="E56" s="1047">
        <v>33</v>
      </c>
      <c r="F56" s="1140">
        <f t="shared" si="2"/>
        <v>2.5621118012422359</v>
      </c>
      <c r="G56" s="1142"/>
      <c r="H56" s="1047">
        <v>51</v>
      </c>
      <c r="I56" s="1140">
        <f t="shared" si="3"/>
        <v>3.9596273291925463</v>
      </c>
      <c r="J56" s="1142"/>
      <c r="K56" s="1047">
        <v>115</v>
      </c>
      <c r="L56" s="1140">
        <f t="shared" si="4"/>
        <v>8.9285714285714288</v>
      </c>
      <c r="M56" s="1142"/>
      <c r="N56" s="1047">
        <v>166</v>
      </c>
      <c r="O56" s="1140">
        <f t="shared" si="5"/>
        <v>12.888198757763975</v>
      </c>
      <c r="P56" s="1142"/>
      <c r="Q56" s="1047">
        <v>923</v>
      </c>
      <c r="R56" s="1140">
        <f t="shared" si="6"/>
        <v>71.661490683229815</v>
      </c>
      <c r="S56" s="847"/>
    </row>
    <row r="57" spans="1:19" ht="12.95" customHeight="1">
      <c r="A57" s="847" t="s">
        <v>54</v>
      </c>
      <c r="B57" s="1139">
        <f t="shared" si="0"/>
        <v>226</v>
      </c>
      <c r="C57" s="1140">
        <f t="shared" si="1"/>
        <v>1.0202699652385896</v>
      </c>
      <c r="D57" s="1141"/>
      <c r="E57" s="1047">
        <v>9</v>
      </c>
      <c r="F57" s="1140">
        <f t="shared" si="2"/>
        <v>3.9823008849557522</v>
      </c>
      <c r="G57" s="1142"/>
      <c r="H57" s="1047">
        <v>13</v>
      </c>
      <c r="I57" s="1140">
        <f t="shared" si="3"/>
        <v>5.7522123893805306</v>
      </c>
      <c r="J57" s="1142"/>
      <c r="K57" s="1047">
        <v>26</v>
      </c>
      <c r="L57" s="1140">
        <f t="shared" si="4"/>
        <v>11.504424778761061</v>
      </c>
      <c r="M57" s="1142"/>
      <c r="N57" s="1047">
        <v>31</v>
      </c>
      <c r="O57" s="1140">
        <f t="shared" si="5"/>
        <v>13.716814159292035</v>
      </c>
      <c r="P57" s="1142"/>
      <c r="Q57" s="1047">
        <v>147</v>
      </c>
      <c r="R57" s="1140">
        <f t="shared" si="6"/>
        <v>65.044247787610615</v>
      </c>
      <c r="S57" s="847"/>
    </row>
    <row r="58" spans="1:19" ht="12.95" customHeight="1">
      <c r="A58" s="847" t="s">
        <v>332</v>
      </c>
      <c r="B58" s="1139">
        <f t="shared" si="0"/>
        <v>304</v>
      </c>
      <c r="C58" s="1140">
        <f t="shared" si="1"/>
        <v>1.3723985373120853</v>
      </c>
      <c r="D58" s="1141"/>
      <c r="E58" s="1047">
        <v>10</v>
      </c>
      <c r="F58" s="1140">
        <f t="shared" si="2"/>
        <v>3.2894736842105261</v>
      </c>
      <c r="G58" s="1142"/>
      <c r="H58" s="1047">
        <v>12</v>
      </c>
      <c r="I58" s="1140">
        <f t="shared" si="3"/>
        <v>3.9473684210526314</v>
      </c>
      <c r="J58" s="1142"/>
      <c r="K58" s="1047">
        <v>27</v>
      </c>
      <c r="L58" s="1140">
        <f t="shared" si="4"/>
        <v>8.8815789473684212</v>
      </c>
      <c r="M58" s="1142"/>
      <c r="N58" s="1047">
        <v>32</v>
      </c>
      <c r="O58" s="1140">
        <f t="shared" si="5"/>
        <v>10.526315789473683</v>
      </c>
      <c r="P58" s="1142"/>
      <c r="Q58" s="1047">
        <v>223</v>
      </c>
      <c r="R58" s="1140">
        <f t="shared" si="6"/>
        <v>73.35526315789474</v>
      </c>
      <c r="S58" s="847"/>
    </row>
    <row r="59" spans="1:19" ht="12.95" customHeight="1">
      <c r="A59" s="847" t="s">
        <v>56</v>
      </c>
      <c r="B59" s="1139">
        <f t="shared" si="0"/>
        <v>156</v>
      </c>
      <c r="C59" s="1140">
        <f t="shared" si="1"/>
        <v>0.70425714414699114</v>
      </c>
      <c r="D59" s="1141"/>
      <c r="E59" s="1047">
        <v>5</v>
      </c>
      <c r="F59" s="1140">
        <f t="shared" si="2"/>
        <v>3.2051282051282048</v>
      </c>
      <c r="G59" s="1142"/>
      <c r="H59" s="1047">
        <v>12</v>
      </c>
      <c r="I59" s="1140">
        <f t="shared" si="3"/>
        <v>7.6923076923076925</v>
      </c>
      <c r="J59" s="1142"/>
      <c r="K59" s="1047">
        <v>21</v>
      </c>
      <c r="L59" s="1140">
        <f t="shared" si="4"/>
        <v>13.461538461538462</v>
      </c>
      <c r="M59" s="1142"/>
      <c r="N59" s="1047">
        <v>16</v>
      </c>
      <c r="O59" s="1140">
        <f t="shared" si="5"/>
        <v>10.256410256410255</v>
      </c>
      <c r="P59" s="1142"/>
      <c r="Q59" s="1047">
        <v>102</v>
      </c>
      <c r="R59" s="1140">
        <f t="shared" si="6"/>
        <v>65.384615384615387</v>
      </c>
      <c r="S59" s="847"/>
    </row>
    <row r="60" spans="1:19" ht="9" customHeight="1">
      <c r="B60" s="1139" t="str">
        <f t="shared" si="0"/>
        <v/>
      </c>
      <c r="C60" s="1140" t="str">
        <f t="shared" si="1"/>
        <v/>
      </c>
      <c r="D60" s="1141"/>
      <c r="E60" s="1141"/>
      <c r="F60" s="1140" t="str">
        <f t="shared" si="2"/>
        <v/>
      </c>
      <c r="G60" s="1141"/>
      <c r="H60" s="1141"/>
      <c r="I60" s="1140" t="str">
        <f t="shared" si="3"/>
        <v/>
      </c>
      <c r="J60" s="1141"/>
      <c r="K60" s="1141"/>
      <c r="L60" s="1140" t="str">
        <f t="shared" si="4"/>
        <v/>
      </c>
      <c r="M60" s="1141"/>
      <c r="N60" s="1141"/>
      <c r="O60" s="1140" t="str">
        <f t="shared" si="5"/>
        <v/>
      </c>
      <c r="P60" s="1141"/>
      <c r="Q60" s="1141"/>
      <c r="R60" s="1140" t="str">
        <f t="shared" si="6"/>
        <v/>
      </c>
      <c r="S60" s="1141"/>
    </row>
    <row r="61" spans="1:19" s="867" customFormat="1" ht="12.95" customHeight="1">
      <c r="A61" s="867" t="s">
        <v>333</v>
      </c>
      <c r="B61" s="1139">
        <f t="shared" si="0"/>
        <v>1878</v>
      </c>
      <c r="C61" s="1138">
        <f t="shared" si="1"/>
        <v>8.4781725430003156</v>
      </c>
      <c r="D61" s="1139"/>
      <c r="E61" s="1139">
        <f>SUM(E62+E64+E71+E73)</f>
        <v>120</v>
      </c>
      <c r="F61" s="1138">
        <f t="shared" si="2"/>
        <v>6.3897763578274756</v>
      </c>
      <c r="G61" s="1139"/>
      <c r="H61" s="1139">
        <f>SUM(H62+H64+H71+H73)</f>
        <v>170</v>
      </c>
      <c r="I61" s="1138">
        <f t="shared" si="3"/>
        <v>9.0521831735889258</v>
      </c>
      <c r="J61" s="1139"/>
      <c r="K61" s="1139">
        <f>SUM(K62+K64+K71+K73)</f>
        <v>239</v>
      </c>
      <c r="L61" s="1138">
        <f t="shared" si="4"/>
        <v>12.726304579339724</v>
      </c>
      <c r="M61" s="1139"/>
      <c r="N61" s="1139">
        <f>SUM(N62+N64+N71+N73)</f>
        <v>267</v>
      </c>
      <c r="O61" s="1138">
        <f t="shared" si="5"/>
        <v>14.217252396166133</v>
      </c>
      <c r="P61" s="1139"/>
      <c r="Q61" s="1139">
        <f>SUM(Q62+Q64+Q71+Q73)</f>
        <v>1082</v>
      </c>
      <c r="R61" s="1138">
        <f t="shared" si="6"/>
        <v>57.614483493077742</v>
      </c>
      <c r="S61" s="1139"/>
    </row>
    <row r="62" spans="1:19" ht="12.95" customHeight="1">
      <c r="A62" s="847" t="s">
        <v>334</v>
      </c>
      <c r="B62" s="1139">
        <f t="shared" si="0"/>
        <v>265</v>
      </c>
      <c r="C62" s="1140">
        <f t="shared" si="1"/>
        <v>1.1963342512753374</v>
      </c>
      <c r="D62" s="1141"/>
      <c r="E62" s="1047">
        <v>26</v>
      </c>
      <c r="F62" s="1140">
        <f t="shared" si="2"/>
        <v>9.8113207547169825</v>
      </c>
      <c r="G62" s="1142"/>
      <c r="H62" s="1047">
        <v>21</v>
      </c>
      <c r="I62" s="1140">
        <f t="shared" si="3"/>
        <v>7.9245283018867925</v>
      </c>
      <c r="J62" s="1142"/>
      <c r="K62" s="1047">
        <v>39</v>
      </c>
      <c r="L62" s="1140">
        <f t="shared" si="4"/>
        <v>14.716981132075471</v>
      </c>
      <c r="M62" s="1142"/>
      <c r="N62" s="1047">
        <v>34</v>
      </c>
      <c r="O62" s="1140">
        <f t="shared" si="5"/>
        <v>12.830188679245284</v>
      </c>
      <c r="P62" s="1142"/>
      <c r="Q62" s="1047">
        <v>145</v>
      </c>
      <c r="R62" s="1140">
        <f t="shared" si="6"/>
        <v>54.716981132075468</v>
      </c>
      <c r="S62" s="847"/>
    </row>
    <row r="63" spans="1:19" ht="9" customHeight="1">
      <c r="B63" s="1139" t="str">
        <f t="shared" si="0"/>
        <v/>
      </c>
      <c r="C63" s="1140" t="str">
        <f t="shared" si="1"/>
        <v/>
      </c>
      <c r="D63" s="1141"/>
      <c r="E63" s="1141"/>
      <c r="F63" s="1140" t="str">
        <f t="shared" si="2"/>
        <v/>
      </c>
      <c r="G63" s="1141"/>
      <c r="H63" s="1141"/>
      <c r="I63" s="1140" t="str">
        <f t="shared" si="3"/>
        <v/>
      </c>
      <c r="J63" s="1141"/>
      <c r="K63" s="1141"/>
      <c r="L63" s="1140" t="str">
        <f t="shared" si="4"/>
        <v/>
      </c>
      <c r="M63" s="1141"/>
      <c r="N63" s="1141"/>
      <c r="O63" s="1140" t="str">
        <f t="shared" si="5"/>
        <v/>
      </c>
      <c r="P63" s="1141"/>
      <c r="Q63" s="1141"/>
      <c r="R63" s="1140" t="str">
        <f t="shared" si="6"/>
        <v/>
      </c>
      <c r="S63" s="1141"/>
    </row>
    <row r="64" spans="1:19" ht="12.95" customHeight="1">
      <c r="A64" s="847" t="s">
        <v>60</v>
      </c>
      <c r="B64" s="1139">
        <f t="shared" si="0"/>
        <v>1088</v>
      </c>
      <c r="C64" s="1140">
        <f t="shared" si="1"/>
        <v>4.9117421335379889</v>
      </c>
      <c r="D64" s="1141"/>
      <c r="E64" s="1141">
        <f>SUM(E65:E69)</f>
        <v>49</v>
      </c>
      <c r="F64" s="1140">
        <f t="shared" si="2"/>
        <v>4.5036764705882355</v>
      </c>
      <c r="G64" s="1141"/>
      <c r="H64" s="1141">
        <f>SUM(H65:H69)</f>
        <v>98</v>
      </c>
      <c r="I64" s="1140">
        <f t="shared" si="3"/>
        <v>9.007352941176471</v>
      </c>
      <c r="J64" s="1141"/>
      <c r="K64" s="1141">
        <f>SUM(K65:K69)</f>
        <v>125</v>
      </c>
      <c r="L64" s="1140">
        <f t="shared" si="4"/>
        <v>11.488970588235293</v>
      </c>
      <c r="M64" s="1141"/>
      <c r="N64" s="1141">
        <f>SUM(N65:N69)</f>
        <v>162</v>
      </c>
      <c r="O64" s="1140">
        <f t="shared" si="5"/>
        <v>14.88970588235294</v>
      </c>
      <c r="P64" s="1141"/>
      <c r="Q64" s="1141">
        <f>SUM(Q65:Q69)</f>
        <v>654</v>
      </c>
      <c r="R64" s="1140">
        <f t="shared" si="6"/>
        <v>60.110294117647058</v>
      </c>
      <c r="S64" s="1141"/>
    </row>
    <row r="65" spans="1:19" ht="12.95" customHeight="1">
      <c r="A65" s="847" t="s">
        <v>61</v>
      </c>
      <c r="B65" s="1139">
        <f t="shared" si="0"/>
        <v>249</v>
      </c>
      <c r="C65" s="1140">
        <f t="shared" si="1"/>
        <v>1.1241027493115434</v>
      </c>
      <c r="D65" s="1141"/>
      <c r="E65" s="1047">
        <v>8</v>
      </c>
      <c r="F65" s="1140">
        <f t="shared" si="2"/>
        <v>3.2128514056224895</v>
      </c>
      <c r="G65" s="1142"/>
      <c r="H65" s="1047">
        <v>30</v>
      </c>
      <c r="I65" s="1140">
        <f t="shared" si="3"/>
        <v>12.048192771084338</v>
      </c>
      <c r="J65" s="1142"/>
      <c r="K65" s="1047">
        <v>39</v>
      </c>
      <c r="L65" s="1140">
        <f t="shared" si="4"/>
        <v>15.66265060240964</v>
      </c>
      <c r="M65" s="1142"/>
      <c r="N65" s="1047">
        <v>39</v>
      </c>
      <c r="O65" s="1140">
        <f t="shared" si="5"/>
        <v>15.66265060240964</v>
      </c>
      <c r="P65" s="1142"/>
      <c r="Q65" s="1047">
        <v>133</v>
      </c>
      <c r="R65" s="1140">
        <f t="shared" si="6"/>
        <v>53.413654618473892</v>
      </c>
      <c r="S65" s="847"/>
    </row>
    <row r="66" spans="1:19" ht="12.95" customHeight="1">
      <c r="A66" s="847" t="s">
        <v>62</v>
      </c>
      <c r="B66" s="1139">
        <f t="shared" si="0"/>
        <v>245</v>
      </c>
      <c r="C66" s="1140">
        <f t="shared" si="1"/>
        <v>1.106044873820595</v>
      </c>
      <c r="D66" s="1141"/>
      <c r="E66" s="1047">
        <v>10</v>
      </c>
      <c r="F66" s="1140">
        <f t="shared" si="2"/>
        <v>4.0816326530612246</v>
      </c>
      <c r="G66" s="1142"/>
      <c r="H66" s="1047">
        <v>16</v>
      </c>
      <c r="I66" s="1140">
        <f t="shared" si="3"/>
        <v>6.5306122448979593</v>
      </c>
      <c r="J66" s="1142"/>
      <c r="K66" s="1047">
        <v>21</v>
      </c>
      <c r="L66" s="1140">
        <f t="shared" si="4"/>
        <v>8.5714285714285712</v>
      </c>
      <c r="M66" s="1142"/>
      <c r="N66" s="1047">
        <v>39</v>
      </c>
      <c r="O66" s="1140">
        <f t="shared" si="5"/>
        <v>15.918367346938775</v>
      </c>
      <c r="P66" s="1142"/>
      <c r="Q66" s="1047">
        <v>159</v>
      </c>
      <c r="R66" s="1140">
        <f t="shared" si="6"/>
        <v>64.897959183673464</v>
      </c>
      <c r="S66" s="847"/>
    </row>
    <row r="67" spans="1:19" ht="12.95" customHeight="1">
      <c r="A67" s="847" t="s">
        <v>64</v>
      </c>
      <c r="B67" s="1139">
        <f t="shared" si="0"/>
        <v>122</v>
      </c>
      <c r="C67" s="1140">
        <f t="shared" si="1"/>
        <v>0.55076520247392902</v>
      </c>
      <c r="D67" s="1141"/>
      <c r="E67" s="1047">
        <v>8</v>
      </c>
      <c r="F67" s="1140">
        <f t="shared" si="2"/>
        <v>6.557377049180328</v>
      </c>
      <c r="G67" s="1142"/>
      <c r="H67" s="1047">
        <v>13</v>
      </c>
      <c r="I67" s="1140">
        <f t="shared" si="3"/>
        <v>10.655737704918032</v>
      </c>
      <c r="J67" s="1142"/>
      <c r="K67" s="1047">
        <v>12</v>
      </c>
      <c r="L67" s="1140">
        <f t="shared" si="4"/>
        <v>9.8360655737704921</v>
      </c>
      <c r="M67" s="1142"/>
      <c r="N67" s="1047">
        <v>23</v>
      </c>
      <c r="O67" s="1140">
        <f t="shared" si="5"/>
        <v>18.852459016393443</v>
      </c>
      <c r="P67" s="1142"/>
      <c r="Q67" s="1047">
        <v>66</v>
      </c>
      <c r="R67" s="1140">
        <f t="shared" si="6"/>
        <v>54.098360655737707</v>
      </c>
    </row>
    <row r="68" spans="1:19" ht="12.95" customHeight="1">
      <c r="A68" s="847" t="s">
        <v>63</v>
      </c>
      <c r="B68" s="1139">
        <f t="shared" si="0"/>
        <v>89</v>
      </c>
      <c r="C68" s="1140">
        <f t="shared" si="1"/>
        <v>0.40178772967360388</v>
      </c>
      <c r="D68" s="1141"/>
      <c r="E68" s="1047">
        <v>3</v>
      </c>
      <c r="F68" s="1140">
        <f t="shared" si="2"/>
        <v>3.3707865168539324</v>
      </c>
      <c r="G68" s="1142"/>
      <c r="H68" s="1047">
        <v>5</v>
      </c>
      <c r="I68" s="1140">
        <f t="shared" si="3"/>
        <v>5.6179775280898872</v>
      </c>
      <c r="J68" s="1142"/>
      <c r="K68" s="1047">
        <v>8</v>
      </c>
      <c r="L68" s="1140">
        <f t="shared" si="4"/>
        <v>8.9887640449438209</v>
      </c>
      <c r="M68" s="1142"/>
      <c r="N68" s="1047">
        <v>12</v>
      </c>
      <c r="O68" s="1140">
        <f t="shared" si="5"/>
        <v>13.48314606741573</v>
      </c>
      <c r="P68" s="1142"/>
      <c r="Q68" s="1047">
        <v>61</v>
      </c>
      <c r="R68" s="1140">
        <f t="shared" si="6"/>
        <v>68.539325842696627</v>
      </c>
      <c r="S68" s="847"/>
    </row>
    <row r="69" spans="1:19" ht="12.95" customHeight="1">
      <c r="A69" s="847" t="s">
        <v>1700</v>
      </c>
      <c r="B69" s="1139">
        <f t="shared" si="0"/>
        <v>383</v>
      </c>
      <c r="C69" s="1140">
        <f>IF(A69&lt;&gt;0,B69/$B$12*100,"")</f>
        <v>1.7290415782583179</v>
      </c>
      <c r="D69" s="1141"/>
      <c r="E69" s="1047">
        <v>20</v>
      </c>
      <c r="F69" s="1140">
        <f t="shared" si="2"/>
        <v>5.221932114882506</v>
      </c>
      <c r="G69" s="1142"/>
      <c r="H69" s="1047">
        <v>34</v>
      </c>
      <c r="I69" s="1140">
        <f t="shared" si="3"/>
        <v>8.8772845953002602</v>
      </c>
      <c r="J69" s="1142"/>
      <c r="K69" s="1047">
        <v>45</v>
      </c>
      <c r="L69" s="1140">
        <f t="shared" si="4"/>
        <v>11.74934725848564</v>
      </c>
      <c r="M69" s="1142"/>
      <c r="N69" s="1047">
        <v>49</v>
      </c>
      <c r="O69" s="1140">
        <f t="shared" si="5"/>
        <v>12.793733681462141</v>
      </c>
      <c r="P69" s="1142"/>
      <c r="Q69" s="1047">
        <v>235</v>
      </c>
      <c r="R69" s="1140">
        <f t="shared" si="6"/>
        <v>61.357702349869449</v>
      </c>
      <c r="S69" s="847"/>
    </row>
    <row r="70" spans="1:19" ht="7.5" customHeight="1">
      <c r="B70" s="1139" t="str">
        <f t="shared" si="0"/>
        <v/>
      </c>
      <c r="C70" s="1140" t="str">
        <f t="shared" si="1"/>
        <v/>
      </c>
      <c r="D70" s="1141"/>
      <c r="E70" s="1145"/>
      <c r="F70" s="1140" t="str">
        <f t="shared" si="2"/>
        <v/>
      </c>
      <c r="G70" s="1145"/>
      <c r="H70" s="1145"/>
      <c r="I70" s="1140" t="str">
        <f t="shared" si="3"/>
        <v/>
      </c>
      <c r="J70" s="1145"/>
      <c r="K70" s="1145"/>
      <c r="L70" s="1140" t="str">
        <f t="shared" si="4"/>
        <v/>
      </c>
      <c r="M70" s="1145"/>
      <c r="N70" s="1145"/>
      <c r="O70" s="1140" t="str">
        <f t="shared" si="5"/>
        <v/>
      </c>
      <c r="P70" s="1145"/>
      <c r="Q70" s="1145"/>
      <c r="R70" s="1140" t="str">
        <f t="shared" si="6"/>
        <v/>
      </c>
      <c r="S70" s="847"/>
    </row>
    <row r="71" spans="1:19" ht="12.95" customHeight="1">
      <c r="A71" s="847" t="s">
        <v>66</v>
      </c>
      <c r="B71" s="1139">
        <f t="shared" si="0"/>
        <v>222</v>
      </c>
      <c r="C71" s="1140">
        <f t="shared" si="1"/>
        <v>1.0022120897476412</v>
      </c>
      <c r="D71" s="1141"/>
      <c r="E71" s="1047">
        <v>19</v>
      </c>
      <c r="F71" s="1140">
        <f t="shared" si="2"/>
        <v>8.5585585585585591</v>
      </c>
      <c r="G71" s="1142"/>
      <c r="H71" s="1047">
        <v>16</v>
      </c>
      <c r="I71" s="1140">
        <f t="shared" si="3"/>
        <v>7.2072072072072073</v>
      </c>
      <c r="J71" s="1142"/>
      <c r="K71" s="1047">
        <v>29</v>
      </c>
      <c r="L71" s="1140">
        <f t="shared" si="4"/>
        <v>13.063063063063062</v>
      </c>
      <c r="M71" s="1142"/>
      <c r="N71" s="1047">
        <v>39</v>
      </c>
      <c r="O71" s="1140">
        <f t="shared" si="5"/>
        <v>17.567567567567568</v>
      </c>
      <c r="P71" s="1142"/>
      <c r="Q71" s="1047">
        <v>119</v>
      </c>
      <c r="R71" s="1140">
        <f t="shared" si="6"/>
        <v>53.603603603603602</v>
      </c>
      <c r="S71" s="847"/>
    </row>
    <row r="72" spans="1:19" ht="7.5" customHeight="1">
      <c r="B72" s="1139" t="str">
        <f t="shared" si="0"/>
        <v/>
      </c>
      <c r="C72" s="1140" t="str">
        <f t="shared" si="1"/>
        <v/>
      </c>
      <c r="D72" s="1141"/>
      <c r="E72" s="1047"/>
      <c r="F72" s="1140" t="str">
        <f t="shared" si="2"/>
        <v/>
      </c>
      <c r="G72" s="1142"/>
      <c r="H72" s="1047"/>
      <c r="I72" s="1140" t="str">
        <f t="shared" si="3"/>
        <v/>
      </c>
      <c r="J72" s="1142"/>
      <c r="K72" s="1047"/>
      <c r="L72" s="1140" t="str">
        <f t="shared" si="4"/>
        <v/>
      </c>
      <c r="M72" s="1142"/>
      <c r="N72" s="1047"/>
      <c r="O72" s="1140" t="str">
        <f t="shared" si="5"/>
        <v/>
      </c>
      <c r="P72" s="1142"/>
      <c r="Q72" s="1047"/>
      <c r="R72" s="1140" t="str">
        <f t="shared" si="6"/>
        <v/>
      </c>
      <c r="S72" s="847"/>
    </row>
    <row r="73" spans="1:19" ht="12.95" customHeight="1">
      <c r="A73" s="847" t="s">
        <v>67</v>
      </c>
      <c r="B73" s="1139">
        <f t="shared" si="0"/>
        <v>303</v>
      </c>
      <c r="C73" s="1140">
        <f t="shared" si="1"/>
        <v>1.3678840684393481</v>
      </c>
      <c r="D73" s="1141"/>
      <c r="E73" s="1047">
        <v>26</v>
      </c>
      <c r="F73" s="1140">
        <f t="shared" si="2"/>
        <v>8.5808580858085808</v>
      </c>
      <c r="G73" s="1142"/>
      <c r="H73" s="1047">
        <v>35</v>
      </c>
      <c r="I73" s="1140">
        <f t="shared" si="3"/>
        <v>11.55115511551155</v>
      </c>
      <c r="J73" s="1142"/>
      <c r="K73" s="1047">
        <v>46</v>
      </c>
      <c r="L73" s="1140">
        <f t="shared" si="4"/>
        <v>15.181518151815181</v>
      </c>
      <c r="M73" s="1142"/>
      <c r="N73" s="1047">
        <v>32</v>
      </c>
      <c r="O73" s="1140">
        <f t="shared" si="5"/>
        <v>10.561056105610561</v>
      </c>
      <c r="P73" s="1142"/>
      <c r="Q73" s="1047">
        <v>164</v>
      </c>
      <c r="R73" s="1140">
        <f t="shared" si="6"/>
        <v>54.125412541254128</v>
      </c>
      <c r="S73" s="847"/>
    </row>
    <row r="74" spans="1:19" ht="10.5" customHeight="1">
      <c r="A74" s="849"/>
      <c r="B74" s="857"/>
      <c r="C74" s="880"/>
      <c r="D74" s="881"/>
      <c r="E74" s="859"/>
      <c r="F74" s="1140" t="str">
        <f t="shared" si="2"/>
        <v/>
      </c>
      <c r="G74" s="880"/>
      <c r="H74" s="859"/>
      <c r="I74" s="1140" t="str">
        <f t="shared" si="3"/>
        <v/>
      </c>
      <c r="J74" s="881"/>
      <c r="K74" s="859"/>
      <c r="L74" s="1140" t="str">
        <f t="shared" si="4"/>
        <v/>
      </c>
      <c r="M74" s="881"/>
      <c r="N74" s="859"/>
      <c r="O74" s="1140" t="str">
        <f t="shared" si="5"/>
        <v/>
      </c>
      <c r="P74" s="881"/>
      <c r="Q74" s="859"/>
      <c r="R74" s="880"/>
      <c r="S74" s="880"/>
    </row>
    <row r="75" spans="1:19" s="867" customFormat="1" ht="12.95" customHeight="1">
      <c r="A75" s="867" t="s">
        <v>336</v>
      </c>
      <c r="B75" s="1139">
        <f t="shared" ref="B75:B102" si="7">IF(A75&lt;&gt;0,E75+H75+K75+N75+Q75,"")</f>
        <v>702</v>
      </c>
      <c r="C75" s="1138">
        <f t="shared" ref="C75:C102" si="8">IF(A75&lt;&gt;0,B75/$B$12*100,"")</f>
        <v>3.1691571486614598</v>
      </c>
      <c r="D75" s="1139"/>
      <c r="E75" s="1139">
        <f>SUM(E76)</f>
        <v>36</v>
      </c>
      <c r="F75" s="1138">
        <f t="shared" si="2"/>
        <v>5.1282051282051277</v>
      </c>
      <c r="G75" s="1139"/>
      <c r="H75" s="1139">
        <f>SUM(H76)</f>
        <v>44</v>
      </c>
      <c r="I75" s="1138">
        <f t="shared" si="3"/>
        <v>6.267806267806268</v>
      </c>
      <c r="J75" s="1139"/>
      <c r="K75" s="1139">
        <f>SUM(K76)</f>
        <v>86</v>
      </c>
      <c r="L75" s="1138">
        <f t="shared" si="4"/>
        <v>12.250712250712251</v>
      </c>
      <c r="M75" s="1139"/>
      <c r="N75" s="1139">
        <f>SUM(N76)</f>
        <v>71</v>
      </c>
      <c r="O75" s="1138">
        <f t="shared" si="5"/>
        <v>10.113960113960115</v>
      </c>
      <c r="P75" s="1139"/>
      <c r="Q75" s="1139">
        <f>SUM(Q76)</f>
        <v>465</v>
      </c>
      <c r="R75" s="1138">
        <f t="shared" ref="R75:R102" si="9">IF($A75&lt;&gt;0,Q75/$B75*100,"")</f>
        <v>66.239316239316238</v>
      </c>
      <c r="S75" s="1141"/>
    </row>
    <row r="76" spans="1:19" ht="12.95" customHeight="1">
      <c r="A76" s="847" t="s">
        <v>337</v>
      </c>
      <c r="B76" s="1139">
        <f t="shared" si="7"/>
        <v>702</v>
      </c>
      <c r="C76" s="1138">
        <f t="shared" si="8"/>
        <v>3.1691571486614598</v>
      </c>
      <c r="D76" s="1139"/>
      <c r="E76" s="1139">
        <f>SUM(E77:E80)</f>
        <v>36</v>
      </c>
      <c r="F76" s="1138">
        <f t="shared" si="2"/>
        <v>5.1282051282051277</v>
      </c>
      <c r="G76" s="1139"/>
      <c r="H76" s="1139">
        <f>SUM(H77:H80)</f>
        <v>44</v>
      </c>
      <c r="I76" s="1138">
        <f t="shared" si="3"/>
        <v>6.267806267806268</v>
      </c>
      <c r="J76" s="1139"/>
      <c r="K76" s="1139">
        <f>SUM(K77:K80)</f>
        <v>86</v>
      </c>
      <c r="L76" s="1138">
        <f t="shared" si="4"/>
        <v>12.250712250712251</v>
      </c>
      <c r="M76" s="1139"/>
      <c r="N76" s="1139">
        <f>SUM(N77:N80)</f>
        <v>71</v>
      </c>
      <c r="O76" s="1138">
        <f t="shared" si="5"/>
        <v>10.113960113960115</v>
      </c>
      <c r="P76" s="1139"/>
      <c r="Q76" s="1139">
        <f>SUM(Q77:Q80)</f>
        <v>465</v>
      </c>
      <c r="R76" s="1138">
        <f t="shared" si="9"/>
        <v>66.239316239316238</v>
      </c>
      <c r="S76" s="1141"/>
    </row>
    <row r="77" spans="1:19" ht="12.95" customHeight="1">
      <c r="A77" s="847" t="s">
        <v>70</v>
      </c>
      <c r="B77" s="1139">
        <f t="shared" si="7"/>
        <v>214</v>
      </c>
      <c r="C77" s="1140">
        <f t="shared" si="8"/>
        <v>0.96609633876574419</v>
      </c>
      <c r="D77" s="1141"/>
      <c r="E77" s="1047">
        <v>9</v>
      </c>
      <c r="F77" s="1140">
        <f t="shared" ref="F77:F102" si="10">IF($A77&lt;&gt;0,E77/$B77*100,"")</f>
        <v>4.2056074766355138</v>
      </c>
      <c r="G77" s="1142"/>
      <c r="H77" s="1047">
        <v>11</v>
      </c>
      <c r="I77" s="1140">
        <f t="shared" ref="I77:I102" si="11">IF($A77&lt;&gt;0,H77/$B77*100,"")</f>
        <v>5.1401869158878499</v>
      </c>
      <c r="J77" s="1142"/>
      <c r="K77" s="1047">
        <v>16</v>
      </c>
      <c r="L77" s="1140">
        <f t="shared" ref="L77:L102" si="12">IF($A77&lt;&gt;0,K77/$B77*100,"")</f>
        <v>7.4766355140186906</v>
      </c>
      <c r="M77" s="1142"/>
      <c r="N77" s="1047">
        <v>22</v>
      </c>
      <c r="O77" s="1140">
        <f t="shared" ref="O77:O102" si="13">IF($A77&lt;&gt;0,N77/$B77*100,"")</f>
        <v>10.2803738317757</v>
      </c>
      <c r="P77" s="1142"/>
      <c r="Q77" s="1047">
        <v>156</v>
      </c>
      <c r="R77" s="1140">
        <f t="shared" si="9"/>
        <v>72.89719626168224</v>
      </c>
      <c r="S77" s="847"/>
    </row>
    <row r="78" spans="1:19" ht="12.95" customHeight="1">
      <c r="A78" s="847" t="s">
        <v>71</v>
      </c>
      <c r="B78" s="1139">
        <f t="shared" si="7"/>
        <v>274</v>
      </c>
      <c r="C78" s="1140">
        <f t="shared" si="8"/>
        <v>1.2369644711299717</v>
      </c>
      <c r="D78" s="1141"/>
      <c r="E78" s="1047">
        <v>10</v>
      </c>
      <c r="F78" s="1140">
        <f t="shared" si="10"/>
        <v>3.6496350364963499</v>
      </c>
      <c r="G78" s="1142"/>
      <c r="H78" s="1047">
        <v>19</v>
      </c>
      <c r="I78" s="1140">
        <f t="shared" si="11"/>
        <v>6.9343065693430654</v>
      </c>
      <c r="J78" s="1142"/>
      <c r="K78" s="1047">
        <v>32</v>
      </c>
      <c r="L78" s="1140">
        <f t="shared" si="12"/>
        <v>11.678832116788321</v>
      </c>
      <c r="M78" s="1142"/>
      <c r="N78" s="1047">
        <v>24</v>
      </c>
      <c r="O78" s="1140">
        <f t="shared" si="13"/>
        <v>8.7591240875912408</v>
      </c>
      <c r="P78" s="1142"/>
      <c r="Q78" s="1047">
        <v>189</v>
      </c>
      <c r="R78" s="1140">
        <f t="shared" si="9"/>
        <v>68.978102189781026</v>
      </c>
      <c r="S78" s="847"/>
    </row>
    <row r="79" spans="1:19" ht="12.95" customHeight="1">
      <c r="A79" s="847" t="s">
        <v>72</v>
      </c>
      <c r="B79" s="1139">
        <f t="shared" si="7"/>
        <v>154</v>
      </c>
      <c r="C79" s="1140">
        <f t="shared" si="8"/>
        <v>0.69522820640151684</v>
      </c>
      <c r="D79" s="1141"/>
      <c r="E79" s="1047">
        <v>10</v>
      </c>
      <c r="F79" s="1140">
        <f t="shared" si="10"/>
        <v>6.4935064935064926</v>
      </c>
      <c r="G79" s="1142"/>
      <c r="H79" s="1047">
        <v>6</v>
      </c>
      <c r="I79" s="1140">
        <f t="shared" si="11"/>
        <v>3.8961038961038961</v>
      </c>
      <c r="J79" s="1142"/>
      <c r="K79" s="1047">
        <v>24</v>
      </c>
      <c r="L79" s="1140">
        <f t="shared" si="12"/>
        <v>15.584415584415584</v>
      </c>
      <c r="M79" s="1142"/>
      <c r="N79" s="1047">
        <v>20</v>
      </c>
      <c r="O79" s="1140">
        <f t="shared" si="13"/>
        <v>12.987012987012985</v>
      </c>
      <c r="P79" s="1142"/>
      <c r="Q79" s="1047">
        <v>94</v>
      </c>
      <c r="R79" s="1140">
        <f t="shared" si="9"/>
        <v>61.038961038961034</v>
      </c>
      <c r="S79" s="847"/>
    </row>
    <row r="80" spans="1:19" ht="12.95" customHeight="1">
      <c r="A80" s="847" t="s">
        <v>73</v>
      </c>
      <c r="B80" s="1139">
        <f t="shared" si="7"/>
        <v>60</v>
      </c>
      <c r="C80" s="1140">
        <f t="shared" si="8"/>
        <v>0.27086813236422735</v>
      </c>
      <c r="D80" s="1141"/>
      <c r="E80" s="1047">
        <v>7</v>
      </c>
      <c r="F80" s="1140">
        <f t="shared" si="10"/>
        <v>11.666666666666666</v>
      </c>
      <c r="G80" s="1142"/>
      <c r="H80" s="1047">
        <v>8</v>
      </c>
      <c r="I80" s="1140">
        <f t="shared" si="11"/>
        <v>13.333333333333334</v>
      </c>
      <c r="J80" s="1142"/>
      <c r="K80" s="1047">
        <v>14</v>
      </c>
      <c r="L80" s="1140">
        <f t="shared" si="12"/>
        <v>23.333333333333332</v>
      </c>
      <c r="M80" s="1142"/>
      <c r="N80" s="1047">
        <v>5</v>
      </c>
      <c r="O80" s="1140">
        <f t="shared" si="13"/>
        <v>8.3333333333333321</v>
      </c>
      <c r="P80" s="1142"/>
      <c r="Q80" s="1047">
        <v>26</v>
      </c>
      <c r="R80" s="1140">
        <f t="shared" si="9"/>
        <v>43.333333333333336</v>
      </c>
      <c r="S80" s="847"/>
    </row>
    <row r="81" spans="1:20" ht="9" customHeight="1">
      <c r="B81" s="1139" t="str">
        <f t="shared" si="7"/>
        <v/>
      </c>
      <c r="C81" s="1140" t="str">
        <f t="shared" si="8"/>
        <v/>
      </c>
      <c r="D81" s="1141"/>
      <c r="E81" s="1141"/>
      <c r="F81" s="1140" t="str">
        <f t="shared" si="10"/>
        <v/>
      </c>
      <c r="G81" s="1141"/>
      <c r="H81" s="1141"/>
      <c r="I81" s="1140" t="str">
        <f t="shared" si="11"/>
        <v/>
      </c>
      <c r="J81" s="1141"/>
      <c r="K81" s="1141"/>
      <c r="L81" s="1140" t="str">
        <f t="shared" si="12"/>
        <v/>
      </c>
      <c r="M81" s="1141"/>
      <c r="N81" s="1141"/>
      <c r="O81" s="1140" t="str">
        <f t="shared" si="13"/>
        <v/>
      </c>
      <c r="P81" s="1141"/>
      <c r="Q81" s="1141"/>
      <c r="R81" s="1140" t="str">
        <f t="shared" si="9"/>
        <v/>
      </c>
      <c r="S81" s="1141"/>
    </row>
    <row r="82" spans="1:20" s="867" customFormat="1" ht="12.95" customHeight="1">
      <c r="A82" s="867" t="s">
        <v>396</v>
      </c>
      <c r="B82" s="1139">
        <f t="shared" si="7"/>
        <v>2428</v>
      </c>
      <c r="C82" s="1138">
        <f t="shared" si="8"/>
        <v>10.961130423005732</v>
      </c>
      <c r="D82" s="1139"/>
      <c r="E82" s="1139">
        <f>SUM(E83)</f>
        <v>137</v>
      </c>
      <c r="F82" s="1138">
        <f t="shared" si="10"/>
        <v>5.6425041186161451</v>
      </c>
      <c r="G82" s="1139"/>
      <c r="H82" s="1139">
        <f>SUM(H83)</f>
        <v>202</v>
      </c>
      <c r="I82" s="1138">
        <f t="shared" si="11"/>
        <v>8.3196046128500818</v>
      </c>
      <c r="J82" s="1139"/>
      <c r="K82" s="1139">
        <f>SUM(K83)</f>
        <v>369</v>
      </c>
      <c r="L82" s="1138">
        <f t="shared" si="12"/>
        <v>15.197693574958816</v>
      </c>
      <c r="M82" s="1139"/>
      <c r="N82" s="1139">
        <f>SUM(N83)</f>
        <v>286</v>
      </c>
      <c r="O82" s="1138">
        <f t="shared" si="13"/>
        <v>11.779242174629324</v>
      </c>
      <c r="P82" s="1139"/>
      <c r="Q82" s="1139">
        <f>SUM(Q83)</f>
        <v>1434</v>
      </c>
      <c r="R82" s="1138">
        <f t="shared" si="9"/>
        <v>59.060955518945633</v>
      </c>
      <c r="S82" s="1139"/>
    </row>
    <row r="83" spans="1:20" ht="12.95" customHeight="1">
      <c r="A83" s="847" t="s">
        <v>75</v>
      </c>
      <c r="B83" s="1139">
        <f t="shared" si="7"/>
        <v>2428</v>
      </c>
      <c r="C83" s="1138">
        <f t="shared" si="8"/>
        <v>10.961130423005732</v>
      </c>
      <c r="D83" s="1139"/>
      <c r="E83" s="1139">
        <f>SUM(E84:E92)</f>
        <v>137</v>
      </c>
      <c r="F83" s="1138">
        <f t="shared" si="10"/>
        <v>5.6425041186161451</v>
      </c>
      <c r="G83" s="1139"/>
      <c r="H83" s="1139">
        <f>SUM(H84:H92)</f>
        <v>202</v>
      </c>
      <c r="I83" s="1138">
        <f t="shared" si="11"/>
        <v>8.3196046128500818</v>
      </c>
      <c r="J83" s="1139"/>
      <c r="K83" s="1139">
        <f>SUM(K84:K92)</f>
        <v>369</v>
      </c>
      <c r="L83" s="1138">
        <f t="shared" si="12"/>
        <v>15.197693574958816</v>
      </c>
      <c r="M83" s="1139"/>
      <c r="N83" s="1139">
        <f>SUM(N84:N92)</f>
        <v>286</v>
      </c>
      <c r="O83" s="1138">
        <f t="shared" si="13"/>
        <v>11.779242174629324</v>
      </c>
      <c r="P83" s="1139"/>
      <c r="Q83" s="1139">
        <f>SUM(Q84:Q92)</f>
        <v>1434</v>
      </c>
      <c r="R83" s="1138">
        <f t="shared" si="9"/>
        <v>59.060955518945633</v>
      </c>
      <c r="S83" s="1141"/>
    </row>
    <row r="84" spans="1:20" ht="12.95" customHeight="1">
      <c r="A84" s="847" t="s">
        <v>338</v>
      </c>
      <c r="B84" s="1139">
        <f t="shared" si="7"/>
        <v>241</v>
      </c>
      <c r="C84" s="1140">
        <f t="shared" si="8"/>
        <v>1.0879869983296466</v>
      </c>
      <c r="D84" s="1141"/>
      <c r="E84" s="1047">
        <v>12</v>
      </c>
      <c r="F84" s="1140">
        <f t="shared" si="10"/>
        <v>4.9792531120331951</v>
      </c>
      <c r="G84" s="1142"/>
      <c r="H84" s="1047">
        <v>17</v>
      </c>
      <c r="I84" s="1140">
        <f t="shared" si="11"/>
        <v>7.0539419087136928</v>
      </c>
      <c r="J84" s="1142"/>
      <c r="K84" s="1047">
        <v>25</v>
      </c>
      <c r="L84" s="1140">
        <f t="shared" si="12"/>
        <v>10.37344398340249</v>
      </c>
      <c r="M84" s="1142"/>
      <c r="N84" s="1047">
        <v>28</v>
      </c>
      <c r="O84" s="1140">
        <f t="shared" si="13"/>
        <v>11.618257261410788</v>
      </c>
      <c r="P84" s="1142"/>
      <c r="Q84" s="1047">
        <v>159</v>
      </c>
      <c r="R84" s="1140">
        <f t="shared" si="9"/>
        <v>65.975103734439827</v>
      </c>
      <c r="S84" s="847"/>
    </row>
    <row r="85" spans="1:20" ht="12.95" customHeight="1">
      <c r="A85" s="847" t="s">
        <v>76</v>
      </c>
      <c r="B85" s="1139">
        <f t="shared" si="7"/>
        <v>332</v>
      </c>
      <c r="C85" s="1140">
        <f t="shared" si="8"/>
        <v>1.4988036657487247</v>
      </c>
      <c r="D85" s="1141"/>
      <c r="E85" s="1047">
        <v>26</v>
      </c>
      <c r="F85" s="1140">
        <f t="shared" si="10"/>
        <v>7.8313253012048198</v>
      </c>
      <c r="G85" s="1142"/>
      <c r="H85" s="1047">
        <v>31</v>
      </c>
      <c r="I85" s="1140">
        <f t="shared" si="11"/>
        <v>9.3373493975903603</v>
      </c>
      <c r="J85" s="1142"/>
      <c r="K85" s="1047">
        <v>50</v>
      </c>
      <c r="L85" s="1140">
        <f t="shared" si="12"/>
        <v>15.060240963855422</v>
      </c>
      <c r="M85" s="1142"/>
      <c r="N85" s="1047">
        <v>39</v>
      </c>
      <c r="O85" s="1140">
        <f t="shared" si="13"/>
        <v>11.746987951807229</v>
      </c>
      <c r="P85" s="1142"/>
      <c r="Q85" s="1047">
        <v>186</v>
      </c>
      <c r="R85" s="1140">
        <f t="shared" si="9"/>
        <v>56.024096385542165</v>
      </c>
      <c r="S85" s="847"/>
    </row>
    <row r="86" spans="1:20" ht="12.95" customHeight="1">
      <c r="A86" s="847" t="s">
        <v>78</v>
      </c>
      <c r="B86" s="1139">
        <f t="shared" si="7"/>
        <v>445</v>
      </c>
      <c r="C86" s="1140">
        <f t="shared" si="8"/>
        <v>2.0089386483680194</v>
      </c>
      <c r="D86" s="1141"/>
      <c r="E86" s="1047">
        <v>25</v>
      </c>
      <c r="F86" s="1140">
        <f t="shared" si="10"/>
        <v>5.6179775280898872</v>
      </c>
      <c r="G86" s="1142"/>
      <c r="H86" s="1047">
        <v>38</v>
      </c>
      <c r="I86" s="1140">
        <f t="shared" si="11"/>
        <v>8.5393258426966288</v>
      </c>
      <c r="J86" s="1142"/>
      <c r="K86" s="1047">
        <v>72</v>
      </c>
      <c r="L86" s="1140">
        <f t="shared" si="12"/>
        <v>16.179775280898877</v>
      </c>
      <c r="M86" s="1142"/>
      <c r="N86" s="1047">
        <v>55</v>
      </c>
      <c r="O86" s="1140">
        <f t="shared" si="13"/>
        <v>12.359550561797752</v>
      </c>
      <c r="P86" s="1142"/>
      <c r="Q86" s="1047">
        <v>255</v>
      </c>
      <c r="R86" s="1140">
        <f t="shared" si="9"/>
        <v>57.303370786516851</v>
      </c>
      <c r="S86" s="847"/>
    </row>
    <row r="87" spans="1:20" ht="12.95" customHeight="1">
      <c r="A87" s="847" t="s">
        <v>80</v>
      </c>
      <c r="B87" s="1139">
        <f t="shared" si="7"/>
        <v>131</v>
      </c>
      <c r="C87" s="1140">
        <f t="shared" si="8"/>
        <v>0.59139542232856301</v>
      </c>
      <c r="D87" s="1141"/>
      <c r="E87" s="1047">
        <v>9</v>
      </c>
      <c r="F87" s="1140">
        <f t="shared" si="10"/>
        <v>6.8702290076335881</v>
      </c>
      <c r="G87" s="1142"/>
      <c r="H87" s="1047">
        <v>11</v>
      </c>
      <c r="I87" s="1140">
        <f t="shared" si="11"/>
        <v>8.3969465648854964</v>
      </c>
      <c r="J87" s="1142"/>
      <c r="K87" s="1047">
        <v>22</v>
      </c>
      <c r="L87" s="1140">
        <f t="shared" si="12"/>
        <v>16.793893129770993</v>
      </c>
      <c r="M87" s="1142"/>
      <c r="N87" s="1047">
        <v>19</v>
      </c>
      <c r="O87" s="1140">
        <f t="shared" si="13"/>
        <v>14.503816793893129</v>
      </c>
      <c r="P87" s="1142"/>
      <c r="Q87" s="1047">
        <v>70</v>
      </c>
      <c r="R87" s="1140">
        <f t="shared" si="9"/>
        <v>53.435114503816791</v>
      </c>
      <c r="S87" s="847"/>
    </row>
    <row r="88" spans="1:20" ht="12.95" customHeight="1">
      <c r="A88" s="847" t="s">
        <v>79</v>
      </c>
      <c r="B88" s="1139">
        <f t="shared" si="7"/>
        <v>181</v>
      </c>
      <c r="C88" s="1140">
        <f t="shared" si="8"/>
        <v>0.81711886596541916</v>
      </c>
      <c r="D88" s="1141"/>
      <c r="E88" s="1047">
        <v>9</v>
      </c>
      <c r="F88" s="1140">
        <f t="shared" si="10"/>
        <v>4.972375690607735</v>
      </c>
      <c r="G88" s="1142"/>
      <c r="H88" s="1047">
        <v>16</v>
      </c>
      <c r="I88" s="1140">
        <f t="shared" si="11"/>
        <v>8.8397790055248606</v>
      </c>
      <c r="J88" s="1142"/>
      <c r="K88" s="1047">
        <v>26</v>
      </c>
      <c r="L88" s="1140">
        <f t="shared" si="12"/>
        <v>14.3646408839779</v>
      </c>
      <c r="M88" s="1142"/>
      <c r="N88" s="1047">
        <v>28</v>
      </c>
      <c r="O88" s="1140">
        <f t="shared" si="13"/>
        <v>15.469613259668508</v>
      </c>
      <c r="P88" s="1142"/>
      <c r="Q88" s="1047">
        <v>102</v>
      </c>
      <c r="R88" s="1140">
        <f t="shared" si="9"/>
        <v>56.353591160220994</v>
      </c>
      <c r="S88" s="847"/>
    </row>
    <row r="89" spans="1:20" ht="12.95" customHeight="1">
      <c r="A89" s="847" t="s">
        <v>77</v>
      </c>
      <c r="B89" s="1139">
        <f t="shared" si="7"/>
        <v>285</v>
      </c>
      <c r="C89" s="1140">
        <f t="shared" si="8"/>
        <v>1.2866236287300798</v>
      </c>
      <c r="D89" s="1141"/>
      <c r="E89" s="1047">
        <v>11</v>
      </c>
      <c r="F89" s="1140">
        <f t="shared" si="10"/>
        <v>3.8596491228070176</v>
      </c>
      <c r="G89" s="1142"/>
      <c r="H89" s="1047">
        <v>30</v>
      </c>
      <c r="I89" s="1140">
        <f t="shared" si="11"/>
        <v>10.526315789473683</v>
      </c>
      <c r="J89" s="1142"/>
      <c r="K89" s="1047">
        <v>47</v>
      </c>
      <c r="L89" s="1140">
        <f t="shared" si="12"/>
        <v>16.491228070175438</v>
      </c>
      <c r="M89" s="1142"/>
      <c r="N89" s="1047">
        <v>25</v>
      </c>
      <c r="O89" s="1140">
        <f t="shared" si="13"/>
        <v>8.7719298245614024</v>
      </c>
      <c r="P89" s="1142"/>
      <c r="Q89" s="1047">
        <v>172</v>
      </c>
      <c r="R89" s="1140">
        <f t="shared" si="9"/>
        <v>60.350877192982452</v>
      </c>
      <c r="S89" s="847"/>
    </row>
    <row r="90" spans="1:20" ht="12.95" customHeight="1">
      <c r="A90" s="847" t="s">
        <v>81</v>
      </c>
      <c r="B90" s="1139">
        <f t="shared" si="7"/>
        <v>301</v>
      </c>
      <c r="C90" s="1140">
        <f t="shared" si="8"/>
        <v>1.3588551306938739</v>
      </c>
      <c r="D90" s="1141"/>
      <c r="E90" s="1047">
        <v>15</v>
      </c>
      <c r="F90" s="1140">
        <f t="shared" si="10"/>
        <v>4.9833887043189371</v>
      </c>
      <c r="G90" s="1142"/>
      <c r="H90" s="1047">
        <v>24</v>
      </c>
      <c r="I90" s="1140">
        <f t="shared" si="11"/>
        <v>7.9734219269102988</v>
      </c>
      <c r="J90" s="1142"/>
      <c r="K90" s="1047">
        <v>55</v>
      </c>
      <c r="L90" s="1140">
        <f t="shared" si="12"/>
        <v>18.272425249169437</v>
      </c>
      <c r="M90" s="1142"/>
      <c r="N90" s="1047">
        <v>33</v>
      </c>
      <c r="O90" s="1140">
        <f t="shared" si="13"/>
        <v>10.963455149501661</v>
      </c>
      <c r="P90" s="1142"/>
      <c r="Q90" s="1047">
        <v>174</v>
      </c>
      <c r="R90" s="1140">
        <f t="shared" si="9"/>
        <v>57.807308970099669</v>
      </c>
      <c r="S90" s="847"/>
    </row>
    <row r="91" spans="1:20" ht="12.95" customHeight="1">
      <c r="A91" s="847" t="s">
        <v>1152</v>
      </c>
      <c r="B91" s="1139">
        <f t="shared" si="7"/>
        <v>234</v>
      </c>
      <c r="C91" s="1140">
        <f t="shared" si="8"/>
        <v>1.0563857162204866</v>
      </c>
      <c r="D91" s="1141"/>
      <c r="E91" s="1047">
        <v>6</v>
      </c>
      <c r="F91" s="1140">
        <f t="shared" si="10"/>
        <v>2.5641025641025639</v>
      </c>
      <c r="G91" s="1142"/>
      <c r="H91" s="1047">
        <v>12</v>
      </c>
      <c r="I91" s="1140">
        <f t="shared" si="11"/>
        <v>5.1282051282051277</v>
      </c>
      <c r="J91" s="1142"/>
      <c r="K91" s="1047">
        <v>32</v>
      </c>
      <c r="L91" s="1140">
        <f t="shared" si="12"/>
        <v>13.675213675213676</v>
      </c>
      <c r="M91" s="1142"/>
      <c r="N91" s="1047">
        <v>20</v>
      </c>
      <c r="O91" s="1140">
        <f t="shared" si="13"/>
        <v>8.5470085470085468</v>
      </c>
      <c r="P91" s="1142"/>
      <c r="Q91" s="1047">
        <v>164</v>
      </c>
      <c r="R91" s="1140">
        <f t="shared" si="9"/>
        <v>70.085470085470078</v>
      </c>
      <c r="S91" s="847"/>
      <c r="T91" s="943"/>
    </row>
    <row r="92" spans="1:20" ht="12.95" customHeight="1">
      <c r="A92" s="847" t="s">
        <v>339</v>
      </c>
      <c r="B92" s="1139">
        <f t="shared" si="7"/>
        <v>278</v>
      </c>
      <c r="C92" s="1140">
        <f t="shared" si="8"/>
        <v>1.25502234662092</v>
      </c>
      <c r="D92" s="1141"/>
      <c r="E92" s="1047">
        <v>24</v>
      </c>
      <c r="F92" s="1140">
        <f t="shared" si="10"/>
        <v>8.6330935251798557</v>
      </c>
      <c r="G92" s="1142"/>
      <c r="H92" s="1047">
        <v>23</v>
      </c>
      <c r="I92" s="1140">
        <f t="shared" si="11"/>
        <v>8.2733812949640289</v>
      </c>
      <c r="J92" s="1142"/>
      <c r="K92" s="1047">
        <v>40</v>
      </c>
      <c r="L92" s="1140">
        <f t="shared" si="12"/>
        <v>14.388489208633093</v>
      </c>
      <c r="M92" s="1142"/>
      <c r="N92" s="1047">
        <v>39</v>
      </c>
      <c r="O92" s="1140">
        <f t="shared" si="13"/>
        <v>14.028776978417264</v>
      </c>
      <c r="P92" s="1142"/>
      <c r="Q92" s="1047">
        <v>152</v>
      </c>
      <c r="R92" s="1140">
        <f t="shared" si="9"/>
        <v>54.676258992805757</v>
      </c>
      <c r="S92" s="847"/>
    </row>
    <row r="93" spans="1:20" ht="8.25" customHeight="1">
      <c r="B93" s="1139" t="str">
        <f t="shared" si="7"/>
        <v/>
      </c>
      <c r="C93" s="1140" t="str">
        <f t="shared" si="8"/>
        <v/>
      </c>
      <c r="D93" s="1141"/>
      <c r="E93" s="1047"/>
      <c r="F93" s="1140" t="str">
        <f t="shared" si="10"/>
        <v/>
      </c>
      <c r="G93" s="1142"/>
      <c r="H93" s="1047"/>
      <c r="I93" s="1140" t="str">
        <f t="shared" si="11"/>
        <v/>
      </c>
      <c r="J93" s="1142"/>
      <c r="K93" s="1047"/>
      <c r="L93" s="1140" t="str">
        <f t="shared" si="12"/>
        <v/>
      </c>
      <c r="M93" s="1142"/>
      <c r="N93" s="1047"/>
      <c r="O93" s="1140" t="str">
        <f t="shared" si="13"/>
        <v/>
      </c>
      <c r="P93" s="1142"/>
      <c r="Q93" s="1047"/>
      <c r="R93" s="1140" t="str">
        <f t="shared" si="9"/>
        <v/>
      </c>
      <c r="S93" s="847"/>
    </row>
    <row r="94" spans="1:20" ht="12.95" customHeight="1">
      <c r="A94" s="847" t="s">
        <v>443</v>
      </c>
      <c r="B94" s="1139">
        <f t="shared" si="7"/>
        <v>265</v>
      </c>
      <c r="C94" s="1138">
        <f t="shared" si="8"/>
        <v>1.1963342512753374</v>
      </c>
      <c r="D94" s="1139"/>
      <c r="E94" s="1143">
        <v>3</v>
      </c>
      <c r="F94" s="1138">
        <f t="shared" si="10"/>
        <v>1.1320754716981132</v>
      </c>
      <c r="G94" s="1144"/>
      <c r="H94" s="1143">
        <v>6</v>
      </c>
      <c r="I94" s="1138">
        <f t="shared" si="11"/>
        <v>2.2641509433962264</v>
      </c>
      <c r="J94" s="1144"/>
      <c r="K94" s="1143">
        <v>11</v>
      </c>
      <c r="L94" s="1138">
        <f t="shared" si="12"/>
        <v>4.1509433962264151</v>
      </c>
      <c r="M94" s="1144"/>
      <c r="N94" s="1143">
        <v>16</v>
      </c>
      <c r="O94" s="1138">
        <f t="shared" si="13"/>
        <v>6.0377358490566042</v>
      </c>
      <c r="P94" s="1144"/>
      <c r="Q94" s="1143">
        <v>229</v>
      </c>
      <c r="R94" s="1138">
        <f t="shared" si="9"/>
        <v>86.415094339622641</v>
      </c>
      <c r="S94" s="847"/>
    </row>
    <row r="95" spans="1:20" ht="12.95" customHeight="1">
      <c r="A95" s="847" t="s">
        <v>920</v>
      </c>
      <c r="B95" s="1139">
        <f t="shared" si="7"/>
        <v>385</v>
      </c>
      <c r="C95" s="1138">
        <f t="shared" si="8"/>
        <v>1.7380705160037919</v>
      </c>
      <c r="D95" s="1139"/>
      <c r="E95" s="1143">
        <v>15</v>
      </c>
      <c r="F95" s="1138">
        <f t="shared" si="10"/>
        <v>3.8961038961038961</v>
      </c>
      <c r="G95" s="1144"/>
      <c r="H95" s="1143">
        <v>26</v>
      </c>
      <c r="I95" s="1138">
        <f t="shared" si="11"/>
        <v>6.7532467532467528</v>
      </c>
      <c r="J95" s="1144"/>
      <c r="K95" s="1143">
        <v>53</v>
      </c>
      <c r="L95" s="1138">
        <f t="shared" si="12"/>
        <v>13.766233766233766</v>
      </c>
      <c r="M95" s="1144"/>
      <c r="N95" s="1143">
        <v>52</v>
      </c>
      <c r="O95" s="1138">
        <f t="shared" si="13"/>
        <v>13.506493506493506</v>
      </c>
      <c r="P95" s="1144"/>
      <c r="Q95" s="1143">
        <v>239</v>
      </c>
      <c r="R95" s="1138">
        <f t="shared" si="9"/>
        <v>62.077922077922075</v>
      </c>
      <c r="S95" s="847"/>
    </row>
    <row r="96" spans="1:20" ht="8.25" customHeight="1">
      <c r="B96" s="1139" t="str">
        <f t="shared" si="7"/>
        <v/>
      </c>
      <c r="C96" s="1140" t="str">
        <f t="shared" si="8"/>
        <v/>
      </c>
      <c r="D96" s="1141"/>
      <c r="E96" s="1141"/>
      <c r="F96" s="1140" t="str">
        <f t="shared" si="10"/>
        <v/>
      </c>
      <c r="G96" s="1141"/>
      <c r="H96" s="1141"/>
      <c r="I96" s="1140" t="str">
        <f t="shared" si="11"/>
        <v/>
      </c>
      <c r="J96" s="1141"/>
      <c r="K96" s="1141"/>
      <c r="L96" s="1140" t="str">
        <f t="shared" si="12"/>
        <v/>
      </c>
      <c r="M96" s="1141"/>
      <c r="N96" s="1141"/>
      <c r="O96" s="1140" t="str">
        <f t="shared" si="13"/>
        <v/>
      </c>
      <c r="P96" s="1141"/>
      <c r="Q96" s="1141"/>
      <c r="R96" s="1140" t="str">
        <f t="shared" si="9"/>
        <v/>
      </c>
      <c r="S96" s="1141"/>
    </row>
    <row r="97" spans="1:19" s="867" customFormat="1" ht="12.95" customHeight="1">
      <c r="A97" s="867" t="s">
        <v>346</v>
      </c>
      <c r="B97" s="1139">
        <f t="shared" si="7"/>
        <v>7572</v>
      </c>
      <c r="C97" s="1138">
        <f t="shared" si="8"/>
        <v>34.183558304365491</v>
      </c>
      <c r="D97" s="1139"/>
      <c r="E97" s="1139">
        <f>SUM(E98:E102)</f>
        <v>170</v>
      </c>
      <c r="F97" s="1138">
        <f t="shared" si="10"/>
        <v>2.2451135763338614</v>
      </c>
      <c r="G97" s="1139"/>
      <c r="H97" s="1139">
        <f>SUM(H98:H102)</f>
        <v>252</v>
      </c>
      <c r="I97" s="1138">
        <f t="shared" si="11"/>
        <v>3.3280507131537238</v>
      </c>
      <c r="J97" s="1139"/>
      <c r="K97" s="1139">
        <f>SUM(K98:K102)</f>
        <v>467</v>
      </c>
      <c r="L97" s="1138">
        <f t="shared" si="12"/>
        <v>6.1674590596936074</v>
      </c>
      <c r="M97" s="1139"/>
      <c r="N97" s="1139">
        <f>SUM(N98:N102)</f>
        <v>621</v>
      </c>
      <c r="O97" s="1138">
        <f t="shared" si="13"/>
        <v>8.2012678288431058</v>
      </c>
      <c r="P97" s="1139"/>
      <c r="Q97" s="1139">
        <f>SUM(Q98:Q102)</f>
        <v>6062</v>
      </c>
      <c r="R97" s="1138">
        <f t="shared" si="9"/>
        <v>80.058108821975708</v>
      </c>
      <c r="S97" s="1139"/>
    </row>
    <row r="98" spans="1:19" ht="12.95" customHeight="1">
      <c r="A98" s="847" t="s">
        <v>347</v>
      </c>
      <c r="B98" s="1139">
        <f t="shared" si="7"/>
        <v>2429</v>
      </c>
      <c r="C98" s="1140">
        <f t="shared" si="8"/>
        <v>10.965644891878471</v>
      </c>
      <c r="D98" s="1141"/>
      <c r="E98" s="1047">
        <v>46</v>
      </c>
      <c r="F98" s="1140">
        <f t="shared" si="10"/>
        <v>1.8937834499794155</v>
      </c>
      <c r="G98" s="1142"/>
      <c r="H98" s="1047">
        <v>90</v>
      </c>
      <c r="I98" s="1140">
        <f t="shared" si="11"/>
        <v>3.7052284890901608</v>
      </c>
      <c r="J98" s="1142"/>
      <c r="K98" s="1047">
        <v>169</v>
      </c>
      <c r="L98" s="1140">
        <f t="shared" si="12"/>
        <v>6.9575957184026347</v>
      </c>
      <c r="M98" s="1142"/>
      <c r="N98" s="1047">
        <v>203</v>
      </c>
      <c r="O98" s="1140">
        <f t="shared" si="13"/>
        <v>8.3573487031700289</v>
      </c>
      <c r="P98" s="1142"/>
      <c r="Q98" s="1047">
        <v>1921</v>
      </c>
      <c r="R98" s="1140">
        <f t="shared" si="9"/>
        <v>79.086043639357769</v>
      </c>
      <c r="S98" s="847"/>
    </row>
    <row r="99" spans="1:19" ht="12.95" customHeight="1">
      <c r="A99" s="847" t="s">
        <v>348</v>
      </c>
      <c r="B99" s="1139">
        <f t="shared" si="7"/>
        <v>1544</v>
      </c>
      <c r="C99" s="1140">
        <f t="shared" si="8"/>
        <v>6.9703399395061174</v>
      </c>
      <c r="D99" s="1141"/>
      <c r="E99" s="1047">
        <v>33</v>
      </c>
      <c r="F99" s="1140">
        <f t="shared" si="10"/>
        <v>2.1373056994818653</v>
      </c>
      <c r="G99" s="1142"/>
      <c r="H99" s="1047">
        <v>36</v>
      </c>
      <c r="I99" s="1140">
        <f t="shared" si="11"/>
        <v>2.3316062176165802</v>
      </c>
      <c r="J99" s="1142"/>
      <c r="K99" s="1047">
        <v>91</v>
      </c>
      <c r="L99" s="1140">
        <f t="shared" si="12"/>
        <v>5.8937823834196896</v>
      </c>
      <c r="M99" s="1142"/>
      <c r="N99" s="1047">
        <v>127</v>
      </c>
      <c r="O99" s="1140">
        <f t="shared" si="13"/>
        <v>8.2253886010362702</v>
      </c>
      <c r="P99" s="1142"/>
      <c r="Q99" s="1047">
        <v>1257</v>
      </c>
      <c r="R99" s="1140">
        <f t="shared" si="9"/>
        <v>81.411917098445599</v>
      </c>
      <c r="S99" s="847"/>
    </row>
    <row r="100" spans="1:19" ht="12.95" customHeight="1">
      <c r="A100" s="847" t="s">
        <v>349</v>
      </c>
      <c r="B100" s="1139">
        <f t="shared" si="7"/>
        <v>1520</v>
      </c>
      <c r="C100" s="1140">
        <f t="shared" si="8"/>
        <v>6.861992686560427</v>
      </c>
      <c r="D100" s="1141"/>
      <c r="E100" s="1047">
        <v>41</v>
      </c>
      <c r="F100" s="1140">
        <f t="shared" si="10"/>
        <v>2.6973684210526319</v>
      </c>
      <c r="G100" s="1142"/>
      <c r="H100" s="1047">
        <v>64</v>
      </c>
      <c r="I100" s="1140">
        <f t="shared" si="11"/>
        <v>4.2105263157894735</v>
      </c>
      <c r="J100" s="1142"/>
      <c r="K100" s="1047">
        <v>86</v>
      </c>
      <c r="L100" s="1140">
        <f t="shared" si="12"/>
        <v>5.6578947368421053</v>
      </c>
      <c r="M100" s="1142"/>
      <c r="N100" s="1047">
        <v>122</v>
      </c>
      <c r="O100" s="1140">
        <f t="shared" si="13"/>
        <v>8.026315789473685</v>
      </c>
      <c r="P100" s="1142"/>
      <c r="Q100" s="1047">
        <v>1207</v>
      </c>
      <c r="R100" s="1140">
        <f t="shared" si="9"/>
        <v>79.40789473684211</v>
      </c>
      <c r="S100" s="847"/>
    </row>
    <row r="101" spans="1:19" ht="12.95" customHeight="1">
      <c r="A101" s="847" t="s">
        <v>378</v>
      </c>
      <c r="B101" s="1139">
        <f t="shared" si="7"/>
        <v>1139</v>
      </c>
      <c r="C101" s="1140">
        <f t="shared" si="8"/>
        <v>5.1419800460475829</v>
      </c>
      <c r="D101" s="1141"/>
      <c r="E101" s="1047">
        <v>21</v>
      </c>
      <c r="F101" s="1140">
        <f t="shared" si="10"/>
        <v>1.8437225636523267</v>
      </c>
      <c r="G101" s="1142"/>
      <c r="H101" s="1047">
        <v>31</v>
      </c>
      <c r="I101" s="1140">
        <f t="shared" si="11"/>
        <v>2.7216856892010535</v>
      </c>
      <c r="J101" s="1142"/>
      <c r="K101" s="1047">
        <v>59</v>
      </c>
      <c r="L101" s="1140">
        <f t="shared" si="12"/>
        <v>5.179982440737489</v>
      </c>
      <c r="M101" s="1142"/>
      <c r="N101" s="1047">
        <v>88</v>
      </c>
      <c r="O101" s="1140">
        <f t="shared" si="13"/>
        <v>7.7260755048287972</v>
      </c>
      <c r="P101" s="1142"/>
      <c r="Q101" s="1047">
        <v>940</v>
      </c>
      <c r="R101" s="1140">
        <f t="shared" si="9"/>
        <v>82.528533801580323</v>
      </c>
      <c r="S101" s="847"/>
    </row>
    <row r="102" spans="1:19" ht="12.95" customHeight="1">
      <c r="A102" s="847" t="s">
        <v>808</v>
      </c>
      <c r="B102" s="1139">
        <f t="shared" si="7"/>
        <v>940</v>
      </c>
      <c r="C102" s="1140">
        <f t="shared" si="8"/>
        <v>4.2436007403728953</v>
      </c>
      <c r="D102" s="1141"/>
      <c r="E102" s="1047">
        <v>29</v>
      </c>
      <c r="F102" s="1140">
        <f t="shared" si="10"/>
        <v>3.0851063829787235</v>
      </c>
      <c r="G102" s="1142"/>
      <c r="H102" s="1047">
        <v>31</v>
      </c>
      <c r="I102" s="1140">
        <f t="shared" si="11"/>
        <v>3.2978723404255317</v>
      </c>
      <c r="J102" s="1142"/>
      <c r="K102" s="1047">
        <v>62</v>
      </c>
      <c r="L102" s="1140">
        <f t="shared" si="12"/>
        <v>6.5957446808510634</v>
      </c>
      <c r="M102" s="1142"/>
      <c r="N102" s="1047">
        <v>81</v>
      </c>
      <c r="O102" s="1140">
        <f t="shared" si="13"/>
        <v>8.6170212765957448</v>
      </c>
      <c r="P102" s="1142"/>
      <c r="Q102" s="1047">
        <v>737</v>
      </c>
      <c r="R102" s="1140">
        <f t="shared" si="9"/>
        <v>78.404255319148945</v>
      </c>
      <c r="S102" s="847"/>
    </row>
    <row r="103" spans="1:19" ht="5.25" customHeight="1" thickBot="1"/>
    <row r="104" spans="1:19" ht="9.75" customHeight="1">
      <c r="A104" s="850"/>
      <c r="B104" s="1033"/>
      <c r="C104" s="873"/>
      <c r="D104" s="874"/>
      <c r="E104" s="1035"/>
      <c r="F104" s="873"/>
      <c r="G104" s="873"/>
      <c r="H104" s="1035"/>
      <c r="I104" s="874"/>
      <c r="J104" s="874"/>
      <c r="K104" s="1035"/>
      <c r="L104" s="874"/>
      <c r="M104" s="874"/>
      <c r="N104" s="1035"/>
      <c r="O104" s="874"/>
      <c r="P104" s="874"/>
      <c r="Q104" s="1035"/>
      <c r="R104" s="874"/>
      <c r="S104" s="874"/>
    </row>
    <row r="105" spans="1:19" ht="12.95" customHeight="1">
      <c r="A105" s="855" t="s">
        <v>1702</v>
      </c>
    </row>
    <row r="106" spans="1:19" ht="12.95" customHeight="1">
      <c r="A106" s="847" t="s">
        <v>1703</v>
      </c>
    </row>
    <row r="107" spans="1:19" ht="8.25" customHeight="1"/>
    <row r="108" spans="1:19" ht="12.95" customHeight="1">
      <c r="A108" s="847" t="s">
        <v>1704</v>
      </c>
    </row>
    <row r="109" spans="1:19" ht="12.95" customHeight="1">
      <c r="A109" s="847" t="s">
        <v>1705</v>
      </c>
    </row>
  </sheetData>
  <mergeCells count="6">
    <mergeCell ref="Q8:R8"/>
    <mergeCell ref="B8:C8"/>
    <mergeCell ref="E8:F8"/>
    <mergeCell ref="H8:I8"/>
    <mergeCell ref="K8:L8"/>
    <mergeCell ref="N8:O8"/>
  </mergeCells>
  <printOptions horizontalCentered="1" verticalCentered="1"/>
  <pageMargins left="0" right="0" top="0" bottom="0" header="0.31496062992125984" footer="0.31496062992125984"/>
  <pageSetup paperSize="9" scale="60" orientation="portrait" r:id="rId1"/>
  <drawing r:id="rId2"/>
</worksheet>
</file>

<file path=xl/worksheets/sheet116.xml><?xml version="1.0" encoding="utf-8"?>
<worksheet xmlns="http://schemas.openxmlformats.org/spreadsheetml/2006/main" xmlns:r="http://schemas.openxmlformats.org/officeDocument/2006/relationships">
  <dimension ref="A1:S58"/>
  <sheetViews>
    <sheetView topLeftCell="A29" workbookViewId="0">
      <selection activeCell="K40" sqref="K40"/>
    </sheetView>
  </sheetViews>
  <sheetFormatPr baseColWidth="10" defaultColWidth="9.140625" defaultRowHeight="12.75"/>
  <cols>
    <col min="1" max="1" width="34.7109375" style="434" customWidth="1"/>
    <col min="2" max="2" width="5.7109375" style="1070" customWidth="1"/>
    <col min="3" max="3" width="7.28515625" style="1056" customWidth="1"/>
    <col min="4" max="4" width="2.7109375" style="1056" customWidth="1"/>
    <col min="5" max="5" width="4.7109375" style="1058" customWidth="1"/>
    <col min="6" max="6" width="7.28515625" style="1056" customWidth="1"/>
    <col min="7" max="7" width="2.7109375" style="1056" customWidth="1"/>
    <col min="8" max="8" width="4.7109375" style="1058" customWidth="1"/>
    <col min="9" max="9" width="7.140625" style="1057" customWidth="1"/>
    <col min="10" max="10" width="2.7109375" style="1057" customWidth="1"/>
    <col min="11" max="11" width="4.7109375" style="1058" customWidth="1"/>
    <col min="12" max="12" width="6.28515625" style="1057" customWidth="1"/>
    <col min="13" max="13" width="2.7109375" style="1057" customWidth="1"/>
    <col min="14" max="14" width="4.7109375" style="1070" customWidth="1"/>
    <col min="15" max="15" width="7.28515625" style="1057" customWidth="1"/>
    <col min="16" max="16" width="2.7109375" style="1057" customWidth="1"/>
    <col min="17" max="17" width="4.7109375" style="1058" customWidth="1"/>
    <col min="18" max="18" width="6.7109375" style="1057" customWidth="1"/>
    <col min="19" max="19" width="2.7109375" style="1058" customWidth="1"/>
    <col min="20" max="256" width="9.140625" style="434"/>
    <col min="257" max="257" width="34.7109375" style="434" customWidth="1"/>
    <col min="258" max="258" width="5.7109375" style="434" customWidth="1"/>
    <col min="259" max="259" width="7.28515625" style="434" customWidth="1"/>
    <col min="260" max="260" width="2.7109375" style="434" customWidth="1"/>
    <col min="261" max="261" width="4.7109375" style="434" customWidth="1"/>
    <col min="262" max="262" width="7.28515625" style="434" customWidth="1"/>
    <col min="263" max="263" width="2.7109375" style="434" customWidth="1"/>
    <col min="264" max="264" width="4.7109375" style="434" customWidth="1"/>
    <col min="265" max="265" width="7.140625" style="434" customWidth="1"/>
    <col min="266" max="266" width="2.7109375" style="434" customWidth="1"/>
    <col min="267" max="267" width="4.7109375" style="434" customWidth="1"/>
    <col min="268" max="268" width="6.28515625" style="434" customWidth="1"/>
    <col min="269" max="269" width="2.7109375" style="434" customWidth="1"/>
    <col min="270" max="270" width="4.7109375" style="434" customWidth="1"/>
    <col min="271" max="271" width="7.28515625" style="434" customWidth="1"/>
    <col min="272" max="272" width="2.7109375" style="434" customWidth="1"/>
    <col min="273" max="273" width="4.7109375" style="434" customWidth="1"/>
    <col min="274" max="274" width="6.7109375" style="434" customWidth="1"/>
    <col min="275" max="275" width="2.7109375" style="434" customWidth="1"/>
    <col min="276" max="512" width="9.140625" style="434"/>
    <col min="513" max="513" width="34.7109375" style="434" customWidth="1"/>
    <col min="514" max="514" width="5.7109375" style="434" customWidth="1"/>
    <col min="515" max="515" width="7.28515625" style="434" customWidth="1"/>
    <col min="516" max="516" width="2.7109375" style="434" customWidth="1"/>
    <col min="517" max="517" width="4.7109375" style="434" customWidth="1"/>
    <col min="518" max="518" width="7.28515625" style="434" customWidth="1"/>
    <col min="519" max="519" width="2.7109375" style="434" customWidth="1"/>
    <col min="520" max="520" width="4.7109375" style="434" customWidth="1"/>
    <col min="521" max="521" width="7.140625" style="434" customWidth="1"/>
    <col min="522" max="522" width="2.7109375" style="434" customWidth="1"/>
    <col min="523" max="523" width="4.7109375" style="434" customWidth="1"/>
    <col min="524" max="524" width="6.28515625" style="434" customWidth="1"/>
    <col min="525" max="525" width="2.7109375" style="434" customWidth="1"/>
    <col min="526" max="526" width="4.7109375" style="434" customWidth="1"/>
    <col min="527" max="527" width="7.28515625" style="434" customWidth="1"/>
    <col min="528" max="528" width="2.7109375" style="434" customWidth="1"/>
    <col min="529" max="529" width="4.7109375" style="434" customWidth="1"/>
    <col min="530" max="530" width="6.7109375" style="434" customWidth="1"/>
    <col min="531" max="531" width="2.7109375" style="434" customWidth="1"/>
    <col min="532" max="768" width="9.140625" style="434"/>
    <col min="769" max="769" width="34.7109375" style="434" customWidth="1"/>
    <col min="770" max="770" width="5.7109375" style="434" customWidth="1"/>
    <col min="771" max="771" width="7.28515625" style="434" customWidth="1"/>
    <col min="772" max="772" width="2.7109375" style="434" customWidth="1"/>
    <col min="773" max="773" width="4.7109375" style="434" customWidth="1"/>
    <col min="774" max="774" width="7.28515625" style="434" customWidth="1"/>
    <col min="775" max="775" width="2.7109375" style="434" customWidth="1"/>
    <col min="776" max="776" width="4.7109375" style="434" customWidth="1"/>
    <col min="777" max="777" width="7.140625" style="434" customWidth="1"/>
    <col min="778" max="778" width="2.7109375" style="434" customWidth="1"/>
    <col min="779" max="779" width="4.7109375" style="434" customWidth="1"/>
    <col min="780" max="780" width="6.28515625" style="434" customWidth="1"/>
    <col min="781" max="781" width="2.7109375" style="434" customWidth="1"/>
    <col min="782" max="782" width="4.7109375" style="434" customWidth="1"/>
    <col min="783" max="783" width="7.28515625" style="434" customWidth="1"/>
    <col min="784" max="784" width="2.7109375" style="434" customWidth="1"/>
    <col min="785" max="785" width="4.7109375" style="434" customWidth="1"/>
    <col min="786" max="786" width="6.7109375" style="434" customWidth="1"/>
    <col min="787" max="787" width="2.7109375" style="434" customWidth="1"/>
    <col min="788" max="1024" width="9.140625" style="434"/>
    <col min="1025" max="1025" width="34.7109375" style="434" customWidth="1"/>
    <col min="1026" max="1026" width="5.7109375" style="434" customWidth="1"/>
    <col min="1027" max="1027" width="7.28515625" style="434" customWidth="1"/>
    <col min="1028" max="1028" width="2.7109375" style="434" customWidth="1"/>
    <col min="1029" max="1029" width="4.7109375" style="434" customWidth="1"/>
    <col min="1030" max="1030" width="7.28515625" style="434" customWidth="1"/>
    <col min="1031" max="1031" width="2.7109375" style="434" customWidth="1"/>
    <col min="1032" max="1032" width="4.7109375" style="434" customWidth="1"/>
    <col min="1033" max="1033" width="7.140625" style="434" customWidth="1"/>
    <col min="1034" max="1034" width="2.7109375" style="434" customWidth="1"/>
    <col min="1035" max="1035" width="4.7109375" style="434" customWidth="1"/>
    <col min="1036" max="1036" width="6.28515625" style="434" customWidth="1"/>
    <col min="1037" max="1037" width="2.7109375" style="434" customWidth="1"/>
    <col min="1038" max="1038" width="4.7109375" style="434" customWidth="1"/>
    <col min="1039" max="1039" width="7.28515625" style="434" customWidth="1"/>
    <col min="1040" max="1040" width="2.7109375" style="434" customWidth="1"/>
    <col min="1041" max="1041" width="4.7109375" style="434" customWidth="1"/>
    <col min="1042" max="1042" width="6.7109375" style="434" customWidth="1"/>
    <col min="1043" max="1043" width="2.7109375" style="434" customWidth="1"/>
    <col min="1044" max="1280" width="9.140625" style="434"/>
    <col min="1281" max="1281" width="34.7109375" style="434" customWidth="1"/>
    <col min="1282" max="1282" width="5.7109375" style="434" customWidth="1"/>
    <col min="1283" max="1283" width="7.28515625" style="434" customWidth="1"/>
    <col min="1284" max="1284" width="2.7109375" style="434" customWidth="1"/>
    <col min="1285" max="1285" width="4.7109375" style="434" customWidth="1"/>
    <col min="1286" max="1286" width="7.28515625" style="434" customWidth="1"/>
    <col min="1287" max="1287" width="2.7109375" style="434" customWidth="1"/>
    <col min="1288" max="1288" width="4.7109375" style="434" customWidth="1"/>
    <col min="1289" max="1289" width="7.140625" style="434" customWidth="1"/>
    <col min="1290" max="1290" width="2.7109375" style="434" customWidth="1"/>
    <col min="1291" max="1291" width="4.7109375" style="434" customWidth="1"/>
    <col min="1292" max="1292" width="6.28515625" style="434" customWidth="1"/>
    <col min="1293" max="1293" width="2.7109375" style="434" customWidth="1"/>
    <col min="1294" max="1294" width="4.7109375" style="434" customWidth="1"/>
    <col min="1295" max="1295" width="7.28515625" style="434" customWidth="1"/>
    <col min="1296" max="1296" width="2.7109375" style="434" customWidth="1"/>
    <col min="1297" max="1297" width="4.7109375" style="434" customWidth="1"/>
    <col min="1298" max="1298" width="6.7109375" style="434" customWidth="1"/>
    <col min="1299" max="1299" width="2.7109375" style="434" customWidth="1"/>
    <col min="1300" max="1536" width="9.140625" style="434"/>
    <col min="1537" max="1537" width="34.7109375" style="434" customWidth="1"/>
    <col min="1538" max="1538" width="5.7109375" style="434" customWidth="1"/>
    <col min="1539" max="1539" width="7.28515625" style="434" customWidth="1"/>
    <col min="1540" max="1540" width="2.7109375" style="434" customWidth="1"/>
    <col min="1541" max="1541" width="4.7109375" style="434" customWidth="1"/>
    <col min="1542" max="1542" width="7.28515625" style="434" customWidth="1"/>
    <col min="1543" max="1543" width="2.7109375" style="434" customWidth="1"/>
    <col min="1544" max="1544" width="4.7109375" style="434" customWidth="1"/>
    <col min="1545" max="1545" width="7.140625" style="434" customWidth="1"/>
    <col min="1546" max="1546" width="2.7109375" style="434" customWidth="1"/>
    <col min="1547" max="1547" width="4.7109375" style="434" customWidth="1"/>
    <col min="1548" max="1548" width="6.28515625" style="434" customWidth="1"/>
    <col min="1549" max="1549" width="2.7109375" style="434" customWidth="1"/>
    <col min="1550" max="1550" width="4.7109375" style="434" customWidth="1"/>
    <col min="1551" max="1551" width="7.28515625" style="434" customWidth="1"/>
    <col min="1552" max="1552" width="2.7109375" style="434" customWidth="1"/>
    <col min="1553" max="1553" width="4.7109375" style="434" customWidth="1"/>
    <col min="1554" max="1554" width="6.7109375" style="434" customWidth="1"/>
    <col min="1555" max="1555" width="2.7109375" style="434" customWidth="1"/>
    <col min="1556" max="1792" width="9.140625" style="434"/>
    <col min="1793" max="1793" width="34.7109375" style="434" customWidth="1"/>
    <col min="1794" max="1794" width="5.7109375" style="434" customWidth="1"/>
    <col min="1795" max="1795" width="7.28515625" style="434" customWidth="1"/>
    <col min="1796" max="1796" width="2.7109375" style="434" customWidth="1"/>
    <col min="1797" max="1797" width="4.7109375" style="434" customWidth="1"/>
    <col min="1798" max="1798" width="7.28515625" style="434" customWidth="1"/>
    <col min="1799" max="1799" width="2.7109375" style="434" customWidth="1"/>
    <col min="1800" max="1800" width="4.7109375" style="434" customWidth="1"/>
    <col min="1801" max="1801" width="7.140625" style="434" customWidth="1"/>
    <col min="1802" max="1802" width="2.7109375" style="434" customWidth="1"/>
    <col min="1803" max="1803" width="4.7109375" style="434" customWidth="1"/>
    <col min="1804" max="1804" width="6.28515625" style="434" customWidth="1"/>
    <col min="1805" max="1805" width="2.7109375" style="434" customWidth="1"/>
    <col min="1806" max="1806" width="4.7109375" style="434" customWidth="1"/>
    <col min="1807" max="1807" width="7.28515625" style="434" customWidth="1"/>
    <col min="1808" max="1808" width="2.7109375" style="434" customWidth="1"/>
    <col min="1809" max="1809" width="4.7109375" style="434" customWidth="1"/>
    <col min="1810" max="1810" width="6.7109375" style="434" customWidth="1"/>
    <col min="1811" max="1811" width="2.7109375" style="434" customWidth="1"/>
    <col min="1812" max="2048" width="9.140625" style="434"/>
    <col min="2049" max="2049" width="34.7109375" style="434" customWidth="1"/>
    <col min="2050" max="2050" width="5.7109375" style="434" customWidth="1"/>
    <col min="2051" max="2051" width="7.28515625" style="434" customWidth="1"/>
    <col min="2052" max="2052" width="2.7109375" style="434" customWidth="1"/>
    <col min="2053" max="2053" width="4.7109375" style="434" customWidth="1"/>
    <col min="2054" max="2054" width="7.28515625" style="434" customWidth="1"/>
    <col min="2055" max="2055" width="2.7109375" style="434" customWidth="1"/>
    <col min="2056" max="2056" width="4.7109375" style="434" customWidth="1"/>
    <col min="2057" max="2057" width="7.140625" style="434" customWidth="1"/>
    <col min="2058" max="2058" width="2.7109375" style="434" customWidth="1"/>
    <col min="2059" max="2059" width="4.7109375" style="434" customWidth="1"/>
    <col min="2060" max="2060" width="6.28515625" style="434" customWidth="1"/>
    <col min="2061" max="2061" width="2.7109375" style="434" customWidth="1"/>
    <col min="2062" max="2062" width="4.7109375" style="434" customWidth="1"/>
    <col min="2063" max="2063" width="7.28515625" style="434" customWidth="1"/>
    <col min="2064" max="2064" width="2.7109375" style="434" customWidth="1"/>
    <col min="2065" max="2065" width="4.7109375" style="434" customWidth="1"/>
    <col min="2066" max="2066" width="6.7109375" style="434" customWidth="1"/>
    <col min="2067" max="2067" width="2.7109375" style="434" customWidth="1"/>
    <col min="2068" max="2304" width="9.140625" style="434"/>
    <col min="2305" max="2305" width="34.7109375" style="434" customWidth="1"/>
    <col min="2306" max="2306" width="5.7109375" style="434" customWidth="1"/>
    <col min="2307" max="2307" width="7.28515625" style="434" customWidth="1"/>
    <col min="2308" max="2308" width="2.7109375" style="434" customWidth="1"/>
    <col min="2309" max="2309" width="4.7109375" style="434" customWidth="1"/>
    <col min="2310" max="2310" width="7.28515625" style="434" customWidth="1"/>
    <col min="2311" max="2311" width="2.7109375" style="434" customWidth="1"/>
    <col min="2312" max="2312" width="4.7109375" style="434" customWidth="1"/>
    <col min="2313" max="2313" width="7.140625" style="434" customWidth="1"/>
    <col min="2314" max="2314" width="2.7109375" style="434" customWidth="1"/>
    <col min="2315" max="2315" width="4.7109375" style="434" customWidth="1"/>
    <col min="2316" max="2316" width="6.28515625" style="434" customWidth="1"/>
    <col min="2317" max="2317" width="2.7109375" style="434" customWidth="1"/>
    <col min="2318" max="2318" width="4.7109375" style="434" customWidth="1"/>
    <col min="2319" max="2319" width="7.28515625" style="434" customWidth="1"/>
    <col min="2320" max="2320" width="2.7109375" style="434" customWidth="1"/>
    <col min="2321" max="2321" width="4.7109375" style="434" customWidth="1"/>
    <col min="2322" max="2322" width="6.7109375" style="434" customWidth="1"/>
    <col min="2323" max="2323" width="2.7109375" style="434" customWidth="1"/>
    <col min="2324" max="2560" width="9.140625" style="434"/>
    <col min="2561" max="2561" width="34.7109375" style="434" customWidth="1"/>
    <col min="2562" max="2562" width="5.7109375" style="434" customWidth="1"/>
    <col min="2563" max="2563" width="7.28515625" style="434" customWidth="1"/>
    <col min="2564" max="2564" width="2.7109375" style="434" customWidth="1"/>
    <col min="2565" max="2565" width="4.7109375" style="434" customWidth="1"/>
    <col min="2566" max="2566" width="7.28515625" style="434" customWidth="1"/>
    <col min="2567" max="2567" width="2.7109375" style="434" customWidth="1"/>
    <col min="2568" max="2568" width="4.7109375" style="434" customWidth="1"/>
    <col min="2569" max="2569" width="7.140625" style="434" customWidth="1"/>
    <col min="2570" max="2570" width="2.7109375" style="434" customWidth="1"/>
    <col min="2571" max="2571" width="4.7109375" style="434" customWidth="1"/>
    <col min="2572" max="2572" width="6.28515625" style="434" customWidth="1"/>
    <col min="2573" max="2573" width="2.7109375" style="434" customWidth="1"/>
    <col min="2574" max="2574" width="4.7109375" style="434" customWidth="1"/>
    <col min="2575" max="2575" width="7.28515625" style="434" customWidth="1"/>
    <col min="2576" max="2576" width="2.7109375" style="434" customWidth="1"/>
    <col min="2577" max="2577" width="4.7109375" style="434" customWidth="1"/>
    <col min="2578" max="2578" width="6.7109375" style="434" customWidth="1"/>
    <col min="2579" max="2579" width="2.7109375" style="434" customWidth="1"/>
    <col min="2580" max="2816" width="9.140625" style="434"/>
    <col min="2817" max="2817" width="34.7109375" style="434" customWidth="1"/>
    <col min="2818" max="2818" width="5.7109375" style="434" customWidth="1"/>
    <col min="2819" max="2819" width="7.28515625" style="434" customWidth="1"/>
    <col min="2820" max="2820" width="2.7109375" style="434" customWidth="1"/>
    <col min="2821" max="2821" width="4.7109375" style="434" customWidth="1"/>
    <col min="2822" max="2822" width="7.28515625" style="434" customWidth="1"/>
    <col min="2823" max="2823" width="2.7109375" style="434" customWidth="1"/>
    <col min="2824" max="2824" width="4.7109375" style="434" customWidth="1"/>
    <col min="2825" max="2825" width="7.140625" style="434" customWidth="1"/>
    <col min="2826" max="2826" width="2.7109375" style="434" customWidth="1"/>
    <col min="2827" max="2827" width="4.7109375" style="434" customWidth="1"/>
    <col min="2828" max="2828" width="6.28515625" style="434" customWidth="1"/>
    <col min="2829" max="2829" width="2.7109375" style="434" customWidth="1"/>
    <col min="2830" max="2830" width="4.7109375" style="434" customWidth="1"/>
    <col min="2831" max="2831" width="7.28515625" style="434" customWidth="1"/>
    <col min="2832" max="2832" width="2.7109375" style="434" customWidth="1"/>
    <col min="2833" max="2833" width="4.7109375" style="434" customWidth="1"/>
    <col min="2834" max="2834" width="6.7109375" style="434" customWidth="1"/>
    <col min="2835" max="2835" width="2.7109375" style="434" customWidth="1"/>
    <col min="2836" max="3072" width="9.140625" style="434"/>
    <col min="3073" max="3073" width="34.7109375" style="434" customWidth="1"/>
    <col min="3074" max="3074" width="5.7109375" style="434" customWidth="1"/>
    <col min="3075" max="3075" width="7.28515625" style="434" customWidth="1"/>
    <col min="3076" max="3076" width="2.7109375" style="434" customWidth="1"/>
    <col min="3077" max="3077" width="4.7109375" style="434" customWidth="1"/>
    <col min="3078" max="3078" width="7.28515625" style="434" customWidth="1"/>
    <col min="3079" max="3079" width="2.7109375" style="434" customWidth="1"/>
    <col min="3080" max="3080" width="4.7109375" style="434" customWidth="1"/>
    <col min="3081" max="3081" width="7.140625" style="434" customWidth="1"/>
    <col min="3082" max="3082" width="2.7109375" style="434" customWidth="1"/>
    <col min="3083" max="3083" width="4.7109375" style="434" customWidth="1"/>
    <col min="3084" max="3084" width="6.28515625" style="434" customWidth="1"/>
    <col min="3085" max="3085" width="2.7109375" style="434" customWidth="1"/>
    <col min="3086" max="3086" width="4.7109375" style="434" customWidth="1"/>
    <col min="3087" max="3087" width="7.28515625" style="434" customWidth="1"/>
    <col min="3088" max="3088" width="2.7109375" style="434" customWidth="1"/>
    <col min="3089" max="3089" width="4.7109375" style="434" customWidth="1"/>
    <col min="3090" max="3090" width="6.7109375" style="434" customWidth="1"/>
    <col min="3091" max="3091" width="2.7109375" style="434" customWidth="1"/>
    <col min="3092" max="3328" width="9.140625" style="434"/>
    <col min="3329" max="3329" width="34.7109375" style="434" customWidth="1"/>
    <col min="3330" max="3330" width="5.7109375" style="434" customWidth="1"/>
    <col min="3331" max="3331" width="7.28515625" style="434" customWidth="1"/>
    <col min="3332" max="3332" width="2.7109375" style="434" customWidth="1"/>
    <col min="3333" max="3333" width="4.7109375" style="434" customWidth="1"/>
    <col min="3334" max="3334" width="7.28515625" style="434" customWidth="1"/>
    <col min="3335" max="3335" width="2.7109375" style="434" customWidth="1"/>
    <col min="3336" max="3336" width="4.7109375" style="434" customWidth="1"/>
    <col min="3337" max="3337" width="7.140625" style="434" customWidth="1"/>
    <col min="3338" max="3338" width="2.7109375" style="434" customWidth="1"/>
    <col min="3339" max="3339" width="4.7109375" style="434" customWidth="1"/>
    <col min="3340" max="3340" width="6.28515625" style="434" customWidth="1"/>
    <col min="3341" max="3341" width="2.7109375" style="434" customWidth="1"/>
    <col min="3342" max="3342" width="4.7109375" style="434" customWidth="1"/>
    <col min="3343" max="3343" width="7.28515625" style="434" customWidth="1"/>
    <col min="3344" max="3344" width="2.7109375" style="434" customWidth="1"/>
    <col min="3345" max="3345" width="4.7109375" style="434" customWidth="1"/>
    <col min="3346" max="3346" width="6.7109375" style="434" customWidth="1"/>
    <col min="3347" max="3347" width="2.7109375" style="434" customWidth="1"/>
    <col min="3348" max="3584" width="9.140625" style="434"/>
    <col min="3585" max="3585" width="34.7109375" style="434" customWidth="1"/>
    <col min="3586" max="3586" width="5.7109375" style="434" customWidth="1"/>
    <col min="3587" max="3587" width="7.28515625" style="434" customWidth="1"/>
    <col min="3588" max="3588" width="2.7109375" style="434" customWidth="1"/>
    <col min="3589" max="3589" width="4.7109375" style="434" customWidth="1"/>
    <col min="3590" max="3590" width="7.28515625" style="434" customWidth="1"/>
    <col min="3591" max="3591" width="2.7109375" style="434" customWidth="1"/>
    <col min="3592" max="3592" width="4.7109375" style="434" customWidth="1"/>
    <col min="3593" max="3593" width="7.140625" style="434" customWidth="1"/>
    <col min="3594" max="3594" width="2.7109375" style="434" customWidth="1"/>
    <col min="3595" max="3595" width="4.7109375" style="434" customWidth="1"/>
    <col min="3596" max="3596" width="6.28515625" style="434" customWidth="1"/>
    <col min="3597" max="3597" width="2.7109375" style="434" customWidth="1"/>
    <col min="3598" max="3598" width="4.7109375" style="434" customWidth="1"/>
    <col min="3599" max="3599" width="7.28515625" style="434" customWidth="1"/>
    <col min="3600" max="3600" width="2.7109375" style="434" customWidth="1"/>
    <col min="3601" max="3601" width="4.7109375" style="434" customWidth="1"/>
    <col min="3602" max="3602" width="6.7109375" style="434" customWidth="1"/>
    <col min="3603" max="3603" width="2.7109375" style="434" customWidth="1"/>
    <col min="3604" max="3840" width="9.140625" style="434"/>
    <col min="3841" max="3841" width="34.7109375" style="434" customWidth="1"/>
    <col min="3842" max="3842" width="5.7109375" style="434" customWidth="1"/>
    <col min="3843" max="3843" width="7.28515625" style="434" customWidth="1"/>
    <col min="3844" max="3844" width="2.7109375" style="434" customWidth="1"/>
    <col min="3845" max="3845" width="4.7109375" style="434" customWidth="1"/>
    <col min="3846" max="3846" width="7.28515625" style="434" customWidth="1"/>
    <col min="3847" max="3847" width="2.7109375" style="434" customWidth="1"/>
    <col min="3848" max="3848" width="4.7109375" style="434" customWidth="1"/>
    <col min="3849" max="3849" width="7.140625" style="434" customWidth="1"/>
    <col min="3850" max="3850" width="2.7109375" style="434" customWidth="1"/>
    <col min="3851" max="3851" width="4.7109375" style="434" customWidth="1"/>
    <col min="3852" max="3852" width="6.28515625" style="434" customWidth="1"/>
    <col min="3853" max="3853" width="2.7109375" style="434" customWidth="1"/>
    <col min="3854" max="3854" width="4.7109375" style="434" customWidth="1"/>
    <col min="3855" max="3855" width="7.28515625" style="434" customWidth="1"/>
    <col min="3856" max="3856" width="2.7109375" style="434" customWidth="1"/>
    <col min="3857" max="3857" width="4.7109375" style="434" customWidth="1"/>
    <col min="3858" max="3858" width="6.7109375" style="434" customWidth="1"/>
    <col min="3859" max="3859" width="2.7109375" style="434" customWidth="1"/>
    <col min="3860" max="4096" width="9.140625" style="434"/>
    <col min="4097" max="4097" width="34.7109375" style="434" customWidth="1"/>
    <col min="4098" max="4098" width="5.7109375" style="434" customWidth="1"/>
    <col min="4099" max="4099" width="7.28515625" style="434" customWidth="1"/>
    <col min="4100" max="4100" width="2.7109375" style="434" customWidth="1"/>
    <col min="4101" max="4101" width="4.7109375" style="434" customWidth="1"/>
    <col min="4102" max="4102" width="7.28515625" style="434" customWidth="1"/>
    <col min="4103" max="4103" width="2.7109375" style="434" customWidth="1"/>
    <col min="4104" max="4104" width="4.7109375" style="434" customWidth="1"/>
    <col min="4105" max="4105" width="7.140625" style="434" customWidth="1"/>
    <col min="4106" max="4106" width="2.7109375" style="434" customWidth="1"/>
    <col min="4107" max="4107" width="4.7109375" style="434" customWidth="1"/>
    <col min="4108" max="4108" width="6.28515625" style="434" customWidth="1"/>
    <col min="4109" max="4109" width="2.7109375" style="434" customWidth="1"/>
    <col min="4110" max="4110" width="4.7109375" style="434" customWidth="1"/>
    <col min="4111" max="4111" width="7.28515625" style="434" customWidth="1"/>
    <col min="4112" max="4112" width="2.7109375" style="434" customWidth="1"/>
    <col min="4113" max="4113" width="4.7109375" style="434" customWidth="1"/>
    <col min="4114" max="4114" width="6.7109375" style="434" customWidth="1"/>
    <col min="4115" max="4115" width="2.7109375" style="434" customWidth="1"/>
    <col min="4116" max="4352" width="9.140625" style="434"/>
    <col min="4353" max="4353" width="34.7109375" style="434" customWidth="1"/>
    <col min="4354" max="4354" width="5.7109375" style="434" customWidth="1"/>
    <col min="4355" max="4355" width="7.28515625" style="434" customWidth="1"/>
    <col min="4356" max="4356" width="2.7109375" style="434" customWidth="1"/>
    <col min="4357" max="4357" width="4.7109375" style="434" customWidth="1"/>
    <col min="4358" max="4358" width="7.28515625" style="434" customWidth="1"/>
    <col min="4359" max="4359" width="2.7109375" style="434" customWidth="1"/>
    <col min="4360" max="4360" width="4.7109375" style="434" customWidth="1"/>
    <col min="4361" max="4361" width="7.140625" style="434" customWidth="1"/>
    <col min="4362" max="4362" width="2.7109375" style="434" customWidth="1"/>
    <col min="4363" max="4363" width="4.7109375" style="434" customWidth="1"/>
    <col min="4364" max="4364" width="6.28515625" style="434" customWidth="1"/>
    <col min="4365" max="4365" width="2.7109375" style="434" customWidth="1"/>
    <col min="4366" max="4366" width="4.7109375" style="434" customWidth="1"/>
    <col min="4367" max="4367" width="7.28515625" style="434" customWidth="1"/>
    <col min="4368" max="4368" width="2.7109375" style="434" customWidth="1"/>
    <col min="4369" max="4369" width="4.7109375" style="434" customWidth="1"/>
    <col min="4370" max="4370" width="6.7109375" style="434" customWidth="1"/>
    <col min="4371" max="4371" width="2.7109375" style="434" customWidth="1"/>
    <col min="4372" max="4608" width="9.140625" style="434"/>
    <col min="4609" max="4609" width="34.7109375" style="434" customWidth="1"/>
    <col min="4610" max="4610" width="5.7109375" style="434" customWidth="1"/>
    <col min="4611" max="4611" width="7.28515625" style="434" customWidth="1"/>
    <col min="4612" max="4612" width="2.7109375" style="434" customWidth="1"/>
    <col min="4613" max="4613" width="4.7109375" style="434" customWidth="1"/>
    <col min="4614" max="4614" width="7.28515625" style="434" customWidth="1"/>
    <col min="4615" max="4615" width="2.7109375" style="434" customWidth="1"/>
    <col min="4616" max="4616" width="4.7109375" style="434" customWidth="1"/>
    <col min="4617" max="4617" width="7.140625" style="434" customWidth="1"/>
    <col min="4618" max="4618" width="2.7109375" style="434" customWidth="1"/>
    <col min="4619" max="4619" width="4.7109375" style="434" customWidth="1"/>
    <col min="4620" max="4620" width="6.28515625" style="434" customWidth="1"/>
    <col min="4621" max="4621" width="2.7109375" style="434" customWidth="1"/>
    <col min="4622" max="4622" width="4.7109375" style="434" customWidth="1"/>
    <col min="4623" max="4623" width="7.28515625" style="434" customWidth="1"/>
    <col min="4624" max="4624" width="2.7109375" style="434" customWidth="1"/>
    <col min="4625" max="4625" width="4.7109375" style="434" customWidth="1"/>
    <col min="4626" max="4626" width="6.7109375" style="434" customWidth="1"/>
    <col min="4627" max="4627" width="2.7109375" style="434" customWidth="1"/>
    <col min="4628" max="4864" width="9.140625" style="434"/>
    <col min="4865" max="4865" width="34.7109375" style="434" customWidth="1"/>
    <col min="4866" max="4866" width="5.7109375" style="434" customWidth="1"/>
    <col min="4867" max="4867" width="7.28515625" style="434" customWidth="1"/>
    <col min="4868" max="4868" width="2.7109375" style="434" customWidth="1"/>
    <col min="4869" max="4869" width="4.7109375" style="434" customWidth="1"/>
    <col min="4870" max="4870" width="7.28515625" style="434" customWidth="1"/>
    <col min="4871" max="4871" width="2.7109375" style="434" customWidth="1"/>
    <col min="4872" max="4872" width="4.7109375" style="434" customWidth="1"/>
    <col min="4873" max="4873" width="7.140625" style="434" customWidth="1"/>
    <col min="4874" max="4874" width="2.7109375" style="434" customWidth="1"/>
    <col min="4875" max="4875" width="4.7109375" style="434" customWidth="1"/>
    <col min="4876" max="4876" width="6.28515625" style="434" customWidth="1"/>
    <col min="4877" max="4877" width="2.7109375" style="434" customWidth="1"/>
    <col min="4878" max="4878" width="4.7109375" style="434" customWidth="1"/>
    <col min="4879" max="4879" width="7.28515625" style="434" customWidth="1"/>
    <col min="4880" max="4880" width="2.7109375" style="434" customWidth="1"/>
    <col min="4881" max="4881" width="4.7109375" style="434" customWidth="1"/>
    <col min="4882" max="4882" width="6.7109375" style="434" customWidth="1"/>
    <col min="4883" max="4883" width="2.7109375" style="434" customWidth="1"/>
    <col min="4884" max="5120" width="9.140625" style="434"/>
    <col min="5121" max="5121" width="34.7109375" style="434" customWidth="1"/>
    <col min="5122" max="5122" width="5.7109375" style="434" customWidth="1"/>
    <col min="5123" max="5123" width="7.28515625" style="434" customWidth="1"/>
    <col min="5124" max="5124" width="2.7109375" style="434" customWidth="1"/>
    <col min="5125" max="5125" width="4.7109375" style="434" customWidth="1"/>
    <col min="5126" max="5126" width="7.28515625" style="434" customWidth="1"/>
    <col min="5127" max="5127" width="2.7109375" style="434" customWidth="1"/>
    <col min="5128" max="5128" width="4.7109375" style="434" customWidth="1"/>
    <col min="5129" max="5129" width="7.140625" style="434" customWidth="1"/>
    <col min="5130" max="5130" width="2.7109375" style="434" customWidth="1"/>
    <col min="5131" max="5131" width="4.7109375" style="434" customWidth="1"/>
    <col min="5132" max="5132" width="6.28515625" style="434" customWidth="1"/>
    <col min="5133" max="5133" width="2.7109375" style="434" customWidth="1"/>
    <col min="5134" max="5134" width="4.7109375" style="434" customWidth="1"/>
    <col min="5135" max="5135" width="7.28515625" style="434" customWidth="1"/>
    <col min="5136" max="5136" width="2.7109375" style="434" customWidth="1"/>
    <col min="5137" max="5137" width="4.7109375" style="434" customWidth="1"/>
    <col min="5138" max="5138" width="6.7109375" style="434" customWidth="1"/>
    <col min="5139" max="5139" width="2.7109375" style="434" customWidth="1"/>
    <col min="5140" max="5376" width="9.140625" style="434"/>
    <col min="5377" max="5377" width="34.7109375" style="434" customWidth="1"/>
    <col min="5378" max="5378" width="5.7109375" style="434" customWidth="1"/>
    <col min="5379" max="5379" width="7.28515625" style="434" customWidth="1"/>
    <col min="5380" max="5380" width="2.7109375" style="434" customWidth="1"/>
    <col min="5381" max="5381" width="4.7109375" style="434" customWidth="1"/>
    <col min="5382" max="5382" width="7.28515625" style="434" customWidth="1"/>
    <col min="5383" max="5383" width="2.7109375" style="434" customWidth="1"/>
    <col min="5384" max="5384" width="4.7109375" style="434" customWidth="1"/>
    <col min="5385" max="5385" width="7.140625" style="434" customWidth="1"/>
    <col min="5386" max="5386" width="2.7109375" style="434" customWidth="1"/>
    <col min="5387" max="5387" width="4.7109375" style="434" customWidth="1"/>
    <col min="5388" max="5388" width="6.28515625" style="434" customWidth="1"/>
    <col min="5389" max="5389" width="2.7109375" style="434" customWidth="1"/>
    <col min="5390" max="5390" width="4.7109375" style="434" customWidth="1"/>
    <col min="5391" max="5391" width="7.28515625" style="434" customWidth="1"/>
    <col min="5392" max="5392" width="2.7109375" style="434" customWidth="1"/>
    <col min="5393" max="5393" width="4.7109375" style="434" customWidth="1"/>
    <col min="5394" max="5394" width="6.7109375" style="434" customWidth="1"/>
    <col min="5395" max="5395" width="2.7109375" style="434" customWidth="1"/>
    <col min="5396" max="5632" width="9.140625" style="434"/>
    <col min="5633" max="5633" width="34.7109375" style="434" customWidth="1"/>
    <col min="5634" max="5634" width="5.7109375" style="434" customWidth="1"/>
    <col min="5635" max="5635" width="7.28515625" style="434" customWidth="1"/>
    <col min="5636" max="5636" width="2.7109375" style="434" customWidth="1"/>
    <col min="5637" max="5637" width="4.7109375" style="434" customWidth="1"/>
    <col min="5638" max="5638" width="7.28515625" style="434" customWidth="1"/>
    <col min="5639" max="5639" width="2.7109375" style="434" customWidth="1"/>
    <col min="5640" max="5640" width="4.7109375" style="434" customWidth="1"/>
    <col min="5641" max="5641" width="7.140625" style="434" customWidth="1"/>
    <col min="5642" max="5642" width="2.7109375" style="434" customWidth="1"/>
    <col min="5643" max="5643" width="4.7109375" style="434" customWidth="1"/>
    <col min="5644" max="5644" width="6.28515625" style="434" customWidth="1"/>
    <col min="5645" max="5645" width="2.7109375" style="434" customWidth="1"/>
    <col min="5646" max="5646" width="4.7109375" style="434" customWidth="1"/>
    <col min="5647" max="5647" width="7.28515625" style="434" customWidth="1"/>
    <col min="5648" max="5648" width="2.7109375" style="434" customWidth="1"/>
    <col min="5649" max="5649" width="4.7109375" style="434" customWidth="1"/>
    <col min="5650" max="5650" width="6.7109375" style="434" customWidth="1"/>
    <col min="5651" max="5651" width="2.7109375" style="434" customWidth="1"/>
    <col min="5652" max="5888" width="9.140625" style="434"/>
    <col min="5889" max="5889" width="34.7109375" style="434" customWidth="1"/>
    <col min="5890" max="5890" width="5.7109375" style="434" customWidth="1"/>
    <col min="5891" max="5891" width="7.28515625" style="434" customWidth="1"/>
    <col min="5892" max="5892" width="2.7109375" style="434" customWidth="1"/>
    <col min="5893" max="5893" width="4.7109375" style="434" customWidth="1"/>
    <col min="5894" max="5894" width="7.28515625" style="434" customWidth="1"/>
    <col min="5895" max="5895" width="2.7109375" style="434" customWidth="1"/>
    <col min="5896" max="5896" width="4.7109375" style="434" customWidth="1"/>
    <col min="5897" max="5897" width="7.140625" style="434" customWidth="1"/>
    <col min="5898" max="5898" width="2.7109375" style="434" customWidth="1"/>
    <col min="5899" max="5899" width="4.7109375" style="434" customWidth="1"/>
    <col min="5900" max="5900" width="6.28515625" style="434" customWidth="1"/>
    <col min="5901" max="5901" width="2.7109375" style="434" customWidth="1"/>
    <col min="5902" max="5902" width="4.7109375" style="434" customWidth="1"/>
    <col min="5903" max="5903" width="7.28515625" style="434" customWidth="1"/>
    <col min="5904" max="5904" width="2.7109375" style="434" customWidth="1"/>
    <col min="5905" max="5905" width="4.7109375" style="434" customWidth="1"/>
    <col min="5906" max="5906" width="6.7109375" style="434" customWidth="1"/>
    <col min="5907" max="5907" width="2.7109375" style="434" customWidth="1"/>
    <col min="5908" max="6144" width="9.140625" style="434"/>
    <col min="6145" max="6145" width="34.7109375" style="434" customWidth="1"/>
    <col min="6146" max="6146" width="5.7109375" style="434" customWidth="1"/>
    <col min="6147" max="6147" width="7.28515625" style="434" customWidth="1"/>
    <col min="6148" max="6148" width="2.7109375" style="434" customWidth="1"/>
    <col min="6149" max="6149" width="4.7109375" style="434" customWidth="1"/>
    <col min="6150" max="6150" width="7.28515625" style="434" customWidth="1"/>
    <col min="6151" max="6151" width="2.7109375" style="434" customWidth="1"/>
    <col min="6152" max="6152" width="4.7109375" style="434" customWidth="1"/>
    <col min="6153" max="6153" width="7.140625" style="434" customWidth="1"/>
    <col min="6154" max="6154" width="2.7109375" style="434" customWidth="1"/>
    <col min="6155" max="6155" width="4.7109375" style="434" customWidth="1"/>
    <col min="6156" max="6156" width="6.28515625" style="434" customWidth="1"/>
    <col min="6157" max="6157" width="2.7109375" style="434" customWidth="1"/>
    <col min="6158" max="6158" width="4.7109375" style="434" customWidth="1"/>
    <col min="6159" max="6159" width="7.28515625" style="434" customWidth="1"/>
    <col min="6160" max="6160" width="2.7109375" style="434" customWidth="1"/>
    <col min="6161" max="6161" width="4.7109375" style="434" customWidth="1"/>
    <col min="6162" max="6162" width="6.7109375" style="434" customWidth="1"/>
    <col min="6163" max="6163" width="2.7109375" style="434" customWidth="1"/>
    <col min="6164" max="6400" width="9.140625" style="434"/>
    <col min="6401" max="6401" width="34.7109375" style="434" customWidth="1"/>
    <col min="6402" max="6402" width="5.7109375" style="434" customWidth="1"/>
    <col min="6403" max="6403" width="7.28515625" style="434" customWidth="1"/>
    <col min="6404" max="6404" width="2.7109375" style="434" customWidth="1"/>
    <col min="6405" max="6405" width="4.7109375" style="434" customWidth="1"/>
    <col min="6406" max="6406" width="7.28515625" style="434" customWidth="1"/>
    <col min="6407" max="6407" width="2.7109375" style="434" customWidth="1"/>
    <col min="6408" max="6408" width="4.7109375" style="434" customWidth="1"/>
    <col min="6409" max="6409" width="7.140625" style="434" customWidth="1"/>
    <col min="6410" max="6410" width="2.7109375" style="434" customWidth="1"/>
    <col min="6411" max="6411" width="4.7109375" style="434" customWidth="1"/>
    <col min="6412" max="6412" width="6.28515625" style="434" customWidth="1"/>
    <col min="6413" max="6413" width="2.7109375" style="434" customWidth="1"/>
    <col min="6414" max="6414" width="4.7109375" style="434" customWidth="1"/>
    <col min="6415" max="6415" width="7.28515625" style="434" customWidth="1"/>
    <col min="6416" max="6416" width="2.7109375" style="434" customWidth="1"/>
    <col min="6417" max="6417" width="4.7109375" style="434" customWidth="1"/>
    <col min="6418" max="6418" width="6.7109375" style="434" customWidth="1"/>
    <col min="6419" max="6419" width="2.7109375" style="434" customWidth="1"/>
    <col min="6420" max="6656" width="9.140625" style="434"/>
    <col min="6657" max="6657" width="34.7109375" style="434" customWidth="1"/>
    <col min="6658" max="6658" width="5.7109375" style="434" customWidth="1"/>
    <col min="6659" max="6659" width="7.28515625" style="434" customWidth="1"/>
    <col min="6660" max="6660" width="2.7109375" style="434" customWidth="1"/>
    <col min="6661" max="6661" width="4.7109375" style="434" customWidth="1"/>
    <col min="6662" max="6662" width="7.28515625" style="434" customWidth="1"/>
    <col min="6663" max="6663" width="2.7109375" style="434" customWidth="1"/>
    <col min="6664" max="6664" width="4.7109375" style="434" customWidth="1"/>
    <col min="6665" max="6665" width="7.140625" style="434" customWidth="1"/>
    <col min="6666" max="6666" width="2.7109375" style="434" customWidth="1"/>
    <col min="6667" max="6667" width="4.7109375" style="434" customWidth="1"/>
    <col min="6668" max="6668" width="6.28515625" style="434" customWidth="1"/>
    <col min="6669" max="6669" width="2.7109375" style="434" customWidth="1"/>
    <col min="6670" max="6670" width="4.7109375" style="434" customWidth="1"/>
    <col min="6671" max="6671" width="7.28515625" style="434" customWidth="1"/>
    <col min="6672" max="6672" width="2.7109375" style="434" customWidth="1"/>
    <col min="6673" max="6673" width="4.7109375" style="434" customWidth="1"/>
    <col min="6674" max="6674" width="6.7109375" style="434" customWidth="1"/>
    <col min="6675" max="6675" width="2.7109375" style="434" customWidth="1"/>
    <col min="6676" max="6912" width="9.140625" style="434"/>
    <col min="6913" max="6913" width="34.7109375" style="434" customWidth="1"/>
    <col min="6914" max="6914" width="5.7109375" style="434" customWidth="1"/>
    <col min="6915" max="6915" width="7.28515625" style="434" customWidth="1"/>
    <col min="6916" max="6916" width="2.7109375" style="434" customWidth="1"/>
    <col min="6917" max="6917" width="4.7109375" style="434" customWidth="1"/>
    <col min="6918" max="6918" width="7.28515625" style="434" customWidth="1"/>
    <col min="6919" max="6919" width="2.7109375" style="434" customWidth="1"/>
    <col min="6920" max="6920" width="4.7109375" style="434" customWidth="1"/>
    <col min="6921" max="6921" width="7.140625" style="434" customWidth="1"/>
    <col min="6922" max="6922" width="2.7109375" style="434" customWidth="1"/>
    <col min="6923" max="6923" width="4.7109375" style="434" customWidth="1"/>
    <col min="6924" max="6924" width="6.28515625" style="434" customWidth="1"/>
    <col min="6925" max="6925" width="2.7109375" style="434" customWidth="1"/>
    <col min="6926" max="6926" width="4.7109375" style="434" customWidth="1"/>
    <col min="6927" max="6927" width="7.28515625" style="434" customWidth="1"/>
    <col min="6928" max="6928" width="2.7109375" style="434" customWidth="1"/>
    <col min="6929" max="6929" width="4.7109375" style="434" customWidth="1"/>
    <col min="6930" max="6930" width="6.7109375" style="434" customWidth="1"/>
    <col min="6931" max="6931" width="2.7109375" style="434" customWidth="1"/>
    <col min="6932" max="7168" width="9.140625" style="434"/>
    <col min="7169" max="7169" width="34.7109375" style="434" customWidth="1"/>
    <col min="7170" max="7170" width="5.7109375" style="434" customWidth="1"/>
    <col min="7171" max="7171" width="7.28515625" style="434" customWidth="1"/>
    <col min="7172" max="7172" width="2.7109375" style="434" customWidth="1"/>
    <col min="7173" max="7173" width="4.7109375" style="434" customWidth="1"/>
    <col min="7174" max="7174" width="7.28515625" style="434" customWidth="1"/>
    <col min="7175" max="7175" width="2.7109375" style="434" customWidth="1"/>
    <col min="7176" max="7176" width="4.7109375" style="434" customWidth="1"/>
    <col min="7177" max="7177" width="7.140625" style="434" customWidth="1"/>
    <col min="7178" max="7178" width="2.7109375" style="434" customWidth="1"/>
    <col min="7179" max="7179" width="4.7109375" style="434" customWidth="1"/>
    <col min="7180" max="7180" width="6.28515625" style="434" customWidth="1"/>
    <col min="7181" max="7181" width="2.7109375" style="434" customWidth="1"/>
    <col min="7182" max="7182" width="4.7109375" style="434" customWidth="1"/>
    <col min="7183" max="7183" width="7.28515625" style="434" customWidth="1"/>
    <col min="7184" max="7184" width="2.7109375" style="434" customWidth="1"/>
    <col min="7185" max="7185" width="4.7109375" style="434" customWidth="1"/>
    <col min="7186" max="7186" width="6.7109375" style="434" customWidth="1"/>
    <col min="7187" max="7187" width="2.7109375" style="434" customWidth="1"/>
    <col min="7188" max="7424" width="9.140625" style="434"/>
    <col min="7425" max="7425" width="34.7109375" style="434" customWidth="1"/>
    <col min="7426" max="7426" width="5.7109375" style="434" customWidth="1"/>
    <col min="7427" max="7427" width="7.28515625" style="434" customWidth="1"/>
    <col min="7428" max="7428" width="2.7109375" style="434" customWidth="1"/>
    <col min="7429" max="7429" width="4.7109375" style="434" customWidth="1"/>
    <col min="7430" max="7430" width="7.28515625" style="434" customWidth="1"/>
    <col min="7431" max="7431" width="2.7109375" style="434" customWidth="1"/>
    <col min="7432" max="7432" width="4.7109375" style="434" customWidth="1"/>
    <col min="7433" max="7433" width="7.140625" style="434" customWidth="1"/>
    <col min="7434" max="7434" width="2.7109375" style="434" customWidth="1"/>
    <col min="7435" max="7435" width="4.7109375" style="434" customWidth="1"/>
    <col min="7436" max="7436" width="6.28515625" style="434" customWidth="1"/>
    <col min="7437" max="7437" width="2.7109375" style="434" customWidth="1"/>
    <col min="7438" max="7438" width="4.7109375" style="434" customWidth="1"/>
    <col min="7439" max="7439" width="7.28515625" style="434" customWidth="1"/>
    <col min="7440" max="7440" width="2.7109375" style="434" customWidth="1"/>
    <col min="7441" max="7441" width="4.7109375" style="434" customWidth="1"/>
    <col min="7442" max="7442" width="6.7109375" style="434" customWidth="1"/>
    <col min="7443" max="7443" width="2.7109375" style="434" customWidth="1"/>
    <col min="7444" max="7680" width="9.140625" style="434"/>
    <col min="7681" max="7681" width="34.7109375" style="434" customWidth="1"/>
    <col min="7682" max="7682" width="5.7109375" style="434" customWidth="1"/>
    <col min="7683" max="7683" width="7.28515625" style="434" customWidth="1"/>
    <col min="7684" max="7684" width="2.7109375" style="434" customWidth="1"/>
    <col min="7685" max="7685" width="4.7109375" style="434" customWidth="1"/>
    <col min="7686" max="7686" width="7.28515625" style="434" customWidth="1"/>
    <col min="7687" max="7687" width="2.7109375" style="434" customWidth="1"/>
    <col min="7688" max="7688" width="4.7109375" style="434" customWidth="1"/>
    <col min="7689" max="7689" width="7.140625" style="434" customWidth="1"/>
    <col min="7690" max="7690" width="2.7109375" style="434" customWidth="1"/>
    <col min="7691" max="7691" width="4.7109375" style="434" customWidth="1"/>
    <col min="7692" max="7692" width="6.28515625" style="434" customWidth="1"/>
    <col min="7693" max="7693" width="2.7109375" style="434" customWidth="1"/>
    <col min="7694" max="7694" width="4.7109375" style="434" customWidth="1"/>
    <col min="7695" max="7695" width="7.28515625" style="434" customWidth="1"/>
    <col min="7696" max="7696" width="2.7109375" style="434" customWidth="1"/>
    <col min="7697" max="7697" width="4.7109375" style="434" customWidth="1"/>
    <col min="7698" max="7698" width="6.7109375" style="434" customWidth="1"/>
    <col min="7699" max="7699" width="2.7109375" style="434" customWidth="1"/>
    <col min="7700" max="7936" width="9.140625" style="434"/>
    <col min="7937" max="7937" width="34.7109375" style="434" customWidth="1"/>
    <col min="7938" max="7938" width="5.7109375" style="434" customWidth="1"/>
    <col min="7939" max="7939" width="7.28515625" style="434" customWidth="1"/>
    <col min="7940" max="7940" width="2.7109375" style="434" customWidth="1"/>
    <col min="7941" max="7941" width="4.7109375" style="434" customWidth="1"/>
    <col min="7942" max="7942" width="7.28515625" style="434" customWidth="1"/>
    <col min="7943" max="7943" width="2.7109375" style="434" customWidth="1"/>
    <col min="7944" max="7944" width="4.7109375" style="434" customWidth="1"/>
    <col min="7945" max="7945" width="7.140625" style="434" customWidth="1"/>
    <col min="7946" max="7946" width="2.7109375" style="434" customWidth="1"/>
    <col min="7947" max="7947" width="4.7109375" style="434" customWidth="1"/>
    <col min="7948" max="7948" width="6.28515625" style="434" customWidth="1"/>
    <col min="7949" max="7949" width="2.7109375" style="434" customWidth="1"/>
    <col min="7950" max="7950" width="4.7109375" style="434" customWidth="1"/>
    <col min="7951" max="7951" width="7.28515625" style="434" customWidth="1"/>
    <col min="7952" max="7952" width="2.7109375" style="434" customWidth="1"/>
    <col min="7953" max="7953" width="4.7109375" style="434" customWidth="1"/>
    <col min="7954" max="7954" width="6.7109375" style="434" customWidth="1"/>
    <col min="7955" max="7955" width="2.7109375" style="434" customWidth="1"/>
    <col min="7956" max="8192" width="9.140625" style="434"/>
    <col min="8193" max="8193" width="34.7109375" style="434" customWidth="1"/>
    <col min="8194" max="8194" width="5.7109375" style="434" customWidth="1"/>
    <col min="8195" max="8195" width="7.28515625" style="434" customWidth="1"/>
    <col min="8196" max="8196" width="2.7109375" style="434" customWidth="1"/>
    <col min="8197" max="8197" width="4.7109375" style="434" customWidth="1"/>
    <col min="8198" max="8198" width="7.28515625" style="434" customWidth="1"/>
    <col min="8199" max="8199" width="2.7109375" style="434" customWidth="1"/>
    <col min="8200" max="8200" width="4.7109375" style="434" customWidth="1"/>
    <col min="8201" max="8201" width="7.140625" style="434" customWidth="1"/>
    <col min="8202" max="8202" width="2.7109375" style="434" customWidth="1"/>
    <col min="8203" max="8203" width="4.7109375" style="434" customWidth="1"/>
    <col min="8204" max="8204" width="6.28515625" style="434" customWidth="1"/>
    <col min="8205" max="8205" width="2.7109375" style="434" customWidth="1"/>
    <col min="8206" max="8206" width="4.7109375" style="434" customWidth="1"/>
    <col min="8207" max="8207" width="7.28515625" style="434" customWidth="1"/>
    <col min="8208" max="8208" width="2.7109375" style="434" customWidth="1"/>
    <col min="8209" max="8209" width="4.7109375" style="434" customWidth="1"/>
    <col min="8210" max="8210" width="6.7109375" style="434" customWidth="1"/>
    <col min="8211" max="8211" width="2.7109375" style="434" customWidth="1"/>
    <col min="8212" max="8448" width="9.140625" style="434"/>
    <col min="8449" max="8449" width="34.7109375" style="434" customWidth="1"/>
    <col min="8450" max="8450" width="5.7109375" style="434" customWidth="1"/>
    <col min="8451" max="8451" width="7.28515625" style="434" customWidth="1"/>
    <col min="8452" max="8452" width="2.7109375" style="434" customWidth="1"/>
    <col min="8453" max="8453" width="4.7109375" style="434" customWidth="1"/>
    <col min="8454" max="8454" width="7.28515625" style="434" customWidth="1"/>
    <col min="8455" max="8455" width="2.7109375" style="434" customWidth="1"/>
    <col min="8456" max="8456" width="4.7109375" style="434" customWidth="1"/>
    <col min="8457" max="8457" width="7.140625" style="434" customWidth="1"/>
    <col min="8458" max="8458" width="2.7109375" style="434" customWidth="1"/>
    <col min="8459" max="8459" width="4.7109375" style="434" customWidth="1"/>
    <col min="8460" max="8460" width="6.28515625" style="434" customWidth="1"/>
    <col min="8461" max="8461" width="2.7109375" style="434" customWidth="1"/>
    <col min="8462" max="8462" width="4.7109375" style="434" customWidth="1"/>
    <col min="8463" max="8463" width="7.28515625" style="434" customWidth="1"/>
    <col min="8464" max="8464" width="2.7109375" style="434" customWidth="1"/>
    <col min="8465" max="8465" width="4.7109375" style="434" customWidth="1"/>
    <col min="8466" max="8466" width="6.7109375" style="434" customWidth="1"/>
    <col min="8467" max="8467" width="2.7109375" style="434" customWidth="1"/>
    <col min="8468" max="8704" width="9.140625" style="434"/>
    <col min="8705" max="8705" width="34.7109375" style="434" customWidth="1"/>
    <col min="8706" max="8706" width="5.7109375" style="434" customWidth="1"/>
    <col min="8707" max="8707" width="7.28515625" style="434" customWidth="1"/>
    <col min="8708" max="8708" width="2.7109375" style="434" customWidth="1"/>
    <col min="8709" max="8709" width="4.7109375" style="434" customWidth="1"/>
    <col min="8710" max="8710" width="7.28515625" style="434" customWidth="1"/>
    <col min="8711" max="8711" width="2.7109375" style="434" customWidth="1"/>
    <col min="8712" max="8712" width="4.7109375" style="434" customWidth="1"/>
    <col min="8713" max="8713" width="7.140625" style="434" customWidth="1"/>
    <col min="8714" max="8714" width="2.7109375" style="434" customWidth="1"/>
    <col min="8715" max="8715" width="4.7109375" style="434" customWidth="1"/>
    <col min="8716" max="8716" width="6.28515625" style="434" customWidth="1"/>
    <col min="8717" max="8717" width="2.7109375" style="434" customWidth="1"/>
    <col min="8718" max="8718" width="4.7109375" style="434" customWidth="1"/>
    <col min="8719" max="8719" width="7.28515625" style="434" customWidth="1"/>
    <col min="8720" max="8720" width="2.7109375" style="434" customWidth="1"/>
    <col min="8721" max="8721" width="4.7109375" style="434" customWidth="1"/>
    <col min="8722" max="8722" width="6.7109375" style="434" customWidth="1"/>
    <col min="8723" max="8723" width="2.7109375" style="434" customWidth="1"/>
    <col min="8724" max="8960" width="9.140625" style="434"/>
    <col min="8961" max="8961" width="34.7109375" style="434" customWidth="1"/>
    <col min="8962" max="8962" width="5.7109375" style="434" customWidth="1"/>
    <col min="8963" max="8963" width="7.28515625" style="434" customWidth="1"/>
    <col min="8964" max="8964" width="2.7109375" style="434" customWidth="1"/>
    <col min="8965" max="8965" width="4.7109375" style="434" customWidth="1"/>
    <col min="8966" max="8966" width="7.28515625" style="434" customWidth="1"/>
    <col min="8967" max="8967" width="2.7109375" style="434" customWidth="1"/>
    <col min="8968" max="8968" width="4.7109375" style="434" customWidth="1"/>
    <col min="8969" max="8969" width="7.140625" style="434" customWidth="1"/>
    <col min="8970" max="8970" width="2.7109375" style="434" customWidth="1"/>
    <col min="8971" max="8971" width="4.7109375" style="434" customWidth="1"/>
    <col min="8972" max="8972" width="6.28515625" style="434" customWidth="1"/>
    <col min="8973" max="8973" width="2.7109375" style="434" customWidth="1"/>
    <col min="8974" max="8974" width="4.7109375" style="434" customWidth="1"/>
    <col min="8975" max="8975" width="7.28515625" style="434" customWidth="1"/>
    <col min="8976" max="8976" width="2.7109375" style="434" customWidth="1"/>
    <col min="8977" max="8977" width="4.7109375" style="434" customWidth="1"/>
    <col min="8978" max="8978" width="6.7109375" style="434" customWidth="1"/>
    <col min="8979" max="8979" width="2.7109375" style="434" customWidth="1"/>
    <col min="8980" max="9216" width="9.140625" style="434"/>
    <col min="9217" max="9217" width="34.7109375" style="434" customWidth="1"/>
    <col min="9218" max="9218" width="5.7109375" style="434" customWidth="1"/>
    <col min="9219" max="9219" width="7.28515625" style="434" customWidth="1"/>
    <col min="9220" max="9220" width="2.7109375" style="434" customWidth="1"/>
    <col min="9221" max="9221" width="4.7109375" style="434" customWidth="1"/>
    <col min="9222" max="9222" width="7.28515625" style="434" customWidth="1"/>
    <col min="9223" max="9223" width="2.7109375" style="434" customWidth="1"/>
    <col min="9224" max="9224" width="4.7109375" style="434" customWidth="1"/>
    <col min="9225" max="9225" width="7.140625" style="434" customWidth="1"/>
    <col min="9226" max="9226" width="2.7109375" style="434" customWidth="1"/>
    <col min="9227" max="9227" width="4.7109375" style="434" customWidth="1"/>
    <col min="9228" max="9228" width="6.28515625" style="434" customWidth="1"/>
    <col min="9229" max="9229" width="2.7109375" style="434" customWidth="1"/>
    <col min="9230" max="9230" width="4.7109375" style="434" customWidth="1"/>
    <col min="9231" max="9231" width="7.28515625" style="434" customWidth="1"/>
    <col min="9232" max="9232" width="2.7109375" style="434" customWidth="1"/>
    <col min="9233" max="9233" width="4.7109375" style="434" customWidth="1"/>
    <col min="9234" max="9234" width="6.7109375" style="434" customWidth="1"/>
    <col min="9235" max="9235" width="2.7109375" style="434" customWidth="1"/>
    <col min="9236" max="9472" width="9.140625" style="434"/>
    <col min="9473" max="9473" width="34.7109375" style="434" customWidth="1"/>
    <col min="9474" max="9474" width="5.7109375" style="434" customWidth="1"/>
    <col min="9475" max="9475" width="7.28515625" style="434" customWidth="1"/>
    <col min="9476" max="9476" width="2.7109375" style="434" customWidth="1"/>
    <col min="9477" max="9477" width="4.7109375" style="434" customWidth="1"/>
    <col min="9478" max="9478" width="7.28515625" style="434" customWidth="1"/>
    <col min="9479" max="9479" width="2.7109375" style="434" customWidth="1"/>
    <col min="9480" max="9480" width="4.7109375" style="434" customWidth="1"/>
    <col min="9481" max="9481" width="7.140625" style="434" customWidth="1"/>
    <col min="9482" max="9482" width="2.7109375" style="434" customWidth="1"/>
    <col min="9483" max="9483" width="4.7109375" style="434" customWidth="1"/>
    <col min="9484" max="9484" width="6.28515625" style="434" customWidth="1"/>
    <col min="9485" max="9485" width="2.7109375" style="434" customWidth="1"/>
    <col min="9486" max="9486" width="4.7109375" style="434" customWidth="1"/>
    <col min="9487" max="9487" width="7.28515625" style="434" customWidth="1"/>
    <col min="9488" max="9488" width="2.7109375" style="434" customWidth="1"/>
    <col min="9489" max="9489" width="4.7109375" style="434" customWidth="1"/>
    <col min="9490" max="9490" width="6.7109375" style="434" customWidth="1"/>
    <col min="9491" max="9491" width="2.7109375" style="434" customWidth="1"/>
    <col min="9492" max="9728" width="9.140625" style="434"/>
    <col min="9729" max="9729" width="34.7109375" style="434" customWidth="1"/>
    <col min="9730" max="9730" width="5.7109375" style="434" customWidth="1"/>
    <col min="9731" max="9731" width="7.28515625" style="434" customWidth="1"/>
    <col min="9732" max="9732" width="2.7109375" style="434" customWidth="1"/>
    <col min="9733" max="9733" width="4.7109375" style="434" customWidth="1"/>
    <col min="9734" max="9734" width="7.28515625" style="434" customWidth="1"/>
    <col min="9735" max="9735" width="2.7109375" style="434" customWidth="1"/>
    <col min="9736" max="9736" width="4.7109375" style="434" customWidth="1"/>
    <col min="9737" max="9737" width="7.140625" style="434" customWidth="1"/>
    <col min="9738" max="9738" width="2.7109375" style="434" customWidth="1"/>
    <col min="9739" max="9739" width="4.7109375" style="434" customWidth="1"/>
    <col min="9740" max="9740" width="6.28515625" style="434" customWidth="1"/>
    <col min="9741" max="9741" width="2.7109375" style="434" customWidth="1"/>
    <col min="9742" max="9742" width="4.7109375" style="434" customWidth="1"/>
    <col min="9743" max="9743" width="7.28515625" style="434" customWidth="1"/>
    <col min="9744" max="9744" width="2.7109375" style="434" customWidth="1"/>
    <col min="9745" max="9745" width="4.7109375" style="434" customWidth="1"/>
    <col min="9746" max="9746" width="6.7109375" style="434" customWidth="1"/>
    <col min="9747" max="9747" width="2.7109375" style="434" customWidth="1"/>
    <col min="9748" max="9984" width="9.140625" style="434"/>
    <col min="9985" max="9985" width="34.7109375" style="434" customWidth="1"/>
    <col min="9986" max="9986" width="5.7109375" style="434" customWidth="1"/>
    <col min="9987" max="9987" width="7.28515625" style="434" customWidth="1"/>
    <col min="9988" max="9988" width="2.7109375" style="434" customWidth="1"/>
    <col min="9989" max="9989" width="4.7109375" style="434" customWidth="1"/>
    <col min="9990" max="9990" width="7.28515625" style="434" customWidth="1"/>
    <col min="9991" max="9991" width="2.7109375" style="434" customWidth="1"/>
    <col min="9992" max="9992" width="4.7109375" style="434" customWidth="1"/>
    <col min="9993" max="9993" width="7.140625" style="434" customWidth="1"/>
    <col min="9994" max="9994" width="2.7109375" style="434" customWidth="1"/>
    <col min="9995" max="9995" width="4.7109375" style="434" customWidth="1"/>
    <col min="9996" max="9996" width="6.28515625" style="434" customWidth="1"/>
    <col min="9997" max="9997" width="2.7109375" style="434" customWidth="1"/>
    <col min="9998" max="9998" width="4.7109375" style="434" customWidth="1"/>
    <col min="9999" max="9999" width="7.28515625" style="434" customWidth="1"/>
    <col min="10000" max="10000" width="2.7109375" style="434" customWidth="1"/>
    <col min="10001" max="10001" width="4.7109375" style="434" customWidth="1"/>
    <col min="10002" max="10002" width="6.7109375" style="434" customWidth="1"/>
    <col min="10003" max="10003" width="2.7109375" style="434" customWidth="1"/>
    <col min="10004" max="10240" width="9.140625" style="434"/>
    <col min="10241" max="10241" width="34.7109375" style="434" customWidth="1"/>
    <col min="10242" max="10242" width="5.7109375" style="434" customWidth="1"/>
    <col min="10243" max="10243" width="7.28515625" style="434" customWidth="1"/>
    <col min="10244" max="10244" width="2.7109375" style="434" customWidth="1"/>
    <col min="10245" max="10245" width="4.7109375" style="434" customWidth="1"/>
    <col min="10246" max="10246" width="7.28515625" style="434" customWidth="1"/>
    <col min="10247" max="10247" width="2.7109375" style="434" customWidth="1"/>
    <col min="10248" max="10248" width="4.7109375" style="434" customWidth="1"/>
    <col min="10249" max="10249" width="7.140625" style="434" customWidth="1"/>
    <col min="10250" max="10250" width="2.7109375" style="434" customWidth="1"/>
    <col min="10251" max="10251" width="4.7109375" style="434" customWidth="1"/>
    <col min="10252" max="10252" width="6.28515625" style="434" customWidth="1"/>
    <col min="10253" max="10253" width="2.7109375" style="434" customWidth="1"/>
    <col min="10254" max="10254" width="4.7109375" style="434" customWidth="1"/>
    <col min="10255" max="10255" width="7.28515625" style="434" customWidth="1"/>
    <col min="10256" max="10256" width="2.7109375" style="434" customWidth="1"/>
    <col min="10257" max="10257" width="4.7109375" style="434" customWidth="1"/>
    <col min="10258" max="10258" width="6.7109375" style="434" customWidth="1"/>
    <col min="10259" max="10259" width="2.7109375" style="434" customWidth="1"/>
    <col min="10260" max="10496" width="9.140625" style="434"/>
    <col min="10497" max="10497" width="34.7109375" style="434" customWidth="1"/>
    <col min="10498" max="10498" width="5.7109375" style="434" customWidth="1"/>
    <col min="10499" max="10499" width="7.28515625" style="434" customWidth="1"/>
    <col min="10500" max="10500" width="2.7109375" style="434" customWidth="1"/>
    <col min="10501" max="10501" width="4.7109375" style="434" customWidth="1"/>
    <col min="10502" max="10502" width="7.28515625" style="434" customWidth="1"/>
    <col min="10503" max="10503" width="2.7109375" style="434" customWidth="1"/>
    <col min="10504" max="10504" width="4.7109375" style="434" customWidth="1"/>
    <col min="10505" max="10505" width="7.140625" style="434" customWidth="1"/>
    <col min="10506" max="10506" width="2.7109375" style="434" customWidth="1"/>
    <col min="10507" max="10507" width="4.7109375" style="434" customWidth="1"/>
    <col min="10508" max="10508" width="6.28515625" style="434" customWidth="1"/>
    <col min="10509" max="10509" width="2.7109375" style="434" customWidth="1"/>
    <col min="10510" max="10510" width="4.7109375" style="434" customWidth="1"/>
    <col min="10511" max="10511" width="7.28515625" style="434" customWidth="1"/>
    <col min="10512" max="10512" width="2.7109375" style="434" customWidth="1"/>
    <col min="10513" max="10513" width="4.7109375" style="434" customWidth="1"/>
    <col min="10514" max="10514" width="6.7109375" style="434" customWidth="1"/>
    <col min="10515" max="10515" width="2.7109375" style="434" customWidth="1"/>
    <col min="10516" max="10752" width="9.140625" style="434"/>
    <col min="10753" max="10753" width="34.7109375" style="434" customWidth="1"/>
    <col min="10754" max="10754" width="5.7109375" style="434" customWidth="1"/>
    <col min="10755" max="10755" width="7.28515625" style="434" customWidth="1"/>
    <col min="10756" max="10756" width="2.7109375" style="434" customWidth="1"/>
    <col min="10757" max="10757" width="4.7109375" style="434" customWidth="1"/>
    <col min="10758" max="10758" width="7.28515625" style="434" customWidth="1"/>
    <col min="10759" max="10759" width="2.7109375" style="434" customWidth="1"/>
    <col min="10760" max="10760" width="4.7109375" style="434" customWidth="1"/>
    <col min="10761" max="10761" width="7.140625" style="434" customWidth="1"/>
    <col min="10762" max="10762" width="2.7109375" style="434" customWidth="1"/>
    <col min="10763" max="10763" width="4.7109375" style="434" customWidth="1"/>
    <col min="10764" max="10764" width="6.28515625" style="434" customWidth="1"/>
    <col min="10765" max="10765" width="2.7109375" style="434" customWidth="1"/>
    <col min="10766" max="10766" width="4.7109375" style="434" customWidth="1"/>
    <col min="10767" max="10767" width="7.28515625" style="434" customWidth="1"/>
    <col min="10768" max="10768" width="2.7109375" style="434" customWidth="1"/>
    <col min="10769" max="10769" width="4.7109375" style="434" customWidth="1"/>
    <col min="10770" max="10770" width="6.7109375" style="434" customWidth="1"/>
    <col min="10771" max="10771" width="2.7109375" style="434" customWidth="1"/>
    <col min="10772" max="11008" width="9.140625" style="434"/>
    <col min="11009" max="11009" width="34.7109375" style="434" customWidth="1"/>
    <col min="11010" max="11010" width="5.7109375" style="434" customWidth="1"/>
    <col min="11011" max="11011" width="7.28515625" style="434" customWidth="1"/>
    <col min="11012" max="11012" width="2.7109375" style="434" customWidth="1"/>
    <col min="11013" max="11013" width="4.7109375" style="434" customWidth="1"/>
    <col min="11014" max="11014" width="7.28515625" style="434" customWidth="1"/>
    <col min="11015" max="11015" width="2.7109375" style="434" customWidth="1"/>
    <col min="11016" max="11016" width="4.7109375" style="434" customWidth="1"/>
    <col min="11017" max="11017" width="7.140625" style="434" customWidth="1"/>
    <col min="11018" max="11018" width="2.7109375" style="434" customWidth="1"/>
    <col min="11019" max="11019" width="4.7109375" style="434" customWidth="1"/>
    <col min="11020" max="11020" width="6.28515625" style="434" customWidth="1"/>
    <col min="11021" max="11021" width="2.7109375" style="434" customWidth="1"/>
    <col min="11022" max="11022" width="4.7109375" style="434" customWidth="1"/>
    <col min="11023" max="11023" width="7.28515625" style="434" customWidth="1"/>
    <col min="11024" max="11024" width="2.7109375" style="434" customWidth="1"/>
    <col min="11025" max="11025" width="4.7109375" style="434" customWidth="1"/>
    <col min="11026" max="11026" width="6.7109375" style="434" customWidth="1"/>
    <col min="11027" max="11027" width="2.7109375" style="434" customWidth="1"/>
    <col min="11028" max="11264" width="9.140625" style="434"/>
    <col min="11265" max="11265" width="34.7109375" style="434" customWidth="1"/>
    <col min="11266" max="11266" width="5.7109375" style="434" customWidth="1"/>
    <col min="11267" max="11267" width="7.28515625" style="434" customWidth="1"/>
    <col min="11268" max="11268" width="2.7109375" style="434" customWidth="1"/>
    <col min="11269" max="11269" width="4.7109375" style="434" customWidth="1"/>
    <col min="11270" max="11270" width="7.28515625" style="434" customWidth="1"/>
    <col min="11271" max="11271" width="2.7109375" style="434" customWidth="1"/>
    <col min="11272" max="11272" width="4.7109375" style="434" customWidth="1"/>
    <col min="11273" max="11273" width="7.140625" style="434" customWidth="1"/>
    <col min="11274" max="11274" width="2.7109375" style="434" customWidth="1"/>
    <col min="11275" max="11275" width="4.7109375" style="434" customWidth="1"/>
    <col min="11276" max="11276" width="6.28515625" style="434" customWidth="1"/>
    <col min="11277" max="11277" width="2.7109375" style="434" customWidth="1"/>
    <col min="11278" max="11278" width="4.7109375" style="434" customWidth="1"/>
    <col min="11279" max="11279" width="7.28515625" style="434" customWidth="1"/>
    <col min="11280" max="11280" width="2.7109375" style="434" customWidth="1"/>
    <col min="11281" max="11281" width="4.7109375" style="434" customWidth="1"/>
    <col min="11282" max="11282" width="6.7109375" style="434" customWidth="1"/>
    <col min="11283" max="11283" width="2.7109375" style="434" customWidth="1"/>
    <col min="11284" max="11520" width="9.140625" style="434"/>
    <col min="11521" max="11521" width="34.7109375" style="434" customWidth="1"/>
    <col min="11522" max="11522" width="5.7109375" style="434" customWidth="1"/>
    <col min="11523" max="11523" width="7.28515625" style="434" customWidth="1"/>
    <col min="11524" max="11524" width="2.7109375" style="434" customWidth="1"/>
    <col min="11525" max="11525" width="4.7109375" style="434" customWidth="1"/>
    <col min="11526" max="11526" width="7.28515625" style="434" customWidth="1"/>
    <col min="11527" max="11527" width="2.7109375" style="434" customWidth="1"/>
    <col min="11528" max="11528" width="4.7109375" style="434" customWidth="1"/>
    <col min="11529" max="11529" width="7.140625" style="434" customWidth="1"/>
    <col min="11530" max="11530" width="2.7109375" style="434" customWidth="1"/>
    <col min="11531" max="11531" width="4.7109375" style="434" customWidth="1"/>
    <col min="11532" max="11532" width="6.28515625" style="434" customWidth="1"/>
    <col min="11533" max="11533" width="2.7109375" style="434" customWidth="1"/>
    <col min="11534" max="11534" width="4.7109375" style="434" customWidth="1"/>
    <col min="11535" max="11535" width="7.28515625" style="434" customWidth="1"/>
    <col min="11536" max="11536" width="2.7109375" style="434" customWidth="1"/>
    <col min="11537" max="11537" width="4.7109375" style="434" customWidth="1"/>
    <col min="11538" max="11538" width="6.7109375" style="434" customWidth="1"/>
    <col min="11539" max="11539" width="2.7109375" style="434" customWidth="1"/>
    <col min="11540" max="11776" width="9.140625" style="434"/>
    <col min="11777" max="11777" width="34.7109375" style="434" customWidth="1"/>
    <col min="11778" max="11778" width="5.7109375" style="434" customWidth="1"/>
    <col min="11779" max="11779" width="7.28515625" style="434" customWidth="1"/>
    <col min="11780" max="11780" width="2.7109375" style="434" customWidth="1"/>
    <col min="11781" max="11781" width="4.7109375" style="434" customWidth="1"/>
    <col min="11782" max="11782" width="7.28515625" style="434" customWidth="1"/>
    <col min="11783" max="11783" width="2.7109375" style="434" customWidth="1"/>
    <col min="11784" max="11784" width="4.7109375" style="434" customWidth="1"/>
    <col min="11785" max="11785" width="7.140625" style="434" customWidth="1"/>
    <col min="11786" max="11786" width="2.7109375" style="434" customWidth="1"/>
    <col min="11787" max="11787" width="4.7109375" style="434" customWidth="1"/>
    <col min="11788" max="11788" width="6.28515625" style="434" customWidth="1"/>
    <col min="11789" max="11789" width="2.7109375" style="434" customWidth="1"/>
    <col min="11790" max="11790" width="4.7109375" style="434" customWidth="1"/>
    <col min="11791" max="11791" width="7.28515625" style="434" customWidth="1"/>
    <col min="11792" max="11792" width="2.7109375" style="434" customWidth="1"/>
    <col min="11793" max="11793" width="4.7109375" style="434" customWidth="1"/>
    <col min="11794" max="11794" width="6.7109375" style="434" customWidth="1"/>
    <col min="11795" max="11795" width="2.7109375" style="434" customWidth="1"/>
    <col min="11796" max="12032" width="9.140625" style="434"/>
    <col min="12033" max="12033" width="34.7109375" style="434" customWidth="1"/>
    <col min="12034" max="12034" width="5.7109375" style="434" customWidth="1"/>
    <col min="12035" max="12035" width="7.28515625" style="434" customWidth="1"/>
    <col min="12036" max="12036" width="2.7109375" style="434" customWidth="1"/>
    <col min="12037" max="12037" width="4.7109375" style="434" customWidth="1"/>
    <col min="12038" max="12038" width="7.28515625" style="434" customWidth="1"/>
    <col min="12039" max="12039" width="2.7109375" style="434" customWidth="1"/>
    <col min="12040" max="12040" width="4.7109375" style="434" customWidth="1"/>
    <col min="12041" max="12041" width="7.140625" style="434" customWidth="1"/>
    <col min="12042" max="12042" width="2.7109375" style="434" customWidth="1"/>
    <col min="12043" max="12043" width="4.7109375" style="434" customWidth="1"/>
    <col min="12044" max="12044" width="6.28515625" style="434" customWidth="1"/>
    <col min="12045" max="12045" width="2.7109375" style="434" customWidth="1"/>
    <col min="12046" max="12046" width="4.7109375" style="434" customWidth="1"/>
    <col min="12047" max="12047" width="7.28515625" style="434" customWidth="1"/>
    <col min="12048" max="12048" width="2.7109375" style="434" customWidth="1"/>
    <col min="12049" max="12049" width="4.7109375" style="434" customWidth="1"/>
    <col min="12050" max="12050" width="6.7109375" style="434" customWidth="1"/>
    <col min="12051" max="12051" width="2.7109375" style="434" customWidth="1"/>
    <col min="12052" max="12288" width="9.140625" style="434"/>
    <col min="12289" max="12289" width="34.7109375" style="434" customWidth="1"/>
    <col min="12290" max="12290" width="5.7109375" style="434" customWidth="1"/>
    <col min="12291" max="12291" width="7.28515625" style="434" customWidth="1"/>
    <col min="12292" max="12292" width="2.7109375" style="434" customWidth="1"/>
    <col min="12293" max="12293" width="4.7109375" style="434" customWidth="1"/>
    <col min="12294" max="12294" width="7.28515625" style="434" customWidth="1"/>
    <col min="12295" max="12295" width="2.7109375" style="434" customWidth="1"/>
    <col min="12296" max="12296" width="4.7109375" style="434" customWidth="1"/>
    <col min="12297" max="12297" width="7.140625" style="434" customWidth="1"/>
    <col min="12298" max="12298" width="2.7109375" style="434" customWidth="1"/>
    <col min="12299" max="12299" width="4.7109375" style="434" customWidth="1"/>
    <col min="12300" max="12300" width="6.28515625" style="434" customWidth="1"/>
    <col min="12301" max="12301" width="2.7109375" style="434" customWidth="1"/>
    <col min="12302" max="12302" width="4.7109375" style="434" customWidth="1"/>
    <col min="12303" max="12303" width="7.28515625" style="434" customWidth="1"/>
    <col min="12304" max="12304" width="2.7109375" style="434" customWidth="1"/>
    <col min="12305" max="12305" width="4.7109375" style="434" customWidth="1"/>
    <col min="12306" max="12306" width="6.7109375" style="434" customWidth="1"/>
    <col min="12307" max="12307" width="2.7109375" style="434" customWidth="1"/>
    <col min="12308" max="12544" width="9.140625" style="434"/>
    <col min="12545" max="12545" width="34.7109375" style="434" customWidth="1"/>
    <col min="12546" max="12546" width="5.7109375" style="434" customWidth="1"/>
    <col min="12547" max="12547" width="7.28515625" style="434" customWidth="1"/>
    <col min="12548" max="12548" width="2.7109375" style="434" customWidth="1"/>
    <col min="12549" max="12549" width="4.7109375" style="434" customWidth="1"/>
    <col min="12550" max="12550" width="7.28515625" style="434" customWidth="1"/>
    <col min="12551" max="12551" width="2.7109375" style="434" customWidth="1"/>
    <col min="12552" max="12552" width="4.7109375" style="434" customWidth="1"/>
    <col min="12553" max="12553" width="7.140625" style="434" customWidth="1"/>
    <col min="12554" max="12554" width="2.7109375" style="434" customWidth="1"/>
    <col min="12555" max="12555" width="4.7109375" style="434" customWidth="1"/>
    <col min="12556" max="12556" width="6.28515625" style="434" customWidth="1"/>
    <col min="12557" max="12557" width="2.7109375" style="434" customWidth="1"/>
    <col min="12558" max="12558" width="4.7109375" style="434" customWidth="1"/>
    <col min="12559" max="12559" width="7.28515625" style="434" customWidth="1"/>
    <col min="12560" max="12560" width="2.7109375" style="434" customWidth="1"/>
    <col min="12561" max="12561" width="4.7109375" style="434" customWidth="1"/>
    <col min="12562" max="12562" width="6.7109375" style="434" customWidth="1"/>
    <col min="12563" max="12563" width="2.7109375" style="434" customWidth="1"/>
    <col min="12564" max="12800" width="9.140625" style="434"/>
    <col min="12801" max="12801" width="34.7109375" style="434" customWidth="1"/>
    <col min="12802" max="12802" width="5.7109375" style="434" customWidth="1"/>
    <col min="12803" max="12803" width="7.28515625" style="434" customWidth="1"/>
    <col min="12804" max="12804" width="2.7109375" style="434" customWidth="1"/>
    <col min="12805" max="12805" width="4.7109375" style="434" customWidth="1"/>
    <col min="12806" max="12806" width="7.28515625" style="434" customWidth="1"/>
    <col min="12807" max="12807" width="2.7109375" style="434" customWidth="1"/>
    <col min="12808" max="12808" width="4.7109375" style="434" customWidth="1"/>
    <col min="12809" max="12809" width="7.140625" style="434" customWidth="1"/>
    <col min="12810" max="12810" width="2.7109375" style="434" customWidth="1"/>
    <col min="12811" max="12811" width="4.7109375" style="434" customWidth="1"/>
    <col min="12812" max="12812" width="6.28515625" style="434" customWidth="1"/>
    <col min="12813" max="12813" width="2.7109375" style="434" customWidth="1"/>
    <col min="12814" max="12814" width="4.7109375" style="434" customWidth="1"/>
    <col min="12815" max="12815" width="7.28515625" style="434" customWidth="1"/>
    <col min="12816" max="12816" width="2.7109375" style="434" customWidth="1"/>
    <col min="12817" max="12817" width="4.7109375" style="434" customWidth="1"/>
    <col min="12818" max="12818" width="6.7109375" style="434" customWidth="1"/>
    <col min="12819" max="12819" width="2.7109375" style="434" customWidth="1"/>
    <col min="12820" max="13056" width="9.140625" style="434"/>
    <col min="13057" max="13057" width="34.7109375" style="434" customWidth="1"/>
    <col min="13058" max="13058" width="5.7109375" style="434" customWidth="1"/>
    <col min="13059" max="13059" width="7.28515625" style="434" customWidth="1"/>
    <col min="13060" max="13060" width="2.7109375" style="434" customWidth="1"/>
    <col min="13061" max="13061" width="4.7109375" style="434" customWidth="1"/>
    <col min="13062" max="13062" width="7.28515625" style="434" customWidth="1"/>
    <col min="13063" max="13063" width="2.7109375" style="434" customWidth="1"/>
    <col min="13064" max="13064" width="4.7109375" style="434" customWidth="1"/>
    <col min="13065" max="13065" width="7.140625" style="434" customWidth="1"/>
    <col min="13066" max="13066" width="2.7109375" style="434" customWidth="1"/>
    <col min="13067" max="13067" width="4.7109375" style="434" customWidth="1"/>
    <col min="13068" max="13068" width="6.28515625" style="434" customWidth="1"/>
    <col min="13069" max="13069" width="2.7109375" style="434" customWidth="1"/>
    <col min="13070" max="13070" width="4.7109375" style="434" customWidth="1"/>
    <col min="13071" max="13071" width="7.28515625" style="434" customWidth="1"/>
    <col min="13072" max="13072" width="2.7109375" style="434" customWidth="1"/>
    <col min="13073" max="13073" width="4.7109375" style="434" customWidth="1"/>
    <col min="13074" max="13074" width="6.7109375" style="434" customWidth="1"/>
    <col min="13075" max="13075" width="2.7109375" style="434" customWidth="1"/>
    <col min="13076" max="13312" width="9.140625" style="434"/>
    <col min="13313" max="13313" width="34.7109375" style="434" customWidth="1"/>
    <col min="13314" max="13314" width="5.7109375" style="434" customWidth="1"/>
    <col min="13315" max="13315" width="7.28515625" style="434" customWidth="1"/>
    <col min="13316" max="13316" width="2.7109375" style="434" customWidth="1"/>
    <col min="13317" max="13317" width="4.7109375" style="434" customWidth="1"/>
    <col min="13318" max="13318" width="7.28515625" style="434" customWidth="1"/>
    <col min="13319" max="13319" width="2.7109375" style="434" customWidth="1"/>
    <col min="13320" max="13320" width="4.7109375" style="434" customWidth="1"/>
    <col min="13321" max="13321" width="7.140625" style="434" customWidth="1"/>
    <col min="13322" max="13322" width="2.7109375" style="434" customWidth="1"/>
    <col min="13323" max="13323" width="4.7109375" style="434" customWidth="1"/>
    <col min="13324" max="13324" width="6.28515625" style="434" customWidth="1"/>
    <col min="13325" max="13325" width="2.7109375" style="434" customWidth="1"/>
    <col min="13326" max="13326" width="4.7109375" style="434" customWidth="1"/>
    <col min="13327" max="13327" width="7.28515625" style="434" customWidth="1"/>
    <col min="13328" max="13328" width="2.7109375" style="434" customWidth="1"/>
    <col min="13329" max="13329" width="4.7109375" style="434" customWidth="1"/>
    <col min="13330" max="13330" width="6.7109375" style="434" customWidth="1"/>
    <col min="13331" max="13331" width="2.7109375" style="434" customWidth="1"/>
    <col min="13332" max="13568" width="9.140625" style="434"/>
    <col min="13569" max="13569" width="34.7109375" style="434" customWidth="1"/>
    <col min="13570" max="13570" width="5.7109375" style="434" customWidth="1"/>
    <col min="13571" max="13571" width="7.28515625" style="434" customWidth="1"/>
    <col min="13572" max="13572" width="2.7109375" style="434" customWidth="1"/>
    <col min="13573" max="13573" width="4.7109375" style="434" customWidth="1"/>
    <col min="13574" max="13574" width="7.28515625" style="434" customWidth="1"/>
    <col min="13575" max="13575" width="2.7109375" style="434" customWidth="1"/>
    <col min="13576" max="13576" width="4.7109375" style="434" customWidth="1"/>
    <col min="13577" max="13577" width="7.140625" style="434" customWidth="1"/>
    <col min="13578" max="13578" width="2.7109375" style="434" customWidth="1"/>
    <col min="13579" max="13579" width="4.7109375" style="434" customWidth="1"/>
    <col min="13580" max="13580" width="6.28515625" style="434" customWidth="1"/>
    <col min="13581" max="13581" width="2.7109375" style="434" customWidth="1"/>
    <col min="13582" max="13582" width="4.7109375" style="434" customWidth="1"/>
    <col min="13583" max="13583" width="7.28515625" style="434" customWidth="1"/>
    <col min="13584" max="13584" width="2.7109375" style="434" customWidth="1"/>
    <col min="13585" max="13585" width="4.7109375" style="434" customWidth="1"/>
    <col min="13586" max="13586" width="6.7109375" style="434" customWidth="1"/>
    <col min="13587" max="13587" width="2.7109375" style="434" customWidth="1"/>
    <col min="13588" max="13824" width="9.140625" style="434"/>
    <col min="13825" max="13825" width="34.7109375" style="434" customWidth="1"/>
    <col min="13826" max="13826" width="5.7109375" style="434" customWidth="1"/>
    <col min="13827" max="13827" width="7.28515625" style="434" customWidth="1"/>
    <col min="13828" max="13828" width="2.7109375" style="434" customWidth="1"/>
    <col min="13829" max="13829" width="4.7109375" style="434" customWidth="1"/>
    <col min="13830" max="13830" width="7.28515625" style="434" customWidth="1"/>
    <col min="13831" max="13831" width="2.7109375" style="434" customWidth="1"/>
    <col min="13832" max="13832" width="4.7109375" style="434" customWidth="1"/>
    <col min="13833" max="13833" width="7.140625" style="434" customWidth="1"/>
    <col min="13834" max="13834" width="2.7109375" style="434" customWidth="1"/>
    <col min="13835" max="13835" width="4.7109375" style="434" customWidth="1"/>
    <col min="13836" max="13836" width="6.28515625" style="434" customWidth="1"/>
    <col min="13837" max="13837" width="2.7109375" style="434" customWidth="1"/>
    <col min="13838" max="13838" width="4.7109375" style="434" customWidth="1"/>
    <col min="13839" max="13839" width="7.28515625" style="434" customWidth="1"/>
    <col min="13840" max="13840" width="2.7109375" style="434" customWidth="1"/>
    <col min="13841" max="13841" width="4.7109375" style="434" customWidth="1"/>
    <col min="13842" max="13842" width="6.7109375" style="434" customWidth="1"/>
    <col min="13843" max="13843" width="2.7109375" style="434" customWidth="1"/>
    <col min="13844" max="14080" width="9.140625" style="434"/>
    <col min="14081" max="14081" width="34.7109375" style="434" customWidth="1"/>
    <col min="14082" max="14082" width="5.7109375" style="434" customWidth="1"/>
    <col min="14083" max="14083" width="7.28515625" style="434" customWidth="1"/>
    <col min="14084" max="14084" width="2.7109375" style="434" customWidth="1"/>
    <col min="14085" max="14085" width="4.7109375" style="434" customWidth="1"/>
    <col min="14086" max="14086" width="7.28515625" style="434" customWidth="1"/>
    <col min="14087" max="14087" width="2.7109375" style="434" customWidth="1"/>
    <col min="14088" max="14088" width="4.7109375" style="434" customWidth="1"/>
    <col min="14089" max="14089" width="7.140625" style="434" customWidth="1"/>
    <col min="14090" max="14090" width="2.7109375" style="434" customWidth="1"/>
    <col min="14091" max="14091" width="4.7109375" style="434" customWidth="1"/>
    <col min="14092" max="14092" width="6.28515625" style="434" customWidth="1"/>
    <col min="14093" max="14093" width="2.7109375" style="434" customWidth="1"/>
    <col min="14094" max="14094" width="4.7109375" style="434" customWidth="1"/>
    <col min="14095" max="14095" width="7.28515625" style="434" customWidth="1"/>
    <col min="14096" max="14096" width="2.7109375" style="434" customWidth="1"/>
    <col min="14097" max="14097" width="4.7109375" style="434" customWidth="1"/>
    <col min="14098" max="14098" width="6.7109375" style="434" customWidth="1"/>
    <col min="14099" max="14099" width="2.7109375" style="434" customWidth="1"/>
    <col min="14100" max="14336" width="9.140625" style="434"/>
    <col min="14337" max="14337" width="34.7109375" style="434" customWidth="1"/>
    <col min="14338" max="14338" width="5.7109375" style="434" customWidth="1"/>
    <col min="14339" max="14339" width="7.28515625" style="434" customWidth="1"/>
    <col min="14340" max="14340" width="2.7109375" style="434" customWidth="1"/>
    <col min="14341" max="14341" width="4.7109375" style="434" customWidth="1"/>
    <col min="14342" max="14342" width="7.28515625" style="434" customWidth="1"/>
    <col min="14343" max="14343" width="2.7109375" style="434" customWidth="1"/>
    <col min="14344" max="14344" width="4.7109375" style="434" customWidth="1"/>
    <col min="14345" max="14345" width="7.140625" style="434" customWidth="1"/>
    <col min="14346" max="14346" width="2.7109375" style="434" customWidth="1"/>
    <col min="14347" max="14347" width="4.7109375" style="434" customWidth="1"/>
    <col min="14348" max="14348" width="6.28515625" style="434" customWidth="1"/>
    <col min="14349" max="14349" width="2.7109375" style="434" customWidth="1"/>
    <col min="14350" max="14350" width="4.7109375" style="434" customWidth="1"/>
    <col min="14351" max="14351" width="7.28515625" style="434" customWidth="1"/>
    <col min="14352" max="14352" width="2.7109375" style="434" customWidth="1"/>
    <col min="14353" max="14353" width="4.7109375" style="434" customWidth="1"/>
    <col min="14354" max="14354" width="6.7109375" style="434" customWidth="1"/>
    <col min="14355" max="14355" width="2.7109375" style="434" customWidth="1"/>
    <col min="14356" max="14592" width="9.140625" style="434"/>
    <col min="14593" max="14593" width="34.7109375" style="434" customWidth="1"/>
    <col min="14594" max="14594" width="5.7109375" style="434" customWidth="1"/>
    <col min="14595" max="14595" width="7.28515625" style="434" customWidth="1"/>
    <col min="14596" max="14596" width="2.7109375" style="434" customWidth="1"/>
    <col min="14597" max="14597" width="4.7109375" style="434" customWidth="1"/>
    <col min="14598" max="14598" width="7.28515625" style="434" customWidth="1"/>
    <col min="14599" max="14599" width="2.7109375" style="434" customWidth="1"/>
    <col min="14600" max="14600" width="4.7109375" style="434" customWidth="1"/>
    <col min="14601" max="14601" width="7.140625" style="434" customWidth="1"/>
    <col min="14602" max="14602" width="2.7109375" style="434" customWidth="1"/>
    <col min="14603" max="14603" width="4.7109375" style="434" customWidth="1"/>
    <col min="14604" max="14604" width="6.28515625" style="434" customWidth="1"/>
    <col min="14605" max="14605" width="2.7109375" style="434" customWidth="1"/>
    <col min="14606" max="14606" width="4.7109375" style="434" customWidth="1"/>
    <col min="14607" max="14607" width="7.28515625" style="434" customWidth="1"/>
    <col min="14608" max="14608" width="2.7109375" style="434" customWidth="1"/>
    <col min="14609" max="14609" width="4.7109375" style="434" customWidth="1"/>
    <col min="14610" max="14610" width="6.7109375" style="434" customWidth="1"/>
    <col min="14611" max="14611" width="2.7109375" style="434" customWidth="1"/>
    <col min="14612" max="14848" width="9.140625" style="434"/>
    <col min="14849" max="14849" width="34.7109375" style="434" customWidth="1"/>
    <col min="14850" max="14850" width="5.7109375" style="434" customWidth="1"/>
    <col min="14851" max="14851" width="7.28515625" style="434" customWidth="1"/>
    <col min="14852" max="14852" width="2.7109375" style="434" customWidth="1"/>
    <col min="14853" max="14853" width="4.7109375" style="434" customWidth="1"/>
    <col min="14854" max="14854" width="7.28515625" style="434" customWidth="1"/>
    <col min="14855" max="14855" width="2.7109375" style="434" customWidth="1"/>
    <col min="14856" max="14856" width="4.7109375" style="434" customWidth="1"/>
    <col min="14857" max="14857" width="7.140625" style="434" customWidth="1"/>
    <col min="14858" max="14858" width="2.7109375" style="434" customWidth="1"/>
    <col min="14859" max="14859" width="4.7109375" style="434" customWidth="1"/>
    <col min="14860" max="14860" width="6.28515625" style="434" customWidth="1"/>
    <col min="14861" max="14861" width="2.7109375" style="434" customWidth="1"/>
    <col min="14862" max="14862" width="4.7109375" style="434" customWidth="1"/>
    <col min="14863" max="14863" width="7.28515625" style="434" customWidth="1"/>
    <col min="14864" max="14864" width="2.7109375" style="434" customWidth="1"/>
    <col min="14865" max="14865" width="4.7109375" style="434" customWidth="1"/>
    <col min="14866" max="14866" width="6.7109375" style="434" customWidth="1"/>
    <col min="14867" max="14867" width="2.7109375" style="434" customWidth="1"/>
    <col min="14868" max="15104" width="9.140625" style="434"/>
    <col min="15105" max="15105" width="34.7109375" style="434" customWidth="1"/>
    <col min="15106" max="15106" width="5.7109375" style="434" customWidth="1"/>
    <col min="15107" max="15107" width="7.28515625" style="434" customWidth="1"/>
    <col min="15108" max="15108" width="2.7109375" style="434" customWidth="1"/>
    <col min="15109" max="15109" width="4.7109375" style="434" customWidth="1"/>
    <col min="15110" max="15110" width="7.28515625" style="434" customWidth="1"/>
    <col min="15111" max="15111" width="2.7109375" style="434" customWidth="1"/>
    <col min="15112" max="15112" width="4.7109375" style="434" customWidth="1"/>
    <col min="15113" max="15113" width="7.140625" style="434" customWidth="1"/>
    <col min="15114" max="15114" width="2.7109375" style="434" customWidth="1"/>
    <col min="15115" max="15115" width="4.7109375" style="434" customWidth="1"/>
    <col min="15116" max="15116" width="6.28515625" style="434" customWidth="1"/>
    <col min="15117" max="15117" width="2.7109375" style="434" customWidth="1"/>
    <col min="15118" max="15118" width="4.7109375" style="434" customWidth="1"/>
    <col min="15119" max="15119" width="7.28515625" style="434" customWidth="1"/>
    <col min="15120" max="15120" width="2.7109375" style="434" customWidth="1"/>
    <col min="15121" max="15121" width="4.7109375" style="434" customWidth="1"/>
    <col min="15122" max="15122" width="6.7109375" style="434" customWidth="1"/>
    <col min="15123" max="15123" width="2.7109375" style="434" customWidth="1"/>
    <col min="15124" max="15360" width="9.140625" style="434"/>
    <col min="15361" max="15361" width="34.7109375" style="434" customWidth="1"/>
    <col min="15362" max="15362" width="5.7109375" style="434" customWidth="1"/>
    <col min="15363" max="15363" width="7.28515625" style="434" customWidth="1"/>
    <col min="15364" max="15364" width="2.7109375" style="434" customWidth="1"/>
    <col min="15365" max="15365" width="4.7109375" style="434" customWidth="1"/>
    <col min="15366" max="15366" width="7.28515625" style="434" customWidth="1"/>
    <col min="15367" max="15367" width="2.7109375" style="434" customWidth="1"/>
    <col min="15368" max="15368" width="4.7109375" style="434" customWidth="1"/>
    <col min="15369" max="15369" width="7.140625" style="434" customWidth="1"/>
    <col min="15370" max="15370" width="2.7109375" style="434" customWidth="1"/>
    <col min="15371" max="15371" width="4.7109375" style="434" customWidth="1"/>
    <col min="15372" max="15372" width="6.28515625" style="434" customWidth="1"/>
    <col min="15373" max="15373" width="2.7109375" style="434" customWidth="1"/>
    <col min="15374" max="15374" width="4.7109375" style="434" customWidth="1"/>
    <col min="15375" max="15375" width="7.28515625" style="434" customWidth="1"/>
    <col min="15376" max="15376" width="2.7109375" style="434" customWidth="1"/>
    <col min="15377" max="15377" width="4.7109375" style="434" customWidth="1"/>
    <col min="15378" max="15378" width="6.7109375" style="434" customWidth="1"/>
    <col min="15379" max="15379" width="2.7109375" style="434" customWidth="1"/>
    <col min="15380" max="15616" width="9.140625" style="434"/>
    <col min="15617" max="15617" width="34.7109375" style="434" customWidth="1"/>
    <col min="15618" max="15618" width="5.7109375" style="434" customWidth="1"/>
    <col min="15619" max="15619" width="7.28515625" style="434" customWidth="1"/>
    <col min="15620" max="15620" width="2.7109375" style="434" customWidth="1"/>
    <col min="15621" max="15621" width="4.7109375" style="434" customWidth="1"/>
    <col min="15622" max="15622" width="7.28515625" style="434" customWidth="1"/>
    <col min="15623" max="15623" width="2.7109375" style="434" customWidth="1"/>
    <col min="15624" max="15624" width="4.7109375" style="434" customWidth="1"/>
    <col min="15625" max="15625" width="7.140625" style="434" customWidth="1"/>
    <col min="15626" max="15626" width="2.7109375" style="434" customWidth="1"/>
    <col min="15627" max="15627" width="4.7109375" style="434" customWidth="1"/>
    <col min="15628" max="15628" width="6.28515625" style="434" customWidth="1"/>
    <col min="15629" max="15629" width="2.7109375" style="434" customWidth="1"/>
    <col min="15630" max="15630" width="4.7109375" style="434" customWidth="1"/>
    <col min="15631" max="15631" width="7.28515625" style="434" customWidth="1"/>
    <col min="15632" max="15632" width="2.7109375" style="434" customWidth="1"/>
    <col min="15633" max="15633" width="4.7109375" style="434" customWidth="1"/>
    <col min="15634" max="15634" width="6.7109375" style="434" customWidth="1"/>
    <col min="15635" max="15635" width="2.7109375" style="434" customWidth="1"/>
    <col min="15636" max="15872" width="9.140625" style="434"/>
    <col min="15873" max="15873" width="34.7109375" style="434" customWidth="1"/>
    <col min="15874" max="15874" width="5.7109375" style="434" customWidth="1"/>
    <col min="15875" max="15875" width="7.28515625" style="434" customWidth="1"/>
    <col min="15876" max="15876" width="2.7109375" style="434" customWidth="1"/>
    <col min="15877" max="15877" width="4.7109375" style="434" customWidth="1"/>
    <col min="15878" max="15878" width="7.28515625" style="434" customWidth="1"/>
    <col min="15879" max="15879" width="2.7109375" style="434" customWidth="1"/>
    <col min="15880" max="15880" width="4.7109375" style="434" customWidth="1"/>
    <col min="15881" max="15881" width="7.140625" style="434" customWidth="1"/>
    <col min="15882" max="15882" width="2.7109375" style="434" customWidth="1"/>
    <col min="15883" max="15883" width="4.7109375" style="434" customWidth="1"/>
    <col min="15884" max="15884" width="6.28515625" style="434" customWidth="1"/>
    <col min="15885" max="15885" width="2.7109375" style="434" customWidth="1"/>
    <col min="15886" max="15886" width="4.7109375" style="434" customWidth="1"/>
    <col min="15887" max="15887" width="7.28515625" style="434" customWidth="1"/>
    <col min="15888" max="15888" width="2.7109375" style="434" customWidth="1"/>
    <col min="15889" max="15889" width="4.7109375" style="434" customWidth="1"/>
    <col min="15890" max="15890" width="6.7109375" style="434" customWidth="1"/>
    <col min="15891" max="15891" width="2.7109375" style="434" customWidth="1"/>
    <col min="15892" max="16128" width="9.140625" style="434"/>
    <col min="16129" max="16129" width="34.7109375" style="434" customWidth="1"/>
    <col min="16130" max="16130" width="5.7109375" style="434" customWidth="1"/>
    <col min="16131" max="16131" width="7.28515625" style="434" customWidth="1"/>
    <col min="16132" max="16132" width="2.7109375" style="434" customWidth="1"/>
    <col min="16133" max="16133" width="4.7109375" style="434" customWidth="1"/>
    <col min="16134" max="16134" width="7.28515625" style="434" customWidth="1"/>
    <col min="16135" max="16135" width="2.7109375" style="434" customWidth="1"/>
    <col min="16136" max="16136" width="4.7109375" style="434" customWidth="1"/>
    <col min="16137" max="16137" width="7.140625" style="434" customWidth="1"/>
    <col min="16138" max="16138" width="2.7109375" style="434" customWidth="1"/>
    <col min="16139" max="16139" width="4.7109375" style="434" customWidth="1"/>
    <col min="16140" max="16140" width="6.28515625" style="434" customWidth="1"/>
    <col min="16141" max="16141" width="2.7109375" style="434" customWidth="1"/>
    <col min="16142" max="16142" width="4.7109375" style="434" customWidth="1"/>
    <col min="16143" max="16143" width="7.28515625" style="434" customWidth="1"/>
    <col min="16144" max="16144" width="2.7109375" style="434" customWidth="1"/>
    <col min="16145" max="16145" width="4.7109375" style="434" customWidth="1"/>
    <col min="16146" max="16146" width="6.7109375" style="434" customWidth="1"/>
    <col min="16147" max="16147" width="2.7109375" style="434" customWidth="1"/>
    <col min="16148" max="16384" width="9.140625" style="434"/>
  </cols>
  <sheetData>
    <row r="1" spans="1:19" ht="12.75" hidden="1" customHeight="1">
      <c r="A1" s="1147">
        <f ca="1">TODAY()</f>
        <v>43375</v>
      </c>
      <c r="B1" s="428" t="s">
        <v>1783</v>
      </c>
    </row>
    <row r="2" spans="1:19">
      <c r="A2" s="434" t="s">
        <v>366</v>
      </c>
    </row>
    <row r="3" spans="1:19">
      <c r="A3" s="434" t="s">
        <v>367</v>
      </c>
      <c r="L3" s="1057" t="s">
        <v>253</v>
      </c>
    </row>
    <row r="4" spans="1:19" ht="6" customHeight="1"/>
    <row r="5" spans="1:19" ht="15" customHeight="1">
      <c r="A5" s="42" t="s">
        <v>1784</v>
      </c>
    </row>
    <row r="6" spans="1:19" ht="11.25" customHeight="1" thickBot="1">
      <c r="I6" s="1056"/>
      <c r="J6" s="1056"/>
      <c r="L6" s="1056"/>
      <c r="M6" s="1056"/>
      <c r="O6" s="1056"/>
      <c r="P6" s="1056"/>
      <c r="R6" s="1056"/>
    </row>
    <row r="7" spans="1:19" ht="12" customHeight="1">
      <c r="A7" s="437"/>
      <c r="B7" s="1148"/>
      <c r="C7" s="1149"/>
      <c r="D7" s="1149"/>
      <c r="E7" s="1062"/>
      <c r="F7" s="1060"/>
      <c r="G7" s="1060"/>
      <c r="H7" s="1062"/>
      <c r="I7" s="1060"/>
      <c r="J7" s="1060"/>
      <c r="K7" s="1062"/>
      <c r="L7" s="1060"/>
      <c r="M7" s="1060"/>
      <c r="N7" s="1148"/>
      <c r="O7" s="1060"/>
      <c r="P7" s="1060"/>
      <c r="Q7" s="1062"/>
      <c r="R7" s="1060"/>
      <c r="S7" s="1062"/>
    </row>
    <row r="8" spans="1:19" ht="15" customHeight="1">
      <c r="A8" s="440" t="s">
        <v>1785</v>
      </c>
      <c r="B8" s="1321" t="s">
        <v>1746</v>
      </c>
      <c r="C8" s="1321"/>
      <c r="D8" s="1150"/>
      <c r="E8" s="1266">
        <v>1</v>
      </c>
      <c r="F8" s="1266"/>
      <c r="G8" s="1150"/>
      <c r="H8" s="1266">
        <v>2</v>
      </c>
      <c r="I8" s="1266"/>
      <c r="J8" s="812"/>
      <c r="K8" s="1266">
        <v>3</v>
      </c>
      <c r="L8" s="1266"/>
      <c r="M8" s="812"/>
      <c r="N8" s="1266">
        <v>4</v>
      </c>
      <c r="O8" s="1266"/>
      <c r="P8" s="812"/>
      <c r="Q8" s="1266">
        <v>5</v>
      </c>
      <c r="R8" s="1266"/>
      <c r="S8" s="812"/>
    </row>
    <row r="9" spans="1:19" ht="15" customHeight="1">
      <c r="A9" s="434" t="s">
        <v>1786</v>
      </c>
      <c r="B9" s="800" t="s">
        <v>1140</v>
      </c>
      <c r="C9" s="801" t="s">
        <v>324</v>
      </c>
      <c r="D9" s="808"/>
      <c r="E9" s="443" t="s">
        <v>1552</v>
      </c>
      <c r="F9" s="444" t="s">
        <v>324</v>
      </c>
      <c r="G9" s="802"/>
      <c r="H9" s="443" t="s">
        <v>1552</v>
      </c>
      <c r="I9" s="444" t="s">
        <v>324</v>
      </c>
      <c r="J9" s="802"/>
      <c r="K9" s="443" t="s">
        <v>1552</v>
      </c>
      <c r="L9" s="444" t="s">
        <v>324</v>
      </c>
      <c r="M9" s="802"/>
      <c r="N9" s="800" t="s">
        <v>1552</v>
      </c>
      <c r="O9" s="444" t="s">
        <v>324</v>
      </c>
      <c r="P9" s="802"/>
      <c r="Q9" s="443" t="s">
        <v>1552</v>
      </c>
      <c r="R9" s="444" t="s">
        <v>324</v>
      </c>
      <c r="S9" s="812"/>
    </row>
    <row r="10" spans="1:19" ht="12.75" customHeight="1" thickBot="1">
      <c r="A10" s="445"/>
      <c r="B10" s="1151"/>
      <c r="C10" s="1152"/>
      <c r="D10" s="1152"/>
      <c r="E10" s="1068"/>
      <c r="F10" s="1066"/>
      <c r="G10" s="1066"/>
      <c r="H10" s="1068"/>
      <c r="I10" s="1066"/>
      <c r="J10" s="1066"/>
      <c r="K10" s="1068"/>
      <c r="L10" s="1066"/>
      <c r="M10" s="1066"/>
      <c r="N10" s="1151"/>
      <c r="O10" s="1066"/>
      <c r="P10" s="1066"/>
      <c r="Q10" s="1068"/>
      <c r="R10" s="1066"/>
      <c r="S10" s="1068"/>
    </row>
    <row r="11" spans="1:19" ht="11.25" customHeight="1">
      <c r="A11" s="440"/>
      <c r="B11" s="1150"/>
      <c r="C11" s="808"/>
      <c r="D11" s="808"/>
      <c r="E11" s="812"/>
      <c r="F11" s="802"/>
      <c r="G11" s="802"/>
      <c r="H11" s="812"/>
      <c r="I11" s="802"/>
      <c r="J11" s="802"/>
      <c r="K11" s="812"/>
      <c r="L11" s="802"/>
      <c r="M11" s="802"/>
      <c r="N11" s="1150"/>
      <c r="O11" s="802"/>
      <c r="P11" s="802"/>
      <c r="Q11" s="812"/>
      <c r="R11" s="802"/>
      <c r="S11" s="812"/>
    </row>
    <row r="12" spans="1:19" ht="15" customHeight="1">
      <c r="A12" s="63" t="s">
        <v>149</v>
      </c>
      <c r="B12" s="698">
        <f>E12+H12+K12+N12+Q12+S12</f>
        <v>159</v>
      </c>
      <c r="C12" s="699">
        <f>SUM(C13:C45)</f>
        <v>90.566037735849051</v>
      </c>
      <c r="D12" s="699"/>
      <c r="E12" s="700">
        <f>SUM(E13:E51)</f>
        <v>4</v>
      </c>
      <c r="F12" s="100">
        <f t="shared" ref="F12:F51" si="0">IF(A12&lt;&gt;0,E12/B12*100,"")</f>
        <v>2.5157232704402519</v>
      </c>
      <c r="G12" s="701"/>
      <c r="H12" s="700">
        <f>SUM(H13:H51)</f>
        <v>17</v>
      </c>
      <c r="I12" s="100">
        <f t="shared" ref="I12:I51" si="1">IF(A12&lt;&gt;0,H12/B12*100,"")</f>
        <v>10.691823899371069</v>
      </c>
      <c r="J12" s="100"/>
      <c r="K12" s="700">
        <f>SUM(K13:K51)</f>
        <v>29</v>
      </c>
      <c r="L12" s="100">
        <f t="shared" ref="L12:L51" si="2">IF(A12&lt;&gt;0,K12/B12*100,"")</f>
        <v>18.238993710691823</v>
      </c>
      <c r="M12" s="100"/>
      <c r="N12" s="700">
        <f>SUM(N13:N51)</f>
        <v>19</v>
      </c>
      <c r="O12" s="100">
        <f t="shared" ref="O12:O51" si="3">IF(A12&lt;&gt;0,N12/B12*100,"")</f>
        <v>11.949685534591195</v>
      </c>
      <c r="P12" s="100"/>
      <c r="Q12" s="700">
        <f>SUM(Q13:Q51)</f>
        <v>90</v>
      </c>
      <c r="R12" s="100">
        <f t="shared" ref="R12:R51" si="4">IF(A12&lt;&gt;0,Q12/B12*100,"")</f>
        <v>56.60377358490566</v>
      </c>
      <c r="S12" s="700">
        <f>SUM(S13:S45)</f>
        <v>0</v>
      </c>
    </row>
    <row r="13" spans="1:19" ht="12" customHeight="1">
      <c r="A13" s="63"/>
      <c r="B13" s="698">
        <f t="shared" ref="B13:B51" si="5">E13+H13+K13+N13+Q13+S13</f>
        <v>0</v>
      </c>
      <c r="C13" s="1153" t="str">
        <f t="shared" ref="C13:C51" si="6">IF(A13&lt;&gt;0,B13/$B$12*100,"")</f>
        <v/>
      </c>
      <c r="D13" s="1153"/>
      <c r="F13" s="100" t="str">
        <f t="shared" si="0"/>
        <v/>
      </c>
      <c r="G13" s="701"/>
      <c r="H13" s="841"/>
      <c r="I13" s="100" t="str">
        <f t="shared" si="1"/>
        <v/>
      </c>
      <c r="J13" s="100"/>
      <c r="K13" s="277">
        <v>0</v>
      </c>
      <c r="L13" s="100" t="str">
        <f t="shared" si="2"/>
        <v/>
      </c>
      <c r="M13" s="100"/>
      <c r="N13" s="843"/>
      <c r="O13" s="100" t="str">
        <f t="shared" si="3"/>
        <v/>
      </c>
      <c r="P13" s="100"/>
      <c r="Q13" s="836"/>
      <c r="R13" s="100" t="str">
        <f t="shared" si="4"/>
        <v/>
      </c>
      <c r="S13" s="836"/>
    </row>
    <row r="14" spans="1:19" ht="12.95" customHeight="1">
      <c r="A14" s="180" t="s">
        <v>825</v>
      </c>
      <c r="B14" s="284">
        <f t="shared" si="5"/>
        <v>1</v>
      </c>
      <c r="C14" s="1154">
        <f t="shared" si="6"/>
        <v>0.62893081761006298</v>
      </c>
      <c r="D14" s="812"/>
      <c r="E14" s="1146">
        <v>0</v>
      </c>
      <c r="F14" s="100">
        <f t="shared" si="0"/>
        <v>0</v>
      </c>
      <c r="G14" s="812"/>
      <c r="H14" s="1146">
        <v>0</v>
      </c>
      <c r="I14" s="427">
        <f t="shared" si="1"/>
        <v>0</v>
      </c>
      <c r="J14" s="812"/>
      <c r="K14" s="1146">
        <v>1</v>
      </c>
      <c r="L14" s="427">
        <f t="shared" si="2"/>
        <v>100</v>
      </c>
      <c r="M14" s="812"/>
      <c r="N14" s="1146">
        <v>0</v>
      </c>
      <c r="O14" s="427">
        <f t="shared" si="3"/>
        <v>0</v>
      </c>
      <c r="P14" s="812"/>
      <c r="Q14" s="1146">
        <v>0</v>
      </c>
      <c r="R14" s="427">
        <f t="shared" si="4"/>
        <v>0</v>
      </c>
      <c r="S14" s="1155">
        <v>0</v>
      </c>
    </row>
    <row r="15" spans="1:19" ht="12.95" customHeight="1">
      <c r="A15" s="180" t="s">
        <v>1708</v>
      </c>
      <c r="B15" s="284">
        <f t="shared" si="5"/>
        <v>1</v>
      </c>
      <c r="C15" s="1154">
        <f t="shared" si="6"/>
        <v>0.62893081761006298</v>
      </c>
      <c r="D15" s="812"/>
      <c r="E15" s="1146">
        <v>0</v>
      </c>
      <c r="F15" s="100">
        <f t="shared" si="0"/>
        <v>0</v>
      </c>
      <c r="G15" s="812"/>
      <c r="H15" s="1146">
        <v>0</v>
      </c>
      <c r="I15" s="427">
        <f t="shared" si="1"/>
        <v>0</v>
      </c>
      <c r="J15" s="812"/>
      <c r="K15" s="1146">
        <v>0</v>
      </c>
      <c r="L15" s="427">
        <f t="shared" si="2"/>
        <v>0</v>
      </c>
      <c r="M15" s="812"/>
      <c r="N15" s="1146">
        <v>0</v>
      </c>
      <c r="O15" s="427">
        <f t="shared" si="3"/>
        <v>0</v>
      </c>
      <c r="P15" s="812"/>
      <c r="Q15" s="1146">
        <v>1</v>
      </c>
      <c r="R15" s="427">
        <f t="shared" si="4"/>
        <v>100</v>
      </c>
      <c r="S15" s="1156"/>
    </row>
    <row r="16" spans="1:19" ht="12.95" customHeight="1">
      <c r="A16" s="180" t="s">
        <v>828</v>
      </c>
      <c r="B16" s="284">
        <f t="shared" si="5"/>
        <v>3</v>
      </c>
      <c r="C16" s="1154">
        <f t="shared" si="6"/>
        <v>1.8867924528301887</v>
      </c>
      <c r="D16" s="812"/>
      <c r="E16" s="1146">
        <v>1</v>
      </c>
      <c r="F16" s="100">
        <f t="shared" si="0"/>
        <v>33.333333333333329</v>
      </c>
      <c r="G16" s="812"/>
      <c r="H16" s="1146">
        <v>0</v>
      </c>
      <c r="I16" s="427">
        <f t="shared" si="1"/>
        <v>0</v>
      </c>
      <c r="J16" s="812"/>
      <c r="K16" s="1146">
        <v>1</v>
      </c>
      <c r="L16" s="427">
        <f t="shared" si="2"/>
        <v>33.333333333333329</v>
      </c>
      <c r="M16" s="812"/>
      <c r="N16" s="1146">
        <v>0</v>
      </c>
      <c r="O16" s="427">
        <f t="shared" si="3"/>
        <v>0</v>
      </c>
      <c r="P16" s="812"/>
      <c r="Q16" s="1146">
        <v>1</v>
      </c>
      <c r="R16" s="427">
        <f t="shared" si="4"/>
        <v>33.333333333333329</v>
      </c>
      <c r="S16" s="1156"/>
    </row>
    <row r="17" spans="1:19" ht="12.95" customHeight="1">
      <c r="A17" s="180" t="s">
        <v>830</v>
      </c>
      <c r="B17" s="284">
        <f t="shared" si="5"/>
        <v>4</v>
      </c>
      <c r="C17" s="1154">
        <f>IF(A17&lt;&gt;0,B17/$B$12*100,"")</f>
        <v>2.5157232704402519</v>
      </c>
      <c r="D17" s="812"/>
      <c r="E17" s="1146">
        <v>0</v>
      </c>
      <c r="F17" s="100">
        <f t="shared" si="0"/>
        <v>0</v>
      </c>
      <c r="G17" s="812"/>
      <c r="H17" s="1146">
        <v>1</v>
      </c>
      <c r="I17" s="427">
        <f t="shared" si="1"/>
        <v>25</v>
      </c>
      <c r="J17" s="812"/>
      <c r="K17" s="1146">
        <v>1</v>
      </c>
      <c r="L17" s="427">
        <f t="shared" si="2"/>
        <v>25</v>
      </c>
      <c r="M17" s="812"/>
      <c r="N17" s="1146">
        <v>0</v>
      </c>
      <c r="O17" s="427">
        <f t="shared" si="3"/>
        <v>0</v>
      </c>
      <c r="P17" s="812"/>
      <c r="Q17" s="1146">
        <v>2</v>
      </c>
      <c r="R17" s="427">
        <f t="shared" si="4"/>
        <v>50</v>
      </c>
      <c r="S17" s="1156"/>
    </row>
    <row r="18" spans="1:19" ht="12.95" customHeight="1">
      <c r="A18" s="180" t="s">
        <v>832</v>
      </c>
      <c r="B18" s="284">
        <f t="shared" si="5"/>
        <v>12</v>
      </c>
      <c r="C18" s="1056">
        <f t="shared" si="6"/>
        <v>7.5471698113207548</v>
      </c>
      <c r="D18" s="812"/>
      <c r="E18" s="1146">
        <v>0</v>
      </c>
      <c r="F18" s="100">
        <f t="shared" si="0"/>
        <v>0</v>
      </c>
      <c r="G18" s="812"/>
      <c r="H18" s="1146">
        <v>0</v>
      </c>
      <c r="I18" s="427">
        <f t="shared" si="1"/>
        <v>0</v>
      </c>
      <c r="J18" s="812"/>
      <c r="K18" s="1146">
        <v>2</v>
      </c>
      <c r="L18" s="427">
        <f t="shared" si="2"/>
        <v>16.666666666666664</v>
      </c>
      <c r="M18" s="812"/>
      <c r="N18" s="1146">
        <v>1</v>
      </c>
      <c r="O18" s="427">
        <f t="shared" si="3"/>
        <v>8.3333333333333321</v>
      </c>
      <c r="P18" s="812"/>
      <c r="Q18" s="1146">
        <v>9</v>
      </c>
      <c r="R18" s="427">
        <f t="shared" si="4"/>
        <v>75</v>
      </c>
      <c r="S18" s="1156"/>
    </row>
    <row r="19" spans="1:19" ht="12.95" customHeight="1">
      <c r="A19" s="180" t="s">
        <v>1709</v>
      </c>
      <c r="B19" s="284">
        <f t="shared" si="5"/>
        <v>2</v>
      </c>
      <c r="C19" s="1056">
        <f t="shared" si="6"/>
        <v>1.257861635220126</v>
      </c>
      <c r="D19" s="812"/>
      <c r="E19" s="1146">
        <v>0</v>
      </c>
      <c r="F19" s="100">
        <f t="shared" si="0"/>
        <v>0</v>
      </c>
      <c r="G19" s="812"/>
      <c r="H19" s="1146">
        <v>0</v>
      </c>
      <c r="I19" s="427">
        <f t="shared" si="1"/>
        <v>0</v>
      </c>
      <c r="J19" s="812"/>
      <c r="K19" s="1146">
        <v>0</v>
      </c>
      <c r="L19" s="427">
        <f t="shared" si="2"/>
        <v>0</v>
      </c>
      <c r="M19" s="812"/>
      <c r="N19" s="1146">
        <v>0</v>
      </c>
      <c r="O19" s="427">
        <f t="shared" si="3"/>
        <v>0</v>
      </c>
      <c r="P19" s="812"/>
      <c r="Q19" s="1146">
        <v>2</v>
      </c>
      <c r="R19" s="427">
        <f t="shared" si="4"/>
        <v>100</v>
      </c>
      <c r="S19" s="1156"/>
    </row>
    <row r="20" spans="1:19" ht="12.95" customHeight="1">
      <c r="A20" s="180" t="s">
        <v>834</v>
      </c>
      <c r="B20" s="284">
        <f t="shared" si="5"/>
        <v>3</v>
      </c>
      <c r="C20" s="1056">
        <f>IF(A20&lt;&gt;0,B20/$B$12*100,"")</f>
        <v>1.8867924528301887</v>
      </c>
      <c r="D20" s="812"/>
      <c r="E20" s="1146">
        <v>0</v>
      </c>
      <c r="F20" s="100">
        <f t="shared" si="0"/>
        <v>0</v>
      </c>
      <c r="G20" s="812"/>
      <c r="H20" s="1146">
        <v>0</v>
      </c>
      <c r="I20" s="427">
        <f t="shared" si="1"/>
        <v>0</v>
      </c>
      <c r="J20" s="812"/>
      <c r="K20" s="1146">
        <v>1</v>
      </c>
      <c r="L20" s="427">
        <f t="shared" si="2"/>
        <v>33.333333333333329</v>
      </c>
      <c r="M20" s="812"/>
      <c r="N20" s="1146">
        <v>0</v>
      </c>
      <c r="O20" s="427">
        <f t="shared" si="3"/>
        <v>0</v>
      </c>
      <c r="P20" s="812"/>
      <c r="Q20" s="1146">
        <v>2</v>
      </c>
      <c r="R20" s="427">
        <f t="shared" si="4"/>
        <v>66.666666666666657</v>
      </c>
      <c r="S20" s="1156"/>
    </row>
    <row r="21" spans="1:19" ht="12.95" customHeight="1">
      <c r="A21" s="180" t="s">
        <v>835</v>
      </c>
      <c r="B21" s="284">
        <f t="shared" si="5"/>
        <v>5</v>
      </c>
      <c r="C21" s="1056">
        <f t="shared" si="6"/>
        <v>3.1446540880503147</v>
      </c>
      <c r="D21" s="812"/>
      <c r="E21" s="1146">
        <v>0</v>
      </c>
      <c r="F21" s="100">
        <f t="shared" si="0"/>
        <v>0</v>
      </c>
      <c r="G21" s="812"/>
      <c r="H21" s="1146">
        <v>2</v>
      </c>
      <c r="I21" s="427">
        <f t="shared" si="1"/>
        <v>40</v>
      </c>
      <c r="J21" s="812"/>
      <c r="K21" s="1146">
        <v>0</v>
      </c>
      <c r="L21" s="427">
        <f t="shared" si="2"/>
        <v>0</v>
      </c>
      <c r="M21" s="812"/>
      <c r="N21" s="1146">
        <v>1</v>
      </c>
      <c r="O21" s="427">
        <f t="shared" si="3"/>
        <v>20</v>
      </c>
      <c r="P21" s="812"/>
      <c r="Q21" s="1146">
        <v>2</v>
      </c>
      <c r="R21" s="427">
        <f t="shared" si="4"/>
        <v>40</v>
      </c>
      <c r="S21" s="1156"/>
    </row>
    <row r="22" spans="1:19" ht="12.95" customHeight="1">
      <c r="A22" s="180" t="s">
        <v>836</v>
      </c>
      <c r="B22" s="284">
        <f t="shared" si="5"/>
        <v>1</v>
      </c>
      <c r="C22" s="1056">
        <f t="shared" si="6"/>
        <v>0.62893081761006298</v>
      </c>
      <c r="D22" s="812"/>
      <c r="E22" s="1146">
        <v>0</v>
      </c>
      <c r="F22" s="100">
        <f t="shared" si="0"/>
        <v>0</v>
      </c>
      <c r="G22" s="812"/>
      <c r="H22" s="1146">
        <v>0</v>
      </c>
      <c r="I22" s="427">
        <f t="shared" si="1"/>
        <v>0</v>
      </c>
      <c r="J22" s="812"/>
      <c r="K22" s="1146">
        <v>0</v>
      </c>
      <c r="L22" s="427">
        <f t="shared" si="2"/>
        <v>0</v>
      </c>
      <c r="M22" s="812"/>
      <c r="N22" s="1146">
        <v>0</v>
      </c>
      <c r="O22" s="427">
        <f t="shared" si="3"/>
        <v>0</v>
      </c>
      <c r="P22" s="812"/>
      <c r="Q22" s="1146">
        <v>1</v>
      </c>
      <c r="R22" s="427">
        <f t="shared" si="4"/>
        <v>100</v>
      </c>
      <c r="S22" s="1156"/>
    </row>
    <row r="23" spans="1:19" ht="12.95" customHeight="1">
      <c r="A23" s="180" t="s">
        <v>1787</v>
      </c>
      <c r="B23" s="284">
        <f t="shared" si="5"/>
        <v>10</v>
      </c>
      <c r="C23" s="1056">
        <f t="shared" si="6"/>
        <v>6.2893081761006293</v>
      </c>
      <c r="D23" s="812"/>
      <c r="E23" s="1146">
        <v>0</v>
      </c>
      <c r="F23" s="427">
        <f t="shared" si="0"/>
        <v>0</v>
      </c>
      <c r="G23" s="812"/>
      <c r="H23" s="1146">
        <v>2</v>
      </c>
      <c r="I23" s="427">
        <f t="shared" si="1"/>
        <v>20</v>
      </c>
      <c r="J23" s="812"/>
      <c r="K23" s="1146">
        <v>1</v>
      </c>
      <c r="L23" s="427">
        <f t="shared" si="2"/>
        <v>10</v>
      </c>
      <c r="M23" s="812"/>
      <c r="N23" s="1146">
        <v>3</v>
      </c>
      <c r="O23" s="427">
        <f t="shared" si="3"/>
        <v>30</v>
      </c>
      <c r="P23" s="812"/>
      <c r="Q23" s="1146">
        <v>4</v>
      </c>
      <c r="R23" s="427">
        <f t="shared" si="4"/>
        <v>40</v>
      </c>
      <c r="S23" s="1156"/>
    </row>
    <row r="24" spans="1:19" ht="12.95" customHeight="1">
      <c r="A24" s="180" t="s">
        <v>839</v>
      </c>
      <c r="B24" s="284">
        <f t="shared" si="5"/>
        <v>1</v>
      </c>
      <c r="C24" s="1056">
        <f t="shared" si="6"/>
        <v>0.62893081761006298</v>
      </c>
      <c r="D24" s="812"/>
      <c r="E24" s="1146">
        <v>0</v>
      </c>
      <c r="F24" s="100">
        <f t="shared" si="0"/>
        <v>0</v>
      </c>
      <c r="G24" s="812"/>
      <c r="H24" s="1146">
        <v>0</v>
      </c>
      <c r="I24" s="427">
        <f t="shared" si="1"/>
        <v>0</v>
      </c>
      <c r="J24" s="812"/>
      <c r="K24" s="1146">
        <v>0</v>
      </c>
      <c r="L24" s="427">
        <f t="shared" si="2"/>
        <v>0</v>
      </c>
      <c r="M24" s="812"/>
      <c r="N24" s="1146">
        <v>0</v>
      </c>
      <c r="O24" s="427">
        <f t="shared" si="3"/>
        <v>0</v>
      </c>
      <c r="P24" s="812"/>
      <c r="Q24" s="1146">
        <v>1</v>
      </c>
      <c r="R24" s="427">
        <f t="shared" si="4"/>
        <v>100</v>
      </c>
      <c r="S24" s="1156"/>
    </row>
    <row r="25" spans="1:19" ht="12.95" customHeight="1">
      <c r="A25" s="180" t="s">
        <v>840</v>
      </c>
      <c r="B25" s="284">
        <f t="shared" si="5"/>
        <v>1</v>
      </c>
      <c r="C25" s="1056">
        <f t="shared" si="6"/>
        <v>0.62893081761006298</v>
      </c>
      <c r="D25" s="812"/>
      <c r="E25" s="1146">
        <v>0</v>
      </c>
      <c r="F25" s="427">
        <f t="shared" si="0"/>
        <v>0</v>
      </c>
      <c r="G25" s="812"/>
      <c r="H25" s="1146">
        <v>0</v>
      </c>
      <c r="I25" s="427">
        <f t="shared" si="1"/>
        <v>0</v>
      </c>
      <c r="J25" s="812"/>
      <c r="K25" s="1146">
        <v>0</v>
      </c>
      <c r="L25" s="427">
        <f t="shared" si="2"/>
        <v>0</v>
      </c>
      <c r="M25" s="812"/>
      <c r="N25" s="1146">
        <v>0</v>
      </c>
      <c r="O25" s="427">
        <f t="shared" si="3"/>
        <v>0</v>
      </c>
      <c r="P25" s="812"/>
      <c r="Q25" s="1146">
        <v>1</v>
      </c>
      <c r="R25" s="427">
        <f t="shared" si="4"/>
        <v>100</v>
      </c>
      <c r="S25" s="1156"/>
    </row>
    <row r="26" spans="1:19" ht="12.95" customHeight="1">
      <c r="A26" s="180" t="s">
        <v>841</v>
      </c>
      <c r="B26" s="284">
        <f t="shared" si="5"/>
        <v>6</v>
      </c>
      <c r="C26" s="1056">
        <f t="shared" si="6"/>
        <v>3.7735849056603774</v>
      </c>
      <c r="D26" s="812"/>
      <c r="E26" s="1146">
        <v>0</v>
      </c>
      <c r="F26" s="427">
        <f t="shared" si="0"/>
        <v>0</v>
      </c>
      <c r="G26" s="812"/>
      <c r="H26" s="1146">
        <v>0</v>
      </c>
      <c r="I26" s="427">
        <f t="shared" si="1"/>
        <v>0</v>
      </c>
      <c r="J26" s="812"/>
      <c r="K26" s="1146">
        <v>3</v>
      </c>
      <c r="L26" s="427">
        <f t="shared" si="2"/>
        <v>50</v>
      </c>
      <c r="M26" s="812"/>
      <c r="N26" s="1146">
        <v>1</v>
      </c>
      <c r="O26" s="427">
        <f t="shared" si="3"/>
        <v>16.666666666666664</v>
      </c>
      <c r="P26" s="812"/>
      <c r="Q26" s="1146">
        <v>2</v>
      </c>
      <c r="R26" s="427">
        <f t="shared" si="4"/>
        <v>33.333333333333329</v>
      </c>
      <c r="S26" s="1155"/>
    </row>
    <row r="27" spans="1:19" ht="12.95" customHeight="1">
      <c r="A27" s="180" t="s">
        <v>1711</v>
      </c>
      <c r="B27" s="284">
        <f t="shared" si="5"/>
        <v>5</v>
      </c>
      <c r="C27" s="1056">
        <f t="shared" si="6"/>
        <v>3.1446540880503147</v>
      </c>
      <c r="D27" s="812"/>
      <c r="E27" s="1146">
        <v>0</v>
      </c>
      <c r="F27" s="427">
        <f t="shared" si="0"/>
        <v>0</v>
      </c>
      <c r="G27" s="812"/>
      <c r="H27" s="1146">
        <v>0</v>
      </c>
      <c r="I27" s="427">
        <f t="shared" si="1"/>
        <v>0</v>
      </c>
      <c r="J27" s="812"/>
      <c r="K27" s="1146">
        <v>0</v>
      </c>
      <c r="L27" s="427">
        <f t="shared" si="2"/>
        <v>0</v>
      </c>
      <c r="M27" s="812"/>
      <c r="N27" s="1146">
        <v>0</v>
      </c>
      <c r="O27" s="427">
        <f t="shared" si="3"/>
        <v>0</v>
      </c>
      <c r="P27" s="812"/>
      <c r="Q27" s="1146">
        <v>5</v>
      </c>
      <c r="R27" s="427">
        <f t="shared" si="4"/>
        <v>100</v>
      </c>
      <c r="S27" s="1156"/>
    </row>
    <row r="28" spans="1:19" ht="12.95" customHeight="1">
      <c r="A28" s="180" t="s">
        <v>844</v>
      </c>
      <c r="B28" s="284">
        <f t="shared" si="5"/>
        <v>1</v>
      </c>
      <c r="C28" s="1056">
        <f t="shared" si="6"/>
        <v>0.62893081761006298</v>
      </c>
      <c r="D28" s="812"/>
      <c r="E28" s="1146">
        <v>0</v>
      </c>
      <c r="F28" s="427">
        <f t="shared" si="0"/>
        <v>0</v>
      </c>
      <c r="G28" s="812"/>
      <c r="H28" s="1146">
        <v>0</v>
      </c>
      <c r="I28" s="427">
        <f t="shared" si="1"/>
        <v>0</v>
      </c>
      <c r="J28" s="812"/>
      <c r="K28" s="1146">
        <v>0</v>
      </c>
      <c r="L28" s="427">
        <f t="shared" si="2"/>
        <v>0</v>
      </c>
      <c r="M28" s="812"/>
      <c r="N28" s="1146">
        <v>0</v>
      </c>
      <c r="O28" s="427">
        <f t="shared" si="3"/>
        <v>0</v>
      </c>
      <c r="P28" s="812"/>
      <c r="Q28" s="1146">
        <v>1</v>
      </c>
      <c r="R28" s="427">
        <f t="shared" si="4"/>
        <v>100</v>
      </c>
      <c r="S28" s="1155"/>
    </row>
    <row r="29" spans="1:19" ht="12.95" customHeight="1">
      <c r="A29" s="180" t="s">
        <v>845</v>
      </c>
      <c r="B29" s="284">
        <f t="shared" si="5"/>
        <v>5</v>
      </c>
      <c r="C29" s="1056">
        <f t="shared" si="6"/>
        <v>3.1446540880503147</v>
      </c>
      <c r="D29" s="812"/>
      <c r="E29" s="1146">
        <v>0</v>
      </c>
      <c r="F29" s="427">
        <f t="shared" si="0"/>
        <v>0</v>
      </c>
      <c r="G29" s="1058"/>
      <c r="H29" s="1146">
        <v>1</v>
      </c>
      <c r="I29" s="427">
        <f t="shared" si="1"/>
        <v>20</v>
      </c>
      <c r="J29" s="1058"/>
      <c r="K29" s="1146">
        <v>1</v>
      </c>
      <c r="L29" s="427">
        <f t="shared" si="2"/>
        <v>20</v>
      </c>
      <c r="M29" s="1058"/>
      <c r="N29" s="1146">
        <v>0</v>
      </c>
      <c r="O29" s="427">
        <f t="shared" si="3"/>
        <v>0</v>
      </c>
      <c r="P29" s="812"/>
      <c r="Q29" s="1146">
        <v>3</v>
      </c>
      <c r="R29" s="427">
        <f t="shared" si="4"/>
        <v>60</v>
      </c>
      <c r="S29" s="1155"/>
    </row>
    <row r="30" spans="1:19" ht="12.95" customHeight="1">
      <c r="A30" s="180" t="s">
        <v>1712</v>
      </c>
      <c r="B30" s="284">
        <f t="shared" si="5"/>
        <v>11</v>
      </c>
      <c r="C30" s="1056">
        <f t="shared" si="6"/>
        <v>6.9182389937106921</v>
      </c>
      <c r="D30" s="812"/>
      <c r="E30" s="1146">
        <v>1</v>
      </c>
      <c r="F30" s="427">
        <f t="shared" si="0"/>
        <v>9.0909090909090917</v>
      </c>
      <c r="G30" s="1058"/>
      <c r="H30" s="1146">
        <v>1</v>
      </c>
      <c r="I30" s="427">
        <f t="shared" si="1"/>
        <v>9.0909090909090917</v>
      </c>
      <c r="J30" s="1058"/>
      <c r="K30" s="1146">
        <v>1</v>
      </c>
      <c r="L30" s="427">
        <f t="shared" si="2"/>
        <v>9.0909090909090917</v>
      </c>
      <c r="M30" s="1058"/>
      <c r="N30" s="1146">
        <v>0</v>
      </c>
      <c r="O30" s="427">
        <f t="shared" si="3"/>
        <v>0</v>
      </c>
      <c r="P30" s="812"/>
      <c r="Q30" s="1146">
        <v>8</v>
      </c>
      <c r="R30" s="427">
        <f t="shared" si="4"/>
        <v>72.727272727272734</v>
      </c>
      <c r="S30" s="1156"/>
    </row>
    <row r="31" spans="1:19" ht="12.95" customHeight="1">
      <c r="A31" s="180" t="s">
        <v>847</v>
      </c>
      <c r="B31" s="284">
        <f>E31+H31+K31+N31+Q31+S31</f>
        <v>1</v>
      </c>
      <c r="C31" s="1056">
        <f>IF(A31&lt;&gt;0,B31/$B$12*100,"")</f>
        <v>0.62893081761006298</v>
      </c>
      <c r="D31" s="812"/>
      <c r="E31" s="1146">
        <v>0</v>
      </c>
      <c r="F31" s="427">
        <f t="shared" si="0"/>
        <v>0</v>
      </c>
      <c r="G31" s="1058"/>
      <c r="H31" s="1146">
        <v>1</v>
      </c>
      <c r="I31" s="427">
        <f t="shared" si="1"/>
        <v>100</v>
      </c>
      <c r="J31" s="1058"/>
      <c r="K31" s="1146">
        <v>0</v>
      </c>
      <c r="L31" s="427">
        <f t="shared" si="2"/>
        <v>0</v>
      </c>
      <c r="M31" s="1058"/>
      <c r="N31" s="1146">
        <v>0</v>
      </c>
      <c r="O31" s="427">
        <f t="shared" si="3"/>
        <v>0</v>
      </c>
      <c r="P31" s="812"/>
      <c r="Q31" s="1146">
        <v>0</v>
      </c>
      <c r="R31" s="427">
        <f t="shared" si="4"/>
        <v>0</v>
      </c>
      <c r="S31" s="1156"/>
    </row>
    <row r="32" spans="1:19" ht="12.95" customHeight="1">
      <c r="A32" s="180" t="s">
        <v>848</v>
      </c>
      <c r="B32" s="284">
        <f t="shared" si="5"/>
        <v>3</v>
      </c>
      <c r="C32" s="1056">
        <f t="shared" si="6"/>
        <v>1.8867924528301887</v>
      </c>
      <c r="E32" s="1146">
        <v>0</v>
      </c>
      <c r="F32" s="427">
        <f t="shared" si="0"/>
        <v>0</v>
      </c>
      <c r="G32" s="1058"/>
      <c r="H32" s="1146">
        <v>0</v>
      </c>
      <c r="I32" s="427">
        <f t="shared" si="1"/>
        <v>0</v>
      </c>
      <c r="J32" s="1058"/>
      <c r="K32" s="1146">
        <v>1</v>
      </c>
      <c r="L32" s="427">
        <f t="shared" si="2"/>
        <v>33.333333333333329</v>
      </c>
      <c r="M32" s="1058"/>
      <c r="N32" s="1146">
        <v>0</v>
      </c>
      <c r="O32" s="427">
        <f t="shared" si="3"/>
        <v>0</v>
      </c>
      <c r="P32" s="812"/>
      <c r="Q32" s="1146">
        <v>2</v>
      </c>
      <c r="R32" s="427">
        <f t="shared" si="4"/>
        <v>66.666666666666657</v>
      </c>
      <c r="S32" s="1156"/>
    </row>
    <row r="33" spans="1:19" ht="12.95" customHeight="1">
      <c r="A33" s="180" t="s">
        <v>849</v>
      </c>
      <c r="B33" s="284">
        <f t="shared" si="5"/>
        <v>4</v>
      </c>
      <c r="C33" s="1056">
        <f t="shared" si="6"/>
        <v>2.5157232704402519</v>
      </c>
      <c r="E33" s="1146">
        <v>0</v>
      </c>
      <c r="F33" s="427">
        <f t="shared" si="0"/>
        <v>0</v>
      </c>
      <c r="G33" s="1058"/>
      <c r="H33" s="1146">
        <v>0</v>
      </c>
      <c r="I33" s="427">
        <f t="shared" si="1"/>
        <v>0</v>
      </c>
      <c r="J33" s="1058"/>
      <c r="K33" s="1146">
        <v>3</v>
      </c>
      <c r="L33" s="427">
        <f t="shared" si="2"/>
        <v>75</v>
      </c>
      <c r="M33" s="1058"/>
      <c r="N33" s="1146">
        <v>0</v>
      </c>
      <c r="O33" s="427">
        <f t="shared" si="3"/>
        <v>0</v>
      </c>
      <c r="P33" s="812"/>
      <c r="Q33" s="1146">
        <v>1</v>
      </c>
      <c r="R33" s="427">
        <f t="shared" si="4"/>
        <v>25</v>
      </c>
      <c r="S33" s="1155"/>
    </row>
    <row r="34" spans="1:19" ht="12.95" customHeight="1">
      <c r="A34" s="180" t="s">
        <v>1713</v>
      </c>
      <c r="B34" s="284">
        <f t="shared" si="5"/>
        <v>1</v>
      </c>
      <c r="C34" s="1056">
        <f t="shared" si="6"/>
        <v>0.62893081761006298</v>
      </c>
      <c r="E34" s="1146">
        <v>0</v>
      </c>
      <c r="F34" s="427">
        <f t="shared" si="0"/>
        <v>0</v>
      </c>
      <c r="G34" s="1058"/>
      <c r="H34" s="1146">
        <v>0</v>
      </c>
      <c r="I34" s="427">
        <f t="shared" si="1"/>
        <v>0</v>
      </c>
      <c r="J34" s="1058"/>
      <c r="K34" s="1146">
        <v>0</v>
      </c>
      <c r="L34" s="427">
        <f t="shared" si="2"/>
        <v>0</v>
      </c>
      <c r="M34" s="1058"/>
      <c r="N34" s="1146">
        <v>0</v>
      </c>
      <c r="O34" s="427">
        <f t="shared" si="3"/>
        <v>0</v>
      </c>
      <c r="P34" s="812"/>
      <c r="Q34" s="1146">
        <v>1</v>
      </c>
      <c r="R34" s="427">
        <f t="shared" si="4"/>
        <v>100</v>
      </c>
      <c r="S34" s="1156"/>
    </row>
    <row r="35" spans="1:19" ht="12.95" customHeight="1">
      <c r="A35" s="180" t="s">
        <v>855</v>
      </c>
      <c r="B35" s="284">
        <f t="shared" si="5"/>
        <v>5</v>
      </c>
      <c r="C35" s="1056">
        <f t="shared" si="6"/>
        <v>3.1446540880503147</v>
      </c>
      <c r="E35" s="1146">
        <v>0</v>
      </c>
      <c r="F35" s="427">
        <f t="shared" si="0"/>
        <v>0</v>
      </c>
      <c r="G35" s="1058"/>
      <c r="H35" s="1146">
        <v>0</v>
      </c>
      <c r="I35" s="427">
        <f t="shared" si="1"/>
        <v>0</v>
      </c>
      <c r="J35" s="1058"/>
      <c r="K35" s="1146">
        <v>2</v>
      </c>
      <c r="L35" s="427">
        <f t="shared" si="2"/>
        <v>40</v>
      </c>
      <c r="M35" s="1058"/>
      <c r="N35" s="1146">
        <v>0</v>
      </c>
      <c r="O35" s="427">
        <f t="shared" si="3"/>
        <v>0</v>
      </c>
      <c r="P35" s="812"/>
      <c r="Q35" s="1146">
        <v>3</v>
      </c>
      <c r="R35" s="427">
        <f t="shared" si="4"/>
        <v>60</v>
      </c>
      <c r="S35" s="1156"/>
    </row>
    <row r="36" spans="1:19" ht="12.95" customHeight="1">
      <c r="A36" s="180" t="s">
        <v>856</v>
      </c>
      <c r="B36" s="284">
        <f t="shared" si="5"/>
        <v>3</v>
      </c>
      <c r="C36" s="1056">
        <f t="shared" si="6"/>
        <v>1.8867924528301887</v>
      </c>
      <c r="E36" s="1146">
        <v>0</v>
      </c>
      <c r="F36" s="427">
        <f t="shared" si="0"/>
        <v>0</v>
      </c>
      <c r="G36" s="1058"/>
      <c r="H36" s="1146">
        <v>0</v>
      </c>
      <c r="I36" s="427">
        <f t="shared" si="1"/>
        <v>0</v>
      </c>
      <c r="J36" s="1058"/>
      <c r="K36" s="1146">
        <v>1</v>
      </c>
      <c r="L36" s="427">
        <f t="shared" si="2"/>
        <v>33.333333333333329</v>
      </c>
      <c r="M36" s="1058"/>
      <c r="N36" s="1146">
        <v>1</v>
      </c>
      <c r="O36" s="427">
        <f t="shared" si="3"/>
        <v>33.333333333333329</v>
      </c>
      <c r="P36" s="812"/>
      <c r="Q36" s="1146">
        <v>1</v>
      </c>
      <c r="R36" s="427">
        <f t="shared" si="4"/>
        <v>33.333333333333329</v>
      </c>
      <c r="S36" s="1156"/>
    </row>
    <row r="37" spans="1:19" ht="12.95" customHeight="1">
      <c r="A37" s="180" t="s">
        <v>857</v>
      </c>
      <c r="B37" s="284">
        <f>E37+H37+K37+N37+Q37+S37</f>
        <v>3</v>
      </c>
      <c r="C37" s="1056">
        <f>IF(A37&lt;&gt;0,B37/$B$12*100,"")</f>
        <v>1.8867924528301887</v>
      </c>
      <c r="E37" s="1146">
        <v>0</v>
      </c>
      <c r="F37" s="427">
        <f t="shared" si="0"/>
        <v>0</v>
      </c>
      <c r="G37" s="1058"/>
      <c r="H37" s="1146">
        <v>0</v>
      </c>
      <c r="I37" s="427">
        <f t="shared" si="1"/>
        <v>0</v>
      </c>
      <c r="J37" s="1058"/>
      <c r="K37" s="1146">
        <v>0</v>
      </c>
      <c r="L37" s="427">
        <f t="shared" si="2"/>
        <v>0</v>
      </c>
      <c r="M37" s="1058"/>
      <c r="N37" s="1146">
        <v>0</v>
      </c>
      <c r="O37" s="427">
        <f t="shared" si="3"/>
        <v>0</v>
      </c>
      <c r="P37" s="812"/>
      <c r="Q37" s="1146">
        <v>3</v>
      </c>
      <c r="R37" s="427">
        <f t="shared" si="4"/>
        <v>100</v>
      </c>
      <c r="S37" s="1156"/>
    </row>
    <row r="38" spans="1:19" ht="12.95" customHeight="1">
      <c r="A38" s="180" t="s">
        <v>858</v>
      </c>
      <c r="B38" s="284">
        <f t="shared" si="5"/>
        <v>1</v>
      </c>
      <c r="C38" s="1056">
        <f t="shared" si="6"/>
        <v>0.62893081761006298</v>
      </c>
      <c r="E38" s="1146">
        <v>0</v>
      </c>
      <c r="F38" s="427">
        <f t="shared" si="0"/>
        <v>0</v>
      </c>
      <c r="G38" s="1058"/>
      <c r="H38" s="1146">
        <v>0</v>
      </c>
      <c r="I38" s="427">
        <f t="shared" si="1"/>
        <v>0</v>
      </c>
      <c r="J38" s="1058"/>
      <c r="K38" s="1146">
        <v>0</v>
      </c>
      <c r="L38" s="427">
        <f t="shared" si="2"/>
        <v>0</v>
      </c>
      <c r="M38" s="1058"/>
      <c r="N38" s="1146">
        <v>0</v>
      </c>
      <c r="O38" s="427">
        <f t="shared" si="3"/>
        <v>0</v>
      </c>
      <c r="P38" s="812"/>
      <c r="Q38" s="1146">
        <v>1</v>
      </c>
      <c r="R38" s="427">
        <f t="shared" si="4"/>
        <v>100</v>
      </c>
      <c r="S38" s="1156"/>
    </row>
    <row r="39" spans="1:19" ht="12.95" customHeight="1">
      <c r="A39" s="180" t="s">
        <v>859</v>
      </c>
      <c r="B39" s="284">
        <f t="shared" si="5"/>
        <v>1</v>
      </c>
      <c r="C39" s="1056">
        <f t="shared" si="6"/>
        <v>0.62893081761006298</v>
      </c>
      <c r="E39" s="1146">
        <v>0</v>
      </c>
      <c r="F39" s="427">
        <f t="shared" si="0"/>
        <v>0</v>
      </c>
      <c r="G39" s="1058"/>
      <c r="H39" s="1146">
        <v>0</v>
      </c>
      <c r="I39" s="427">
        <f t="shared" si="1"/>
        <v>0</v>
      </c>
      <c r="J39" s="1058"/>
      <c r="K39" s="1146">
        <v>0</v>
      </c>
      <c r="L39" s="427">
        <f t="shared" si="2"/>
        <v>0</v>
      </c>
      <c r="M39" s="1058"/>
      <c r="N39" s="1146">
        <v>0</v>
      </c>
      <c r="O39" s="427">
        <f t="shared" si="3"/>
        <v>0</v>
      </c>
      <c r="P39" s="812"/>
      <c r="Q39" s="1146">
        <v>1</v>
      </c>
      <c r="R39" s="427">
        <f t="shared" si="4"/>
        <v>100</v>
      </c>
      <c r="S39" s="1156"/>
    </row>
    <row r="40" spans="1:19" ht="12.95" customHeight="1">
      <c r="A40" s="180" t="s">
        <v>861</v>
      </c>
      <c r="B40" s="284">
        <f t="shared" si="5"/>
        <v>1</v>
      </c>
      <c r="C40" s="1056">
        <f t="shared" si="6"/>
        <v>0.62893081761006298</v>
      </c>
      <c r="E40" s="1146">
        <v>0</v>
      </c>
      <c r="F40" s="427">
        <f t="shared" si="0"/>
        <v>0</v>
      </c>
      <c r="G40" s="1058"/>
      <c r="H40" s="1146">
        <v>0</v>
      </c>
      <c r="I40" s="427">
        <f t="shared" si="1"/>
        <v>0</v>
      </c>
      <c r="J40" s="1058"/>
      <c r="K40" s="1146">
        <v>0</v>
      </c>
      <c r="L40" s="427">
        <f t="shared" si="2"/>
        <v>0</v>
      </c>
      <c r="M40" s="1058"/>
      <c r="N40" s="1146">
        <v>0</v>
      </c>
      <c r="O40" s="427">
        <f t="shared" si="3"/>
        <v>0</v>
      </c>
      <c r="P40" s="812"/>
      <c r="Q40" s="1146">
        <v>1</v>
      </c>
      <c r="R40" s="427">
        <f t="shared" si="4"/>
        <v>100</v>
      </c>
      <c r="S40" s="1156"/>
    </row>
    <row r="41" spans="1:19" ht="12.75" customHeight="1">
      <c r="A41" s="180" t="s">
        <v>1714</v>
      </c>
      <c r="B41" s="284">
        <f t="shared" si="5"/>
        <v>2</v>
      </c>
      <c r="C41" s="1056">
        <f t="shared" si="6"/>
        <v>1.257861635220126</v>
      </c>
      <c r="E41" s="1146">
        <v>0</v>
      </c>
      <c r="F41" s="427">
        <f t="shared" si="0"/>
        <v>0</v>
      </c>
      <c r="G41" s="1058"/>
      <c r="H41" s="1146">
        <v>0</v>
      </c>
      <c r="I41" s="427">
        <f t="shared" si="1"/>
        <v>0</v>
      </c>
      <c r="J41" s="1058"/>
      <c r="K41" s="1146">
        <v>1</v>
      </c>
      <c r="L41" s="427">
        <f t="shared" si="2"/>
        <v>50</v>
      </c>
      <c r="M41" s="1058"/>
      <c r="N41" s="1146">
        <v>0</v>
      </c>
      <c r="O41" s="427">
        <f t="shared" si="3"/>
        <v>0</v>
      </c>
      <c r="P41" s="812"/>
      <c r="Q41" s="1146">
        <v>1</v>
      </c>
      <c r="R41" s="427">
        <f t="shared" si="4"/>
        <v>50</v>
      </c>
      <c r="S41" s="1156"/>
    </row>
    <row r="42" spans="1:19" ht="12.95" customHeight="1">
      <c r="A42" s="180" t="s">
        <v>864</v>
      </c>
      <c r="B42" s="284">
        <f t="shared" si="5"/>
        <v>14</v>
      </c>
      <c r="C42" s="1056">
        <f>IF(A42&lt;&gt;0,B42/$B$12*100,"")</f>
        <v>8.8050314465408803</v>
      </c>
      <c r="E42" s="1146">
        <v>0</v>
      </c>
      <c r="F42" s="427">
        <f t="shared" si="0"/>
        <v>0</v>
      </c>
      <c r="G42" s="1058"/>
      <c r="H42" s="1146">
        <v>3</v>
      </c>
      <c r="I42" s="427">
        <f t="shared" si="1"/>
        <v>21.428571428571427</v>
      </c>
      <c r="J42" s="1058"/>
      <c r="K42" s="1146">
        <v>1</v>
      </c>
      <c r="L42" s="427">
        <f t="shared" si="2"/>
        <v>7.1428571428571423</v>
      </c>
      <c r="M42" s="1058"/>
      <c r="N42" s="1146">
        <v>4</v>
      </c>
      <c r="O42" s="427">
        <f t="shared" si="3"/>
        <v>28.571428571428569</v>
      </c>
      <c r="P42" s="812"/>
      <c r="Q42" s="1146">
        <v>6</v>
      </c>
      <c r="R42" s="427">
        <f t="shared" si="4"/>
        <v>42.857142857142854</v>
      </c>
      <c r="S42" s="1156"/>
    </row>
    <row r="43" spans="1:19" ht="12.95" customHeight="1">
      <c r="A43" s="180" t="s">
        <v>866</v>
      </c>
      <c r="B43" s="284">
        <f t="shared" si="5"/>
        <v>2</v>
      </c>
      <c r="C43" s="1056">
        <f>IF(A43&lt;&gt;0,B43/$B$12*100,"")</f>
        <v>1.257861635220126</v>
      </c>
      <c r="E43" s="1146">
        <v>0</v>
      </c>
      <c r="F43" s="427">
        <f t="shared" si="0"/>
        <v>0</v>
      </c>
      <c r="G43" s="1058"/>
      <c r="H43" s="1146">
        <v>0</v>
      </c>
      <c r="I43" s="427">
        <f t="shared" si="1"/>
        <v>0</v>
      </c>
      <c r="J43" s="1058"/>
      <c r="K43" s="1146">
        <v>1</v>
      </c>
      <c r="L43" s="427">
        <f t="shared" si="2"/>
        <v>50</v>
      </c>
      <c r="M43" s="1058"/>
      <c r="N43" s="1146">
        <v>1</v>
      </c>
      <c r="O43" s="427">
        <f t="shared" si="3"/>
        <v>50</v>
      </c>
      <c r="P43" s="812"/>
      <c r="Q43" s="1146">
        <v>0</v>
      </c>
      <c r="R43" s="427">
        <f t="shared" si="4"/>
        <v>0</v>
      </c>
      <c r="S43" s="1156"/>
    </row>
    <row r="44" spans="1:19" ht="12.95" customHeight="1">
      <c r="A44" s="180" t="s">
        <v>870</v>
      </c>
      <c r="B44" s="284">
        <f t="shared" si="5"/>
        <v>10</v>
      </c>
      <c r="C44" s="1056">
        <f t="shared" si="6"/>
        <v>6.2893081761006293</v>
      </c>
      <c r="E44" s="1146">
        <v>1</v>
      </c>
      <c r="F44" s="427">
        <f t="shared" si="0"/>
        <v>10</v>
      </c>
      <c r="G44" s="1058"/>
      <c r="H44" s="1146">
        <v>1</v>
      </c>
      <c r="I44" s="427">
        <f t="shared" si="1"/>
        <v>10</v>
      </c>
      <c r="J44" s="1058"/>
      <c r="K44" s="1146">
        <v>0</v>
      </c>
      <c r="L44" s="427">
        <f t="shared" si="2"/>
        <v>0</v>
      </c>
      <c r="M44" s="1058"/>
      <c r="N44" s="1146">
        <v>2</v>
      </c>
      <c r="O44" s="427">
        <f t="shared" si="3"/>
        <v>20</v>
      </c>
      <c r="P44" s="812"/>
      <c r="Q44" s="1146">
        <v>6</v>
      </c>
      <c r="R44" s="427">
        <f t="shared" si="4"/>
        <v>60</v>
      </c>
      <c r="S44" s="1155"/>
    </row>
    <row r="45" spans="1:19" ht="12.95" customHeight="1">
      <c r="A45" s="180" t="s">
        <v>871</v>
      </c>
      <c r="B45" s="284">
        <f t="shared" si="5"/>
        <v>21</v>
      </c>
      <c r="C45" s="1056">
        <f t="shared" si="6"/>
        <v>13.20754716981132</v>
      </c>
      <c r="E45" s="1146">
        <v>1</v>
      </c>
      <c r="F45" s="427">
        <f t="shared" si="0"/>
        <v>4.7619047619047619</v>
      </c>
      <c r="G45" s="1058"/>
      <c r="H45" s="1146">
        <v>2</v>
      </c>
      <c r="I45" s="427">
        <f t="shared" si="1"/>
        <v>9.5238095238095237</v>
      </c>
      <c r="J45" s="1058"/>
      <c r="K45" s="1146">
        <v>4</v>
      </c>
      <c r="L45" s="427">
        <f t="shared" si="2"/>
        <v>19.047619047619047</v>
      </c>
      <c r="M45" s="1058"/>
      <c r="N45" s="1146">
        <v>4</v>
      </c>
      <c r="O45" s="427">
        <f t="shared" si="3"/>
        <v>19.047619047619047</v>
      </c>
      <c r="P45" s="812"/>
      <c r="Q45" s="1146">
        <v>10</v>
      </c>
      <c r="R45" s="427">
        <f t="shared" si="4"/>
        <v>47.619047619047613</v>
      </c>
      <c r="S45" s="1155"/>
    </row>
    <row r="46" spans="1:19" ht="12.95" customHeight="1">
      <c r="A46" s="180" t="s">
        <v>872</v>
      </c>
      <c r="B46" s="284">
        <f t="shared" si="5"/>
        <v>3</v>
      </c>
      <c r="C46" s="1056">
        <f t="shared" si="6"/>
        <v>1.8867924528301887</v>
      </c>
      <c r="E46" s="1146">
        <v>0</v>
      </c>
      <c r="F46" s="427">
        <f t="shared" si="0"/>
        <v>0</v>
      </c>
      <c r="G46" s="1058"/>
      <c r="H46" s="1146">
        <v>1</v>
      </c>
      <c r="I46" s="427">
        <f t="shared" si="1"/>
        <v>33.333333333333329</v>
      </c>
      <c r="J46" s="1058"/>
      <c r="K46" s="1146">
        <v>0</v>
      </c>
      <c r="L46" s="427">
        <f t="shared" si="2"/>
        <v>0</v>
      </c>
      <c r="M46" s="1058"/>
      <c r="N46" s="1146">
        <v>0</v>
      </c>
      <c r="O46" s="427">
        <f t="shared" si="3"/>
        <v>0</v>
      </c>
      <c r="P46" s="812"/>
      <c r="Q46" s="1146">
        <v>2</v>
      </c>
      <c r="R46" s="427">
        <f t="shared" si="4"/>
        <v>66.666666666666657</v>
      </c>
      <c r="S46" s="1155"/>
    </row>
    <row r="47" spans="1:19" ht="12.95" customHeight="1">
      <c r="A47" s="180" t="s">
        <v>1715</v>
      </c>
      <c r="B47" s="284">
        <f t="shared" si="5"/>
        <v>3</v>
      </c>
      <c r="C47" s="1056">
        <f t="shared" si="6"/>
        <v>1.8867924528301887</v>
      </c>
      <c r="E47" s="1146">
        <v>0</v>
      </c>
      <c r="F47" s="427">
        <f t="shared" si="0"/>
        <v>0</v>
      </c>
      <c r="G47" s="1058"/>
      <c r="H47" s="1146">
        <v>0</v>
      </c>
      <c r="I47" s="427">
        <f t="shared" si="1"/>
        <v>0</v>
      </c>
      <c r="J47" s="1058"/>
      <c r="K47" s="1146">
        <v>0</v>
      </c>
      <c r="L47" s="427">
        <f t="shared" si="2"/>
        <v>0</v>
      </c>
      <c r="M47" s="1058"/>
      <c r="N47" s="1146">
        <v>0</v>
      </c>
      <c r="O47" s="427">
        <f t="shared" si="3"/>
        <v>0</v>
      </c>
      <c r="P47" s="812"/>
      <c r="Q47" s="1146">
        <v>3</v>
      </c>
      <c r="R47" s="427">
        <f t="shared" si="4"/>
        <v>100</v>
      </c>
      <c r="S47" s="1155"/>
    </row>
    <row r="48" spans="1:19" ht="12.95" customHeight="1">
      <c r="A48" s="180" t="s">
        <v>1716</v>
      </c>
      <c r="B48" s="284">
        <f t="shared" si="5"/>
        <v>2</v>
      </c>
      <c r="C48" s="1056">
        <f t="shared" si="6"/>
        <v>1.257861635220126</v>
      </c>
      <c r="E48" s="1146">
        <v>0</v>
      </c>
      <c r="F48" s="427">
        <f t="shared" si="0"/>
        <v>0</v>
      </c>
      <c r="G48" s="1058"/>
      <c r="H48" s="1146">
        <v>0</v>
      </c>
      <c r="I48" s="427">
        <f t="shared" si="1"/>
        <v>0</v>
      </c>
      <c r="J48" s="1058"/>
      <c r="K48" s="1146">
        <v>1</v>
      </c>
      <c r="L48" s="427">
        <f t="shared" si="2"/>
        <v>50</v>
      </c>
      <c r="M48" s="1058"/>
      <c r="N48" s="1146">
        <v>0</v>
      </c>
      <c r="O48" s="427">
        <f t="shared" si="3"/>
        <v>0</v>
      </c>
      <c r="P48" s="812"/>
      <c r="Q48" s="1146">
        <v>1</v>
      </c>
      <c r="R48" s="427">
        <f t="shared" si="4"/>
        <v>50</v>
      </c>
      <c r="S48" s="1155"/>
    </row>
    <row r="49" spans="1:19" ht="12.95" customHeight="1">
      <c r="A49" s="180" t="s">
        <v>878</v>
      </c>
      <c r="B49" s="284">
        <f t="shared" si="5"/>
        <v>4</v>
      </c>
      <c r="C49" s="1056">
        <f t="shared" si="6"/>
        <v>2.5157232704402519</v>
      </c>
      <c r="E49" s="1146">
        <v>0</v>
      </c>
      <c r="F49" s="427">
        <f t="shared" si="0"/>
        <v>0</v>
      </c>
      <c r="G49" s="1058"/>
      <c r="H49" s="1146">
        <v>1</v>
      </c>
      <c r="I49" s="427">
        <f t="shared" si="1"/>
        <v>25</v>
      </c>
      <c r="J49" s="1058"/>
      <c r="K49" s="1146">
        <v>2</v>
      </c>
      <c r="L49" s="427">
        <f t="shared" si="2"/>
        <v>50</v>
      </c>
      <c r="M49" s="1058"/>
      <c r="N49" s="1146">
        <v>0</v>
      </c>
      <c r="O49" s="427">
        <f t="shared" si="3"/>
        <v>0</v>
      </c>
      <c r="P49" s="812"/>
      <c r="Q49" s="1146">
        <v>1</v>
      </c>
      <c r="R49" s="427">
        <f t="shared" si="4"/>
        <v>25</v>
      </c>
      <c r="S49" s="1155"/>
    </row>
    <row r="50" spans="1:19" ht="12.95" customHeight="1">
      <c r="A50" s="180" t="s">
        <v>1788</v>
      </c>
      <c r="B50" s="284">
        <f>E50+H50+K50+N50+Q50+S50</f>
        <v>1</v>
      </c>
      <c r="C50" s="1056">
        <f>IF(A50&lt;&gt;0,B50/$B$12*100,"")</f>
        <v>0.62893081761006298</v>
      </c>
      <c r="E50" s="1146">
        <v>0</v>
      </c>
      <c r="F50" s="427">
        <f t="shared" si="0"/>
        <v>0</v>
      </c>
      <c r="G50" s="1058"/>
      <c r="H50" s="1146">
        <v>0</v>
      </c>
      <c r="I50" s="427">
        <f t="shared" si="1"/>
        <v>0</v>
      </c>
      <c r="J50" s="1058"/>
      <c r="K50" s="1146">
        <v>0</v>
      </c>
      <c r="L50" s="427">
        <f t="shared" si="2"/>
        <v>0</v>
      </c>
      <c r="M50" s="1058"/>
      <c r="N50" s="1146">
        <v>0</v>
      </c>
      <c r="O50" s="427">
        <f t="shared" si="3"/>
        <v>0</v>
      </c>
      <c r="P50" s="812"/>
      <c r="Q50" s="1146">
        <v>1</v>
      </c>
      <c r="R50" s="427">
        <f t="shared" si="4"/>
        <v>100</v>
      </c>
      <c r="S50" s="1155"/>
    </row>
    <row r="51" spans="1:19" ht="12.95" customHeight="1">
      <c r="A51" s="180" t="s">
        <v>880</v>
      </c>
      <c r="B51" s="284">
        <f t="shared" si="5"/>
        <v>2</v>
      </c>
      <c r="C51" s="1056">
        <f t="shared" si="6"/>
        <v>1.257861635220126</v>
      </c>
      <c r="E51" s="1146">
        <v>0</v>
      </c>
      <c r="F51" s="427">
        <f t="shared" si="0"/>
        <v>0</v>
      </c>
      <c r="G51" s="1058"/>
      <c r="H51" s="1146">
        <v>1</v>
      </c>
      <c r="I51" s="427">
        <f t="shared" si="1"/>
        <v>50</v>
      </c>
      <c r="J51" s="1058"/>
      <c r="K51" s="1146">
        <v>0</v>
      </c>
      <c r="L51" s="427">
        <f t="shared" si="2"/>
        <v>0</v>
      </c>
      <c r="M51" s="1058"/>
      <c r="N51" s="1146">
        <v>1</v>
      </c>
      <c r="O51" s="427">
        <f t="shared" si="3"/>
        <v>50</v>
      </c>
      <c r="P51" s="812"/>
      <c r="Q51" s="1146">
        <v>0</v>
      </c>
      <c r="R51" s="427">
        <f t="shared" si="4"/>
        <v>0</v>
      </c>
      <c r="S51" s="1155"/>
    </row>
    <row r="52" spans="1:19" ht="6" customHeight="1" thickBot="1">
      <c r="E52" s="1067"/>
      <c r="H52" s="1067"/>
      <c r="I52" s="1056"/>
      <c r="J52" s="1056"/>
      <c r="K52" s="1067"/>
      <c r="L52" s="1157"/>
      <c r="M52" s="1157"/>
      <c r="N52" s="1065"/>
      <c r="O52" s="1056"/>
      <c r="P52" s="1056"/>
      <c r="Q52" s="1067"/>
      <c r="R52" s="1056"/>
      <c r="S52" s="1067"/>
    </row>
    <row r="53" spans="1:19" ht="9.75" customHeight="1">
      <c r="A53" s="437"/>
      <c r="B53" s="1148"/>
      <c r="C53" s="1060"/>
      <c r="D53" s="1060"/>
      <c r="E53" s="1062"/>
      <c r="F53" s="1060"/>
      <c r="G53" s="1060"/>
      <c r="H53" s="1062"/>
      <c r="I53" s="1060"/>
      <c r="J53" s="1060"/>
      <c r="K53" s="1062"/>
      <c r="L53" s="1060"/>
      <c r="M53" s="1060"/>
      <c r="N53" s="1148"/>
      <c r="O53" s="1060"/>
      <c r="P53" s="1060"/>
      <c r="Q53" s="1062"/>
      <c r="R53" s="1060"/>
      <c r="S53" s="1062"/>
    </row>
    <row r="54" spans="1:19" ht="13.15" customHeight="1">
      <c r="A54" s="42" t="s">
        <v>1702</v>
      </c>
      <c r="B54" s="1150"/>
      <c r="C54" s="802"/>
      <c r="D54" s="802"/>
      <c r="E54" s="812"/>
      <c r="F54" s="802"/>
      <c r="G54" s="802"/>
      <c r="H54" s="812"/>
      <c r="I54" s="802"/>
      <c r="J54" s="802"/>
      <c r="K54" s="812"/>
      <c r="L54" s="802"/>
      <c r="M54" s="802"/>
      <c r="N54" s="1150"/>
      <c r="O54" s="802"/>
      <c r="P54" s="802"/>
      <c r="Q54" s="812"/>
      <c r="R54" s="802"/>
    </row>
    <row r="55" spans="1:19" ht="12" customHeight="1">
      <c r="A55" s="434" t="s">
        <v>1703</v>
      </c>
      <c r="B55" s="1150"/>
      <c r="C55" s="802"/>
      <c r="D55" s="802"/>
      <c r="E55" s="812"/>
      <c r="F55" s="802"/>
      <c r="G55" s="802"/>
      <c r="H55" s="812"/>
      <c r="I55" s="802"/>
      <c r="J55" s="802"/>
      <c r="K55" s="812"/>
      <c r="L55" s="802"/>
      <c r="M55" s="802"/>
      <c r="N55" s="1150"/>
      <c r="O55" s="802"/>
      <c r="P55" s="802"/>
      <c r="Q55" s="812"/>
      <c r="R55" s="802"/>
    </row>
    <row r="57" spans="1:19">
      <c r="A57" s="434" t="s">
        <v>1704</v>
      </c>
    </row>
    <row r="58" spans="1:19">
      <c r="A58" s="434" t="s">
        <v>1705</v>
      </c>
    </row>
  </sheetData>
  <mergeCells count="6">
    <mergeCell ref="Q8:R8"/>
    <mergeCell ref="B8:C8"/>
    <mergeCell ref="E8:F8"/>
    <mergeCell ref="H8:I8"/>
    <mergeCell ref="K8:L8"/>
    <mergeCell ref="N8:O8"/>
  </mergeCells>
  <printOptions horizontalCentered="1" verticalCentered="1"/>
  <pageMargins left="0" right="0" top="0" bottom="0" header="0.31496062992125984" footer="0.31496062992125984"/>
  <pageSetup paperSize="9" scale="75" orientation="portrait" r:id="rId1"/>
  <drawing r:id="rId2"/>
</worksheet>
</file>

<file path=xl/worksheets/sheet117.xml><?xml version="1.0" encoding="utf-8"?>
<worksheet xmlns="http://schemas.openxmlformats.org/spreadsheetml/2006/main" xmlns:r="http://schemas.openxmlformats.org/officeDocument/2006/relationships">
  <dimension ref="A1:Y34"/>
  <sheetViews>
    <sheetView workbookViewId="0">
      <selection activeCell="C18" sqref="C18"/>
    </sheetView>
  </sheetViews>
  <sheetFormatPr baseColWidth="10" defaultColWidth="9.140625" defaultRowHeight="15"/>
  <cols>
    <col min="1" max="1" width="10.42578125" style="847" customWidth="1"/>
    <col min="2" max="2" width="7.7109375" style="942" customWidth="1"/>
    <col min="3" max="3" width="7.7109375" style="943" customWidth="1"/>
    <col min="4" max="4" width="1.7109375" style="847" customWidth="1"/>
    <col min="5" max="5" width="7.7109375" style="942" customWidth="1"/>
    <col min="6" max="6" width="7.7109375" style="943" customWidth="1"/>
    <col min="7" max="7" width="1.7109375" style="847" customWidth="1"/>
    <col min="8" max="8" width="6.7109375" style="942" customWidth="1"/>
    <col min="9" max="9" width="7.7109375" style="943" customWidth="1"/>
    <col min="10" max="10" width="1.7109375" style="943" customWidth="1"/>
    <col min="11" max="11" width="6.7109375" style="942" customWidth="1"/>
    <col min="12" max="12" width="7.7109375" style="847" customWidth="1"/>
    <col min="13" max="13" width="1.7109375" style="847" customWidth="1"/>
    <col min="14" max="14" width="6.7109375" style="942" customWidth="1"/>
    <col min="15" max="15" width="7.7109375" style="847" customWidth="1"/>
    <col min="16" max="16" width="1.7109375" style="847" customWidth="1"/>
    <col min="17" max="17" width="6.7109375" style="942" customWidth="1"/>
    <col min="18" max="18" width="7.7109375" style="847" customWidth="1"/>
    <col min="19" max="19" width="1.7109375" style="847" customWidth="1"/>
    <col min="20" max="20" width="6.7109375" style="847" customWidth="1"/>
    <col min="21" max="21" width="7.7109375" style="847" customWidth="1"/>
    <col min="22" max="22" width="1.85546875" style="847" customWidth="1"/>
    <col min="23" max="23" width="6.7109375" style="847" customWidth="1"/>
    <col min="24" max="24" width="7.7109375" style="847" customWidth="1"/>
    <col min="25" max="25" width="2" style="847" customWidth="1"/>
    <col min="26" max="256" width="9.140625" style="847"/>
    <col min="257" max="257" width="10.42578125" style="847" customWidth="1"/>
    <col min="258" max="259" width="7.7109375" style="847" customWidth="1"/>
    <col min="260" max="260" width="1.7109375" style="847" customWidth="1"/>
    <col min="261" max="262" width="7.7109375" style="847" customWidth="1"/>
    <col min="263" max="263" width="1.7109375" style="847" customWidth="1"/>
    <col min="264" max="264" width="6.7109375" style="847" customWidth="1"/>
    <col min="265" max="265" width="7.7109375" style="847" customWidth="1"/>
    <col min="266" max="266" width="1.7109375" style="847" customWidth="1"/>
    <col min="267" max="267" width="6.7109375" style="847" customWidth="1"/>
    <col min="268" max="268" width="7.7109375" style="847" customWidth="1"/>
    <col min="269" max="269" width="1.7109375" style="847" customWidth="1"/>
    <col min="270" max="270" width="6.7109375" style="847" customWidth="1"/>
    <col min="271" max="271" width="7.7109375" style="847" customWidth="1"/>
    <col min="272" max="272" width="1.7109375" style="847" customWidth="1"/>
    <col min="273" max="273" width="6.7109375" style="847" customWidth="1"/>
    <col min="274" max="274" width="7.7109375" style="847" customWidth="1"/>
    <col min="275" max="275" width="1.7109375" style="847" customWidth="1"/>
    <col min="276" max="276" width="6.7109375" style="847" customWidth="1"/>
    <col min="277" max="277" width="7.7109375" style="847" customWidth="1"/>
    <col min="278" max="278" width="1.85546875" style="847" customWidth="1"/>
    <col min="279" max="279" width="6.7109375" style="847" customWidth="1"/>
    <col min="280" max="280" width="7.7109375" style="847" customWidth="1"/>
    <col min="281" max="281" width="2" style="847" customWidth="1"/>
    <col min="282" max="512" width="9.140625" style="847"/>
    <col min="513" max="513" width="10.42578125" style="847" customWidth="1"/>
    <col min="514" max="515" width="7.7109375" style="847" customWidth="1"/>
    <col min="516" max="516" width="1.7109375" style="847" customWidth="1"/>
    <col min="517" max="518" width="7.7109375" style="847" customWidth="1"/>
    <col min="519" max="519" width="1.7109375" style="847" customWidth="1"/>
    <col min="520" max="520" width="6.7109375" style="847" customWidth="1"/>
    <col min="521" max="521" width="7.7109375" style="847" customWidth="1"/>
    <col min="522" max="522" width="1.7109375" style="847" customWidth="1"/>
    <col min="523" max="523" width="6.7109375" style="847" customWidth="1"/>
    <col min="524" max="524" width="7.7109375" style="847" customWidth="1"/>
    <col min="525" max="525" width="1.7109375" style="847" customWidth="1"/>
    <col min="526" max="526" width="6.7109375" style="847" customWidth="1"/>
    <col min="527" max="527" width="7.7109375" style="847" customWidth="1"/>
    <col min="528" max="528" width="1.7109375" style="847" customWidth="1"/>
    <col min="529" max="529" width="6.7109375" style="847" customWidth="1"/>
    <col min="530" max="530" width="7.7109375" style="847" customWidth="1"/>
    <col min="531" max="531" width="1.7109375" style="847" customWidth="1"/>
    <col min="532" max="532" width="6.7109375" style="847" customWidth="1"/>
    <col min="533" max="533" width="7.7109375" style="847" customWidth="1"/>
    <col min="534" max="534" width="1.85546875" style="847" customWidth="1"/>
    <col min="535" max="535" width="6.7109375" style="847" customWidth="1"/>
    <col min="536" max="536" width="7.7109375" style="847" customWidth="1"/>
    <col min="537" max="537" width="2" style="847" customWidth="1"/>
    <col min="538" max="768" width="9.140625" style="847"/>
    <col min="769" max="769" width="10.42578125" style="847" customWidth="1"/>
    <col min="770" max="771" width="7.7109375" style="847" customWidth="1"/>
    <col min="772" max="772" width="1.7109375" style="847" customWidth="1"/>
    <col min="773" max="774" width="7.7109375" style="847" customWidth="1"/>
    <col min="775" max="775" width="1.7109375" style="847" customWidth="1"/>
    <col min="776" max="776" width="6.7109375" style="847" customWidth="1"/>
    <col min="777" max="777" width="7.7109375" style="847" customWidth="1"/>
    <col min="778" max="778" width="1.7109375" style="847" customWidth="1"/>
    <col min="779" max="779" width="6.7109375" style="847" customWidth="1"/>
    <col min="780" max="780" width="7.7109375" style="847" customWidth="1"/>
    <col min="781" max="781" width="1.7109375" style="847" customWidth="1"/>
    <col min="782" max="782" width="6.7109375" style="847" customWidth="1"/>
    <col min="783" max="783" width="7.7109375" style="847" customWidth="1"/>
    <col min="784" max="784" width="1.7109375" style="847" customWidth="1"/>
    <col min="785" max="785" width="6.7109375" style="847" customWidth="1"/>
    <col min="786" max="786" width="7.7109375" style="847" customWidth="1"/>
    <col min="787" max="787" width="1.7109375" style="847" customWidth="1"/>
    <col min="788" max="788" width="6.7109375" style="847" customWidth="1"/>
    <col min="789" max="789" width="7.7109375" style="847" customWidth="1"/>
    <col min="790" max="790" width="1.85546875" style="847" customWidth="1"/>
    <col min="791" max="791" width="6.7109375" style="847" customWidth="1"/>
    <col min="792" max="792" width="7.7109375" style="847" customWidth="1"/>
    <col min="793" max="793" width="2" style="847" customWidth="1"/>
    <col min="794" max="1024" width="9.140625" style="847"/>
    <col min="1025" max="1025" width="10.42578125" style="847" customWidth="1"/>
    <col min="1026" max="1027" width="7.7109375" style="847" customWidth="1"/>
    <col min="1028" max="1028" width="1.7109375" style="847" customWidth="1"/>
    <col min="1029" max="1030" width="7.7109375" style="847" customWidth="1"/>
    <col min="1031" max="1031" width="1.7109375" style="847" customWidth="1"/>
    <col min="1032" max="1032" width="6.7109375" style="847" customWidth="1"/>
    <col min="1033" max="1033" width="7.7109375" style="847" customWidth="1"/>
    <col min="1034" max="1034" width="1.7109375" style="847" customWidth="1"/>
    <col min="1035" max="1035" width="6.7109375" style="847" customWidth="1"/>
    <col min="1036" max="1036" width="7.7109375" style="847" customWidth="1"/>
    <col min="1037" max="1037" width="1.7109375" style="847" customWidth="1"/>
    <col min="1038" max="1038" width="6.7109375" style="847" customWidth="1"/>
    <col min="1039" max="1039" width="7.7109375" style="847" customWidth="1"/>
    <col min="1040" max="1040" width="1.7109375" style="847" customWidth="1"/>
    <col min="1041" max="1041" width="6.7109375" style="847" customWidth="1"/>
    <col min="1042" max="1042" width="7.7109375" style="847" customWidth="1"/>
    <col min="1043" max="1043" width="1.7109375" style="847" customWidth="1"/>
    <col min="1044" max="1044" width="6.7109375" style="847" customWidth="1"/>
    <col min="1045" max="1045" width="7.7109375" style="847" customWidth="1"/>
    <col min="1046" max="1046" width="1.85546875" style="847" customWidth="1"/>
    <col min="1047" max="1047" width="6.7109375" style="847" customWidth="1"/>
    <col min="1048" max="1048" width="7.7109375" style="847" customWidth="1"/>
    <col min="1049" max="1049" width="2" style="847" customWidth="1"/>
    <col min="1050" max="1280" width="9.140625" style="847"/>
    <col min="1281" max="1281" width="10.42578125" style="847" customWidth="1"/>
    <col min="1282" max="1283" width="7.7109375" style="847" customWidth="1"/>
    <col min="1284" max="1284" width="1.7109375" style="847" customWidth="1"/>
    <col min="1285" max="1286" width="7.7109375" style="847" customWidth="1"/>
    <col min="1287" max="1287" width="1.7109375" style="847" customWidth="1"/>
    <col min="1288" max="1288" width="6.7109375" style="847" customWidth="1"/>
    <col min="1289" max="1289" width="7.7109375" style="847" customWidth="1"/>
    <col min="1290" max="1290" width="1.7109375" style="847" customWidth="1"/>
    <col min="1291" max="1291" width="6.7109375" style="847" customWidth="1"/>
    <col min="1292" max="1292" width="7.7109375" style="847" customWidth="1"/>
    <col min="1293" max="1293" width="1.7109375" style="847" customWidth="1"/>
    <col min="1294" max="1294" width="6.7109375" style="847" customWidth="1"/>
    <col min="1295" max="1295" width="7.7109375" style="847" customWidth="1"/>
    <col min="1296" max="1296" width="1.7109375" style="847" customWidth="1"/>
    <col min="1297" max="1297" width="6.7109375" style="847" customWidth="1"/>
    <col min="1298" max="1298" width="7.7109375" style="847" customWidth="1"/>
    <col min="1299" max="1299" width="1.7109375" style="847" customWidth="1"/>
    <col min="1300" max="1300" width="6.7109375" style="847" customWidth="1"/>
    <col min="1301" max="1301" width="7.7109375" style="847" customWidth="1"/>
    <col min="1302" max="1302" width="1.85546875" style="847" customWidth="1"/>
    <col min="1303" max="1303" width="6.7109375" style="847" customWidth="1"/>
    <col min="1304" max="1304" width="7.7109375" style="847" customWidth="1"/>
    <col min="1305" max="1305" width="2" style="847" customWidth="1"/>
    <col min="1306" max="1536" width="9.140625" style="847"/>
    <col min="1537" max="1537" width="10.42578125" style="847" customWidth="1"/>
    <col min="1538" max="1539" width="7.7109375" style="847" customWidth="1"/>
    <col min="1540" max="1540" width="1.7109375" style="847" customWidth="1"/>
    <col min="1541" max="1542" width="7.7109375" style="847" customWidth="1"/>
    <col min="1543" max="1543" width="1.7109375" style="847" customWidth="1"/>
    <col min="1544" max="1544" width="6.7109375" style="847" customWidth="1"/>
    <col min="1545" max="1545" width="7.7109375" style="847" customWidth="1"/>
    <col min="1546" max="1546" width="1.7109375" style="847" customWidth="1"/>
    <col min="1547" max="1547" width="6.7109375" style="847" customWidth="1"/>
    <col min="1548" max="1548" width="7.7109375" style="847" customWidth="1"/>
    <col min="1549" max="1549" width="1.7109375" style="847" customWidth="1"/>
    <col min="1550" max="1550" width="6.7109375" style="847" customWidth="1"/>
    <col min="1551" max="1551" width="7.7109375" style="847" customWidth="1"/>
    <col min="1552" max="1552" width="1.7109375" style="847" customWidth="1"/>
    <col min="1553" max="1553" width="6.7109375" style="847" customWidth="1"/>
    <col min="1554" max="1554" width="7.7109375" style="847" customWidth="1"/>
    <col min="1555" max="1555" width="1.7109375" style="847" customWidth="1"/>
    <col min="1556" max="1556" width="6.7109375" style="847" customWidth="1"/>
    <col min="1557" max="1557" width="7.7109375" style="847" customWidth="1"/>
    <col min="1558" max="1558" width="1.85546875" style="847" customWidth="1"/>
    <col min="1559" max="1559" width="6.7109375" style="847" customWidth="1"/>
    <col min="1560" max="1560" width="7.7109375" style="847" customWidth="1"/>
    <col min="1561" max="1561" width="2" style="847" customWidth="1"/>
    <col min="1562" max="1792" width="9.140625" style="847"/>
    <col min="1793" max="1793" width="10.42578125" style="847" customWidth="1"/>
    <col min="1794" max="1795" width="7.7109375" style="847" customWidth="1"/>
    <col min="1796" max="1796" width="1.7109375" style="847" customWidth="1"/>
    <col min="1797" max="1798" width="7.7109375" style="847" customWidth="1"/>
    <col min="1799" max="1799" width="1.7109375" style="847" customWidth="1"/>
    <col min="1800" max="1800" width="6.7109375" style="847" customWidth="1"/>
    <col min="1801" max="1801" width="7.7109375" style="847" customWidth="1"/>
    <col min="1802" max="1802" width="1.7109375" style="847" customWidth="1"/>
    <col min="1803" max="1803" width="6.7109375" style="847" customWidth="1"/>
    <col min="1804" max="1804" width="7.7109375" style="847" customWidth="1"/>
    <col min="1805" max="1805" width="1.7109375" style="847" customWidth="1"/>
    <col min="1806" max="1806" width="6.7109375" style="847" customWidth="1"/>
    <col min="1807" max="1807" width="7.7109375" style="847" customWidth="1"/>
    <col min="1808" max="1808" width="1.7109375" style="847" customWidth="1"/>
    <col min="1809" max="1809" width="6.7109375" style="847" customWidth="1"/>
    <col min="1810" max="1810" width="7.7109375" style="847" customWidth="1"/>
    <col min="1811" max="1811" width="1.7109375" style="847" customWidth="1"/>
    <col min="1812" max="1812" width="6.7109375" style="847" customWidth="1"/>
    <col min="1813" max="1813" width="7.7109375" style="847" customWidth="1"/>
    <col min="1814" max="1814" width="1.85546875" style="847" customWidth="1"/>
    <col min="1815" max="1815" width="6.7109375" style="847" customWidth="1"/>
    <col min="1816" max="1816" width="7.7109375" style="847" customWidth="1"/>
    <col min="1817" max="1817" width="2" style="847" customWidth="1"/>
    <col min="1818" max="2048" width="9.140625" style="847"/>
    <col min="2049" max="2049" width="10.42578125" style="847" customWidth="1"/>
    <col min="2050" max="2051" width="7.7109375" style="847" customWidth="1"/>
    <col min="2052" max="2052" width="1.7109375" style="847" customWidth="1"/>
    <col min="2053" max="2054" width="7.7109375" style="847" customWidth="1"/>
    <col min="2055" max="2055" width="1.7109375" style="847" customWidth="1"/>
    <col min="2056" max="2056" width="6.7109375" style="847" customWidth="1"/>
    <col min="2057" max="2057" width="7.7109375" style="847" customWidth="1"/>
    <col min="2058" max="2058" width="1.7109375" style="847" customWidth="1"/>
    <col min="2059" max="2059" width="6.7109375" style="847" customWidth="1"/>
    <col min="2060" max="2060" width="7.7109375" style="847" customWidth="1"/>
    <col min="2061" max="2061" width="1.7109375" style="847" customWidth="1"/>
    <col min="2062" max="2062" width="6.7109375" style="847" customWidth="1"/>
    <col min="2063" max="2063" width="7.7109375" style="847" customWidth="1"/>
    <col min="2064" max="2064" width="1.7109375" style="847" customWidth="1"/>
    <col min="2065" max="2065" width="6.7109375" style="847" customWidth="1"/>
    <col min="2066" max="2066" width="7.7109375" style="847" customWidth="1"/>
    <col min="2067" max="2067" width="1.7109375" style="847" customWidth="1"/>
    <col min="2068" max="2068" width="6.7109375" style="847" customWidth="1"/>
    <col min="2069" max="2069" width="7.7109375" style="847" customWidth="1"/>
    <col min="2070" max="2070" width="1.85546875" style="847" customWidth="1"/>
    <col min="2071" max="2071" width="6.7109375" style="847" customWidth="1"/>
    <col min="2072" max="2072" width="7.7109375" style="847" customWidth="1"/>
    <col min="2073" max="2073" width="2" style="847" customWidth="1"/>
    <col min="2074" max="2304" width="9.140625" style="847"/>
    <col min="2305" max="2305" width="10.42578125" style="847" customWidth="1"/>
    <col min="2306" max="2307" width="7.7109375" style="847" customWidth="1"/>
    <col min="2308" max="2308" width="1.7109375" style="847" customWidth="1"/>
    <col min="2309" max="2310" width="7.7109375" style="847" customWidth="1"/>
    <col min="2311" max="2311" width="1.7109375" style="847" customWidth="1"/>
    <col min="2312" max="2312" width="6.7109375" style="847" customWidth="1"/>
    <col min="2313" max="2313" width="7.7109375" style="847" customWidth="1"/>
    <col min="2314" max="2314" width="1.7109375" style="847" customWidth="1"/>
    <col min="2315" max="2315" width="6.7109375" style="847" customWidth="1"/>
    <col min="2316" max="2316" width="7.7109375" style="847" customWidth="1"/>
    <col min="2317" max="2317" width="1.7109375" style="847" customWidth="1"/>
    <col min="2318" max="2318" width="6.7109375" style="847" customWidth="1"/>
    <col min="2319" max="2319" width="7.7109375" style="847" customWidth="1"/>
    <col min="2320" max="2320" width="1.7109375" style="847" customWidth="1"/>
    <col min="2321" max="2321" width="6.7109375" style="847" customWidth="1"/>
    <col min="2322" max="2322" width="7.7109375" style="847" customWidth="1"/>
    <col min="2323" max="2323" width="1.7109375" style="847" customWidth="1"/>
    <col min="2324" max="2324" width="6.7109375" style="847" customWidth="1"/>
    <col min="2325" max="2325" width="7.7109375" style="847" customWidth="1"/>
    <col min="2326" max="2326" width="1.85546875" style="847" customWidth="1"/>
    <col min="2327" max="2327" width="6.7109375" style="847" customWidth="1"/>
    <col min="2328" max="2328" width="7.7109375" style="847" customWidth="1"/>
    <col min="2329" max="2329" width="2" style="847" customWidth="1"/>
    <col min="2330" max="2560" width="9.140625" style="847"/>
    <col min="2561" max="2561" width="10.42578125" style="847" customWidth="1"/>
    <col min="2562" max="2563" width="7.7109375" style="847" customWidth="1"/>
    <col min="2564" max="2564" width="1.7109375" style="847" customWidth="1"/>
    <col min="2565" max="2566" width="7.7109375" style="847" customWidth="1"/>
    <col min="2567" max="2567" width="1.7109375" style="847" customWidth="1"/>
    <col min="2568" max="2568" width="6.7109375" style="847" customWidth="1"/>
    <col min="2569" max="2569" width="7.7109375" style="847" customWidth="1"/>
    <col min="2570" max="2570" width="1.7109375" style="847" customWidth="1"/>
    <col min="2571" max="2571" width="6.7109375" style="847" customWidth="1"/>
    <col min="2572" max="2572" width="7.7109375" style="847" customWidth="1"/>
    <col min="2573" max="2573" width="1.7109375" style="847" customWidth="1"/>
    <col min="2574" max="2574" width="6.7109375" style="847" customWidth="1"/>
    <col min="2575" max="2575" width="7.7109375" style="847" customWidth="1"/>
    <col min="2576" max="2576" width="1.7109375" style="847" customWidth="1"/>
    <col min="2577" max="2577" width="6.7109375" style="847" customWidth="1"/>
    <col min="2578" max="2578" width="7.7109375" style="847" customWidth="1"/>
    <col min="2579" max="2579" width="1.7109375" style="847" customWidth="1"/>
    <col min="2580" max="2580" width="6.7109375" style="847" customWidth="1"/>
    <col min="2581" max="2581" width="7.7109375" style="847" customWidth="1"/>
    <col min="2582" max="2582" width="1.85546875" style="847" customWidth="1"/>
    <col min="2583" max="2583" width="6.7109375" style="847" customWidth="1"/>
    <col min="2584" max="2584" width="7.7109375" style="847" customWidth="1"/>
    <col min="2585" max="2585" width="2" style="847" customWidth="1"/>
    <col min="2586" max="2816" width="9.140625" style="847"/>
    <col min="2817" max="2817" width="10.42578125" style="847" customWidth="1"/>
    <col min="2818" max="2819" width="7.7109375" style="847" customWidth="1"/>
    <col min="2820" max="2820" width="1.7109375" style="847" customWidth="1"/>
    <col min="2821" max="2822" width="7.7109375" style="847" customWidth="1"/>
    <col min="2823" max="2823" width="1.7109375" style="847" customWidth="1"/>
    <col min="2824" max="2824" width="6.7109375" style="847" customWidth="1"/>
    <col min="2825" max="2825" width="7.7109375" style="847" customWidth="1"/>
    <col min="2826" max="2826" width="1.7109375" style="847" customWidth="1"/>
    <col min="2827" max="2827" width="6.7109375" style="847" customWidth="1"/>
    <col min="2828" max="2828" width="7.7109375" style="847" customWidth="1"/>
    <col min="2829" max="2829" width="1.7109375" style="847" customWidth="1"/>
    <col min="2830" max="2830" width="6.7109375" style="847" customWidth="1"/>
    <col min="2831" max="2831" width="7.7109375" style="847" customWidth="1"/>
    <col min="2832" max="2832" width="1.7109375" style="847" customWidth="1"/>
    <col min="2833" max="2833" width="6.7109375" style="847" customWidth="1"/>
    <col min="2834" max="2834" width="7.7109375" style="847" customWidth="1"/>
    <col min="2835" max="2835" width="1.7109375" style="847" customWidth="1"/>
    <col min="2836" max="2836" width="6.7109375" style="847" customWidth="1"/>
    <col min="2837" max="2837" width="7.7109375" style="847" customWidth="1"/>
    <col min="2838" max="2838" width="1.85546875" style="847" customWidth="1"/>
    <col min="2839" max="2839" width="6.7109375" style="847" customWidth="1"/>
    <col min="2840" max="2840" width="7.7109375" style="847" customWidth="1"/>
    <col min="2841" max="2841" width="2" style="847" customWidth="1"/>
    <col min="2842" max="3072" width="9.140625" style="847"/>
    <col min="3073" max="3073" width="10.42578125" style="847" customWidth="1"/>
    <col min="3074" max="3075" width="7.7109375" style="847" customWidth="1"/>
    <col min="3076" max="3076" width="1.7109375" style="847" customWidth="1"/>
    <col min="3077" max="3078" width="7.7109375" style="847" customWidth="1"/>
    <col min="3079" max="3079" width="1.7109375" style="847" customWidth="1"/>
    <col min="3080" max="3080" width="6.7109375" style="847" customWidth="1"/>
    <col min="3081" max="3081" width="7.7109375" style="847" customWidth="1"/>
    <col min="3082" max="3082" width="1.7109375" style="847" customWidth="1"/>
    <col min="3083" max="3083" width="6.7109375" style="847" customWidth="1"/>
    <col min="3084" max="3084" width="7.7109375" style="847" customWidth="1"/>
    <col min="3085" max="3085" width="1.7109375" style="847" customWidth="1"/>
    <col min="3086" max="3086" width="6.7109375" style="847" customWidth="1"/>
    <col min="3087" max="3087" width="7.7109375" style="847" customWidth="1"/>
    <col min="3088" max="3088" width="1.7109375" style="847" customWidth="1"/>
    <col min="3089" max="3089" width="6.7109375" style="847" customWidth="1"/>
    <col min="3090" max="3090" width="7.7109375" style="847" customWidth="1"/>
    <col min="3091" max="3091" width="1.7109375" style="847" customWidth="1"/>
    <col min="3092" max="3092" width="6.7109375" style="847" customWidth="1"/>
    <col min="3093" max="3093" width="7.7109375" style="847" customWidth="1"/>
    <col min="3094" max="3094" width="1.85546875" style="847" customWidth="1"/>
    <col min="3095" max="3095" width="6.7109375" style="847" customWidth="1"/>
    <col min="3096" max="3096" width="7.7109375" style="847" customWidth="1"/>
    <col min="3097" max="3097" width="2" style="847" customWidth="1"/>
    <col min="3098" max="3328" width="9.140625" style="847"/>
    <col min="3329" max="3329" width="10.42578125" style="847" customWidth="1"/>
    <col min="3330" max="3331" width="7.7109375" style="847" customWidth="1"/>
    <col min="3332" max="3332" width="1.7109375" style="847" customWidth="1"/>
    <col min="3333" max="3334" width="7.7109375" style="847" customWidth="1"/>
    <col min="3335" max="3335" width="1.7109375" style="847" customWidth="1"/>
    <col min="3336" max="3336" width="6.7109375" style="847" customWidth="1"/>
    <col min="3337" max="3337" width="7.7109375" style="847" customWidth="1"/>
    <col min="3338" max="3338" width="1.7109375" style="847" customWidth="1"/>
    <col min="3339" max="3339" width="6.7109375" style="847" customWidth="1"/>
    <col min="3340" max="3340" width="7.7109375" style="847" customWidth="1"/>
    <col min="3341" max="3341" width="1.7109375" style="847" customWidth="1"/>
    <col min="3342" max="3342" width="6.7109375" style="847" customWidth="1"/>
    <col min="3343" max="3343" width="7.7109375" style="847" customWidth="1"/>
    <col min="3344" max="3344" width="1.7109375" style="847" customWidth="1"/>
    <col min="3345" max="3345" width="6.7109375" style="847" customWidth="1"/>
    <col min="3346" max="3346" width="7.7109375" style="847" customWidth="1"/>
    <col min="3347" max="3347" width="1.7109375" style="847" customWidth="1"/>
    <col min="3348" max="3348" width="6.7109375" style="847" customWidth="1"/>
    <col min="3349" max="3349" width="7.7109375" style="847" customWidth="1"/>
    <col min="3350" max="3350" width="1.85546875" style="847" customWidth="1"/>
    <col min="3351" max="3351" width="6.7109375" style="847" customWidth="1"/>
    <col min="3352" max="3352" width="7.7109375" style="847" customWidth="1"/>
    <col min="3353" max="3353" width="2" style="847" customWidth="1"/>
    <col min="3354" max="3584" width="9.140625" style="847"/>
    <col min="3585" max="3585" width="10.42578125" style="847" customWidth="1"/>
    <col min="3586" max="3587" width="7.7109375" style="847" customWidth="1"/>
    <col min="3588" max="3588" width="1.7109375" style="847" customWidth="1"/>
    <col min="3589" max="3590" width="7.7109375" style="847" customWidth="1"/>
    <col min="3591" max="3591" width="1.7109375" style="847" customWidth="1"/>
    <col min="3592" max="3592" width="6.7109375" style="847" customWidth="1"/>
    <col min="3593" max="3593" width="7.7109375" style="847" customWidth="1"/>
    <col min="3594" max="3594" width="1.7109375" style="847" customWidth="1"/>
    <col min="3595" max="3595" width="6.7109375" style="847" customWidth="1"/>
    <col min="3596" max="3596" width="7.7109375" style="847" customWidth="1"/>
    <col min="3597" max="3597" width="1.7109375" style="847" customWidth="1"/>
    <col min="3598" max="3598" width="6.7109375" style="847" customWidth="1"/>
    <col min="3599" max="3599" width="7.7109375" style="847" customWidth="1"/>
    <col min="3600" max="3600" width="1.7109375" style="847" customWidth="1"/>
    <col min="3601" max="3601" width="6.7109375" style="847" customWidth="1"/>
    <col min="3602" max="3602" width="7.7109375" style="847" customWidth="1"/>
    <col min="3603" max="3603" width="1.7109375" style="847" customWidth="1"/>
    <col min="3604" max="3604" width="6.7109375" style="847" customWidth="1"/>
    <col min="3605" max="3605" width="7.7109375" style="847" customWidth="1"/>
    <col min="3606" max="3606" width="1.85546875" style="847" customWidth="1"/>
    <col min="3607" max="3607" width="6.7109375" style="847" customWidth="1"/>
    <col min="3608" max="3608" width="7.7109375" style="847" customWidth="1"/>
    <col min="3609" max="3609" width="2" style="847" customWidth="1"/>
    <col min="3610" max="3840" width="9.140625" style="847"/>
    <col min="3841" max="3841" width="10.42578125" style="847" customWidth="1"/>
    <col min="3842" max="3843" width="7.7109375" style="847" customWidth="1"/>
    <col min="3844" max="3844" width="1.7109375" style="847" customWidth="1"/>
    <col min="3845" max="3846" width="7.7109375" style="847" customWidth="1"/>
    <col min="3847" max="3847" width="1.7109375" style="847" customWidth="1"/>
    <col min="3848" max="3848" width="6.7109375" style="847" customWidth="1"/>
    <col min="3849" max="3849" width="7.7109375" style="847" customWidth="1"/>
    <col min="3850" max="3850" width="1.7109375" style="847" customWidth="1"/>
    <col min="3851" max="3851" width="6.7109375" style="847" customWidth="1"/>
    <col min="3852" max="3852" width="7.7109375" style="847" customWidth="1"/>
    <col min="3853" max="3853" width="1.7109375" style="847" customWidth="1"/>
    <col min="3854" max="3854" width="6.7109375" style="847" customWidth="1"/>
    <col min="3855" max="3855" width="7.7109375" style="847" customWidth="1"/>
    <col min="3856" max="3856" width="1.7109375" style="847" customWidth="1"/>
    <col min="3857" max="3857" width="6.7109375" style="847" customWidth="1"/>
    <col min="3858" max="3858" width="7.7109375" style="847" customWidth="1"/>
    <col min="3859" max="3859" width="1.7109375" style="847" customWidth="1"/>
    <col min="3860" max="3860" width="6.7109375" style="847" customWidth="1"/>
    <col min="3861" max="3861" width="7.7109375" style="847" customWidth="1"/>
    <col min="3862" max="3862" width="1.85546875" style="847" customWidth="1"/>
    <col min="3863" max="3863" width="6.7109375" style="847" customWidth="1"/>
    <col min="3864" max="3864" width="7.7109375" style="847" customWidth="1"/>
    <col min="3865" max="3865" width="2" style="847" customWidth="1"/>
    <col min="3866" max="4096" width="9.140625" style="847"/>
    <col min="4097" max="4097" width="10.42578125" style="847" customWidth="1"/>
    <col min="4098" max="4099" width="7.7109375" style="847" customWidth="1"/>
    <col min="4100" max="4100" width="1.7109375" style="847" customWidth="1"/>
    <col min="4101" max="4102" width="7.7109375" style="847" customWidth="1"/>
    <col min="4103" max="4103" width="1.7109375" style="847" customWidth="1"/>
    <col min="4104" max="4104" width="6.7109375" style="847" customWidth="1"/>
    <col min="4105" max="4105" width="7.7109375" style="847" customWidth="1"/>
    <col min="4106" max="4106" width="1.7109375" style="847" customWidth="1"/>
    <col min="4107" max="4107" width="6.7109375" style="847" customWidth="1"/>
    <col min="4108" max="4108" width="7.7109375" style="847" customWidth="1"/>
    <col min="4109" max="4109" width="1.7109375" style="847" customWidth="1"/>
    <col min="4110" max="4110" width="6.7109375" style="847" customWidth="1"/>
    <col min="4111" max="4111" width="7.7109375" style="847" customWidth="1"/>
    <col min="4112" max="4112" width="1.7109375" style="847" customWidth="1"/>
    <col min="4113" max="4113" width="6.7109375" style="847" customWidth="1"/>
    <col min="4114" max="4114" width="7.7109375" style="847" customWidth="1"/>
    <col min="4115" max="4115" width="1.7109375" style="847" customWidth="1"/>
    <col min="4116" max="4116" width="6.7109375" style="847" customWidth="1"/>
    <col min="4117" max="4117" width="7.7109375" style="847" customWidth="1"/>
    <col min="4118" max="4118" width="1.85546875" style="847" customWidth="1"/>
    <col min="4119" max="4119" width="6.7109375" style="847" customWidth="1"/>
    <col min="4120" max="4120" width="7.7109375" style="847" customWidth="1"/>
    <col min="4121" max="4121" width="2" style="847" customWidth="1"/>
    <col min="4122" max="4352" width="9.140625" style="847"/>
    <col min="4353" max="4353" width="10.42578125" style="847" customWidth="1"/>
    <col min="4354" max="4355" width="7.7109375" style="847" customWidth="1"/>
    <col min="4356" max="4356" width="1.7109375" style="847" customWidth="1"/>
    <col min="4357" max="4358" width="7.7109375" style="847" customWidth="1"/>
    <col min="4359" max="4359" width="1.7109375" style="847" customWidth="1"/>
    <col min="4360" max="4360" width="6.7109375" style="847" customWidth="1"/>
    <col min="4361" max="4361" width="7.7109375" style="847" customWidth="1"/>
    <col min="4362" max="4362" width="1.7109375" style="847" customWidth="1"/>
    <col min="4363" max="4363" width="6.7109375" style="847" customWidth="1"/>
    <col min="4364" max="4364" width="7.7109375" style="847" customWidth="1"/>
    <col min="4365" max="4365" width="1.7109375" style="847" customWidth="1"/>
    <col min="4366" max="4366" width="6.7109375" style="847" customWidth="1"/>
    <col min="4367" max="4367" width="7.7109375" style="847" customWidth="1"/>
    <col min="4368" max="4368" width="1.7109375" style="847" customWidth="1"/>
    <col min="4369" max="4369" width="6.7109375" style="847" customWidth="1"/>
    <col min="4370" max="4370" width="7.7109375" style="847" customWidth="1"/>
    <col min="4371" max="4371" width="1.7109375" style="847" customWidth="1"/>
    <col min="4372" max="4372" width="6.7109375" style="847" customWidth="1"/>
    <col min="4373" max="4373" width="7.7109375" style="847" customWidth="1"/>
    <col min="4374" max="4374" width="1.85546875" style="847" customWidth="1"/>
    <col min="4375" max="4375" width="6.7109375" style="847" customWidth="1"/>
    <col min="4376" max="4376" width="7.7109375" style="847" customWidth="1"/>
    <col min="4377" max="4377" width="2" style="847" customWidth="1"/>
    <col min="4378" max="4608" width="9.140625" style="847"/>
    <col min="4609" max="4609" width="10.42578125" style="847" customWidth="1"/>
    <col min="4610" max="4611" width="7.7109375" style="847" customWidth="1"/>
    <col min="4612" max="4612" width="1.7109375" style="847" customWidth="1"/>
    <col min="4613" max="4614" width="7.7109375" style="847" customWidth="1"/>
    <col min="4615" max="4615" width="1.7109375" style="847" customWidth="1"/>
    <col min="4616" max="4616" width="6.7109375" style="847" customWidth="1"/>
    <col min="4617" max="4617" width="7.7109375" style="847" customWidth="1"/>
    <col min="4618" max="4618" width="1.7109375" style="847" customWidth="1"/>
    <col min="4619" max="4619" width="6.7109375" style="847" customWidth="1"/>
    <col min="4620" max="4620" width="7.7109375" style="847" customWidth="1"/>
    <col min="4621" max="4621" width="1.7109375" style="847" customWidth="1"/>
    <col min="4622" max="4622" width="6.7109375" style="847" customWidth="1"/>
    <col min="4623" max="4623" width="7.7109375" style="847" customWidth="1"/>
    <col min="4624" max="4624" width="1.7109375" style="847" customWidth="1"/>
    <col min="4625" max="4625" width="6.7109375" style="847" customWidth="1"/>
    <col min="4626" max="4626" width="7.7109375" style="847" customWidth="1"/>
    <col min="4627" max="4627" width="1.7109375" style="847" customWidth="1"/>
    <col min="4628" max="4628" width="6.7109375" style="847" customWidth="1"/>
    <col min="4629" max="4629" width="7.7109375" style="847" customWidth="1"/>
    <col min="4630" max="4630" width="1.85546875" style="847" customWidth="1"/>
    <col min="4631" max="4631" width="6.7109375" style="847" customWidth="1"/>
    <col min="4632" max="4632" width="7.7109375" style="847" customWidth="1"/>
    <col min="4633" max="4633" width="2" style="847" customWidth="1"/>
    <col min="4634" max="4864" width="9.140625" style="847"/>
    <col min="4865" max="4865" width="10.42578125" style="847" customWidth="1"/>
    <col min="4866" max="4867" width="7.7109375" style="847" customWidth="1"/>
    <col min="4868" max="4868" width="1.7109375" style="847" customWidth="1"/>
    <col min="4869" max="4870" width="7.7109375" style="847" customWidth="1"/>
    <col min="4871" max="4871" width="1.7109375" style="847" customWidth="1"/>
    <col min="4872" max="4872" width="6.7109375" style="847" customWidth="1"/>
    <col min="4873" max="4873" width="7.7109375" style="847" customWidth="1"/>
    <col min="4874" max="4874" width="1.7109375" style="847" customWidth="1"/>
    <col min="4875" max="4875" width="6.7109375" style="847" customWidth="1"/>
    <col min="4876" max="4876" width="7.7109375" style="847" customWidth="1"/>
    <col min="4877" max="4877" width="1.7109375" style="847" customWidth="1"/>
    <col min="4878" max="4878" width="6.7109375" style="847" customWidth="1"/>
    <col min="4879" max="4879" width="7.7109375" style="847" customWidth="1"/>
    <col min="4880" max="4880" width="1.7109375" style="847" customWidth="1"/>
    <col min="4881" max="4881" width="6.7109375" style="847" customWidth="1"/>
    <col min="4882" max="4882" width="7.7109375" style="847" customWidth="1"/>
    <col min="4883" max="4883" width="1.7109375" style="847" customWidth="1"/>
    <col min="4884" max="4884" width="6.7109375" style="847" customWidth="1"/>
    <col min="4885" max="4885" width="7.7109375" style="847" customWidth="1"/>
    <col min="4886" max="4886" width="1.85546875" style="847" customWidth="1"/>
    <col min="4887" max="4887" width="6.7109375" style="847" customWidth="1"/>
    <col min="4888" max="4888" width="7.7109375" style="847" customWidth="1"/>
    <col min="4889" max="4889" width="2" style="847" customWidth="1"/>
    <col min="4890" max="5120" width="9.140625" style="847"/>
    <col min="5121" max="5121" width="10.42578125" style="847" customWidth="1"/>
    <col min="5122" max="5123" width="7.7109375" style="847" customWidth="1"/>
    <col min="5124" max="5124" width="1.7109375" style="847" customWidth="1"/>
    <col min="5125" max="5126" width="7.7109375" style="847" customWidth="1"/>
    <col min="5127" max="5127" width="1.7109375" style="847" customWidth="1"/>
    <col min="5128" max="5128" width="6.7109375" style="847" customWidth="1"/>
    <col min="5129" max="5129" width="7.7109375" style="847" customWidth="1"/>
    <col min="5130" max="5130" width="1.7109375" style="847" customWidth="1"/>
    <col min="5131" max="5131" width="6.7109375" style="847" customWidth="1"/>
    <col min="5132" max="5132" width="7.7109375" style="847" customWidth="1"/>
    <col min="5133" max="5133" width="1.7109375" style="847" customWidth="1"/>
    <col min="5134" max="5134" width="6.7109375" style="847" customWidth="1"/>
    <col min="5135" max="5135" width="7.7109375" style="847" customWidth="1"/>
    <col min="5136" max="5136" width="1.7109375" style="847" customWidth="1"/>
    <col min="5137" max="5137" width="6.7109375" style="847" customWidth="1"/>
    <col min="5138" max="5138" width="7.7109375" style="847" customWidth="1"/>
    <col min="5139" max="5139" width="1.7109375" style="847" customWidth="1"/>
    <col min="5140" max="5140" width="6.7109375" style="847" customWidth="1"/>
    <col min="5141" max="5141" width="7.7109375" style="847" customWidth="1"/>
    <col min="5142" max="5142" width="1.85546875" style="847" customWidth="1"/>
    <col min="5143" max="5143" width="6.7109375" style="847" customWidth="1"/>
    <col min="5144" max="5144" width="7.7109375" style="847" customWidth="1"/>
    <col min="5145" max="5145" width="2" style="847" customWidth="1"/>
    <col min="5146" max="5376" width="9.140625" style="847"/>
    <col min="5377" max="5377" width="10.42578125" style="847" customWidth="1"/>
    <col min="5378" max="5379" width="7.7109375" style="847" customWidth="1"/>
    <col min="5380" max="5380" width="1.7109375" style="847" customWidth="1"/>
    <col min="5381" max="5382" width="7.7109375" style="847" customWidth="1"/>
    <col min="5383" max="5383" width="1.7109375" style="847" customWidth="1"/>
    <col min="5384" max="5384" width="6.7109375" style="847" customWidth="1"/>
    <col min="5385" max="5385" width="7.7109375" style="847" customWidth="1"/>
    <col min="5386" max="5386" width="1.7109375" style="847" customWidth="1"/>
    <col min="5387" max="5387" width="6.7109375" style="847" customWidth="1"/>
    <col min="5388" max="5388" width="7.7109375" style="847" customWidth="1"/>
    <col min="5389" max="5389" width="1.7109375" style="847" customWidth="1"/>
    <col min="5390" max="5390" width="6.7109375" style="847" customWidth="1"/>
    <col min="5391" max="5391" width="7.7109375" style="847" customWidth="1"/>
    <col min="5392" max="5392" width="1.7109375" style="847" customWidth="1"/>
    <col min="5393" max="5393" width="6.7109375" style="847" customWidth="1"/>
    <col min="5394" max="5394" width="7.7109375" style="847" customWidth="1"/>
    <col min="5395" max="5395" width="1.7109375" style="847" customWidth="1"/>
    <col min="5396" max="5396" width="6.7109375" style="847" customWidth="1"/>
    <col min="5397" max="5397" width="7.7109375" style="847" customWidth="1"/>
    <col min="5398" max="5398" width="1.85546875" style="847" customWidth="1"/>
    <col min="5399" max="5399" width="6.7109375" style="847" customWidth="1"/>
    <col min="5400" max="5400" width="7.7109375" style="847" customWidth="1"/>
    <col min="5401" max="5401" width="2" style="847" customWidth="1"/>
    <col min="5402" max="5632" width="9.140625" style="847"/>
    <col min="5633" max="5633" width="10.42578125" style="847" customWidth="1"/>
    <col min="5634" max="5635" width="7.7109375" style="847" customWidth="1"/>
    <col min="5636" max="5636" width="1.7109375" style="847" customWidth="1"/>
    <col min="5637" max="5638" width="7.7109375" style="847" customWidth="1"/>
    <col min="5639" max="5639" width="1.7109375" style="847" customWidth="1"/>
    <col min="5640" max="5640" width="6.7109375" style="847" customWidth="1"/>
    <col min="5641" max="5641" width="7.7109375" style="847" customWidth="1"/>
    <col min="5642" max="5642" width="1.7109375" style="847" customWidth="1"/>
    <col min="5643" max="5643" width="6.7109375" style="847" customWidth="1"/>
    <col min="5644" max="5644" width="7.7109375" style="847" customWidth="1"/>
    <col min="5645" max="5645" width="1.7109375" style="847" customWidth="1"/>
    <col min="5646" max="5646" width="6.7109375" style="847" customWidth="1"/>
    <col min="5647" max="5647" width="7.7109375" style="847" customWidth="1"/>
    <col min="5648" max="5648" width="1.7109375" style="847" customWidth="1"/>
    <col min="5649" max="5649" width="6.7109375" style="847" customWidth="1"/>
    <col min="5650" max="5650" width="7.7109375" style="847" customWidth="1"/>
    <col min="5651" max="5651" width="1.7109375" style="847" customWidth="1"/>
    <col min="5652" max="5652" width="6.7109375" style="847" customWidth="1"/>
    <col min="5653" max="5653" width="7.7109375" style="847" customWidth="1"/>
    <col min="5654" max="5654" width="1.85546875" style="847" customWidth="1"/>
    <col min="5655" max="5655" width="6.7109375" style="847" customWidth="1"/>
    <col min="5656" max="5656" width="7.7109375" style="847" customWidth="1"/>
    <col min="5657" max="5657" width="2" style="847" customWidth="1"/>
    <col min="5658" max="5888" width="9.140625" style="847"/>
    <col min="5889" max="5889" width="10.42578125" style="847" customWidth="1"/>
    <col min="5890" max="5891" width="7.7109375" style="847" customWidth="1"/>
    <col min="5892" max="5892" width="1.7109375" style="847" customWidth="1"/>
    <col min="5893" max="5894" width="7.7109375" style="847" customWidth="1"/>
    <col min="5895" max="5895" width="1.7109375" style="847" customWidth="1"/>
    <col min="5896" max="5896" width="6.7109375" style="847" customWidth="1"/>
    <col min="5897" max="5897" width="7.7109375" style="847" customWidth="1"/>
    <col min="5898" max="5898" width="1.7109375" style="847" customWidth="1"/>
    <col min="5899" max="5899" width="6.7109375" style="847" customWidth="1"/>
    <col min="5900" max="5900" width="7.7109375" style="847" customWidth="1"/>
    <col min="5901" max="5901" width="1.7109375" style="847" customWidth="1"/>
    <col min="5902" max="5902" width="6.7109375" style="847" customWidth="1"/>
    <col min="5903" max="5903" width="7.7109375" style="847" customWidth="1"/>
    <col min="5904" max="5904" width="1.7109375" style="847" customWidth="1"/>
    <col min="5905" max="5905" width="6.7109375" style="847" customWidth="1"/>
    <col min="5906" max="5906" width="7.7109375" style="847" customWidth="1"/>
    <col min="5907" max="5907" width="1.7109375" style="847" customWidth="1"/>
    <col min="5908" max="5908" width="6.7109375" style="847" customWidth="1"/>
    <col min="5909" max="5909" width="7.7109375" style="847" customWidth="1"/>
    <col min="5910" max="5910" width="1.85546875" style="847" customWidth="1"/>
    <col min="5911" max="5911" width="6.7109375" style="847" customWidth="1"/>
    <col min="5912" max="5912" width="7.7109375" style="847" customWidth="1"/>
    <col min="5913" max="5913" width="2" style="847" customWidth="1"/>
    <col min="5914" max="6144" width="9.140625" style="847"/>
    <col min="6145" max="6145" width="10.42578125" style="847" customWidth="1"/>
    <col min="6146" max="6147" width="7.7109375" style="847" customWidth="1"/>
    <col min="6148" max="6148" width="1.7109375" style="847" customWidth="1"/>
    <col min="6149" max="6150" width="7.7109375" style="847" customWidth="1"/>
    <col min="6151" max="6151" width="1.7109375" style="847" customWidth="1"/>
    <col min="6152" max="6152" width="6.7109375" style="847" customWidth="1"/>
    <col min="6153" max="6153" width="7.7109375" style="847" customWidth="1"/>
    <col min="6154" max="6154" width="1.7109375" style="847" customWidth="1"/>
    <col min="6155" max="6155" width="6.7109375" style="847" customWidth="1"/>
    <col min="6156" max="6156" width="7.7109375" style="847" customWidth="1"/>
    <col min="6157" max="6157" width="1.7109375" style="847" customWidth="1"/>
    <col min="6158" max="6158" width="6.7109375" style="847" customWidth="1"/>
    <col min="6159" max="6159" width="7.7109375" style="847" customWidth="1"/>
    <col min="6160" max="6160" width="1.7109375" style="847" customWidth="1"/>
    <col min="6161" max="6161" width="6.7109375" style="847" customWidth="1"/>
    <col min="6162" max="6162" width="7.7109375" style="847" customWidth="1"/>
    <col min="6163" max="6163" width="1.7109375" style="847" customWidth="1"/>
    <col min="6164" max="6164" width="6.7109375" style="847" customWidth="1"/>
    <col min="6165" max="6165" width="7.7109375" style="847" customWidth="1"/>
    <col min="6166" max="6166" width="1.85546875" style="847" customWidth="1"/>
    <col min="6167" max="6167" width="6.7109375" style="847" customWidth="1"/>
    <col min="6168" max="6168" width="7.7109375" style="847" customWidth="1"/>
    <col min="6169" max="6169" width="2" style="847" customWidth="1"/>
    <col min="6170" max="6400" width="9.140625" style="847"/>
    <col min="6401" max="6401" width="10.42578125" style="847" customWidth="1"/>
    <col min="6402" max="6403" width="7.7109375" style="847" customWidth="1"/>
    <col min="6404" max="6404" width="1.7109375" style="847" customWidth="1"/>
    <col min="6405" max="6406" width="7.7109375" style="847" customWidth="1"/>
    <col min="6407" max="6407" width="1.7109375" style="847" customWidth="1"/>
    <col min="6408" max="6408" width="6.7109375" style="847" customWidth="1"/>
    <col min="6409" max="6409" width="7.7109375" style="847" customWidth="1"/>
    <col min="6410" max="6410" width="1.7109375" style="847" customWidth="1"/>
    <col min="6411" max="6411" width="6.7109375" style="847" customWidth="1"/>
    <col min="6412" max="6412" width="7.7109375" style="847" customWidth="1"/>
    <col min="6413" max="6413" width="1.7109375" style="847" customWidth="1"/>
    <col min="6414" max="6414" width="6.7109375" style="847" customWidth="1"/>
    <col min="6415" max="6415" width="7.7109375" style="847" customWidth="1"/>
    <col min="6416" max="6416" width="1.7109375" style="847" customWidth="1"/>
    <col min="6417" max="6417" width="6.7109375" style="847" customWidth="1"/>
    <col min="6418" max="6418" width="7.7109375" style="847" customWidth="1"/>
    <col min="6419" max="6419" width="1.7109375" style="847" customWidth="1"/>
    <col min="6420" max="6420" width="6.7109375" style="847" customWidth="1"/>
    <col min="6421" max="6421" width="7.7109375" style="847" customWidth="1"/>
    <col min="6422" max="6422" width="1.85546875" style="847" customWidth="1"/>
    <col min="6423" max="6423" width="6.7109375" style="847" customWidth="1"/>
    <col min="6424" max="6424" width="7.7109375" style="847" customWidth="1"/>
    <col min="6425" max="6425" width="2" style="847" customWidth="1"/>
    <col min="6426" max="6656" width="9.140625" style="847"/>
    <col min="6657" max="6657" width="10.42578125" style="847" customWidth="1"/>
    <col min="6658" max="6659" width="7.7109375" style="847" customWidth="1"/>
    <col min="6660" max="6660" width="1.7109375" style="847" customWidth="1"/>
    <col min="6661" max="6662" width="7.7109375" style="847" customWidth="1"/>
    <col min="6663" max="6663" width="1.7109375" style="847" customWidth="1"/>
    <col min="6664" max="6664" width="6.7109375" style="847" customWidth="1"/>
    <col min="6665" max="6665" width="7.7109375" style="847" customWidth="1"/>
    <col min="6666" max="6666" width="1.7109375" style="847" customWidth="1"/>
    <col min="6667" max="6667" width="6.7109375" style="847" customWidth="1"/>
    <col min="6668" max="6668" width="7.7109375" style="847" customWidth="1"/>
    <col min="6669" max="6669" width="1.7109375" style="847" customWidth="1"/>
    <col min="6670" max="6670" width="6.7109375" style="847" customWidth="1"/>
    <col min="6671" max="6671" width="7.7109375" style="847" customWidth="1"/>
    <col min="6672" max="6672" width="1.7109375" style="847" customWidth="1"/>
    <col min="6673" max="6673" width="6.7109375" style="847" customWidth="1"/>
    <col min="6674" max="6674" width="7.7109375" style="847" customWidth="1"/>
    <col min="6675" max="6675" width="1.7109375" style="847" customWidth="1"/>
    <col min="6676" max="6676" width="6.7109375" style="847" customWidth="1"/>
    <col min="6677" max="6677" width="7.7109375" style="847" customWidth="1"/>
    <col min="6678" max="6678" width="1.85546875" style="847" customWidth="1"/>
    <col min="6679" max="6679" width="6.7109375" style="847" customWidth="1"/>
    <col min="6680" max="6680" width="7.7109375" style="847" customWidth="1"/>
    <col min="6681" max="6681" width="2" style="847" customWidth="1"/>
    <col min="6682" max="6912" width="9.140625" style="847"/>
    <col min="6913" max="6913" width="10.42578125" style="847" customWidth="1"/>
    <col min="6914" max="6915" width="7.7109375" style="847" customWidth="1"/>
    <col min="6916" max="6916" width="1.7109375" style="847" customWidth="1"/>
    <col min="6917" max="6918" width="7.7109375" style="847" customWidth="1"/>
    <col min="6919" max="6919" width="1.7109375" style="847" customWidth="1"/>
    <col min="6920" max="6920" width="6.7109375" style="847" customWidth="1"/>
    <col min="6921" max="6921" width="7.7109375" style="847" customWidth="1"/>
    <col min="6922" max="6922" width="1.7109375" style="847" customWidth="1"/>
    <col min="6923" max="6923" width="6.7109375" style="847" customWidth="1"/>
    <col min="6924" max="6924" width="7.7109375" style="847" customWidth="1"/>
    <col min="6925" max="6925" width="1.7109375" style="847" customWidth="1"/>
    <col min="6926" max="6926" width="6.7109375" style="847" customWidth="1"/>
    <col min="6927" max="6927" width="7.7109375" style="847" customWidth="1"/>
    <col min="6928" max="6928" width="1.7109375" style="847" customWidth="1"/>
    <col min="6929" max="6929" width="6.7109375" style="847" customWidth="1"/>
    <col min="6930" max="6930" width="7.7109375" style="847" customWidth="1"/>
    <col min="6931" max="6931" width="1.7109375" style="847" customWidth="1"/>
    <col min="6932" max="6932" width="6.7109375" style="847" customWidth="1"/>
    <col min="6933" max="6933" width="7.7109375" style="847" customWidth="1"/>
    <col min="6934" max="6934" width="1.85546875" style="847" customWidth="1"/>
    <col min="6935" max="6935" width="6.7109375" style="847" customWidth="1"/>
    <col min="6936" max="6936" width="7.7109375" style="847" customWidth="1"/>
    <col min="6937" max="6937" width="2" style="847" customWidth="1"/>
    <col min="6938" max="7168" width="9.140625" style="847"/>
    <col min="7169" max="7169" width="10.42578125" style="847" customWidth="1"/>
    <col min="7170" max="7171" width="7.7109375" style="847" customWidth="1"/>
    <col min="7172" max="7172" width="1.7109375" style="847" customWidth="1"/>
    <col min="7173" max="7174" width="7.7109375" style="847" customWidth="1"/>
    <col min="7175" max="7175" width="1.7109375" style="847" customWidth="1"/>
    <col min="7176" max="7176" width="6.7109375" style="847" customWidth="1"/>
    <col min="7177" max="7177" width="7.7109375" style="847" customWidth="1"/>
    <col min="7178" max="7178" width="1.7109375" style="847" customWidth="1"/>
    <col min="7179" max="7179" width="6.7109375" style="847" customWidth="1"/>
    <col min="7180" max="7180" width="7.7109375" style="847" customWidth="1"/>
    <col min="7181" max="7181" width="1.7109375" style="847" customWidth="1"/>
    <col min="7182" max="7182" width="6.7109375" style="847" customWidth="1"/>
    <col min="7183" max="7183" width="7.7109375" style="847" customWidth="1"/>
    <col min="7184" max="7184" width="1.7109375" style="847" customWidth="1"/>
    <col min="7185" max="7185" width="6.7109375" style="847" customWidth="1"/>
    <col min="7186" max="7186" width="7.7109375" style="847" customWidth="1"/>
    <col min="7187" max="7187" width="1.7109375" style="847" customWidth="1"/>
    <col min="7188" max="7188" width="6.7109375" style="847" customWidth="1"/>
    <col min="7189" max="7189" width="7.7109375" style="847" customWidth="1"/>
    <col min="7190" max="7190" width="1.85546875" style="847" customWidth="1"/>
    <col min="7191" max="7191" width="6.7109375" style="847" customWidth="1"/>
    <col min="7192" max="7192" width="7.7109375" style="847" customWidth="1"/>
    <col min="7193" max="7193" width="2" style="847" customWidth="1"/>
    <col min="7194" max="7424" width="9.140625" style="847"/>
    <col min="7425" max="7425" width="10.42578125" style="847" customWidth="1"/>
    <col min="7426" max="7427" width="7.7109375" style="847" customWidth="1"/>
    <col min="7428" max="7428" width="1.7109375" style="847" customWidth="1"/>
    <col min="7429" max="7430" width="7.7109375" style="847" customWidth="1"/>
    <col min="7431" max="7431" width="1.7109375" style="847" customWidth="1"/>
    <col min="7432" max="7432" width="6.7109375" style="847" customWidth="1"/>
    <col min="7433" max="7433" width="7.7109375" style="847" customWidth="1"/>
    <col min="7434" max="7434" width="1.7109375" style="847" customWidth="1"/>
    <col min="7435" max="7435" width="6.7109375" style="847" customWidth="1"/>
    <col min="7436" max="7436" width="7.7109375" style="847" customWidth="1"/>
    <col min="7437" max="7437" width="1.7109375" style="847" customWidth="1"/>
    <col min="7438" max="7438" width="6.7109375" style="847" customWidth="1"/>
    <col min="7439" max="7439" width="7.7109375" style="847" customWidth="1"/>
    <col min="7440" max="7440" width="1.7109375" style="847" customWidth="1"/>
    <col min="7441" max="7441" width="6.7109375" style="847" customWidth="1"/>
    <col min="7442" max="7442" width="7.7109375" style="847" customWidth="1"/>
    <col min="7443" max="7443" width="1.7109375" style="847" customWidth="1"/>
    <col min="7444" max="7444" width="6.7109375" style="847" customWidth="1"/>
    <col min="7445" max="7445" width="7.7109375" style="847" customWidth="1"/>
    <col min="7446" max="7446" width="1.85546875" style="847" customWidth="1"/>
    <col min="7447" max="7447" width="6.7109375" style="847" customWidth="1"/>
    <col min="7448" max="7448" width="7.7109375" style="847" customWidth="1"/>
    <col min="7449" max="7449" width="2" style="847" customWidth="1"/>
    <col min="7450" max="7680" width="9.140625" style="847"/>
    <col min="7681" max="7681" width="10.42578125" style="847" customWidth="1"/>
    <col min="7682" max="7683" width="7.7109375" style="847" customWidth="1"/>
    <col min="7684" max="7684" width="1.7109375" style="847" customWidth="1"/>
    <col min="7685" max="7686" width="7.7109375" style="847" customWidth="1"/>
    <col min="7687" max="7687" width="1.7109375" style="847" customWidth="1"/>
    <col min="7688" max="7688" width="6.7109375" style="847" customWidth="1"/>
    <col min="7689" max="7689" width="7.7109375" style="847" customWidth="1"/>
    <col min="7690" max="7690" width="1.7109375" style="847" customWidth="1"/>
    <col min="7691" max="7691" width="6.7109375" style="847" customWidth="1"/>
    <col min="7692" max="7692" width="7.7109375" style="847" customWidth="1"/>
    <col min="7693" max="7693" width="1.7109375" style="847" customWidth="1"/>
    <col min="7694" max="7694" width="6.7109375" style="847" customWidth="1"/>
    <col min="7695" max="7695" width="7.7109375" style="847" customWidth="1"/>
    <col min="7696" max="7696" width="1.7109375" style="847" customWidth="1"/>
    <col min="7697" max="7697" width="6.7109375" style="847" customWidth="1"/>
    <col min="7698" max="7698" width="7.7109375" style="847" customWidth="1"/>
    <col min="7699" max="7699" width="1.7109375" style="847" customWidth="1"/>
    <col min="7700" max="7700" width="6.7109375" style="847" customWidth="1"/>
    <col min="7701" max="7701" width="7.7109375" style="847" customWidth="1"/>
    <col min="7702" max="7702" width="1.85546875" style="847" customWidth="1"/>
    <col min="7703" max="7703" width="6.7109375" style="847" customWidth="1"/>
    <col min="7704" max="7704" width="7.7109375" style="847" customWidth="1"/>
    <col min="7705" max="7705" width="2" style="847" customWidth="1"/>
    <col min="7706" max="7936" width="9.140625" style="847"/>
    <col min="7937" max="7937" width="10.42578125" style="847" customWidth="1"/>
    <col min="7938" max="7939" width="7.7109375" style="847" customWidth="1"/>
    <col min="7940" max="7940" width="1.7109375" style="847" customWidth="1"/>
    <col min="7941" max="7942" width="7.7109375" style="847" customWidth="1"/>
    <col min="7943" max="7943" width="1.7109375" style="847" customWidth="1"/>
    <col min="7944" max="7944" width="6.7109375" style="847" customWidth="1"/>
    <col min="7945" max="7945" width="7.7109375" style="847" customWidth="1"/>
    <col min="7946" max="7946" width="1.7109375" style="847" customWidth="1"/>
    <col min="7947" max="7947" width="6.7109375" style="847" customWidth="1"/>
    <col min="7948" max="7948" width="7.7109375" style="847" customWidth="1"/>
    <col min="7949" max="7949" width="1.7109375" style="847" customWidth="1"/>
    <col min="7950" max="7950" width="6.7109375" style="847" customWidth="1"/>
    <col min="7951" max="7951" width="7.7109375" style="847" customWidth="1"/>
    <col min="7952" max="7952" width="1.7109375" style="847" customWidth="1"/>
    <col min="7953" max="7953" width="6.7109375" style="847" customWidth="1"/>
    <col min="7954" max="7954" width="7.7109375" style="847" customWidth="1"/>
    <col min="7955" max="7955" width="1.7109375" style="847" customWidth="1"/>
    <col min="7956" max="7956" width="6.7109375" style="847" customWidth="1"/>
    <col min="7957" max="7957" width="7.7109375" style="847" customWidth="1"/>
    <col min="7958" max="7958" width="1.85546875" style="847" customWidth="1"/>
    <col min="7959" max="7959" width="6.7109375" style="847" customWidth="1"/>
    <col min="7960" max="7960" width="7.7109375" style="847" customWidth="1"/>
    <col min="7961" max="7961" width="2" style="847" customWidth="1"/>
    <col min="7962" max="8192" width="9.140625" style="847"/>
    <col min="8193" max="8193" width="10.42578125" style="847" customWidth="1"/>
    <col min="8194" max="8195" width="7.7109375" style="847" customWidth="1"/>
    <col min="8196" max="8196" width="1.7109375" style="847" customWidth="1"/>
    <col min="8197" max="8198" width="7.7109375" style="847" customWidth="1"/>
    <col min="8199" max="8199" width="1.7109375" style="847" customWidth="1"/>
    <col min="8200" max="8200" width="6.7109375" style="847" customWidth="1"/>
    <col min="8201" max="8201" width="7.7109375" style="847" customWidth="1"/>
    <col min="8202" max="8202" width="1.7109375" style="847" customWidth="1"/>
    <col min="8203" max="8203" width="6.7109375" style="847" customWidth="1"/>
    <col min="8204" max="8204" width="7.7109375" style="847" customWidth="1"/>
    <col min="8205" max="8205" width="1.7109375" style="847" customWidth="1"/>
    <col min="8206" max="8206" width="6.7109375" style="847" customWidth="1"/>
    <col min="8207" max="8207" width="7.7109375" style="847" customWidth="1"/>
    <col min="8208" max="8208" width="1.7109375" style="847" customWidth="1"/>
    <col min="8209" max="8209" width="6.7109375" style="847" customWidth="1"/>
    <col min="8210" max="8210" width="7.7109375" style="847" customWidth="1"/>
    <col min="8211" max="8211" width="1.7109375" style="847" customWidth="1"/>
    <col min="8212" max="8212" width="6.7109375" style="847" customWidth="1"/>
    <col min="8213" max="8213" width="7.7109375" style="847" customWidth="1"/>
    <col min="8214" max="8214" width="1.85546875" style="847" customWidth="1"/>
    <col min="8215" max="8215" width="6.7109375" style="847" customWidth="1"/>
    <col min="8216" max="8216" width="7.7109375" style="847" customWidth="1"/>
    <col min="8217" max="8217" width="2" style="847" customWidth="1"/>
    <col min="8218" max="8448" width="9.140625" style="847"/>
    <col min="8449" max="8449" width="10.42578125" style="847" customWidth="1"/>
    <col min="8450" max="8451" width="7.7109375" style="847" customWidth="1"/>
    <col min="8452" max="8452" width="1.7109375" style="847" customWidth="1"/>
    <col min="8453" max="8454" width="7.7109375" style="847" customWidth="1"/>
    <col min="8455" max="8455" width="1.7109375" style="847" customWidth="1"/>
    <col min="8456" max="8456" width="6.7109375" style="847" customWidth="1"/>
    <col min="8457" max="8457" width="7.7109375" style="847" customWidth="1"/>
    <col min="8458" max="8458" width="1.7109375" style="847" customWidth="1"/>
    <col min="8459" max="8459" width="6.7109375" style="847" customWidth="1"/>
    <col min="8460" max="8460" width="7.7109375" style="847" customWidth="1"/>
    <col min="8461" max="8461" width="1.7109375" style="847" customWidth="1"/>
    <col min="8462" max="8462" width="6.7109375" style="847" customWidth="1"/>
    <col min="8463" max="8463" width="7.7109375" style="847" customWidth="1"/>
    <col min="8464" max="8464" width="1.7109375" style="847" customWidth="1"/>
    <col min="8465" max="8465" width="6.7109375" style="847" customWidth="1"/>
    <col min="8466" max="8466" width="7.7109375" style="847" customWidth="1"/>
    <col min="8467" max="8467" width="1.7109375" style="847" customWidth="1"/>
    <col min="8468" max="8468" width="6.7109375" style="847" customWidth="1"/>
    <col min="8469" max="8469" width="7.7109375" style="847" customWidth="1"/>
    <col min="8470" max="8470" width="1.85546875" style="847" customWidth="1"/>
    <col min="8471" max="8471" width="6.7109375" style="847" customWidth="1"/>
    <col min="8472" max="8472" width="7.7109375" style="847" customWidth="1"/>
    <col min="8473" max="8473" width="2" style="847" customWidth="1"/>
    <col min="8474" max="8704" width="9.140625" style="847"/>
    <col min="8705" max="8705" width="10.42578125" style="847" customWidth="1"/>
    <col min="8706" max="8707" width="7.7109375" style="847" customWidth="1"/>
    <col min="8708" max="8708" width="1.7109375" style="847" customWidth="1"/>
    <col min="8709" max="8710" width="7.7109375" style="847" customWidth="1"/>
    <col min="8711" max="8711" width="1.7109375" style="847" customWidth="1"/>
    <col min="8712" max="8712" width="6.7109375" style="847" customWidth="1"/>
    <col min="8713" max="8713" width="7.7109375" style="847" customWidth="1"/>
    <col min="8714" max="8714" width="1.7109375" style="847" customWidth="1"/>
    <col min="8715" max="8715" width="6.7109375" style="847" customWidth="1"/>
    <col min="8716" max="8716" width="7.7109375" style="847" customWidth="1"/>
    <col min="8717" max="8717" width="1.7109375" style="847" customWidth="1"/>
    <col min="8718" max="8718" width="6.7109375" style="847" customWidth="1"/>
    <col min="8719" max="8719" width="7.7109375" style="847" customWidth="1"/>
    <col min="8720" max="8720" width="1.7109375" style="847" customWidth="1"/>
    <col min="8721" max="8721" width="6.7109375" style="847" customWidth="1"/>
    <col min="8722" max="8722" width="7.7109375" style="847" customWidth="1"/>
    <col min="8723" max="8723" width="1.7109375" style="847" customWidth="1"/>
    <col min="8724" max="8724" width="6.7109375" style="847" customWidth="1"/>
    <col min="8725" max="8725" width="7.7109375" style="847" customWidth="1"/>
    <col min="8726" max="8726" width="1.85546875" style="847" customWidth="1"/>
    <col min="8727" max="8727" width="6.7109375" style="847" customWidth="1"/>
    <col min="8728" max="8728" width="7.7109375" style="847" customWidth="1"/>
    <col min="8729" max="8729" width="2" style="847" customWidth="1"/>
    <col min="8730" max="8960" width="9.140625" style="847"/>
    <col min="8961" max="8961" width="10.42578125" style="847" customWidth="1"/>
    <col min="8962" max="8963" width="7.7109375" style="847" customWidth="1"/>
    <col min="8964" max="8964" width="1.7109375" style="847" customWidth="1"/>
    <col min="8965" max="8966" width="7.7109375" style="847" customWidth="1"/>
    <col min="8967" max="8967" width="1.7109375" style="847" customWidth="1"/>
    <col min="8968" max="8968" width="6.7109375" style="847" customWidth="1"/>
    <col min="8969" max="8969" width="7.7109375" style="847" customWidth="1"/>
    <col min="8970" max="8970" width="1.7109375" style="847" customWidth="1"/>
    <col min="8971" max="8971" width="6.7109375" style="847" customWidth="1"/>
    <col min="8972" max="8972" width="7.7109375" style="847" customWidth="1"/>
    <col min="8973" max="8973" width="1.7109375" style="847" customWidth="1"/>
    <col min="8974" max="8974" width="6.7109375" style="847" customWidth="1"/>
    <col min="8975" max="8975" width="7.7109375" style="847" customWidth="1"/>
    <col min="8976" max="8976" width="1.7109375" style="847" customWidth="1"/>
    <col min="8977" max="8977" width="6.7109375" style="847" customWidth="1"/>
    <col min="8978" max="8978" width="7.7109375" style="847" customWidth="1"/>
    <col min="8979" max="8979" width="1.7109375" style="847" customWidth="1"/>
    <col min="8980" max="8980" width="6.7109375" style="847" customWidth="1"/>
    <col min="8981" max="8981" width="7.7109375" style="847" customWidth="1"/>
    <col min="8982" max="8982" width="1.85546875" style="847" customWidth="1"/>
    <col min="8983" max="8983" width="6.7109375" style="847" customWidth="1"/>
    <col min="8984" max="8984" width="7.7109375" style="847" customWidth="1"/>
    <col min="8985" max="8985" width="2" style="847" customWidth="1"/>
    <col min="8986" max="9216" width="9.140625" style="847"/>
    <col min="9217" max="9217" width="10.42578125" style="847" customWidth="1"/>
    <col min="9218" max="9219" width="7.7109375" style="847" customWidth="1"/>
    <col min="9220" max="9220" width="1.7109375" style="847" customWidth="1"/>
    <col min="9221" max="9222" width="7.7109375" style="847" customWidth="1"/>
    <col min="9223" max="9223" width="1.7109375" style="847" customWidth="1"/>
    <col min="9224" max="9224" width="6.7109375" style="847" customWidth="1"/>
    <col min="9225" max="9225" width="7.7109375" style="847" customWidth="1"/>
    <col min="9226" max="9226" width="1.7109375" style="847" customWidth="1"/>
    <col min="9227" max="9227" width="6.7109375" style="847" customWidth="1"/>
    <col min="9228" max="9228" width="7.7109375" style="847" customWidth="1"/>
    <col min="9229" max="9229" width="1.7109375" style="847" customWidth="1"/>
    <col min="9230" max="9230" width="6.7109375" style="847" customWidth="1"/>
    <col min="9231" max="9231" width="7.7109375" style="847" customWidth="1"/>
    <col min="9232" max="9232" width="1.7109375" style="847" customWidth="1"/>
    <col min="9233" max="9233" width="6.7109375" style="847" customWidth="1"/>
    <col min="9234" max="9234" width="7.7109375" style="847" customWidth="1"/>
    <col min="9235" max="9235" width="1.7109375" style="847" customWidth="1"/>
    <col min="9236" max="9236" width="6.7109375" style="847" customWidth="1"/>
    <col min="9237" max="9237" width="7.7109375" style="847" customWidth="1"/>
    <col min="9238" max="9238" width="1.85546875" style="847" customWidth="1"/>
    <col min="9239" max="9239" width="6.7109375" style="847" customWidth="1"/>
    <col min="9240" max="9240" width="7.7109375" style="847" customWidth="1"/>
    <col min="9241" max="9241" width="2" style="847" customWidth="1"/>
    <col min="9242" max="9472" width="9.140625" style="847"/>
    <col min="9473" max="9473" width="10.42578125" style="847" customWidth="1"/>
    <col min="9474" max="9475" width="7.7109375" style="847" customWidth="1"/>
    <col min="9476" max="9476" width="1.7109375" style="847" customWidth="1"/>
    <col min="9477" max="9478" width="7.7109375" style="847" customWidth="1"/>
    <col min="9479" max="9479" width="1.7109375" style="847" customWidth="1"/>
    <col min="9480" max="9480" width="6.7109375" style="847" customWidth="1"/>
    <col min="9481" max="9481" width="7.7109375" style="847" customWidth="1"/>
    <col min="9482" max="9482" width="1.7109375" style="847" customWidth="1"/>
    <col min="9483" max="9483" width="6.7109375" style="847" customWidth="1"/>
    <col min="9484" max="9484" width="7.7109375" style="847" customWidth="1"/>
    <col min="9485" max="9485" width="1.7109375" style="847" customWidth="1"/>
    <col min="9486" max="9486" width="6.7109375" style="847" customWidth="1"/>
    <col min="9487" max="9487" width="7.7109375" style="847" customWidth="1"/>
    <col min="9488" max="9488" width="1.7109375" style="847" customWidth="1"/>
    <col min="9489" max="9489" width="6.7109375" style="847" customWidth="1"/>
    <col min="9490" max="9490" width="7.7109375" style="847" customWidth="1"/>
    <col min="9491" max="9491" width="1.7109375" style="847" customWidth="1"/>
    <col min="9492" max="9492" width="6.7109375" style="847" customWidth="1"/>
    <col min="9493" max="9493" width="7.7109375" style="847" customWidth="1"/>
    <col min="9494" max="9494" width="1.85546875" style="847" customWidth="1"/>
    <col min="9495" max="9495" width="6.7109375" style="847" customWidth="1"/>
    <col min="9496" max="9496" width="7.7109375" style="847" customWidth="1"/>
    <col min="9497" max="9497" width="2" style="847" customWidth="1"/>
    <col min="9498" max="9728" width="9.140625" style="847"/>
    <col min="9729" max="9729" width="10.42578125" style="847" customWidth="1"/>
    <col min="9730" max="9731" width="7.7109375" style="847" customWidth="1"/>
    <col min="9732" max="9732" width="1.7109375" style="847" customWidth="1"/>
    <col min="9733" max="9734" width="7.7109375" style="847" customWidth="1"/>
    <col min="9735" max="9735" width="1.7109375" style="847" customWidth="1"/>
    <col min="9736" max="9736" width="6.7109375" style="847" customWidth="1"/>
    <col min="9737" max="9737" width="7.7109375" style="847" customWidth="1"/>
    <col min="9738" max="9738" width="1.7109375" style="847" customWidth="1"/>
    <col min="9739" max="9739" width="6.7109375" style="847" customWidth="1"/>
    <col min="9740" max="9740" width="7.7109375" style="847" customWidth="1"/>
    <col min="9741" max="9741" width="1.7109375" style="847" customWidth="1"/>
    <col min="9742" max="9742" width="6.7109375" style="847" customWidth="1"/>
    <col min="9743" max="9743" width="7.7109375" style="847" customWidth="1"/>
    <col min="9744" max="9744" width="1.7109375" style="847" customWidth="1"/>
    <col min="9745" max="9745" width="6.7109375" style="847" customWidth="1"/>
    <col min="9746" max="9746" width="7.7109375" style="847" customWidth="1"/>
    <col min="9747" max="9747" width="1.7109375" style="847" customWidth="1"/>
    <col min="9748" max="9748" width="6.7109375" style="847" customWidth="1"/>
    <col min="9749" max="9749" width="7.7109375" style="847" customWidth="1"/>
    <col min="9750" max="9750" width="1.85546875" style="847" customWidth="1"/>
    <col min="9751" max="9751" width="6.7109375" style="847" customWidth="1"/>
    <col min="9752" max="9752" width="7.7109375" style="847" customWidth="1"/>
    <col min="9753" max="9753" width="2" style="847" customWidth="1"/>
    <col min="9754" max="9984" width="9.140625" style="847"/>
    <col min="9985" max="9985" width="10.42578125" style="847" customWidth="1"/>
    <col min="9986" max="9987" width="7.7109375" style="847" customWidth="1"/>
    <col min="9988" max="9988" width="1.7109375" style="847" customWidth="1"/>
    <col min="9989" max="9990" width="7.7109375" style="847" customWidth="1"/>
    <col min="9991" max="9991" width="1.7109375" style="847" customWidth="1"/>
    <col min="9992" max="9992" width="6.7109375" style="847" customWidth="1"/>
    <col min="9993" max="9993" width="7.7109375" style="847" customWidth="1"/>
    <col min="9994" max="9994" width="1.7109375" style="847" customWidth="1"/>
    <col min="9995" max="9995" width="6.7109375" style="847" customWidth="1"/>
    <col min="9996" max="9996" width="7.7109375" style="847" customWidth="1"/>
    <col min="9997" max="9997" width="1.7109375" style="847" customWidth="1"/>
    <col min="9998" max="9998" width="6.7109375" style="847" customWidth="1"/>
    <col min="9999" max="9999" width="7.7109375" style="847" customWidth="1"/>
    <col min="10000" max="10000" width="1.7109375" style="847" customWidth="1"/>
    <col min="10001" max="10001" width="6.7109375" style="847" customWidth="1"/>
    <col min="10002" max="10002" width="7.7109375" style="847" customWidth="1"/>
    <col min="10003" max="10003" width="1.7109375" style="847" customWidth="1"/>
    <col min="10004" max="10004" width="6.7109375" style="847" customWidth="1"/>
    <col min="10005" max="10005" width="7.7109375" style="847" customWidth="1"/>
    <col min="10006" max="10006" width="1.85546875" style="847" customWidth="1"/>
    <col min="10007" max="10007" width="6.7109375" style="847" customWidth="1"/>
    <col min="10008" max="10008" width="7.7109375" style="847" customWidth="1"/>
    <col min="10009" max="10009" width="2" style="847" customWidth="1"/>
    <col min="10010" max="10240" width="9.140625" style="847"/>
    <col min="10241" max="10241" width="10.42578125" style="847" customWidth="1"/>
    <col min="10242" max="10243" width="7.7109375" style="847" customWidth="1"/>
    <col min="10244" max="10244" width="1.7109375" style="847" customWidth="1"/>
    <col min="10245" max="10246" width="7.7109375" style="847" customWidth="1"/>
    <col min="10247" max="10247" width="1.7109375" style="847" customWidth="1"/>
    <col min="10248" max="10248" width="6.7109375" style="847" customWidth="1"/>
    <col min="10249" max="10249" width="7.7109375" style="847" customWidth="1"/>
    <col min="10250" max="10250" width="1.7109375" style="847" customWidth="1"/>
    <col min="10251" max="10251" width="6.7109375" style="847" customWidth="1"/>
    <col min="10252" max="10252" width="7.7109375" style="847" customWidth="1"/>
    <col min="10253" max="10253" width="1.7109375" style="847" customWidth="1"/>
    <col min="10254" max="10254" width="6.7109375" style="847" customWidth="1"/>
    <col min="10255" max="10255" width="7.7109375" style="847" customWidth="1"/>
    <col min="10256" max="10256" width="1.7109375" style="847" customWidth="1"/>
    <col min="10257" max="10257" width="6.7109375" style="847" customWidth="1"/>
    <col min="10258" max="10258" width="7.7109375" style="847" customWidth="1"/>
    <col min="10259" max="10259" width="1.7109375" style="847" customWidth="1"/>
    <col min="10260" max="10260" width="6.7109375" style="847" customWidth="1"/>
    <col min="10261" max="10261" width="7.7109375" style="847" customWidth="1"/>
    <col min="10262" max="10262" width="1.85546875" style="847" customWidth="1"/>
    <col min="10263" max="10263" width="6.7109375" style="847" customWidth="1"/>
    <col min="10264" max="10264" width="7.7109375" style="847" customWidth="1"/>
    <col min="10265" max="10265" width="2" style="847" customWidth="1"/>
    <col min="10266" max="10496" width="9.140625" style="847"/>
    <col min="10497" max="10497" width="10.42578125" style="847" customWidth="1"/>
    <col min="10498" max="10499" width="7.7109375" style="847" customWidth="1"/>
    <col min="10500" max="10500" width="1.7109375" style="847" customWidth="1"/>
    <col min="10501" max="10502" width="7.7109375" style="847" customWidth="1"/>
    <col min="10503" max="10503" width="1.7109375" style="847" customWidth="1"/>
    <col min="10504" max="10504" width="6.7109375" style="847" customWidth="1"/>
    <col min="10505" max="10505" width="7.7109375" style="847" customWidth="1"/>
    <col min="10506" max="10506" width="1.7109375" style="847" customWidth="1"/>
    <col min="10507" max="10507" width="6.7109375" style="847" customWidth="1"/>
    <col min="10508" max="10508" width="7.7109375" style="847" customWidth="1"/>
    <col min="10509" max="10509" width="1.7109375" style="847" customWidth="1"/>
    <col min="10510" max="10510" width="6.7109375" style="847" customWidth="1"/>
    <col min="10511" max="10511" width="7.7109375" style="847" customWidth="1"/>
    <col min="10512" max="10512" width="1.7109375" style="847" customWidth="1"/>
    <col min="10513" max="10513" width="6.7109375" style="847" customWidth="1"/>
    <col min="10514" max="10514" width="7.7109375" style="847" customWidth="1"/>
    <col min="10515" max="10515" width="1.7109375" style="847" customWidth="1"/>
    <col min="10516" max="10516" width="6.7109375" style="847" customWidth="1"/>
    <col min="10517" max="10517" width="7.7109375" style="847" customWidth="1"/>
    <col min="10518" max="10518" width="1.85546875" style="847" customWidth="1"/>
    <col min="10519" max="10519" width="6.7109375" style="847" customWidth="1"/>
    <col min="10520" max="10520" width="7.7109375" style="847" customWidth="1"/>
    <col min="10521" max="10521" width="2" style="847" customWidth="1"/>
    <col min="10522" max="10752" width="9.140625" style="847"/>
    <col min="10753" max="10753" width="10.42578125" style="847" customWidth="1"/>
    <col min="10754" max="10755" width="7.7109375" style="847" customWidth="1"/>
    <col min="10756" max="10756" width="1.7109375" style="847" customWidth="1"/>
    <col min="10757" max="10758" width="7.7109375" style="847" customWidth="1"/>
    <col min="10759" max="10759" width="1.7109375" style="847" customWidth="1"/>
    <col min="10760" max="10760" width="6.7109375" style="847" customWidth="1"/>
    <col min="10761" max="10761" width="7.7109375" style="847" customWidth="1"/>
    <col min="10762" max="10762" width="1.7109375" style="847" customWidth="1"/>
    <col min="10763" max="10763" width="6.7109375" style="847" customWidth="1"/>
    <col min="10764" max="10764" width="7.7109375" style="847" customWidth="1"/>
    <col min="10765" max="10765" width="1.7109375" style="847" customWidth="1"/>
    <col min="10766" max="10766" width="6.7109375" style="847" customWidth="1"/>
    <col min="10767" max="10767" width="7.7109375" style="847" customWidth="1"/>
    <col min="10768" max="10768" width="1.7109375" style="847" customWidth="1"/>
    <col min="10769" max="10769" width="6.7109375" style="847" customWidth="1"/>
    <col min="10770" max="10770" width="7.7109375" style="847" customWidth="1"/>
    <col min="10771" max="10771" width="1.7109375" style="847" customWidth="1"/>
    <col min="10772" max="10772" width="6.7109375" style="847" customWidth="1"/>
    <col min="10773" max="10773" width="7.7109375" style="847" customWidth="1"/>
    <col min="10774" max="10774" width="1.85546875" style="847" customWidth="1"/>
    <col min="10775" max="10775" width="6.7109375" style="847" customWidth="1"/>
    <col min="10776" max="10776" width="7.7109375" style="847" customWidth="1"/>
    <col min="10777" max="10777" width="2" style="847" customWidth="1"/>
    <col min="10778" max="11008" width="9.140625" style="847"/>
    <col min="11009" max="11009" width="10.42578125" style="847" customWidth="1"/>
    <col min="11010" max="11011" width="7.7109375" style="847" customWidth="1"/>
    <col min="11012" max="11012" width="1.7109375" style="847" customWidth="1"/>
    <col min="11013" max="11014" width="7.7109375" style="847" customWidth="1"/>
    <col min="11015" max="11015" width="1.7109375" style="847" customWidth="1"/>
    <col min="11016" max="11016" width="6.7109375" style="847" customWidth="1"/>
    <col min="11017" max="11017" width="7.7109375" style="847" customWidth="1"/>
    <col min="11018" max="11018" width="1.7109375" style="847" customWidth="1"/>
    <col min="11019" max="11019" width="6.7109375" style="847" customWidth="1"/>
    <col min="11020" max="11020" width="7.7109375" style="847" customWidth="1"/>
    <col min="11021" max="11021" width="1.7109375" style="847" customWidth="1"/>
    <col min="11022" max="11022" width="6.7109375" style="847" customWidth="1"/>
    <col min="11023" max="11023" width="7.7109375" style="847" customWidth="1"/>
    <col min="11024" max="11024" width="1.7109375" style="847" customWidth="1"/>
    <col min="11025" max="11025" width="6.7109375" style="847" customWidth="1"/>
    <col min="11026" max="11026" width="7.7109375" style="847" customWidth="1"/>
    <col min="11027" max="11027" width="1.7109375" style="847" customWidth="1"/>
    <col min="11028" max="11028" width="6.7109375" style="847" customWidth="1"/>
    <col min="11029" max="11029" width="7.7109375" style="847" customWidth="1"/>
    <col min="11030" max="11030" width="1.85546875" style="847" customWidth="1"/>
    <col min="11031" max="11031" width="6.7109375" style="847" customWidth="1"/>
    <col min="11032" max="11032" width="7.7109375" style="847" customWidth="1"/>
    <col min="11033" max="11033" width="2" style="847" customWidth="1"/>
    <col min="11034" max="11264" width="9.140625" style="847"/>
    <col min="11265" max="11265" width="10.42578125" style="847" customWidth="1"/>
    <col min="11266" max="11267" width="7.7109375" style="847" customWidth="1"/>
    <col min="11268" max="11268" width="1.7109375" style="847" customWidth="1"/>
    <col min="11269" max="11270" width="7.7109375" style="847" customWidth="1"/>
    <col min="11271" max="11271" width="1.7109375" style="847" customWidth="1"/>
    <col min="11272" max="11272" width="6.7109375" style="847" customWidth="1"/>
    <col min="11273" max="11273" width="7.7109375" style="847" customWidth="1"/>
    <col min="11274" max="11274" width="1.7109375" style="847" customWidth="1"/>
    <col min="11275" max="11275" width="6.7109375" style="847" customWidth="1"/>
    <col min="11276" max="11276" width="7.7109375" style="847" customWidth="1"/>
    <col min="11277" max="11277" width="1.7109375" style="847" customWidth="1"/>
    <col min="11278" max="11278" width="6.7109375" style="847" customWidth="1"/>
    <col min="11279" max="11279" width="7.7109375" style="847" customWidth="1"/>
    <col min="11280" max="11280" width="1.7109375" style="847" customWidth="1"/>
    <col min="11281" max="11281" width="6.7109375" style="847" customWidth="1"/>
    <col min="11282" max="11282" width="7.7109375" style="847" customWidth="1"/>
    <col min="11283" max="11283" width="1.7109375" style="847" customWidth="1"/>
    <col min="11284" max="11284" width="6.7109375" style="847" customWidth="1"/>
    <col min="11285" max="11285" width="7.7109375" style="847" customWidth="1"/>
    <col min="11286" max="11286" width="1.85546875" style="847" customWidth="1"/>
    <col min="11287" max="11287" width="6.7109375" style="847" customWidth="1"/>
    <col min="11288" max="11288" width="7.7109375" style="847" customWidth="1"/>
    <col min="11289" max="11289" width="2" style="847" customWidth="1"/>
    <col min="11290" max="11520" width="9.140625" style="847"/>
    <col min="11521" max="11521" width="10.42578125" style="847" customWidth="1"/>
    <col min="11522" max="11523" width="7.7109375" style="847" customWidth="1"/>
    <col min="11524" max="11524" width="1.7109375" style="847" customWidth="1"/>
    <col min="11525" max="11526" width="7.7109375" style="847" customWidth="1"/>
    <col min="11527" max="11527" width="1.7109375" style="847" customWidth="1"/>
    <col min="11528" max="11528" width="6.7109375" style="847" customWidth="1"/>
    <col min="11529" max="11529" width="7.7109375" style="847" customWidth="1"/>
    <col min="11530" max="11530" width="1.7109375" style="847" customWidth="1"/>
    <col min="11531" max="11531" width="6.7109375" style="847" customWidth="1"/>
    <col min="11532" max="11532" width="7.7109375" style="847" customWidth="1"/>
    <col min="11533" max="11533" width="1.7109375" style="847" customWidth="1"/>
    <col min="11534" max="11534" width="6.7109375" style="847" customWidth="1"/>
    <col min="11535" max="11535" width="7.7109375" style="847" customWidth="1"/>
    <col min="11536" max="11536" width="1.7109375" style="847" customWidth="1"/>
    <col min="11537" max="11537" width="6.7109375" style="847" customWidth="1"/>
    <col min="11538" max="11538" width="7.7109375" style="847" customWidth="1"/>
    <col min="11539" max="11539" width="1.7109375" style="847" customWidth="1"/>
    <col min="11540" max="11540" width="6.7109375" style="847" customWidth="1"/>
    <col min="11541" max="11541" width="7.7109375" style="847" customWidth="1"/>
    <col min="11542" max="11542" width="1.85546875" style="847" customWidth="1"/>
    <col min="11543" max="11543" width="6.7109375" style="847" customWidth="1"/>
    <col min="11544" max="11544" width="7.7109375" style="847" customWidth="1"/>
    <col min="11545" max="11545" width="2" style="847" customWidth="1"/>
    <col min="11546" max="11776" width="9.140625" style="847"/>
    <col min="11777" max="11777" width="10.42578125" style="847" customWidth="1"/>
    <col min="11778" max="11779" width="7.7109375" style="847" customWidth="1"/>
    <col min="11780" max="11780" width="1.7109375" style="847" customWidth="1"/>
    <col min="11781" max="11782" width="7.7109375" style="847" customWidth="1"/>
    <col min="11783" max="11783" width="1.7109375" style="847" customWidth="1"/>
    <col min="11784" max="11784" width="6.7109375" style="847" customWidth="1"/>
    <col min="11785" max="11785" width="7.7109375" style="847" customWidth="1"/>
    <col min="11786" max="11786" width="1.7109375" style="847" customWidth="1"/>
    <col min="11787" max="11787" width="6.7109375" style="847" customWidth="1"/>
    <col min="11788" max="11788" width="7.7109375" style="847" customWidth="1"/>
    <col min="11789" max="11789" width="1.7109375" style="847" customWidth="1"/>
    <col min="11790" max="11790" width="6.7109375" style="847" customWidth="1"/>
    <col min="11791" max="11791" width="7.7109375" style="847" customWidth="1"/>
    <col min="11792" max="11792" width="1.7109375" style="847" customWidth="1"/>
    <col min="11793" max="11793" width="6.7109375" style="847" customWidth="1"/>
    <col min="11794" max="11794" width="7.7109375" style="847" customWidth="1"/>
    <col min="11795" max="11795" width="1.7109375" style="847" customWidth="1"/>
    <col min="11796" max="11796" width="6.7109375" style="847" customWidth="1"/>
    <col min="11797" max="11797" width="7.7109375" style="847" customWidth="1"/>
    <col min="11798" max="11798" width="1.85546875" style="847" customWidth="1"/>
    <col min="11799" max="11799" width="6.7109375" style="847" customWidth="1"/>
    <col min="11800" max="11800" width="7.7109375" style="847" customWidth="1"/>
    <col min="11801" max="11801" width="2" style="847" customWidth="1"/>
    <col min="11802" max="12032" width="9.140625" style="847"/>
    <col min="12033" max="12033" width="10.42578125" style="847" customWidth="1"/>
    <col min="12034" max="12035" width="7.7109375" style="847" customWidth="1"/>
    <col min="12036" max="12036" width="1.7109375" style="847" customWidth="1"/>
    <col min="12037" max="12038" width="7.7109375" style="847" customWidth="1"/>
    <col min="12039" max="12039" width="1.7109375" style="847" customWidth="1"/>
    <col min="12040" max="12040" width="6.7109375" style="847" customWidth="1"/>
    <col min="12041" max="12041" width="7.7109375" style="847" customWidth="1"/>
    <col min="12042" max="12042" width="1.7109375" style="847" customWidth="1"/>
    <col min="12043" max="12043" width="6.7109375" style="847" customWidth="1"/>
    <col min="12044" max="12044" width="7.7109375" style="847" customWidth="1"/>
    <col min="12045" max="12045" width="1.7109375" style="847" customWidth="1"/>
    <col min="12046" max="12046" width="6.7109375" style="847" customWidth="1"/>
    <col min="12047" max="12047" width="7.7109375" style="847" customWidth="1"/>
    <col min="12048" max="12048" width="1.7109375" style="847" customWidth="1"/>
    <col min="12049" max="12049" width="6.7109375" style="847" customWidth="1"/>
    <col min="12050" max="12050" width="7.7109375" style="847" customWidth="1"/>
    <col min="12051" max="12051" width="1.7109375" style="847" customWidth="1"/>
    <col min="12052" max="12052" width="6.7109375" style="847" customWidth="1"/>
    <col min="12053" max="12053" width="7.7109375" style="847" customWidth="1"/>
    <col min="12054" max="12054" width="1.85546875" style="847" customWidth="1"/>
    <col min="12055" max="12055" width="6.7109375" style="847" customWidth="1"/>
    <col min="12056" max="12056" width="7.7109375" style="847" customWidth="1"/>
    <col min="12057" max="12057" width="2" style="847" customWidth="1"/>
    <col min="12058" max="12288" width="9.140625" style="847"/>
    <col min="12289" max="12289" width="10.42578125" style="847" customWidth="1"/>
    <col min="12290" max="12291" width="7.7109375" style="847" customWidth="1"/>
    <col min="12292" max="12292" width="1.7109375" style="847" customWidth="1"/>
    <col min="12293" max="12294" width="7.7109375" style="847" customWidth="1"/>
    <col min="12295" max="12295" width="1.7109375" style="847" customWidth="1"/>
    <col min="12296" max="12296" width="6.7109375" style="847" customWidth="1"/>
    <col min="12297" max="12297" width="7.7109375" style="847" customWidth="1"/>
    <col min="12298" max="12298" width="1.7109375" style="847" customWidth="1"/>
    <col min="12299" max="12299" width="6.7109375" style="847" customWidth="1"/>
    <col min="12300" max="12300" width="7.7109375" style="847" customWidth="1"/>
    <col min="12301" max="12301" width="1.7109375" style="847" customWidth="1"/>
    <col min="12302" max="12302" width="6.7109375" style="847" customWidth="1"/>
    <col min="12303" max="12303" width="7.7109375" style="847" customWidth="1"/>
    <col min="12304" max="12304" width="1.7109375" style="847" customWidth="1"/>
    <col min="12305" max="12305" width="6.7109375" style="847" customWidth="1"/>
    <col min="12306" max="12306" width="7.7109375" style="847" customWidth="1"/>
    <col min="12307" max="12307" width="1.7109375" style="847" customWidth="1"/>
    <col min="12308" max="12308" width="6.7109375" style="847" customWidth="1"/>
    <col min="12309" max="12309" width="7.7109375" style="847" customWidth="1"/>
    <col min="12310" max="12310" width="1.85546875" style="847" customWidth="1"/>
    <col min="12311" max="12311" width="6.7109375" style="847" customWidth="1"/>
    <col min="12312" max="12312" width="7.7109375" style="847" customWidth="1"/>
    <col min="12313" max="12313" width="2" style="847" customWidth="1"/>
    <col min="12314" max="12544" width="9.140625" style="847"/>
    <col min="12545" max="12545" width="10.42578125" style="847" customWidth="1"/>
    <col min="12546" max="12547" width="7.7109375" style="847" customWidth="1"/>
    <col min="12548" max="12548" width="1.7109375" style="847" customWidth="1"/>
    <col min="12549" max="12550" width="7.7109375" style="847" customWidth="1"/>
    <col min="12551" max="12551" width="1.7109375" style="847" customWidth="1"/>
    <col min="12552" max="12552" width="6.7109375" style="847" customWidth="1"/>
    <col min="12553" max="12553" width="7.7109375" style="847" customWidth="1"/>
    <col min="12554" max="12554" width="1.7109375" style="847" customWidth="1"/>
    <col min="12555" max="12555" width="6.7109375" style="847" customWidth="1"/>
    <col min="12556" max="12556" width="7.7109375" style="847" customWidth="1"/>
    <col min="12557" max="12557" width="1.7109375" style="847" customWidth="1"/>
    <col min="12558" max="12558" width="6.7109375" style="847" customWidth="1"/>
    <col min="12559" max="12559" width="7.7109375" style="847" customWidth="1"/>
    <col min="12560" max="12560" width="1.7109375" style="847" customWidth="1"/>
    <col min="12561" max="12561" width="6.7109375" style="847" customWidth="1"/>
    <col min="12562" max="12562" width="7.7109375" style="847" customWidth="1"/>
    <col min="12563" max="12563" width="1.7109375" style="847" customWidth="1"/>
    <col min="12564" max="12564" width="6.7109375" style="847" customWidth="1"/>
    <col min="12565" max="12565" width="7.7109375" style="847" customWidth="1"/>
    <col min="12566" max="12566" width="1.85546875" style="847" customWidth="1"/>
    <col min="12567" max="12567" width="6.7109375" style="847" customWidth="1"/>
    <col min="12568" max="12568" width="7.7109375" style="847" customWidth="1"/>
    <col min="12569" max="12569" width="2" style="847" customWidth="1"/>
    <col min="12570" max="12800" width="9.140625" style="847"/>
    <col min="12801" max="12801" width="10.42578125" style="847" customWidth="1"/>
    <col min="12802" max="12803" width="7.7109375" style="847" customWidth="1"/>
    <col min="12804" max="12804" width="1.7109375" style="847" customWidth="1"/>
    <col min="12805" max="12806" width="7.7109375" style="847" customWidth="1"/>
    <col min="12807" max="12807" width="1.7109375" style="847" customWidth="1"/>
    <col min="12808" max="12808" width="6.7109375" style="847" customWidth="1"/>
    <col min="12809" max="12809" width="7.7109375" style="847" customWidth="1"/>
    <col min="12810" max="12810" width="1.7109375" style="847" customWidth="1"/>
    <col min="12811" max="12811" width="6.7109375" style="847" customWidth="1"/>
    <col min="12812" max="12812" width="7.7109375" style="847" customWidth="1"/>
    <col min="12813" max="12813" width="1.7109375" style="847" customWidth="1"/>
    <col min="12814" max="12814" width="6.7109375" style="847" customWidth="1"/>
    <col min="12815" max="12815" width="7.7109375" style="847" customWidth="1"/>
    <col min="12816" max="12816" width="1.7109375" style="847" customWidth="1"/>
    <col min="12817" max="12817" width="6.7109375" style="847" customWidth="1"/>
    <col min="12818" max="12818" width="7.7109375" style="847" customWidth="1"/>
    <col min="12819" max="12819" width="1.7109375" style="847" customWidth="1"/>
    <col min="12820" max="12820" width="6.7109375" style="847" customWidth="1"/>
    <col min="12821" max="12821" width="7.7109375" style="847" customWidth="1"/>
    <col min="12822" max="12822" width="1.85546875" style="847" customWidth="1"/>
    <col min="12823" max="12823" width="6.7109375" style="847" customWidth="1"/>
    <col min="12824" max="12824" width="7.7109375" style="847" customWidth="1"/>
    <col min="12825" max="12825" width="2" style="847" customWidth="1"/>
    <col min="12826" max="13056" width="9.140625" style="847"/>
    <col min="13057" max="13057" width="10.42578125" style="847" customWidth="1"/>
    <col min="13058" max="13059" width="7.7109375" style="847" customWidth="1"/>
    <col min="13060" max="13060" width="1.7109375" style="847" customWidth="1"/>
    <col min="13061" max="13062" width="7.7109375" style="847" customWidth="1"/>
    <col min="13063" max="13063" width="1.7109375" style="847" customWidth="1"/>
    <col min="13064" max="13064" width="6.7109375" style="847" customWidth="1"/>
    <col min="13065" max="13065" width="7.7109375" style="847" customWidth="1"/>
    <col min="13066" max="13066" width="1.7109375" style="847" customWidth="1"/>
    <col min="13067" max="13067" width="6.7109375" style="847" customWidth="1"/>
    <col min="13068" max="13068" width="7.7109375" style="847" customWidth="1"/>
    <col min="13069" max="13069" width="1.7109375" style="847" customWidth="1"/>
    <col min="13070" max="13070" width="6.7109375" style="847" customWidth="1"/>
    <col min="13071" max="13071" width="7.7109375" style="847" customWidth="1"/>
    <col min="13072" max="13072" width="1.7109375" style="847" customWidth="1"/>
    <col min="13073" max="13073" width="6.7109375" style="847" customWidth="1"/>
    <col min="13074" max="13074" width="7.7109375" style="847" customWidth="1"/>
    <col min="13075" max="13075" width="1.7109375" style="847" customWidth="1"/>
    <col min="13076" max="13076" width="6.7109375" style="847" customWidth="1"/>
    <col min="13077" max="13077" width="7.7109375" style="847" customWidth="1"/>
    <col min="13078" max="13078" width="1.85546875" style="847" customWidth="1"/>
    <col min="13079" max="13079" width="6.7109375" style="847" customWidth="1"/>
    <col min="13080" max="13080" width="7.7109375" style="847" customWidth="1"/>
    <col min="13081" max="13081" width="2" style="847" customWidth="1"/>
    <col min="13082" max="13312" width="9.140625" style="847"/>
    <col min="13313" max="13313" width="10.42578125" style="847" customWidth="1"/>
    <col min="13314" max="13315" width="7.7109375" style="847" customWidth="1"/>
    <col min="13316" max="13316" width="1.7109375" style="847" customWidth="1"/>
    <col min="13317" max="13318" width="7.7109375" style="847" customWidth="1"/>
    <col min="13319" max="13319" width="1.7109375" style="847" customWidth="1"/>
    <col min="13320" max="13320" width="6.7109375" style="847" customWidth="1"/>
    <col min="13321" max="13321" width="7.7109375" style="847" customWidth="1"/>
    <col min="13322" max="13322" width="1.7109375" style="847" customWidth="1"/>
    <col min="13323" max="13323" width="6.7109375" style="847" customWidth="1"/>
    <col min="13324" max="13324" width="7.7109375" style="847" customWidth="1"/>
    <col min="13325" max="13325" width="1.7109375" style="847" customWidth="1"/>
    <col min="13326" max="13326" width="6.7109375" style="847" customWidth="1"/>
    <col min="13327" max="13327" width="7.7109375" style="847" customWidth="1"/>
    <col min="13328" max="13328" width="1.7109375" style="847" customWidth="1"/>
    <col min="13329" max="13329" width="6.7109375" style="847" customWidth="1"/>
    <col min="13330" max="13330" width="7.7109375" style="847" customWidth="1"/>
    <col min="13331" max="13331" width="1.7109375" style="847" customWidth="1"/>
    <col min="13332" max="13332" width="6.7109375" style="847" customWidth="1"/>
    <col min="13333" max="13333" width="7.7109375" style="847" customWidth="1"/>
    <col min="13334" max="13334" width="1.85546875" style="847" customWidth="1"/>
    <col min="13335" max="13335" width="6.7109375" style="847" customWidth="1"/>
    <col min="13336" max="13336" width="7.7109375" style="847" customWidth="1"/>
    <col min="13337" max="13337" width="2" style="847" customWidth="1"/>
    <col min="13338" max="13568" width="9.140625" style="847"/>
    <col min="13569" max="13569" width="10.42578125" style="847" customWidth="1"/>
    <col min="13570" max="13571" width="7.7109375" style="847" customWidth="1"/>
    <col min="13572" max="13572" width="1.7109375" style="847" customWidth="1"/>
    <col min="13573" max="13574" width="7.7109375" style="847" customWidth="1"/>
    <col min="13575" max="13575" width="1.7109375" style="847" customWidth="1"/>
    <col min="13576" max="13576" width="6.7109375" style="847" customWidth="1"/>
    <col min="13577" max="13577" width="7.7109375" style="847" customWidth="1"/>
    <col min="13578" max="13578" width="1.7109375" style="847" customWidth="1"/>
    <col min="13579" max="13579" width="6.7109375" style="847" customWidth="1"/>
    <col min="13580" max="13580" width="7.7109375" style="847" customWidth="1"/>
    <col min="13581" max="13581" width="1.7109375" style="847" customWidth="1"/>
    <col min="13582" max="13582" width="6.7109375" style="847" customWidth="1"/>
    <col min="13583" max="13583" width="7.7109375" style="847" customWidth="1"/>
    <col min="13584" max="13584" width="1.7109375" style="847" customWidth="1"/>
    <col min="13585" max="13585" width="6.7109375" style="847" customWidth="1"/>
    <col min="13586" max="13586" width="7.7109375" style="847" customWidth="1"/>
    <col min="13587" max="13587" width="1.7109375" style="847" customWidth="1"/>
    <col min="13588" max="13588" width="6.7109375" style="847" customWidth="1"/>
    <col min="13589" max="13589" width="7.7109375" style="847" customWidth="1"/>
    <col min="13590" max="13590" width="1.85546875" style="847" customWidth="1"/>
    <col min="13591" max="13591" width="6.7109375" style="847" customWidth="1"/>
    <col min="13592" max="13592" width="7.7109375" style="847" customWidth="1"/>
    <col min="13593" max="13593" width="2" style="847" customWidth="1"/>
    <col min="13594" max="13824" width="9.140625" style="847"/>
    <col min="13825" max="13825" width="10.42578125" style="847" customWidth="1"/>
    <col min="13826" max="13827" width="7.7109375" style="847" customWidth="1"/>
    <col min="13828" max="13828" width="1.7109375" style="847" customWidth="1"/>
    <col min="13829" max="13830" width="7.7109375" style="847" customWidth="1"/>
    <col min="13831" max="13831" width="1.7109375" style="847" customWidth="1"/>
    <col min="13832" max="13832" width="6.7109375" style="847" customWidth="1"/>
    <col min="13833" max="13833" width="7.7109375" style="847" customWidth="1"/>
    <col min="13834" max="13834" width="1.7109375" style="847" customWidth="1"/>
    <col min="13835" max="13835" width="6.7109375" style="847" customWidth="1"/>
    <col min="13836" max="13836" width="7.7109375" style="847" customWidth="1"/>
    <col min="13837" max="13837" width="1.7109375" style="847" customWidth="1"/>
    <col min="13838" max="13838" width="6.7109375" style="847" customWidth="1"/>
    <col min="13839" max="13839" width="7.7109375" style="847" customWidth="1"/>
    <col min="13840" max="13840" width="1.7109375" style="847" customWidth="1"/>
    <col min="13841" max="13841" width="6.7109375" style="847" customWidth="1"/>
    <col min="13842" max="13842" width="7.7109375" style="847" customWidth="1"/>
    <col min="13843" max="13843" width="1.7109375" style="847" customWidth="1"/>
    <col min="13844" max="13844" width="6.7109375" style="847" customWidth="1"/>
    <col min="13845" max="13845" width="7.7109375" style="847" customWidth="1"/>
    <col min="13846" max="13846" width="1.85546875" style="847" customWidth="1"/>
    <col min="13847" max="13847" width="6.7109375" style="847" customWidth="1"/>
    <col min="13848" max="13848" width="7.7109375" style="847" customWidth="1"/>
    <col min="13849" max="13849" width="2" style="847" customWidth="1"/>
    <col min="13850" max="14080" width="9.140625" style="847"/>
    <col min="14081" max="14081" width="10.42578125" style="847" customWidth="1"/>
    <col min="14082" max="14083" width="7.7109375" style="847" customWidth="1"/>
    <col min="14084" max="14084" width="1.7109375" style="847" customWidth="1"/>
    <col min="14085" max="14086" width="7.7109375" style="847" customWidth="1"/>
    <col min="14087" max="14087" width="1.7109375" style="847" customWidth="1"/>
    <col min="14088" max="14088" width="6.7109375" style="847" customWidth="1"/>
    <col min="14089" max="14089" width="7.7109375" style="847" customWidth="1"/>
    <col min="14090" max="14090" width="1.7109375" style="847" customWidth="1"/>
    <col min="14091" max="14091" width="6.7109375" style="847" customWidth="1"/>
    <col min="14092" max="14092" width="7.7109375" style="847" customWidth="1"/>
    <col min="14093" max="14093" width="1.7109375" style="847" customWidth="1"/>
    <col min="14094" max="14094" width="6.7109375" style="847" customWidth="1"/>
    <col min="14095" max="14095" width="7.7109375" style="847" customWidth="1"/>
    <col min="14096" max="14096" width="1.7109375" style="847" customWidth="1"/>
    <col min="14097" max="14097" width="6.7109375" style="847" customWidth="1"/>
    <col min="14098" max="14098" width="7.7109375" style="847" customWidth="1"/>
    <col min="14099" max="14099" width="1.7109375" style="847" customWidth="1"/>
    <col min="14100" max="14100" width="6.7109375" style="847" customWidth="1"/>
    <col min="14101" max="14101" width="7.7109375" style="847" customWidth="1"/>
    <col min="14102" max="14102" width="1.85546875" style="847" customWidth="1"/>
    <col min="14103" max="14103" width="6.7109375" style="847" customWidth="1"/>
    <col min="14104" max="14104" width="7.7109375" style="847" customWidth="1"/>
    <col min="14105" max="14105" width="2" style="847" customWidth="1"/>
    <col min="14106" max="14336" width="9.140625" style="847"/>
    <col min="14337" max="14337" width="10.42578125" style="847" customWidth="1"/>
    <col min="14338" max="14339" width="7.7109375" style="847" customWidth="1"/>
    <col min="14340" max="14340" width="1.7109375" style="847" customWidth="1"/>
    <col min="14341" max="14342" width="7.7109375" style="847" customWidth="1"/>
    <col min="14343" max="14343" width="1.7109375" style="847" customWidth="1"/>
    <col min="14344" max="14344" width="6.7109375" style="847" customWidth="1"/>
    <col min="14345" max="14345" width="7.7109375" style="847" customWidth="1"/>
    <col min="14346" max="14346" width="1.7109375" style="847" customWidth="1"/>
    <col min="14347" max="14347" width="6.7109375" style="847" customWidth="1"/>
    <col min="14348" max="14348" width="7.7109375" style="847" customWidth="1"/>
    <col min="14349" max="14349" width="1.7109375" style="847" customWidth="1"/>
    <col min="14350" max="14350" width="6.7109375" style="847" customWidth="1"/>
    <col min="14351" max="14351" width="7.7109375" style="847" customWidth="1"/>
    <col min="14352" max="14352" width="1.7109375" style="847" customWidth="1"/>
    <col min="14353" max="14353" width="6.7109375" style="847" customWidth="1"/>
    <col min="14354" max="14354" width="7.7109375" style="847" customWidth="1"/>
    <col min="14355" max="14355" width="1.7109375" style="847" customWidth="1"/>
    <col min="14356" max="14356" width="6.7109375" style="847" customWidth="1"/>
    <col min="14357" max="14357" width="7.7109375" style="847" customWidth="1"/>
    <col min="14358" max="14358" width="1.85546875" style="847" customWidth="1"/>
    <col min="14359" max="14359" width="6.7109375" style="847" customWidth="1"/>
    <col min="14360" max="14360" width="7.7109375" style="847" customWidth="1"/>
    <col min="14361" max="14361" width="2" style="847" customWidth="1"/>
    <col min="14362" max="14592" width="9.140625" style="847"/>
    <col min="14593" max="14593" width="10.42578125" style="847" customWidth="1"/>
    <col min="14594" max="14595" width="7.7109375" style="847" customWidth="1"/>
    <col min="14596" max="14596" width="1.7109375" style="847" customWidth="1"/>
    <col min="14597" max="14598" width="7.7109375" style="847" customWidth="1"/>
    <col min="14599" max="14599" width="1.7109375" style="847" customWidth="1"/>
    <col min="14600" max="14600" width="6.7109375" style="847" customWidth="1"/>
    <col min="14601" max="14601" width="7.7109375" style="847" customWidth="1"/>
    <col min="14602" max="14602" width="1.7109375" style="847" customWidth="1"/>
    <col min="14603" max="14603" width="6.7109375" style="847" customWidth="1"/>
    <col min="14604" max="14604" width="7.7109375" style="847" customWidth="1"/>
    <col min="14605" max="14605" width="1.7109375" style="847" customWidth="1"/>
    <col min="14606" max="14606" width="6.7109375" style="847" customWidth="1"/>
    <col min="14607" max="14607" width="7.7109375" style="847" customWidth="1"/>
    <col min="14608" max="14608" width="1.7109375" style="847" customWidth="1"/>
    <col min="14609" max="14609" width="6.7109375" style="847" customWidth="1"/>
    <col min="14610" max="14610" width="7.7109375" style="847" customWidth="1"/>
    <col min="14611" max="14611" width="1.7109375" style="847" customWidth="1"/>
    <col min="14612" max="14612" width="6.7109375" style="847" customWidth="1"/>
    <col min="14613" max="14613" width="7.7109375" style="847" customWidth="1"/>
    <col min="14614" max="14614" width="1.85546875" style="847" customWidth="1"/>
    <col min="14615" max="14615" width="6.7109375" style="847" customWidth="1"/>
    <col min="14616" max="14616" width="7.7109375" style="847" customWidth="1"/>
    <col min="14617" max="14617" width="2" style="847" customWidth="1"/>
    <col min="14618" max="14848" width="9.140625" style="847"/>
    <col min="14849" max="14849" width="10.42578125" style="847" customWidth="1"/>
    <col min="14850" max="14851" width="7.7109375" style="847" customWidth="1"/>
    <col min="14852" max="14852" width="1.7109375" style="847" customWidth="1"/>
    <col min="14853" max="14854" width="7.7109375" style="847" customWidth="1"/>
    <col min="14855" max="14855" width="1.7109375" style="847" customWidth="1"/>
    <col min="14856" max="14856" width="6.7109375" style="847" customWidth="1"/>
    <col min="14857" max="14857" width="7.7109375" style="847" customWidth="1"/>
    <col min="14858" max="14858" width="1.7109375" style="847" customWidth="1"/>
    <col min="14859" max="14859" width="6.7109375" style="847" customWidth="1"/>
    <col min="14860" max="14860" width="7.7109375" style="847" customWidth="1"/>
    <col min="14861" max="14861" width="1.7109375" style="847" customWidth="1"/>
    <col min="14862" max="14862" width="6.7109375" style="847" customWidth="1"/>
    <col min="14863" max="14863" width="7.7109375" style="847" customWidth="1"/>
    <col min="14864" max="14864" width="1.7109375" style="847" customWidth="1"/>
    <col min="14865" max="14865" width="6.7109375" style="847" customWidth="1"/>
    <col min="14866" max="14866" width="7.7109375" style="847" customWidth="1"/>
    <col min="14867" max="14867" width="1.7109375" style="847" customWidth="1"/>
    <col min="14868" max="14868" width="6.7109375" style="847" customWidth="1"/>
    <col min="14869" max="14869" width="7.7109375" style="847" customWidth="1"/>
    <col min="14870" max="14870" width="1.85546875" style="847" customWidth="1"/>
    <col min="14871" max="14871" width="6.7109375" style="847" customWidth="1"/>
    <col min="14872" max="14872" width="7.7109375" style="847" customWidth="1"/>
    <col min="14873" max="14873" width="2" style="847" customWidth="1"/>
    <col min="14874" max="15104" width="9.140625" style="847"/>
    <col min="15105" max="15105" width="10.42578125" style="847" customWidth="1"/>
    <col min="15106" max="15107" width="7.7109375" style="847" customWidth="1"/>
    <col min="15108" max="15108" width="1.7109375" style="847" customWidth="1"/>
    <col min="15109" max="15110" width="7.7109375" style="847" customWidth="1"/>
    <col min="15111" max="15111" width="1.7109375" style="847" customWidth="1"/>
    <col min="15112" max="15112" width="6.7109375" style="847" customWidth="1"/>
    <col min="15113" max="15113" width="7.7109375" style="847" customWidth="1"/>
    <col min="15114" max="15114" width="1.7109375" style="847" customWidth="1"/>
    <col min="15115" max="15115" width="6.7109375" style="847" customWidth="1"/>
    <col min="15116" max="15116" width="7.7109375" style="847" customWidth="1"/>
    <col min="15117" max="15117" width="1.7109375" style="847" customWidth="1"/>
    <col min="15118" max="15118" width="6.7109375" style="847" customWidth="1"/>
    <col min="15119" max="15119" width="7.7109375" style="847" customWidth="1"/>
    <col min="15120" max="15120" width="1.7109375" style="847" customWidth="1"/>
    <col min="15121" max="15121" width="6.7109375" style="847" customWidth="1"/>
    <col min="15122" max="15122" width="7.7109375" style="847" customWidth="1"/>
    <col min="15123" max="15123" width="1.7109375" style="847" customWidth="1"/>
    <col min="15124" max="15124" width="6.7109375" style="847" customWidth="1"/>
    <col min="15125" max="15125" width="7.7109375" style="847" customWidth="1"/>
    <col min="15126" max="15126" width="1.85546875" style="847" customWidth="1"/>
    <col min="15127" max="15127" width="6.7109375" style="847" customWidth="1"/>
    <col min="15128" max="15128" width="7.7109375" style="847" customWidth="1"/>
    <col min="15129" max="15129" width="2" style="847" customWidth="1"/>
    <col min="15130" max="15360" width="9.140625" style="847"/>
    <col min="15361" max="15361" width="10.42578125" style="847" customWidth="1"/>
    <col min="15362" max="15363" width="7.7109375" style="847" customWidth="1"/>
    <col min="15364" max="15364" width="1.7109375" style="847" customWidth="1"/>
    <col min="15365" max="15366" width="7.7109375" style="847" customWidth="1"/>
    <col min="15367" max="15367" width="1.7109375" style="847" customWidth="1"/>
    <col min="15368" max="15368" width="6.7109375" style="847" customWidth="1"/>
    <col min="15369" max="15369" width="7.7109375" style="847" customWidth="1"/>
    <col min="15370" max="15370" width="1.7109375" style="847" customWidth="1"/>
    <col min="15371" max="15371" width="6.7109375" style="847" customWidth="1"/>
    <col min="15372" max="15372" width="7.7109375" style="847" customWidth="1"/>
    <col min="15373" max="15373" width="1.7109375" style="847" customWidth="1"/>
    <col min="15374" max="15374" width="6.7109375" style="847" customWidth="1"/>
    <col min="15375" max="15375" width="7.7109375" style="847" customWidth="1"/>
    <col min="15376" max="15376" width="1.7109375" style="847" customWidth="1"/>
    <col min="15377" max="15377" width="6.7109375" style="847" customWidth="1"/>
    <col min="15378" max="15378" width="7.7109375" style="847" customWidth="1"/>
    <col min="15379" max="15379" width="1.7109375" style="847" customWidth="1"/>
    <col min="15380" max="15380" width="6.7109375" style="847" customWidth="1"/>
    <col min="15381" max="15381" width="7.7109375" style="847" customWidth="1"/>
    <col min="15382" max="15382" width="1.85546875" style="847" customWidth="1"/>
    <col min="15383" max="15383" width="6.7109375" style="847" customWidth="1"/>
    <col min="15384" max="15384" width="7.7109375" style="847" customWidth="1"/>
    <col min="15385" max="15385" width="2" style="847" customWidth="1"/>
    <col min="15386" max="15616" width="9.140625" style="847"/>
    <col min="15617" max="15617" width="10.42578125" style="847" customWidth="1"/>
    <col min="15618" max="15619" width="7.7109375" style="847" customWidth="1"/>
    <col min="15620" max="15620" width="1.7109375" style="847" customWidth="1"/>
    <col min="15621" max="15622" width="7.7109375" style="847" customWidth="1"/>
    <col min="15623" max="15623" width="1.7109375" style="847" customWidth="1"/>
    <col min="15624" max="15624" width="6.7109375" style="847" customWidth="1"/>
    <col min="15625" max="15625" width="7.7109375" style="847" customWidth="1"/>
    <col min="15626" max="15626" width="1.7109375" style="847" customWidth="1"/>
    <col min="15627" max="15627" width="6.7109375" style="847" customWidth="1"/>
    <col min="15628" max="15628" width="7.7109375" style="847" customWidth="1"/>
    <col min="15629" max="15629" width="1.7109375" style="847" customWidth="1"/>
    <col min="15630" max="15630" width="6.7109375" style="847" customWidth="1"/>
    <col min="15631" max="15631" width="7.7109375" style="847" customWidth="1"/>
    <col min="15632" max="15632" width="1.7109375" style="847" customWidth="1"/>
    <col min="15633" max="15633" width="6.7109375" style="847" customWidth="1"/>
    <col min="15634" max="15634" width="7.7109375" style="847" customWidth="1"/>
    <col min="15635" max="15635" width="1.7109375" style="847" customWidth="1"/>
    <col min="15636" max="15636" width="6.7109375" style="847" customWidth="1"/>
    <col min="15637" max="15637" width="7.7109375" style="847" customWidth="1"/>
    <col min="15638" max="15638" width="1.85546875" style="847" customWidth="1"/>
    <col min="15639" max="15639" width="6.7109375" style="847" customWidth="1"/>
    <col min="15640" max="15640" width="7.7109375" style="847" customWidth="1"/>
    <col min="15641" max="15641" width="2" style="847" customWidth="1"/>
    <col min="15642" max="15872" width="9.140625" style="847"/>
    <col min="15873" max="15873" width="10.42578125" style="847" customWidth="1"/>
    <col min="15874" max="15875" width="7.7109375" style="847" customWidth="1"/>
    <col min="15876" max="15876" width="1.7109375" style="847" customWidth="1"/>
    <col min="15877" max="15878" width="7.7109375" style="847" customWidth="1"/>
    <col min="15879" max="15879" width="1.7109375" style="847" customWidth="1"/>
    <col min="15880" max="15880" width="6.7109375" style="847" customWidth="1"/>
    <col min="15881" max="15881" width="7.7109375" style="847" customWidth="1"/>
    <col min="15882" max="15882" width="1.7109375" style="847" customWidth="1"/>
    <col min="15883" max="15883" width="6.7109375" style="847" customWidth="1"/>
    <col min="15884" max="15884" width="7.7109375" style="847" customWidth="1"/>
    <col min="15885" max="15885" width="1.7109375" style="847" customWidth="1"/>
    <col min="15886" max="15886" width="6.7109375" style="847" customWidth="1"/>
    <col min="15887" max="15887" width="7.7109375" style="847" customWidth="1"/>
    <col min="15888" max="15888" width="1.7109375" style="847" customWidth="1"/>
    <col min="15889" max="15889" width="6.7109375" style="847" customWidth="1"/>
    <col min="15890" max="15890" width="7.7109375" style="847" customWidth="1"/>
    <col min="15891" max="15891" width="1.7109375" style="847" customWidth="1"/>
    <col min="15892" max="15892" width="6.7109375" style="847" customWidth="1"/>
    <col min="15893" max="15893" width="7.7109375" style="847" customWidth="1"/>
    <col min="15894" max="15894" width="1.85546875" style="847" customWidth="1"/>
    <col min="15895" max="15895" width="6.7109375" style="847" customWidth="1"/>
    <col min="15896" max="15896" width="7.7109375" style="847" customWidth="1"/>
    <col min="15897" max="15897" width="2" style="847" customWidth="1"/>
    <col min="15898" max="16128" width="9.140625" style="847"/>
    <col min="16129" max="16129" width="10.42578125" style="847" customWidth="1"/>
    <col min="16130" max="16131" width="7.7109375" style="847" customWidth="1"/>
    <col min="16132" max="16132" width="1.7109375" style="847" customWidth="1"/>
    <col min="16133" max="16134" width="7.7109375" style="847" customWidth="1"/>
    <col min="16135" max="16135" width="1.7109375" style="847" customWidth="1"/>
    <col min="16136" max="16136" width="6.7109375" style="847" customWidth="1"/>
    <col min="16137" max="16137" width="7.7109375" style="847" customWidth="1"/>
    <col min="16138" max="16138" width="1.7109375" style="847" customWidth="1"/>
    <col min="16139" max="16139" width="6.7109375" style="847" customWidth="1"/>
    <col min="16140" max="16140" width="7.7109375" style="847" customWidth="1"/>
    <col min="16141" max="16141" width="1.7109375" style="847" customWidth="1"/>
    <col min="16142" max="16142" width="6.7109375" style="847" customWidth="1"/>
    <col min="16143" max="16143" width="7.7109375" style="847" customWidth="1"/>
    <col min="16144" max="16144" width="1.7109375" style="847" customWidth="1"/>
    <col min="16145" max="16145" width="6.7109375" style="847" customWidth="1"/>
    <col min="16146" max="16146" width="7.7109375" style="847" customWidth="1"/>
    <col min="16147" max="16147" width="1.7109375" style="847" customWidth="1"/>
    <col min="16148" max="16148" width="6.7109375" style="847" customWidth="1"/>
    <col min="16149" max="16149" width="7.7109375" style="847" customWidth="1"/>
    <col min="16150" max="16150" width="1.85546875" style="847" customWidth="1"/>
    <col min="16151" max="16151" width="6.7109375" style="847" customWidth="1"/>
    <col min="16152" max="16152" width="7.7109375" style="847" customWidth="1"/>
    <col min="16153" max="16153" width="2" style="847" customWidth="1"/>
    <col min="16154" max="16384" width="9.140625" style="847"/>
  </cols>
  <sheetData>
    <row r="1" spans="1:25">
      <c r="A1" s="847" t="s">
        <v>379</v>
      </c>
    </row>
    <row r="2" spans="1:25">
      <c r="A2" s="847" t="s">
        <v>380</v>
      </c>
      <c r="E2" s="1158"/>
      <c r="F2" s="1159"/>
    </row>
    <row r="3" spans="1:25" ht="10.5" customHeight="1"/>
    <row r="4" spans="1:25" ht="19.5" customHeight="1">
      <c r="A4" s="854" t="s">
        <v>2149</v>
      </c>
    </row>
    <row r="5" spans="1:25" ht="12.95" customHeight="1" thickBot="1">
      <c r="L5" s="943"/>
      <c r="O5" s="943"/>
      <c r="P5" s="943"/>
      <c r="R5" s="943"/>
      <c r="S5" s="943"/>
    </row>
    <row r="6" spans="1:25" ht="12.95" customHeight="1">
      <c r="A6" s="850"/>
      <c r="B6" s="992"/>
      <c r="C6" s="993"/>
      <c r="D6" s="850"/>
      <c r="E6" s="992"/>
      <c r="F6" s="993"/>
      <c r="G6" s="850"/>
      <c r="H6" s="992"/>
      <c r="I6" s="993"/>
      <c r="J6" s="993"/>
      <c r="K6" s="992"/>
      <c r="L6" s="993"/>
      <c r="M6" s="850"/>
      <c r="N6" s="992"/>
      <c r="O6" s="993"/>
      <c r="P6" s="993"/>
      <c r="Q6" s="992"/>
      <c r="R6" s="993"/>
      <c r="S6" s="993"/>
      <c r="T6" s="993"/>
      <c r="U6" s="993"/>
      <c r="V6" s="993"/>
      <c r="W6" s="993"/>
      <c r="X6" s="993"/>
      <c r="Y6" s="993"/>
    </row>
    <row r="7" spans="1:25" ht="12.95" customHeight="1">
      <c r="A7" s="849" t="s">
        <v>1789</v>
      </c>
      <c r="B7" s="1323" t="s">
        <v>1790</v>
      </c>
      <c r="C7" s="1323"/>
      <c r="D7" s="849"/>
      <c r="E7" s="1323" t="s">
        <v>1447</v>
      </c>
      <c r="F7" s="1323"/>
      <c r="G7" s="849"/>
      <c r="H7" s="1323" t="s">
        <v>1791</v>
      </c>
      <c r="I7" s="1323"/>
      <c r="J7" s="999"/>
      <c r="K7" s="1323" t="s">
        <v>1792</v>
      </c>
      <c r="L7" s="1323"/>
      <c r="M7" s="849"/>
      <c r="N7" s="1323" t="s">
        <v>1793</v>
      </c>
      <c r="O7" s="1323"/>
      <c r="Q7" s="1322" t="s">
        <v>1794</v>
      </c>
      <c r="R7" s="1323"/>
      <c r="T7" s="1323" t="s">
        <v>1795</v>
      </c>
      <c r="U7" s="1323"/>
      <c r="W7" s="1323" t="s">
        <v>1796</v>
      </c>
      <c r="X7" s="1323"/>
    </row>
    <row r="8" spans="1:25" ht="12.95" customHeight="1">
      <c r="A8" s="847" t="s">
        <v>1797</v>
      </c>
      <c r="B8" s="1160" t="s">
        <v>323</v>
      </c>
      <c r="C8" s="1029" t="s">
        <v>324</v>
      </c>
      <c r="D8" s="849"/>
      <c r="E8" s="1160" t="s">
        <v>323</v>
      </c>
      <c r="F8" s="1029" t="s">
        <v>324</v>
      </c>
      <c r="G8" s="849"/>
      <c r="H8" s="1160" t="s">
        <v>323</v>
      </c>
      <c r="I8" s="1029" t="s">
        <v>324</v>
      </c>
      <c r="J8" s="1029"/>
      <c r="K8" s="1160" t="s">
        <v>323</v>
      </c>
      <c r="L8" s="1029" t="s">
        <v>324</v>
      </c>
      <c r="M8" s="849"/>
      <c r="N8" s="1160" t="s">
        <v>323</v>
      </c>
      <c r="O8" s="1029" t="s">
        <v>324</v>
      </c>
      <c r="Q8" s="1160" t="s">
        <v>323</v>
      </c>
      <c r="R8" s="1029" t="s">
        <v>324</v>
      </c>
      <c r="T8" s="1160" t="s">
        <v>323</v>
      </c>
      <c r="U8" s="1029" t="s">
        <v>324</v>
      </c>
      <c r="W8" s="1160" t="s">
        <v>323</v>
      </c>
      <c r="X8" s="1029" t="s">
        <v>324</v>
      </c>
    </row>
    <row r="9" spans="1:25" ht="12.95" customHeight="1" thickBot="1">
      <c r="A9" s="848"/>
      <c r="B9" s="995"/>
      <c r="C9" s="996"/>
      <c r="D9" s="848"/>
      <c r="E9" s="995"/>
      <c r="F9" s="996"/>
      <c r="G9" s="848"/>
      <c r="H9" s="995"/>
      <c r="I9" s="996"/>
      <c r="J9" s="996"/>
      <c r="K9" s="995"/>
      <c r="L9" s="996"/>
      <c r="M9" s="848"/>
      <c r="N9" s="995"/>
      <c r="O9" s="996"/>
      <c r="P9" s="996"/>
      <c r="Q9" s="995"/>
      <c r="R9" s="996"/>
      <c r="S9" s="996"/>
      <c r="T9" s="996"/>
      <c r="U9" s="996"/>
      <c r="V9" s="996"/>
      <c r="W9" s="996"/>
      <c r="X9" s="996"/>
      <c r="Y9" s="996"/>
    </row>
    <row r="10" spans="1:25" ht="12.95" customHeight="1">
      <c r="A10" s="849"/>
      <c r="B10" s="997"/>
      <c r="C10" s="999"/>
      <c r="D10" s="849"/>
      <c r="E10" s="997"/>
      <c r="F10" s="999"/>
      <c r="G10" s="849"/>
      <c r="H10" s="997"/>
      <c r="I10" s="999"/>
      <c r="J10" s="999"/>
      <c r="K10" s="997"/>
      <c r="L10" s="999"/>
      <c r="M10" s="849"/>
      <c r="N10" s="997"/>
      <c r="O10" s="999"/>
      <c r="Q10" s="997"/>
      <c r="R10" s="999"/>
    </row>
    <row r="11" spans="1:25" s="867" customFormat="1" ht="12.95" customHeight="1">
      <c r="A11" s="1099" t="s">
        <v>5</v>
      </c>
      <c r="B11" s="1162">
        <f>IF($A11&lt;&gt;0,SUM(B13:B21),"")</f>
        <v>4894</v>
      </c>
      <c r="C11" s="907">
        <f>IF($A11&lt;&gt;0,SUM(C13:C21),"")</f>
        <v>100</v>
      </c>
      <c r="D11" s="881"/>
      <c r="E11" s="1162">
        <f>IF($A11&lt;&gt;0,SUM(E13:E21),"")</f>
        <v>2870</v>
      </c>
      <c r="F11" s="907">
        <f>IF($A11&lt;&gt;0,SUM(F13:F21),"")</f>
        <v>100</v>
      </c>
      <c r="G11" s="881"/>
      <c r="H11" s="1162">
        <f>IF($A11&lt;&gt;0,SUM(H13:H21),"")</f>
        <v>571</v>
      </c>
      <c r="I11" s="907">
        <f>IF($A11&lt;&gt;0,SUM(I13:I21),"")</f>
        <v>100</v>
      </c>
      <c r="J11" s="880"/>
      <c r="K11" s="1162">
        <f>IF($A11&lt;&gt;0,SUM(K13:K21),"")</f>
        <v>431</v>
      </c>
      <c r="L11" s="907">
        <f>IF($A11&lt;&gt;0,SUM(L13:L21),"")</f>
        <v>100</v>
      </c>
      <c r="M11" s="881"/>
      <c r="N11" s="1162">
        <f>IF($A11&lt;&gt;0,SUM(N13:N21),"")</f>
        <v>385</v>
      </c>
      <c r="O11" s="907">
        <f>IF($A11&lt;&gt;0,SUM(O13:O21),"")</f>
        <v>100</v>
      </c>
      <c r="Q11" s="1162">
        <f>IF($A11&lt;&gt;0,SUM(Q13:Q21),"")</f>
        <v>298</v>
      </c>
      <c r="R11" s="907">
        <f>IF($A11&lt;&gt;0,SUM(R13:R21),"")</f>
        <v>100</v>
      </c>
      <c r="T11" s="1162">
        <f>IF($A11&lt;&gt;0,SUM(T13:T21),"")</f>
        <v>276</v>
      </c>
      <c r="U11" s="907">
        <f>IF($A11&lt;&gt;0,SUM(U13:U21),"")</f>
        <v>100</v>
      </c>
      <c r="W11" s="1162">
        <f>IF($A11&lt;&gt;0,SUM(W13:W21),"")</f>
        <v>63</v>
      </c>
      <c r="X11" s="907">
        <f>IF($A11&lt;&gt;0,SUM(X13:X21),"")</f>
        <v>100</v>
      </c>
    </row>
    <row r="12" spans="1:25" ht="12.95" customHeight="1">
      <c r="A12" s="954"/>
      <c r="B12" s="1161" t="str">
        <f>IF(A12&lt;&gt;"",E12+H12+K12+N12+Q12+T12+W12,"")</f>
        <v/>
      </c>
      <c r="C12" s="999" t="str">
        <f>IF($A12&lt;&gt;0,B12/$B$11*100,"")</f>
        <v/>
      </c>
      <c r="D12" s="849"/>
      <c r="E12" s="1161"/>
      <c r="F12" s="997" t="str">
        <f>IF(E12&lt;&gt;0,I12+L12+O12+R12+U12,"")</f>
        <v/>
      </c>
      <c r="G12" s="849"/>
      <c r="H12" s="1161"/>
      <c r="I12" s="999" t="str">
        <f>IF(A12&lt;&gt;0,H12/B12*100,"")</f>
        <v/>
      </c>
      <c r="J12" s="999"/>
      <c r="K12" s="1161"/>
      <c r="L12" s="999" t="str">
        <f>IF(A12&lt;&gt;0,K12/B12*100,"")</f>
        <v/>
      </c>
      <c r="M12" s="849"/>
      <c r="N12" s="1161"/>
      <c r="O12" s="999" t="str">
        <f>IF(A12&lt;&gt;0,N12/B12*100,"")</f>
        <v/>
      </c>
      <c r="Q12" s="1161"/>
      <c r="R12" s="999" t="str">
        <f>IF(A12&lt;&gt;0,Q12/B12*100,"")</f>
        <v/>
      </c>
      <c r="T12" s="1001"/>
      <c r="W12" s="1001"/>
    </row>
    <row r="13" spans="1:25" ht="12.95" customHeight="1">
      <c r="A13" s="1163">
        <v>1</v>
      </c>
      <c r="B13" s="1161">
        <f>IF(A13&lt;&gt;"",E13+H13+K13+N13+Q13+T13+W13,"")</f>
        <v>339</v>
      </c>
      <c r="C13" s="999">
        <f t="shared" ref="C13:C21" si="0">IF($A13&lt;&gt;"",B13/$B$11*100,"")</f>
        <v>6.9268492031058431</v>
      </c>
      <c r="D13" s="849"/>
      <c r="E13" s="1164">
        <v>247</v>
      </c>
      <c r="F13" s="999">
        <f t="shared" ref="F13:F21" si="1">IF($A13&lt;&gt;"",E13/$E$11*100,"")</f>
        <v>8.6062717770034833</v>
      </c>
      <c r="G13" s="849"/>
      <c r="H13" s="1164">
        <v>24</v>
      </c>
      <c r="I13" s="999">
        <f t="shared" ref="I13:I21" si="2">IF($A13&lt;&gt;"",H13/$H$11*100,"")</f>
        <v>4.2031523642732047</v>
      </c>
      <c r="J13" s="999"/>
      <c r="K13" s="1164">
        <v>18</v>
      </c>
      <c r="L13" s="999">
        <f t="shared" ref="L13:L21" si="3">IF($A13&lt;&gt;"",K13/$K$11*100,"")</f>
        <v>4.1763341067285378</v>
      </c>
      <c r="M13" s="849"/>
      <c r="N13" s="1164">
        <v>20</v>
      </c>
      <c r="O13" s="999">
        <f t="shared" ref="O13:O21" si="4">IF($A13&lt;&gt;"",N13/$N$11*100,"")</f>
        <v>5.1948051948051948</v>
      </c>
      <c r="Q13" s="1164">
        <v>8</v>
      </c>
      <c r="R13" s="999">
        <f t="shared" ref="R13:R21" si="5">IF($A13&lt;&gt;"",Q13/$Q$11*100,"")</f>
        <v>2.6845637583892619</v>
      </c>
      <c r="T13" s="1164">
        <v>19</v>
      </c>
      <c r="U13" s="999">
        <f t="shared" ref="U13:U21" si="6">IF($A13&lt;&gt;"",T13/$T$11*100,"")</f>
        <v>6.8840579710144931</v>
      </c>
      <c r="W13" s="1164">
        <v>3</v>
      </c>
      <c r="X13" s="999">
        <f>IF($A13&lt;&gt;"",W13/$W$11*100,"")</f>
        <v>4.7619047619047619</v>
      </c>
    </row>
    <row r="14" spans="1:25" ht="12.95" customHeight="1">
      <c r="A14" s="1163"/>
      <c r="B14" s="1161" t="str">
        <f t="shared" ref="B14:B21" si="7">IF(A14&lt;&gt;"",E14+H14+K14+N14+Q14+T14+W14,"")</f>
        <v/>
      </c>
      <c r="C14" s="999" t="str">
        <f t="shared" si="0"/>
        <v/>
      </c>
      <c r="D14" s="849"/>
      <c r="E14" s="1164"/>
      <c r="F14" s="999" t="str">
        <f t="shared" si="1"/>
        <v/>
      </c>
      <c r="G14" s="849"/>
      <c r="H14" s="1164"/>
      <c r="I14" s="999" t="str">
        <f t="shared" si="2"/>
        <v/>
      </c>
      <c r="J14" s="999"/>
      <c r="K14" s="1164"/>
      <c r="L14" s="999" t="str">
        <f t="shared" si="3"/>
        <v/>
      </c>
      <c r="M14" s="849"/>
      <c r="N14" s="1164"/>
      <c r="O14" s="999" t="str">
        <f t="shared" si="4"/>
        <v/>
      </c>
      <c r="Q14" s="1164"/>
      <c r="R14" s="999" t="str">
        <f t="shared" si="5"/>
        <v/>
      </c>
      <c r="T14" s="1164"/>
      <c r="U14" s="999" t="str">
        <f t="shared" si="6"/>
        <v/>
      </c>
      <c r="W14" s="1164"/>
      <c r="X14" s="999" t="str">
        <f>IF($A14&lt;&gt;"",W14/$T$11*100,"")</f>
        <v/>
      </c>
    </row>
    <row r="15" spans="1:25" ht="12.95" customHeight="1">
      <c r="A15" s="1163">
        <v>2</v>
      </c>
      <c r="B15" s="1161">
        <f t="shared" si="7"/>
        <v>403</v>
      </c>
      <c r="C15" s="999">
        <f t="shared" si="0"/>
        <v>8.2345729464650592</v>
      </c>
      <c r="D15" s="849"/>
      <c r="E15" s="1164">
        <v>288</v>
      </c>
      <c r="F15" s="999">
        <f t="shared" si="1"/>
        <v>10.034843205574912</v>
      </c>
      <c r="G15" s="849"/>
      <c r="H15" s="1164">
        <v>34</v>
      </c>
      <c r="I15" s="999">
        <f t="shared" si="2"/>
        <v>5.9544658493870406</v>
      </c>
      <c r="J15" s="999"/>
      <c r="K15" s="1164">
        <v>17</v>
      </c>
      <c r="L15" s="999">
        <f t="shared" si="3"/>
        <v>3.9443155452436192</v>
      </c>
      <c r="M15" s="849"/>
      <c r="N15" s="1164">
        <v>24</v>
      </c>
      <c r="O15" s="999">
        <f t="shared" si="4"/>
        <v>6.2337662337662341</v>
      </c>
      <c r="Q15" s="1164">
        <v>16</v>
      </c>
      <c r="R15" s="999">
        <f t="shared" si="5"/>
        <v>5.3691275167785237</v>
      </c>
      <c r="T15" s="1164">
        <v>16</v>
      </c>
      <c r="U15" s="999">
        <f t="shared" si="6"/>
        <v>5.7971014492753623</v>
      </c>
      <c r="W15" s="1164">
        <v>8</v>
      </c>
      <c r="X15" s="999">
        <f t="shared" ref="X15:X21" si="8">IF($A15&lt;&gt;"",W15/$W$11*100,"")</f>
        <v>12.698412698412698</v>
      </c>
    </row>
    <row r="16" spans="1:25" ht="12.95" customHeight="1">
      <c r="A16" s="1163"/>
      <c r="B16" s="1161" t="str">
        <f t="shared" si="7"/>
        <v/>
      </c>
      <c r="C16" s="999" t="str">
        <f t="shared" si="0"/>
        <v/>
      </c>
      <c r="D16" s="849"/>
      <c r="E16" s="1164"/>
      <c r="F16" s="999" t="str">
        <f t="shared" si="1"/>
        <v/>
      </c>
      <c r="G16" s="849"/>
      <c r="H16" s="1164"/>
      <c r="I16" s="999" t="str">
        <f t="shared" si="2"/>
        <v/>
      </c>
      <c r="J16" s="999"/>
      <c r="K16" s="1164"/>
      <c r="L16" s="999" t="str">
        <f t="shared" si="3"/>
        <v/>
      </c>
      <c r="M16" s="849"/>
      <c r="N16" s="1164"/>
      <c r="O16" s="999" t="str">
        <f t="shared" si="4"/>
        <v/>
      </c>
      <c r="Q16" s="1164"/>
      <c r="R16" s="999" t="str">
        <f t="shared" si="5"/>
        <v/>
      </c>
      <c r="T16" s="1164"/>
      <c r="U16" s="999" t="str">
        <f t="shared" si="6"/>
        <v/>
      </c>
      <c r="W16" s="1164"/>
      <c r="X16" s="999" t="str">
        <f t="shared" si="8"/>
        <v/>
      </c>
    </row>
    <row r="17" spans="1:25" ht="12.95" customHeight="1">
      <c r="A17" s="1163">
        <v>3</v>
      </c>
      <c r="B17" s="1161">
        <f t="shared" si="7"/>
        <v>399</v>
      </c>
      <c r="C17" s="999">
        <f t="shared" si="0"/>
        <v>8.152840212505108</v>
      </c>
      <c r="D17" s="849"/>
      <c r="E17" s="1164">
        <v>271</v>
      </c>
      <c r="F17" s="999">
        <f t="shared" si="1"/>
        <v>9.442508710801393</v>
      </c>
      <c r="G17" s="1045"/>
      <c r="H17" s="1164">
        <v>39</v>
      </c>
      <c r="I17" s="999">
        <f t="shared" si="2"/>
        <v>6.8301225919439572</v>
      </c>
      <c r="J17" s="1044"/>
      <c r="K17" s="1164">
        <v>25</v>
      </c>
      <c r="L17" s="999">
        <f t="shared" si="3"/>
        <v>5.8004640371229694</v>
      </c>
      <c r="M17" s="1045"/>
      <c r="N17" s="1164">
        <v>19</v>
      </c>
      <c r="O17" s="999">
        <f t="shared" si="4"/>
        <v>4.9350649350649354</v>
      </c>
      <c r="P17" s="1046"/>
      <c r="Q17" s="1164">
        <v>17</v>
      </c>
      <c r="R17" s="999">
        <f t="shared" si="5"/>
        <v>5.7046979865771812</v>
      </c>
      <c r="T17" s="1164">
        <v>20</v>
      </c>
      <c r="U17" s="999">
        <f t="shared" si="6"/>
        <v>7.2463768115942031</v>
      </c>
      <c r="W17" s="1164">
        <v>8</v>
      </c>
      <c r="X17" s="999">
        <f t="shared" si="8"/>
        <v>12.698412698412698</v>
      </c>
    </row>
    <row r="18" spans="1:25" ht="12.95" customHeight="1">
      <c r="A18" s="1163"/>
      <c r="B18" s="1161" t="str">
        <f t="shared" si="7"/>
        <v/>
      </c>
      <c r="C18" s="999" t="str">
        <f t="shared" si="0"/>
        <v/>
      </c>
      <c r="D18" s="849"/>
      <c r="E18" s="1164"/>
      <c r="F18" s="999" t="str">
        <f t="shared" si="1"/>
        <v/>
      </c>
      <c r="G18" s="1045"/>
      <c r="H18" s="1164"/>
      <c r="I18" s="999" t="str">
        <f t="shared" si="2"/>
        <v/>
      </c>
      <c r="J18" s="1044"/>
      <c r="K18" s="1164"/>
      <c r="L18" s="999" t="str">
        <f t="shared" si="3"/>
        <v/>
      </c>
      <c r="M18" s="1045"/>
      <c r="N18" s="1164"/>
      <c r="O18" s="999" t="str">
        <f t="shared" si="4"/>
        <v/>
      </c>
      <c r="P18" s="1046"/>
      <c r="Q18" s="1164"/>
      <c r="R18" s="999" t="str">
        <f t="shared" si="5"/>
        <v/>
      </c>
      <c r="T18" s="1164"/>
      <c r="U18" s="999" t="str">
        <f t="shared" si="6"/>
        <v/>
      </c>
      <c r="W18" s="1164"/>
      <c r="X18" s="999" t="str">
        <f t="shared" si="8"/>
        <v/>
      </c>
    </row>
    <row r="19" spans="1:25" ht="12.95" customHeight="1">
      <c r="A19" s="1163">
        <v>4</v>
      </c>
      <c r="B19" s="1161">
        <f t="shared" si="7"/>
        <v>542</v>
      </c>
      <c r="C19" s="999">
        <f t="shared" si="0"/>
        <v>11.074785451573355</v>
      </c>
      <c r="D19" s="849"/>
      <c r="E19" s="1164">
        <v>361</v>
      </c>
      <c r="F19" s="999">
        <f t="shared" si="1"/>
        <v>12.578397212543555</v>
      </c>
      <c r="G19" s="1045"/>
      <c r="H19" s="1164">
        <v>48</v>
      </c>
      <c r="I19" s="999">
        <f t="shared" si="2"/>
        <v>8.4063047285464094</v>
      </c>
      <c r="J19" s="1044"/>
      <c r="K19" s="1164">
        <v>40</v>
      </c>
      <c r="L19" s="999">
        <f t="shared" si="3"/>
        <v>9.2807424593967518</v>
      </c>
      <c r="M19" s="1045"/>
      <c r="N19" s="1164">
        <v>32</v>
      </c>
      <c r="O19" s="999">
        <f t="shared" si="4"/>
        <v>8.3116883116883109</v>
      </c>
      <c r="P19" s="1046"/>
      <c r="Q19" s="1164">
        <v>21</v>
      </c>
      <c r="R19" s="999">
        <f t="shared" si="5"/>
        <v>7.0469798657718119</v>
      </c>
      <c r="T19" s="1164">
        <v>29</v>
      </c>
      <c r="U19" s="999">
        <f t="shared" si="6"/>
        <v>10.507246376811594</v>
      </c>
      <c r="W19" s="1164">
        <v>11</v>
      </c>
      <c r="X19" s="999">
        <f t="shared" si="8"/>
        <v>17.460317460317459</v>
      </c>
    </row>
    <row r="20" spans="1:25" ht="12.95" customHeight="1">
      <c r="A20" s="1163"/>
      <c r="B20" s="1161" t="str">
        <f t="shared" si="7"/>
        <v/>
      </c>
      <c r="C20" s="999" t="str">
        <f t="shared" si="0"/>
        <v/>
      </c>
      <c r="D20" s="849"/>
      <c r="E20" s="1164"/>
      <c r="F20" s="999" t="str">
        <f t="shared" si="1"/>
        <v/>
      </c>
      <c r="G20" s="849"/>
      <c r="H20" s="1164"/>
      <c r="I20" s="999" t="str">
        <f t="shared" si="2"/>
        <v/>
      </c>
      <c r="J20" s="999"/>
      <c r="K20" s="1164"/>
      <c r="L20" s="999" t="str">
        <f t="shared" si="3"/>
        <v/>
      </c>
      <c r="M20" s="849"/>
      <c r="N20" s="1164"/>
      <c r="O20" s="999" t="str">
        <f t="shared" si="4"/>
        <v/>
      </c>
      <c r="Q20" s="1164"/>
      <c r="R20" s="999" t="str">
        <f t="shared" si="5"/>
        <v/>
      </c>
      <c r="T20" s="1164"/>
      <c r="U20" s="999" t="str">
        <f t="shared" si="6"/>
        <v/>
      </c>
      <c r="W20" s="1164"/>
      <c r="X20" s="999" t="str">
        <f t="shared" si="8"/>
        <v/>
      </c>
    </row>
    <row r="21" spans="1:25" ht="12.95" customHeight="1">
      <c r="A21" s="1163">
        <v>5</v>
      </c>
      <c r="B21" s="1161">
        <f t="shared" si="7"/>
        <v>3211</v>
      </c>
      <c r="C21" s="999">
        <f t="shared" si="0"/>
        <v>65.61095218635063</v>
      </c>
      <c r="D21" s="849"/>
      <c r="E21" s="1164">
        <v>1703</v>
      </c>
      <c r="F21" s="999">
        <f t="shared" si="1"/>
        <v>59.337979094076651</v>
      </c>
      <c r="G21" s="849"/>
      <c r="H21" s="1164">
        <v>426</v>
      </c>
      <c r="I21" s="999">
        <f t="shared" si="2"/>
        <v>74.605954465849393</v>
      </c>
      <c r="J21" s="999"/>
      <c r="K21" s="1164">
        <v>331</v>
      </c>
      <c r="L21" s="999">
        <f t="shared" si="3"/>
        <v>76.798143851508115</v>
      </c>
      <c r="M21" s="849"/>
      <c r="N21" s="1164">
        <v>290</v>
      </c>
      <c r="O21" s="999">
        <f t="shared" si="4"/>
        <v>75.324675324675326</v>
      </c>
      <c r="Q21" s="1164">
        <v>236</v>
      </c>
      <c r="R21" s="999">
        <f t="shared" si="5"/>
        <v>79.194630872483216</v>
      </c>
      <c r="T21" s="1164">
        <v>192</v>
      </c>
      <c r="U21" s="999">
        <f t="shared" si="6"/>
        <v>69.565217391304344</v>
      </c>
      <c r="W21" s="1164">
        <v>33</v>
      </c>
      <c r="X21" s="999">
        <f t="shared" si="8"/>
        <v>52.380952380952387</v>
      </c>
    </row>
    <row r="22" spans="1:25" ht="12.95" customHeight="1" thickBot="1"/>
    <row r="23" spans="1:25" ht="12.95" customHeight="1">
      <c r="A23" s="850"/>
      <c r="B23" s="992"/>
      <c r="C23" s="993"/>
      <c r="D23" s="850"/>
      <c r="E23" s="992"/>
      <c r="F23" s="993"/>
      <c r="G23" s="850"/>
      <c r="H23" s="992"/>
      <c r="I23" s="993"/>
      <c r="J23" s="993"/>
      <c r="K23" s="992"/>
      <c r="L23" s="850"/>
      <c r="M23" s="850"/>
      <c r="N23" s="992"/>
      <c r="O23" s="850"/>
      <c r="P23" s="850"/>
      <c r="Q23" s="992"/>
      <c r="R23" s="850"/>
      <c r="S23" s="850"/>
      <c r="T23" s="850"/>
      <c r="U23" s="850"/>
      <c r="V23" s="850"/>
      <c r="W23" s="850"/>
      <c r="X23" s="850"/>
      <c r="Y23" s="850"/>
    </row>
    <row r="24" spans="1:25" ht="12.95" customHeight="1">
      <c r="A24" s="1165" t="s">
        <v>2150</v>
      </c>
      <c r="B24" s="1158"/>
      <c r="C24" s="1159"/>
      <c r="D24" s="1158"/>
      <c r="E24" s="1158"/>
      <c r="F24" s="1159"/>
      <c r="G24" s="942"/>
      <c r="J24" s="847"/>
      <c r="K24" s="847"/>
      <c r="N24" s="847"/>
      <c r="Q24" s="847"/>
    </row>
    <row r="25" spans="1:25" ht="12.95" customHeight="1">
      <c r="A25" s="852" t="s">
        <v>1798</v>
      </c>
      <c r="B25" s="1158"/>
      <c r="C25" s="1159"/>
      <c r="D25" s="1158"/>
      <c r="E25" s="1158"/>
      <c r="F25" s="1159"/>
      <c r="G25" s="942"/>
      <c r="J25" s="847"/>
      <c r="K25" s="847"/>
      <c r="N25" s="847"/>
      <c r="Q25" s="847"/>
    </row>
    <row r="26" spans="1:25" ht="12.95" customHeight="1">
      <c r="A26" s="1165" t="s">
        <v>1799</v>
      </c>
      <c r="B26" s="1158"/>
      <c r="C26" s="1159"/>
      <c r="D26" s="1158"/>
      <c r="E26" s="1158"/>
      <c r="F26" s="1159"/>
      <c r="G26" s="942"/>
      <c r="J26" s="847"/>
      <c r="K26" s="847"/>
      <c r="N26" s="847"/>
      <c r="Q26" s="847"/>
    </row>
    <row r="27" spans="1:25" ht="12.95" customHeight="1">
      <c r="A27" s="1124" t="s">
        <v>1800</v>
      </c>
      <c r="B27" s="1158"/>
      <c r="C27" s="1159"/>
      <c r="D27" s="1158"/>
      <c r="E27" s="1158"/>
      <c r="F27" s="1159"/>
      <c r="G27" s="1158"/>
      <c r="H27" s="1158"/>
      <c r="J27" s="847"/>
      <c r="K27" s="847"/>
      <c r="N27" s="847"/>
      <c r="Q27" s="847"/>
    </row>
    <row r="28" spans="1:25" ht="8.25" customHeight="1">
      <c r="A28" s="1165"/>
      <c r="B28" s="1158"/>
      <c r="C28" s="1159"/>
      <c r="D28" s="1158"/>
      <c r="E28" s="1158"/>
      <c r="F28" s="1159"/>
      <c r="G28" s="1158"/>
      <c r="H28" s="1158"/>
      <c r="J28" s="847"/>
      <c r="K28" s="847"/>
      <c r="N28" s="847"/>
      <c r="Q28" s="847"/>
    </row>
    <row r="29" spans="1:25" ht="12.95" customHeight="1">
      <c r="A29" s="847" t="s">
        <v>1743</v>
      </c>
    </row>
    <row r="30" spans="1:25" ht="12.95" customHeight="1">
      <c r="A30" s="847" t="s">
        <v>355</v>
      </c>
    </row>
    <row r="34" spans="1:24">
      <c r="A34" s="1166"/>
      <c r="B34" s="1166"/>
      <c r="C34" s="1166"/>
      <c r="D34" s="1166"/>
      <c r="E34" s="1166"/>
      <c r="F34" s="1166"/>
      <c r="G34" s="1166"/>
      <c r="H34" s="1166"/>
      <c r="I34" s="1166"/>
      <c r="J34" s="1166"/>
      <c r="K34" s="1166"/>
      <c r="L34" s="1166"/>
      <c r="M34" s="1166"/>
      <c r="N34" s="1166"/>
      <c r="O34" s="1166"/>
      <c r="P34" s="1166"/>
      <c r="Q34" s="1166"/>
      <c r="R34" s="1166"/>
      <c r="S34" s="1166"/>
      <c r="T34" s="1166"/>
      <c r="U34" s="1166"/>
      <c r="V34" s="1166"/>
      <c r="W34" s="1166"/>
      <c r="X34" s="1166"/>
    </row>
  </sheetData>
  <mergeCells count="8">
    <mergeCell ref="T7:U7"/>
    <mergeCell ref="W7:X7"/>
    <mergeCell ref="B7:C7"/>
    <mergeCell ref="E7:F7"/>
    <mergeCell ref="H7:I7"/>
    <mergeCell ref="K7:L7"/>
    <mergeCell ref="N7:O7"/>
    <mergeCell ref="Q7:R7"/>
  </mergeCells>
  <printOptions horizontalCentered="1" verticalCentered="1"/>
  <pageMargins left="0" right="0" top="0" bottom="0" header="0.31496062992125984" footer="0.31496062992125984"/>
  <pageSetup paperSize="9" scale="90" orientation="landscape" r:id="rId1"/>
</worksheet>
</file>

<file path=xl/worksheets/sheet118.xml><?xml version="1.0" encoding="utf-8"?>
<worksheet xmlns="http://schemas.openxmlformats.org/spreadsheetml/2006/main" xmlns:r="http://schemas.openxmlformats.org/officeDocument/2006/relationships">
  <sheetPr>
    <tabColor theme="5" tint="0.59999389629810485"/>
  </sheetPr>
  <dimension ref="B2:K8"/>
  <sheetViews>
    <sheetView workbookViewId="0">
      <selection activeCell="J1" sqref="J1"/>
    </sheetView>
  </sheetViews>
  <sheetFormatPr baseColWidth="10" defaultRowHeight="15"/>
  <sheetData>
    <row r="2" spans="2:11">
      <c r="B2" s="42" t="s">
        <v>1796</v>
      </c>
      <c r="C2" s="687">
        <v>63</v>
      </c>
      <c r="D2" s="687"/>
      <c r="E2" s="687"/>
    </row>
    <row r="3" spans="2:11">
      <c r="B3" s="42" t="s">
        <v>1795</v>
      </c>
      <c r="C3" s="687">
        <v>276</v>
      </c>
      <c r="D3" s="687"/>
      <c r="E3" s="687"/>
      <c r="G3" s="687"/>
      <c r="H3" s="687"/>
      <c r="I3" s="687"/>
      <c r="J3" s="687"/>
      <c r="K3" s="687"/>
    </row>
    <row r="4" spans="2:11">
      <c r="B4" s="42" t="s">
        <v>1794</v>
      </c>
      <c r="C4" s="687">
        <v>298</v>
      </c>
      <c r="D4" s="687"/>
      <c r="E4" s="687"/>
    </row>
    <row r="5" spans="2:11">
      <c r="B5" s="42" t="s">
        <v>1793</v>
      </c>
      <c r="C5" s="687">
        <v>385</v>
      </c>
      <c r="D5" s="687"/>
      <c r="E5" s="687"/>
    </row>
    <row r="6" spans="2:11">
      <c r="B6" s="42" t="s">
        <v>1792</v>
      </c>
      <c r="C6" s="687">
        <v>431</v>
      </c>
      <c r="D6" s="687"/>
      <c r="E6" s="687"/>
    </row>
    <row r="7" spans="2:11">
      <c r="B7" s="42" t="s">
        <v>1791</v>
      </c>
      <c r="C7" s="687">
        <v>571</v>
      </c>
      <c r="D7" s="687"/>
      <c r="E7" s="687"/>
    </row>
    <row r="8" spans="2:11">
      <c r="B8" s="42" t="s">
        <v>1944</v>
      </c>
      <c r="C8" s="687">
        <v>2870</v>
      </c>
      <c r="D8" s="687"/>
      <c r="E8" s="687"/>
    </row>
  </sheetData>
  <printOptions horizontalCentered="1" verticalCentered="1"/>
  <pageMargins left="0" right="0" top="0" bottom="0" header="0.31496062992125984" footer="0.31496062992125984"/>
  <pageSetup paperSize="9" orientation="landscape" r:id="rId1"/>
  <drawing r:id="rId2"/>
</worksheet>
</file>

<file path=xl/worksheets/sheet119.xml><?xml version="1.0" encoding="utf-8"?>
<worksheet xmlns="http://schemas.openxmlformats.org/spreadsheetml/2006/main" xmlns:r="http://schemas.openxmlformats.org/officeDocument/2006/relationships">
  <dimension ref="A1:Y27"/>
  <sheetViews>
    <sheetView workbookViewId="0">
      <selection activeCell="C27" sqref="C27"/>
    </sheetView>
  </sheetViews>
  <sheetFormatPr baseColWidth="10" defaultColWidth="9.140625" defaultRowHeight="15"/>
  <cols>
    <col min="1" max="1" width="11" customWidth="1"/>
    <col min="2" max="2" width="7.5703125" style="50" customWidth="1"/>
    <col min="3" max="3" width="7.7109375" style="43" customWidth="1"/>
    <col min="4" max="4" width="1.7109375" customWidth="1"/>
    <col min="5" max="5" width="7.7109375" style="258" customWidth="1"/>
    <col min="6" max="6" width="7.7109375" style="43" customWidth="1"/>
    <col min="7" max="7" width="1.7109375" customWidth="1"/>
    <col min="8" max="8" width="6.7109375" style="258" customWidth="1"/>
    <col min="9" max="9" width="7.7109375" style="43" customWidth="1"/>
    <col min="10" max="10" width="1.7109375" style="43" customWidth="1"/>
    <col min="11" max="11" width="6.7109375" style="258" customWidth="1"/>
    <col min="12" max="12" width="7.7109375" customWidth="1"/>
    <col min="13" max="13" width="1.7109375" customWidth="1"/>
    <col min="14" max="14" width="6.7109375" style="258" customWidth="1"/>
    <col min="15" max="15" width="7.7109375" customWidth="1"/>
    <col min="16" max="16" width="1.7109375" customWidth="1"/>
    <col min="17" max="17" width="6.7109375" style="258" customWidth="1"/>
    <col min="18" max="18" width="7.7109375" customWidth="1"/>
    <col min="19" max="19" width="1.7109375" customWidth="1"/>
    <col min="20" max="20" width="6.7109375" style="45" customWidth="1"/>
    <col min="21" max="21" width="7.7109375" customWidth="1"/>
    <col min="22" max="22" width="1.85546875" customWidth="1"/>
    <col min="23" max="23" width="6.7109375" customWidth="1"/>
    <col min="24" max="24" width="7.7109375" customWidth="1"/>
    <col min="25" max="25" width="1.7109375" customWidth="1"/>
    <col min="257" max="257" width="11" customWidth="1"/>
    <col min="258" max="258" width="7.5703125" customWidth="1"/>
    <col min="259" max="259" width="7.7109375" customWidth="1"/>
    <col min="260" max="260" width="1.7109375" customWidth="1"/>
    <col min="261" max="262" width="7.7109375" customWidth="1"/>
    <col min="263" max="263" width="1.7109375" customWidth="1"/>
    <col min="264" max="264" width="6.7109375" customWidth="1"/>
    <col min="265" max="265" width="7.7109375" customWidth="1"/>
    <col min="266" max="266" width="1.7109375" customWidth="1"/>
    <col min="267" max="267" width="6.7109375" customWidth="1"/>
    <col min="268" max="268" width="7.7109375" customWidth="1"/>
    <col min="269" max="269" width="1.7109375" customWidth="1"/>
    <col min="270" max="270" width="6.7109375" customWidth="1"/>
    <col min="271" max="271" width="7.7109375" customWidth="1"/>
    <col min="272" max="272" width="1.7109375" customWidth="1"/>
    <col min="273" max="273" width="6.7109375" customWidth="1"/>
    <col min="274" max="274" width="7.7109375" customWidth="1"/>
    <col min="275" max="275" width="1.7109375" customWidth="1"/>
    <col min="276" max="276" width="6.7109375" customWidth="1"/>
    <col min="277" max="277" width="7.7109375" customWidth="1"/>
    <col min="278" max="278" width="1.85546875" customWidth="1"/>
    <col min="279" max="279" width="6.7109375" customWidth="1"/>
    <col min="280" max="280" width="7.7109375" customWidth="1"/>
    <col min="281" max="281" width="1.7109375" customWidth="1"/>
    <col min="513" max="513" width="11" customWidth="1"/>
    <col min="514" max="514" width="7.5703125" customWidth="1"/>
    <col min="515" max="515" width="7.7109375" customWidth="1"/>
    <col min="516" max="516" width="1.7109375" customWidth="1"/>
    <col min="517" max="518" width="7.7109375" customWidth="1"/>
    <col min="519" max="519" width="1.7109375" customWidth="1"/>
    <col min="520" max="520" width="6.7109375" customWidth="1"/>
    <col min="521" max="521" width="7.7109375" customWidth="1"/>
    <col min="522" max="522" width="1.7109375" customWidth="1"/>
    <col min="523" max="523" width="6.7109375" customWidth="1"/>
    <col min="524" max="524" width="7.7109375" customWidth="1"/>
    <col min="525" max="525" width="1.7109375" customWidth="1"/>
    <col min="526" max="526" width="6.7109375" customWidth="1"/>
    <col min="527" max="527" width="7.7109375" customWidth="1"/>
    <col min="528" max="528" width="1.7109375" customWidth="1"/>
    <col min="529" max="529" width="6.7109375" customWidth="1"/>
    <col min="530" max="530" width="7.7109375" customWidth="1"/>
    <col min="531" max="531" width="1.7109375" customWidth="1"/>
    <col min="532" max="532" width="6.7109375" customWidth="1"/>
    <col min="533" max="533" width="7.7109375" customWidth="1"/>
    <col min="534" max="534" width="1.85546875" customWidth="1"/>
    <col min="535" max="535" width="6.7109375" customWidth="1"/>
    <col min="536" max="536" width="7.7109375" customWidth="1"/>
    <col min="537" max="537" width="1.7109375" customWidth="1"/>
    <col min="769" max="769" width="11" customWidth="1"/>
    <col min="770" max="770" width="7.5703125" customWidth="1"/>
    <col min="771" max="771" width="7.7109375" customWidth="1"/>
    <col min="772" max="772" width="1.7109375" customWidth="1"/>
    <col min="773" max="774" width="7.7109375" customWidth="1"/>
    <col min="775" max="775" width="1.7109375" customWidth="1"/>
    <col min="776" max="776" width="6.7109375" customWidth="1"/>
    <col min="777" max="777" width="7.7109375" customWidth="1"/>
    <col min="778" max="778" width="1.7109375" customWidth="1"/>
    <col min="779" max="779" width="6.7109375" customWidth="1"/>
    <col min="780" max="780" width="7.7109375" customWidth="1"/>
    <col min="781" max="781" width="1.7109375" customWidth="1"/>
    <col min="782" max="782" width="6.7109375" customWidth="1"/>
    <col min="783" max="783" width="7.7109375" customWidth="1"/>
    <col min="784" max="784" width="1.7109375" customWidth="1"/>
    <col min="785" max="785" width="6.7109375" customWidth="1"/>
    <col min="786" max="786" width="7.7109375" customWidth="1"/>
    <col min="787" max="787" width="1.7109375" customWidth="1"/>
    <col min="788" max="788" width="6.7109375" customWidth="1"/>
    <col min="789" max="789" width="7.7109375" customWidth="1"/>
    <col min="790" max="790" width="1.85546875" customWidth="1"/>
    <col min="791" max="791" width="6.7109375" customWidth="1"/>
    <col min="792" max="792" width="7.7109375" customWidth="1"/>
    <col min="793" max="793" width="1.7109375" customWidth="1"/>
    <col min="1025" max="1025" width="11" customWidth="1"/>
    <col min="1026" max="1026" width="7.5703125" customWidth="1"/>
    <col min="1027" max="1027" width="7.7109375" customWidth="1"/>
    <col min="1028" max="1028" width="1.7109375" customWidth="1"/>
    <col min="1029" max="1030" width="7.7109375" customWidth="1"/>
    <col min="1031" max="1031" width="1.7109375" customWidth="1"/>
    <col min="1032" max="1032" width="6.7109375" customWidth="1"/>
    <col min="1033" max="1033" width="7.7109375" customWidth="1"/>
    <col min="1034" max="1034" width="1.7109375" customWidth="1"/>
    <col min="1035" max="1035" width="6.7109375" customWidth="1"/>
    <col min="1036" max="1036" width="7.7109375" customWidth="1"/>
    <col min="1037" max="1037" width="1.7109375" customWidth="1"/>
    <col min="1038" max="1038" width="6.7109375" customWidth="1"/>
    <col min="1039" max="1039" width="7.7109375" customWidth="1"/>
    <col min="1040" max="1040" width="1.7109375" customWidth="1"/>
    <col min="1041" max="1041" width="6.7109375" customWidth="1"/>
    <col min="1042" max="1042" width="7.7109375" customWidth="1"/>
    <col min="1043" max="1043" width="1.7109375" customWidth="1"/>
    <col min="1044" max="1044" width="6.7109375" customWidth="1"/>
    <col min="1045" max="1045" width="7.7109375" customWidth="1"/>
    <col min="1046" max="1046" width="1.85546875" customWidth="1"/>
    <col min="1047" max="1047" width="6.7109375" customWidth="1"/>
    <col min="1048" max="1048" width="7.7109375" customWidth="1"/>
    <col min="1049" max="1049" width="1.7109375" customWidth="1"/>
    <col min="1281" max="1281" width="11" customWidth="1"/>
    <col min="1282" max="1282" width="7.5703125" customWidth="1"/>
    <col min="1283" max="1283" width="7.7109375" customWidth="1"/>
    <col min="1284" max="1284" width="1.7109375" customWidth="1"/>
    <col min="1285" max="1286" width="7.7109375" customWidth="1"/>
    <col min="1287" max="1287" width="1.7109375" customWidth="1"/>
    <col min="1288" max="1288" width="6.7109375" customWidth="1"/>
    <col min="1289" max="1289" width="7.7109375" customWidth="1"/>
    <col min="1290" max="1290" width="1.7109375" customWidth="1"/>
    <col min="1291" max="1291" width="6.7109375" customWidth="1"/>
    <col min="1292" max="1292" width="7.7109375" customWidth="1"/>
    <col min="1293" max="1293" width="1.7109375" customWidth="1"/>
    <col min="1294" max="1294" width="6.7109375" customWidth="1"/>
    <col min="1295" max="1295" width="7.7109375" customWidth="1"/>
    <col min="1296" max="1296" width="1.7109375" customWidth="1"/>
    <col min="1297" max="1297" width="6.7109375" customWidth="1"/>
    <col min="1298" max="1298" width="7.7109375" customWidth="1"/>
    <col min="1299" max="1299" width="1.7109375" customWidth="1"/>
    <col min="1300" max="1300" width="6.7109375" customWidth="1"/>
    <col min="1301" max="1301" width="7.7109375" customWidth="1"/>
    <col min="1302" max="1302" width="1.85546875" customWidth="1"/>
    <col min="1303" max="1303" width="6.7109375" customWidth="1"/>
    <col min="1304" max="1304" width="7.7109375" customWidth="1"/>
    <col min="1305" max="1305" width="1.7109375" customWidth="1"/>
    <col min="1537" max="1537" width="11" customWidth="1"/>
    <col min="1538" max="1538" width="7.5703125" customWidth="1"/>
    <col min="1539" max="1539" width="7.7109375" customWidth="1"/>
    <col min="1540" max="1540" width="1.7109375" customWidth="1"/>
    <col min="1541" max="1542" width="7.7109375" customWidth="1"/>
    <col min="1543" max="1543" width="1.7109375" customWidth="1"/>
    <col min="1544" max="1544" width="6.7109375" customWidth="1"/>
    <col min="1545" max="1545" width="7.7109375" customWidth="1"/>
    <col min="1546" max="1546" width="1.7109375" customWidth="1"/>
    <col min="1547" max="1547" width="6.7109375" customWidth="1"/>
    <col min="1548" max="1548" width="7.7109375" customWidth="1"/>
    <col min="1549" max="1549" width="1.7109375" customWidth="1"/>
    <col min="1550" max="1550" width="6.7109375" customWidth="1"/>
    <col min="1551" max="1551" width="7.7109375" customWidth="1"/>
    <col min="1552" max="1552" width="1.7109375" customWidth="1"/>
    <col min="1553" max="1553" width="6.7109375" customWidth="1"/>
    <col min="1554" max="1554" width="7.7109375" customWidth="1"/>
    <col min="1555" max="1555" width="1.7109375" customWidth="1"/>
    <col min="1556" max="1556" width="6.7109375" customWidth="1"/>
    <col min="1557" max="1557" width="7.7109375" customWidth="1"/>
    <col min="1558" max="1558" width="1.85546875" customWidth="1"/>
    <col min="1559" max="1559" width="6.7109375" customWidth="1"/>
    <col min="1560" max="1560" width="7.7109375" customWidth="1"/>
    <col min="1561" max="1561" width="1.7109375" customWidth="1"/>
    <col min="1793" max="1793" width="11" customWidth="1"/>
    <col min="1794" max="1794" width="7.5703125" customWidth="1"/>
    <col min="1795" max="1795" width="7.7109375" customWidth="1"/>
    <col min="1796" max="1796" width="1.7109375" customWidth="1"/>
    <col min="1797" max="1798" width="7.7109375" customWidth="1"/>
    <col min="1799" max="1799" width="1.7109375" customWidth="1"/>
    <col min="1800" max="1800" width="6.7109375" customWidth="1"/>
    <col min="1801" max="1801" width="7.7109375" customWidth="1"/>
    <col min="1802" max="1802" width="1.7109375" customWidth="1"/>
    <col min="1803" max="1803" width="6.7109375" customWidth="1"/>
    <col min="1804" max="1804" width="7.7109375" customWidth="1"/>
    <col min="1805" max="1805" width="1.7109375" customWidth="1"/>
    <col min="1806" max="1806" width="6.7109375" customWidth="1"/>
    <col min="1807" max="1807" width="7.7109375" customWidth="1"/>
    <col min="1808" max="1808" width="1.7109375" customWidth="1"/>
    <col min="1809" max="1809" width="6.7109375" customWidth="1"/>
    <col min="1810" max="1810" width="7.7109375" customWidth="1"/>
    <col min="1811" max="1811" width="1.7109375" customWidth="1"/>
    <col min="1812" max="1812" width="6.7109375" customWidth="1"/>
    <col min="1813" max="1813" width="7.7109375" customWidth="1"/>
    <col min="1814" max="1814" width="1.85546875" customWidth="1"/>
    <col min="1815" max="1815" width="6.7109375" customWidth="1"/>
    <col min="1816" max="1816" width="7.7109375" customWidth="1"/>
    <col min="1817" max="1817" width="1.7109375" customWidth="1"/>
    <col min="2049" max="2049" width="11" customWidth="1"/>
    <col min="2050" max="2050" width="7.5703125" customWidth="1"/>
    <col min="2051" max="2051" width="7.7109375" customWidth="1"/>
    <col min="2052" max="2052" width="1.7109375" customWidth="1"/>
    <col min="2053" max="2054" width="7.7109375" customWidth="1"/>
    <col min="2055" max="2055" width="1.7109375" customWidth="1"/>
    <col min="2056" max="2056" width="6.7109375" customWidth="1"/>
    <col min="2057" max="2057" width="7.7109375" customWidth="1"/>
    <col min="2058" max="2058" width="1.7109375" customWidth="1"/>
    <col min="2059" max="2059" width="6.7109375" customWidth="1"/>
    <col min="2060" max="2060" width="7.7109375" customWidth="1"/>
    <col min="2061" max="2061" width="1.7109375" customWidth="1"/>
    <col min="2062" max="2062" width="6.7109375" customWidth="1"/>
    <col min="2063" max="2063" width="7.7109375" customWidth="1"/>
    <col min="2064" max="2064" width="1.7109375" customWidth="1"/>
    <col min="2065" max="2065" width="6.7109375" customWidth="1"/>
    <col min="2066" max="2066" width="7.7109375" customWidth="1"/>
    <col min="2067" max="2067" width="1.7109375" customWidth="1"/>
    <col min="2068" max="2068" width="6.7109375" customWidth="1"/>
    <col min="2069" max="2069" width="7.7109375" customWidth="1"/>
    <col min="2070" max="2070" width="1.85546875" customWidth="1"/>
    <col min="2071" max="2071" width="6.7109375" customWidth="1"/>
    <col min="2072" max="2072" width="7.7109375" customWidth="1"/>
    <col min="2073" max="2073" width="1.7109375" customWidth="1"/>
    <col min="2305" max="2305" width="11" customWidth="1"/>
    <col min="2306" max="2306" width="7.5703125" customWidth="1"/>
    <col min="2307" max="2307" width="7.7109375" customWidth="1"/>
    <col min="2308" max="2308" width="1.7109375" customWidth="1"/>
    <col min="2309" max="2310" width="7.7109375" customWidth="1"/>
    <col min="2311" max="2311" width="1.7109375" customWidth="1"/>
    <col min="2312" max="2312" width="6.7109375" customWidth="1"/>
    <col min="2313" max="2313" width="7.7109375" customWidth="1"/>
    <col min="2314" max="2314" width="1.7109375" customWidth="1"/>
    <col min="2315" max="2315" width="6.7109375" customWidth="1"/>
    <col min="2316" max="2316" width="7.7109375" customWidth="1"/>
    <col min="2317" max="2317" width="1.7109375" customWidth="1"/>
    <col min="2318" max="2318" width="6.7109375" customWidth="1"/>
    <col min="2319" max="2319" width="7.7109375" customWidth="1"/>
    <col min="2320" max="2320" width="1.7109375" customWidth="1"/>
    <col min="2321" max="2321" width="6.7109375" customWidth="1"/>
    <col min="2322" max="2322" width="7.7109375" customWidth="1"/>
    <col min="2323" max="2323" width="1.7109375" customWidth="1"/>
    <col min="2324" max="2324" width="6.7109375" customWidth="1"/>
    <col min="2325" max="2325" width="7.7109375" customWidth="1"/>
    <col min="2326" max="2326" width="1.85546875" customWidth="1"/>
    <col min="2327" max="2327" width="6.7109375" customWidth="1"/>
    <col min="2328" max="2328" width="7.7109375" customWidth="1"/>
    <col min="2329" max="2329" width="1.7109375" customWidth="1"/>
    <col min="2561" max="2561" width="11" customWidth="1"/>
    <col min="2562" max="2562" width="7.5703125" customWidth="1"/>
    <col min="2563" max="2563" width="7.7109375" customWidth="1"/>
    <col min="2564" max="2564" width="1.7109375" customWidth="1"/>
    <col min="2565" max="2566" width="7.7109375" customWidth="1"/>
    <col min="2567" max="2567" width="1.7109375" customWidth="1"/>
    <col min="2568" max="2568" width="6.7109375" customWidth="1"/>
    <col min="2569" max="2569" width="7.7109375" customWidth="1"/>
    <col min="2570" max="2570" width="1.7109375" customWidth="1"/>
    <col min="2571" max="2571" width="6.7109375" customWidth="1"/>
    <col min="2572" max="2572" width="7.7109375" customWidth="1"/>
    <col min="2573" max="2573" width="1.7109375" customWidth="1"/>
    <col min="2574" max="2574" width="6.7109375" customWidth="1"/>
    <col min="2575" max="2575" width="7.7109375" customWidth="1"/>
    <col min="2576" max="2576" width="1.7109375" customWidth="1"/>
    <col min="2577" max="2577" width="6.7109375" customWidth="1"/>
    <col min="2578" max="2578" width="7.7109375" customWidth="1"/>
    <col min="2579" max="2579" width="1.7109375" customWidth="1"/>
    <col min="2580" max="2580" width="6.7109375" customWidth="1"/>
    <col min="2581" max="2581" width="7.7109375" customWidth="1"/>
    <col min="2582" max="2582" width="1.85546875" customWidth="1"/>
    <col min="2583" max="2583" width="6.7109375" customWidth="1"/>
    <col min="2584" max="2584" width="7.7109375" customWidth="1"/>
    <col min="2585" max="2585" width="1.7109375" customWidth="1"/>
    <col min="2817" max="2817" width="11" customWidth="1"/>
    <col min="2818" max="2818" width="7.5703125" customWidth="1"/>
    <col min="2819" max="2819" width="7.7109375" customWidth="1"/>
    <col min="2820" max="2820" width="1.7109375" customWidth="1"/>
    <col min="2821" max="2822" width="7.7109375" customWidth="1"/>
    <col min="2823" max="2823" width="1.7109375" customWidth="1"/>
    <col min="2824" max="2824" width="6.7109375" customWidth="1"/>
    <col min="2825" max="2825" width="7.7109375" customWidth="1"/>
    <col min="2826" max="2826" width="1.7109375" customWidth="1"/>
    <col min="2827" max="2827" width="6.7109375" customWidth="1"/>
    <col min="2828" max="2828" width="7.7109375" customWidth="1"/>
    <col min="2829" max="2829" width="1.7109375" customWidth="1"/>
    <col min="2830" max="2830" width="6.7109375" customWidth="1"/>
    <col min="2831" max="2831" width="7.7109375" customWidth="1"/>
    <col min="2832" max="2832" width="1.7109375" customWidth="1"/>
    <col min="2833" max="2833" width="6.7109375" customWidth="1"/>
    <col min="2834" max="2834" width="7.7109375" customWidth="1"/>
    <col min="2835" max="2835" width="1.7109375" customWidth="1"/>
    <col min="2836" max="2836" width="6.7109375" customWidth="1"/>
    <col min="2837" max="2837" width="7.7109375" customWidth="1"/>
    <col min="2838" max="2838" width="1.85546875" customWidth="1"/>
    <col min="2839" max="2839" width="6.7109375" customWidth="1"/>
    <col min="2840" max="2840" width="7.7109375" customWidth="1"/>
    <col min="2841" max="2841" width="1.7109375" customWidth="1"/>
    <col min="3073" max="3073" width="11" customWidth="1"/>
    <col min="3074" max="3074" width="7.5703125" customWidth="1"/>
    <col min="3075" max="3075" width="7.7109375" customWidth="1"/>
    <col min="3076" max="3076" width="1.7109375" customWidth="1"/>
    <col min="3077" max="3078" width="7.7109375" customWidth="1"/>
    <col min="3079" max="3079" width="1.7109375" customWidth="1"/>
    <col min="3080" max="3080" width="6.7109375" customWidth="1"/>
    <col min="3081" max="3081" width="7.7109375" customWidth="1"/>
    <col min="3082" max="3082" width="1.7109375" customWidth="1"/>
    <col min="3083" max="3083" width="6.7109375" customWidth="1"/>
    <col min="3084" max="3084" width="7.7109375" customWidth="1"/>
    <col min="3085" max="3085" width="1.7109375" customWidth="1"/>
    <col min="3086" max="3086" width="6.7109375" customWidth="1"/>
    <col min="3087" max="3087" width="7.7109375" customWidth="1"/>
    <col min="3088" max="3088" width="1.7109375" customWidth="1"/>
    <col min="3089" max="3089" width="6.7109375" customWidth="1"/>
    <col min="3090" max="3090" width="7.7109375" customWidth="1"/>
    <col min="3091" max="3091" width="1.7109375" customWidth="1"/>
    <col min="3092" max="3092" width="6.7109375" customWidth="1"/>
    <col min="3093" max="3093" width="7.7109375" customWidth="1"/>
    <col min="3094" max="3094" width="1.85546875" customWidth="1"/>
    <col min="3095" max="3095" width="6.7109375" customWidth="1"/>
    <col min="3096" max="3096" width="7.7109375" customWidth="1"/>
    <col min="3097" max="3097" width="1.7109375" customWidth="1"/>
    <col min="3329" max="3329" width="11" customWidth="1"/>
    <col min="3330" max="3330" width="7.5703125" customWidth="1"/>
    <col min="3331" max="3331" width="7.7109375" customWidth="1"/>
    <col min="3332" max="3332" width="1.7109375" customWidth="1"/>
    <col min="3333" max="3334" width="7.7109375" customWidth="1"/>
    <col min="3335" max="3335" width="1.7109375" customWidth="1"/>
    <col min="3336" max="3336" width="6.7109375" customWidth="1"/>
    <col min="3337" max="3337" width="7.7109375" customWidth="1"/>
    <col min="3338" max="3338" width="1.7109375" customWidth="1"/>
    <col min="3339" max="3339" width="6.7109375" customWidth="1"/>
    <col min="3340" max="3340" width="7.7109375" customWidth="1"/>
    <col min="3341" max="3341" width="1.7109375" customWidth="1"/>
    <col min="3342" max="3342" width="6.7109375" customWidth="1"/>
    <col min="3343" max="3343" width="7.7109375" customWidth="1"/>
    <col min="3344" max="3344" width="1.7109375" customWidth="1"/>
    <col min="3345" max="3345" width="6.7109375" customWidth="1"/>
    <col min="3346" max="3346" width="7.7109375" customWidth="1"/>
    <col min="3347" max="3347" width="1.7109375" customWidth="1"/>
    <col min="3348" max="3348" width="6.7109375" customWidth="1"/>
    <col min="3349" max="3349" width="7.7109375" customWidth="1"/>
    <col min="3350" max="3350" width="1.85546875" customWidth="1"/>
    <col min="3351" max="3351" width="6.7109375" customWidth="1"/>
    <col min="3352" max="3352" width="7.7109375" customWidth="1"/>
    <col min="3353" max="3353" width="1.7109375" customWidth="1"/>
    <col min="3585" max="3585" width="11" customWidth="1"/>
    <col min="3586" max="3586" width="7.5703125" customWidth="1"/>
    <col min="3587" max="3587" width="7.7109375" customWidth="1"/>
    <col min="3588" max="3588" width="1.7109375" customWidth="1"/>
    <col min="3589" max="3590" width="7.7109375" customWidth="1"/>
    <col min="3591" max="3591" width="1.7109375" customWidth="1"/>
    <col min="3592" max="3592" width="6.7109375" customWidth="1"/>
    <col min="3593" max="3593" width="7.7109375" customWidth="1"/>
    <col min="3594" max="3594" width="1.7109375" customWidth="1"/>
    <col min="3595" max="3595" width="6.7109375" customWidth="1"/>
    <col min="3596" max="3596" width="7.7109375" customWidth="1"/>
    <col min="3597" max="3597" width="1.7109375" customWidth="1"/>
    <col min="3598" max="3598" width="6.7109375" customWidth="1"/>
    <col min="3599" max="3599" width="7.7109375" customWidth="1"/>
    <col min="3600" max="3600" width="1.7109375" customWidth="1"/>
    <col min="3601" max="3601" width="6.7109375" customWidth="1"/>
    <col min="3602" max="3602" width="7.7109375" customWidth="1"/>
    <col min="3603" max="3603" width="1.7109375" customWidth="1"/>
    <col min="3604" max="3604" width="6.7109375" customWidth="1"/>
    <col min="3605" max="3605" width="7.7109375" customWidth="1"/>
    <col min="3606" max="3606" width="1.85546875" customWidth="1"/>
    <col min="3607" max="3607" width="6.7109375" customWidth="1"/>
    <col min="3608" max="3608" width="7.7109375" customWidth="1"/>
    <col min="3609" max="3609" width="1.7109375" customWidth="1"/>
    <col min="3841" max="3841" width="11" customWidth="1"/>
    <col min="3842" max="3842" width="7.5703125" customWidth="1"/>
    <col min="3843" max="3843" width="7.7109375" customWidth="1"/>
    <col min="3844" max="3844" width="1.7109375" customWidth="1"/>
    <col min="3845" max="3846" width="7.7109375" customWidth="1"/>
    <col min="3847" max="3847" width="1.7109375" customWidth="1"/>
    <col min="3848" max="3848" width="6.7109375" customWidth="1"/>
    <col min="3849" max="3849" width="7.7109375" customWidth="1"/>
    <col min="3850" max="3850" width="1.7109375" customWidth="1"/>
    <col min="3851" max="3851" width="6.7109375" customWidth="1"/>
    <col min="3852" max="3852" width="7.7109375" customWidth="1"/>
    <col min="3853" max="3853" width="1.7109375" customWidth="1"/>
    <col min="3854" max="3854" width="6.7109375" customWidth="1"/>
    <col min="3855" max="3855" width="7.7109375" customWidth="1"/>
    <col min="3856" max="3856" width="1.7109375" customWidth="1"/>
    <col min="3857" max="3857" width="6.7109375" customWidth="1"/>
    <col min="3858" max="3858" width="7.7109375" customWidth="1"/>
    <col min="3859" max="3859" width="1.7109375" customWidth="1"/>
    <col min="3860" max="3860" width="6.7109375" customWidth="1"/>
    <col min="3861" max="3861" width="7.7109375" customWidth="1"/>
    <col min="3862" max="3862" width="1.85546875" customWidth="1"/>
    <col min="3863" max="3863" width="6.7109375" customWidth="1"/>
    <col min="3864" max="3864" width="7.7109375" customWidth="1"/>
    <col min="3865" max="3865" width="1.7109375" customWidth="1"/>
    <col min="4097" max="4097" width="11" customWidth="1"/>
    <col min="4098" max="4098" width="7.5703125" customWidth="1"/>
    <col min="4099" max="4099" width="7.7109375" customWidth="1"/>
    <col min="4100" max="4100" width="1.7109375" customWidth="1"/>
    <col min="4101" max="4102" width="7.7109375" customWidth="1"/>
    <col min="4103" max="4103" width="1.7109375" customWidth="1"/>
    <col min="4104" max="4104" width="6.7109375" customWidth="1"/>
    <col min="4105" max="4105" width="7.7109375" customWidth="1"/>
    <col min="4106" max="4106" width="1.7109375" customWidth="1"/>
    <col min="4107" max="4107" width="6.7109375" customWidth="1"/>
    <col min="4108" max="4108" width="7.7109375" customWidth="1"/>
    <col min="4109" max="4109" width="1.7109375" customWidth="1"/>
    <col min="4110" max="4110" width="6.7109375" customWidth="1"/>
    <col min="4111" max="4111" width="7.7109375" customWidth="1"/>
    <col min="4112" max="4112" width="1.7109375" customWidth="1"/>
    <col min="4113" max="4113" width="6.7109375" customWidth="1"/>
    <col min="4114" max="4114" width="7.7109375" customWidth="1"/>
    <col min="4115" max="4115" width="1.7109375" customWidth="1"/>
    <col min="4116" max="4116" width="6.7109375" customWidth="1"/>
    <col min="4117" max="4117" width="7.7109375" customWidth="1"/>
    <col min="4118" max="4118" width="1.85546875" customWidth="1"/>
    <col min="4119" max="4119" width="6.7109375" customWidth="1"/>
    <col min="4120" max="4120" width="7.7109375" customWidth="1"/>
    <col min="4121" max="4121" width="1.7109375" customWidth="1"/>
    <col min="4353" max="4353" width="11" customWidth="1"/>
    <col min="4354" max="4354" width="7.5703125" customWidth="1"/>
    <col min="4355" max="4355" width="7.7109375" customWidth="1"/>
    <col min="4356" max="4356" width="1.7109375" customWidth="1"/>
    <col min="4357" max="4358" width="7.7109375" customWidth="1"/>
    <col min="4359" max="4359" width="1.7109375" customWidth="1"/>
    <col min="4360" max="4360" width="6.7109375" customWidth="1"/>
    <col min="4361" max="4361" width="7.7109375" customWidth="1"/>
    <col min="4362" max="4362" width="1.7109375" customWidth="1"/>
    <col min="4363" max="4363" width="6.7109375" customWidth="1"/>
    <col min="4364" max="4364" width="7.7109375" customWidth="1"/>
    <col min="4365" max="4365" width="1.7109375" customWidth="1"/>
    <col min="4366" max="4366" width="6.7109375" customWidth="1"/>
    <col min="4367" max="4367" width="7.7109375" customWidth="1"/>
    <col min="4368" max="4368" width="1.7109375" customWidth="1"/>
    <col min="4369" max="4369" width="6.7109375" customWidth="1"/>
    <col min="4370" max="4370" width="7.7109375" customWidth="1"/>
    <col min="4371" max="4371" width="1.7109375" customWidth="1"/>
    <col min="4372" max="4372" width="6.7109375" customWidth="1"/>
    <col min="4373" max="4373" width="7.7109375" customWidth="1"/>
    <col min="4374" max="4374" width="1.85546875" customWidth="1"/>
    <col min="4375" max="4375" width="6.7109375" customWidth="1"/>
    <col min="4376" max="4376" width="7.7109375" customWidth="1"/>
    <col min="4377" max="4377" width="1.7109375" customWidth="1"/>
    <col min="4609" max="4609" width="11" customWidth="1"/>
    <col min="4610" max="4610" width="7.5703125" customWidth="1"/>
    <col min="4611" max="4611" width="7.7109375" customWidth="1"/>
    <col min="4612" max="4612" width="1.7109375" customWidth="1"/>
    <col min="4613" max="4614" width="7.7109375" customWidth="1"/>
    <col min="4615" max="4615" width="1.7109375" customWidth="1"/>
    <col min="4616" max="4616" width="6.7109375" customWidth="1"/>
    <col min="4617" max="4617" width="7.7109375" customWidth="1"/>
    <col min="4618" max="4618" width="1.7109375" customWidth="1"/>
    <col min="4619" max="4619" width="6.7109375" customWidth="1"/>
    <col min="4620" max="4620" width="7.7109375" customWidth="1"/>
    <col min="4621" max="4621" width="1.7109375" customWidth="1"/>
    <col min="4622" max="4622" width="6.7109375" customWidth="1"/>
    <col min="4623" max="4623" width="7.7109375" customWidth="1"/>
    <col min="4624" max="4624" width="1.7109375" customWidth="1"/>
    <col min="4625" max="4625" width="6.7109375" customWidth="1"/>
    <col min="4626" max="4626" width="7.7109375" customWidth="1"/>
    <col min="4627" max="4627" width="1.7109375" customWidth="1"/>
    <col min="4628" max="4628" width="6.7109375" customWidth="1"/>
    <col min="4629" max="4629" width="7.7109375" customWidth="1"/>
    <col min="4630" max="4630" width="1.85546875" customWidth="1"/>
    <col min="4631" max="4631" width="6.7109375" customWidth="1"/>
    <col min="4632" max="4632" width="7.7109375" customWidth="1"/>
    <col min="4633" max="4633" width="1.7109375" customWidth="1"/>
    <col min="4865" max="4865" width="11" customWidth="1"/>
    <col min="4866" max="4866" width="7.5703125" customWidth="1"/>
    <col min="4867" max="4867" width="7.7109375" customWidth="1"/>
    <col min="4868" max="4868" width="1.7109375" customWidth="1"/>
    <col min="4869" max="4870" width="7.7109375" customWidth="1"/>
    <col min="4871" max="4871" width="1.7109375" customWidth="1"/>
    <col min="4872" max="4872" width="6.7109375" customWidth="1"/>
    <col min="4873" max="4873" width="7.7109375" customWidth="1"/>
    <col min="4874" max="4874" width="1.7109375" customWidth="1"/>
    <col min="4875" max="4875" width="6.7109375" customWidth="1"/>
    <col min="4876" max="4876" width="7.7109375" customWidth="1"/>
    <col min="4877" max="4877" width="1.7109375" customWidth="1"/>
    <col min="4878" max="4878" width="6.7109375" customWidth="1"/>
    <col min="4879" max="4879" width="7.7109375" customWidth="1"/>
    <col min="4880" max="4880" width="1.7109375" customWidth="1"/>
    <col min="4881" max="4881" width="6.7109375" customWidth="1"/>
    <col min="4882" max="4882" width="7.7109375" customWidth="1"/>
    <col min="4883" max="4883" width="1.7109375" customWidth="1"/>
    <col min="4884" max="4884" width="6.7109375" customWidth="1"/>
    <col min="4885" max="4885" width="7.7109375" customWidth="1"/>
    <col min="4886" max="4886" width="1.85546875" customWidth="1"/>
    <col min="4887" max="4887" width="6.7109375" customWidth="1"/>
    <col min="4888" max="4888" width="7.7109375" customWidth="1"/>
    <col min="4889" max="4889" width="1.7109375" customWidth="1"/>
    <col min="5121" max="5121" width="11" customWidth="1"/>
    <col min="5122" max="5122" width="7.5703125" customWidth="1"/>
    <col min="5123" max="5123" width="7.7109375" customWidth="1"/>
    <col min="5124" max="5124" width="1.7109375" customWidth="1"/>
    <col min="5125" max="5126" width="7.7109375" customWidth="1"/>
    <col min="5127" max="5127" width="1.7109375" customWidth="1"/>
    <col min="5128" max="5128" width="6.7109375" customWidth="1"/>
    <col min="5129" max="5129" width="7.7109375" customWidth="1"/>
    <col min="5130" max="5130" width="1.7109375" customWidth="1"/>
    <col min="5131" max="5131" width="6.7109375" customWidth="1"/>
    <col min="5132" max="5132" width="7.7109375" customWidth="1"/>
    <col min="5133" max="5133" width="1.7109375" customWidth="1"/>
    <col min="5134" max="5134" width="6.7109375" customWidth="1"/>
    <col min="5135" max="5135" width="7.7109375" customWidth="1"/>
    <col min="5136" max="5136" width="1.7109375" customWidth="1"/>
    <col min="5137" max="5137" width="6.7109375" customWidth="1"/>
    <col min="5138" max="5138" width="7.7109375" customWidth="1"/>
    <col min="5139" max="5139" width="1.7109375" customWidth="1"/>
    <col min="5140" max="5140" width="6.7109375" customWidth="1"/>
    <col min="5141" max="5141" width="7.7109375" customWidth="1"/>
    <col min="5142" max="5142" width="1.85546875" customWidth="1"/>
    <col min="5143" max="5143" width="6.7109375" customWidth="1"/>
    <col min="5144" max="5144" width="7.7109375" customWidth="1"/>
    <col min="5145" max="5145" width="1.7109375" customWidth="1"/>
    <col min="5377" max="5377" width="11" customWidth="1"/>
    <col min="5378" max="5378" width="7.5703125" customWidth="1"/>
    <col min="5379" max="5379" width="7.7109375" customWidth="1"/>
    <col min="5380" max="5380" width="1.7109375" customWidth="1"/>
    <col min="5381" max="5382" width="7.7109375" customWidth="1"/>
    <col min="5383" max="5383" width="1.7109375" customWidth="1"/>
    <col min="5384" max="5384" width="6.7109375" customWidth="1"/>
    <col min="5385" max="5385" width="7.7109375" customWidth="1"/>
    <col min="5386" max="5386" width="1.7109375" customWidth="1"/>
    <col min="5387" max="5387" width="6.7109375" customWidth="1"/>
    <col min="5388" max="5388" width="7.7109375" customWidth="1"/>
    <col min="5389" max="5389" width="1.7109375" customWidth="1"/>
    <col min="5390" max="5390" width="6.7109375" customWidth="1"/>
    <col min="5391" max="5391" width="7.7109375" customWidth="1"/>
    <col min="5392" max="5392" width="1.7109375" customWidth="1"/>
    <col min="5393" max="5393" width="6.7109375" customWidth="1"/>
    <col min="5394" max="5394" width="7.7109375" customWidth="1"/>
    <col min="5395" max="5395" width="1.7109375" customWidth="1"/>
    <col min="5396" max="5396" width="6.7109375" customWidth="1"/>
    <col min="5397" max="5397" width="7.7109375" customWidth="1"/>
    <col min="5398" max="5398" width="1.85546875" customWidth="1"/>
    <col min="5399" max="5399" width="6.7109375" customWidth="1"/>
    <col min="5400" max="5400" width="7.7109375" customWidth="1"/>
    <col min="5401" max="5401" width="1.7109375" customWidth="1"/>
    <col min="5633" max="5633" width="11" customWidth="1"/>
    <col min="5634" max="5634" width="7.5703125" customWidth="1"/>
    <col min="5635" max="5635" width="7.7109375" customWidth="1"/>
    <col min="5636" max="5636" width="1.7109375" customWidth="1"/>
    <col min="5637" max="5638" width="7.7109375" customWidth="1"/>
    <col min="5639" max="5639" width="1.7109375" customWidth="1"/>
    <col min="5640" max="5640" width="6.7109375" customWidth="1"/>
    <col min="5641" max="5641" width="7.7109375" customWidth="1"/>
    <col min="5642" max="5642" width="1.7109375" customWidth="1"/>
    <col min="5643" max="5643" width="6.7109375" customWidth="1"/>
    <col min="5644" max="5644" width="7.7109375" customWidth="1"/>
    <col min="5645" max="5645" width="1.7109375" customWidth="1"/>
    <col min="5646" max="5646" width="6.7109375" customWidth="1"/>
    <col min="5647" max="5647" width="7.7109375" customWidth="1"/>
    <col min="5648" max="5648" width="1.7109375" customWidth="1"/>
    <col min="5649" max="5649" width="6.7109375" customWidth="1"/>
    <col min="5650" max="5650" width="7.7109375" customWidth="1"/>
    <col min="5651" max="5651" width="1.7109375" customWidth="1"/>
    <col min="5652" max="5652" width="6.7109375" customWidth="1"/>
    <col min="5653" max="5653" width="7.7109375" customWidth="1"/>
    <col min="5654" max="5654" width="1.85546875" customWidth="1"/>
    <col min="5655" max="5655" width="6.7109375" customWidth="1"/>
    <col min="5656" max="5656" width="7.7109375" customWidth="1"/>
    <col min="5657" max="5657" width="1.7109375" customWidth="1"/>
    <col min="5889" max="5889" width="11" customWidth="1"/>
    <col min="5890" max="5890" width="7.5703125" customWidth="1"/>
    <col min="5891" max="5891" width="7.7109375" customWidth="1"/>
    <col min="5892" max="5892" width="1.7109375" customWidth="1"/>
    <col min="5893" max="5894" width="7.7109375" customWidth="1"/>
    <col min="5895" max="5895" width="1.7109375" customWidth="1"/>
    <col min="5896" max="5896" width="6.7109375" customWidth="1"/>
    <col min="5897" max="5897" width="7.7109375" customWidth="1"/>
    <col min="5898" max="5898" width="1.7109375" customWidth="1"/>
    <col min="5899" max="5899" width="6.7109375" customWidth="1"/>
    <col min="5900" max="5900" width="7.7109375" customWidth="1"/>
    <col min="5901" max="5901" width="1.7109375" customWidth="1"/>
    <col min="5902" max="5902" width="6.7109375" customWidth="1"/>
    <col min="5903" max="5903" width="7.7109375" customWidth="1"/>
    <col min="5904" max="5904" width="1.7109375" customWidth="1"/>
    <col min="5905" max="5905" width="6.7109375" customWidth="1"/>
    <col min="5906" max="5906" width="7.7109375" customWidth="1"/>
    <col min="5907" max="5907" width="1.7109375" customWidth="1"/>
    <col min="5908" max="5908" width="6.7109375" customWidth="1"/>
    <col min="5909" max="5909" width="7.7109375" customWidth="1"/>
    <col min="5910" max="5910" width="1.85546875" customWidth="1"/>
    <col min="5911" max="5911" width="6.7109375" customWidth="1"/>
    <col min="5912" max="5912" width="7.7109375" customWidth="1"/>
    <col min="5913" max="5913" width="1.7109375" customWidth="1"/>
    <col min="6145" max="6145" width="11" customWidth="1"/>
    <col min="6146" max="6146" width="7.5703125" customWidth="1"/>
    <col min="6147" max="6147" width="7.7109375" customWidth="1"/>
    <col min="6148" max="6148" width="1.7109375" customWidth="1"/>
    <col min="6149" max="6150" width="7.7109375" customWidth="1"/>
    <col min="6151" max="6151" width="1.7109375" customWidth="1"/>
    <col min="6152" max="6152" width="6.7109375" customWidth="1"/>
    <col min="6153" max="6153" width="7.7109375" customWidth="1"/>
    <col min="6154" max="6154" width="1.7109375" customWidth="1"/>
    <col min="6155" max="6155" width="6.7109375" customWidth="1"/>
    <col min="6156" max="6156" width="7.7109375" customWidth="1"/>
    <col min="6157" max="6157" width="1.7109375" customWidth="1"/>
    <col min="6158" max="6158" width="6.7109375" customWidth="1"/>
    <col min="6159" max="6159" width="7.7109375" customWidth="1"/>
    <col min="6160" max="6160" width="1.7109375" customWidth="1"/>
    <col min="6161" max="6161" width="6.7109375" customWidth="1"/>
    <col min="6162" max="6162" width="7.7109375" customWidth="1"/>
    <col min="6163" max="6163" width="1.7109375" customWidth="1"/>
    <col min="6164" max="6164" width="6.7109375" customWidth="1"/>
    <col min="6165" max="6165" width="7.7109375" customWidth="1"/>
    <col min="6166" max="6166" width="1.85546875" customWidth="1"/>
    <col min="6167" max="6167" width="6.7109375" customWidth="1"/>
    <col min="6168" max="6168" width="7.7109375" customWidth="1"/>
    <col min="6169" max="6169" width="1.7109375" customWidth="1"/>
    <col min="6401" max="6401" width="11" customWidth="1"/>
    <col min="6402" max="6402" width="7.5703125" customWidth="1"/>
    <col min="6403" max="6403" width="7.7109375" customWidth="1"/>
    <col min="6404" max="6404" width="1.7109375" customWidth="1"/>
    <col min="6405" max="6406" width="7.7109375" customWidth="1"/>
    <col min="6407" max="6407" width="1.7109375" customWidth="1"/>
    <col min="6408" max="6408" width="6.7109375" customWidth="1"/>
    <col min="6409" max="6409" width="7.7109375" customWidth="1"/>
    <col min="6410" max="6410" width="1.7109375" customWidth="1"/>
    <col min="6411" max="6411" width="6.7109375" customWidth="1"/>
    <col min="6412" max="6412" width="7.7109375" customWidth="1"/>
    <col min="6413" max="6413" width="1.7109375" customWidth="1"/>
    <col min="6414" max="6414" width="6.7109375" customWidth="1"/>
    <col min="6415" max="6415" width="7.7109375" customWidth="1"/>
    <col min="6416" max="6416" width="1.7109375" customWidth="1"/>
    <col min="6417" max="6417" width="6.7109375" customWidth="1"/>
    <col min="6418" max="6418" width="7.7109375" customWidth="1"/>
    <col min="6419" max="6419" width="1.7109375" customWidth="1"/>
    <col min="6420" max="6420" width="6.7109375" customWidth="1"/>
    <col min="6421" max="6421" width="7.7109375" customWidth="1"/>
    <col min="6422" max="6422" width="1.85546875" customWidth="1"/>
    <col min="6423" max="6423" width="6.7109375" customWidth="1"/>
    <col min="6424" max="6424" width="7.7109375" customWidth="1"/>
    <col min="6425" max="6425" width="1.7109375" customWidth="1"/>
    <col min="6657" max="6657" width="11" customWidth="1"/>
    <col min="6658" max="6658" width="7.5703125" customWidth="1"/>
    <col min="6659" max="6659" width="7.7109375" customWidth="1"/>
    <col min="6660" max="6660" width="1.7109375" customWidth="1"/>
    <col min="6661" max="6662" width="7.7109375" customWidth="1"/>
    <col min="6663" max="6663" width="1.7109375" customWidth="1"/>
    <col min="6664" max="6664" width="6.7109375" customWidth="1"/>
    <col min="6665" max="6665" width="7.7109375" customWidth="1"/>
    <col min="6666" max="6666" width="1.7109375" customWidth="1"/>
    <col min="6667" max="6667" width="6.7109375" customWidth="1"/>
    <col min="6668" max="6668" width="7.7109375" customWidth="1"/>
    <col min="6669" max="6669" width="1.7109375" customWidth="1"/>
    <col min="6670" max="6670" width="6.7109375" customWidth="1"/>
    <col min="6671" max="6671" width="7.7109375" customWidth="1"/>
    <col min="6672" max="6672" width="1.7109375" customWidth="1"/>
    <col min="6673" max="6673" width="6.7109375" customWidth="1"/>
    <col min="6674" max="6674" width="7.7109375" customWidth="1"/>
    <col min="6675" max="6675" width="1.7109375" customWidth="1"/>
    <col min="6676" max="6676" width="6.7109375" customWidth="1"/>
    <col min="6677" max="6677" width="7.7109375" customWidth="1"/>
    <col min="6678" max="6678" width="1.85546875" customWidth="1"/>
    <col min="6679" max="6679" width="6.7109375" customWidth="1"/>
    <col min="6680" max="6680" width="7.7109375" customWidth="1"/>
    <col min="6681" max="6681" width="1.7109375" customWidth="1"/>
    <col min="6913" max="6913" width="11" customWidth="1"/>
    <col min="6914" max="6914" width="7.5703125" customWidth="1"/>
    <col min="6915" max="6915" width="7.7109375" customWidth="1"/>
    <col min="6916" max="6916" width="1.7109375" customWidth="1"/>
    <col min="6917" max="6918" width="7.7109375" customWidth="1"/>
    <col min="6919" max="6919" width="1.7109375" customWidth="1"/>
    <col min="6920" max="6920" width="6.7109375" customWidth="1"/>
    <col min="6921" max="6921" width="7.7109375" customWidth="1"/>
    <col min="6922" max="6922" width="1.7109375" customWidth="1"/>
    <col min="6923" max="6923" width="6.7109375" customWidth="1"/>
    <col min="6924" max="6924" width="7.7109375" customWidth="1"/>
    <col min="6925" max="6925" width="1.7109375" customWidth="1"/>
    <col min="6926" max="6926" width="6.7109375" customWidth="1"/>
    <col min="6927" max="6927" width="7.7109375" customWidth="1"/>
    <col min="6928" max="6928" width="1.7109375" customWidth="1"/>
    <col min="6929" max="6929" width="6.7109375" customWidth="1"/>
    <col min="6930" max="6930" width="7.7109375" customWidth="1"/>
    <col min="6931" max="6931" width="1.7109375" customWidth="1"/>
    <col min="6932" max="6932" width="6.7109375" customWidth="1"/>
    <col min="6933" max="6933" width="7.7109375" customWidth="1"/>
    <col min="6934" max="6934" width="1.85546875" customWidth="1"/>
    <col min="6935" max="6935" width="6.7109375" customWidth="1"/>
    <col min="6936" max="6936" width="7.7109375" customWidth="1"/>
    <col min="6937" max="6937" width="1.7109375" customWidth="1"/>
    <col min="7169" max="7169" width="11" customWidth="1"/>
    <col min="7170" max="7170" width="7.5703125" customWidth="1"/>
    <col min="7171" max="7171" width="7.7109375" customWidth="1"/>
    <col min="7172" max="7172" width="1.7109375" customWidth="1"/>
    <col min="7173" max="7174" width="7.7109375" customWidth="1"/>
    <col min="7175" max="7175" width="1.7109375" customWidth="1"/>
    <col min="7176" max="7176" width="6.7109375" customWidth="1"/>
    <col min="7177" max="7177" width="7.7109375" customWidth="1"/>
    <col min="7178" max="7178" width="1.7109375" customWidth="1"/>
    <col min="7179" max="7179" width="6.7109375" customWidth="1"/>
    <col min="7180" max="7180" width="7.7109375" customWidth="1"/>
    <col min="7181" max="7181" width="1.7109375" customWidth="1"/>
    <col min="7182" max="7182" width="6.7109375" customWidth="1"/>
    <col min="7183" max="7183" width="7.7109375" customWidth="1"/>
    <col min="7184" max="7184" width="1.7109375" customWidth="1"/>
    <col min="7185" max="7185" width="6.7109375" customWidth="1"/>
    <col min="7186" max="7186" width="7.7109375" customWidth="1"/>
    <col min="7187" max="7187" width="1.7109375" customWidth="1"/>
    <col min="7188" max="7188" width="6.7109375" customWidth="1"/>
    <col min="7189" max="7189" width="7.7109375" customWidth="1"/>
    <col min="7190" max="7190" width="1.85546875" customWidth="1"/>
    <col min="7191" max="7191" width="6.7109375" customWidth="1"/>
    <col min="7192" max="7192" width="7.7109375" customWidth="1"/>
    <col min="7193" max="7193" width="1.7109375" customWidth="1"/>
    <col min="7425" max="7425" width="11" customWidth="1"/>
    <col min="7426" max="7426" width="7.5703125" customWidth="1"/>
    <col min="7427" max="7427" width="7.7109375" customWidth="1"/>
    <col min="7428" max="7428" width="1.7109375" customWidth="1"/>
    <col min="7429" max="7430" width="7.7109375" customWidth="1"/>
    <col min="7431" max="7431" width="1.7109375" customWidth="1"/>
    <col min="7432" max="7432" width="6.7109375" customWidth="1"/>
    <col min="7433" max="7433" width="7.7109375" customWidth="1"/>
    <col min="7434" max="7434" width="1.7109375" customWidth="1"/>
    <col min="7435" max="7435" width="6.7109375" customWidth="1"/>
    <col min="7436" max="7436" width="7.7109375" customWidth="1"/>
    <col min="7437" max="7437" width="1.7109375" customWidth="1"/>
    <col min="7438" max="7438" width="6.7109375" customWidth="1"/>
    <col min="7439" max="7439" width="7.7109375" customWidth="1"/>
    <col min="7440" max="7440" width="1.7109375" customWidth="1"/>
    <col min="7441" max="7441" width="6.7109375" customWidth="1"/>
    <col min="7442" max="7442" width="7.7109375" customWidth="1"/>
    <col min="7443" max="7443" width="1.7109375" customWidth="1"/>
    <col min="7444" max="7444" width="6.7109375" customWidth="1"/>
    <col min="7445" max="7445" width="7.7109375" customWidth="1"/>
    <col min="7446" max="7446" width="1.85546875" customWidth="1"/>
    <col min="7447" max="7447" width="6.7109375" customWidth="1"/>
    <col min="7448" max="7448" width="7.7109375" customWidth="1"/>
    <col min="7449" max="7449" width="1.7109375" customWidth="1"/>
    <col min="7681" max="7681" width="11" customWidth="1"/>
    <col min="7682" max="7682" width="7.5703125" customWidth="1"/>
    <col min="7683" max="7683" width="7.7109375" customWidth="1"/>
    <col min="7684" max="7684" width="1.7109375" customWidth="1"/>
    <col min="7685" max="7686" width="7.7109375" customWidth="1"/>
    <col min="7687" max="7687" width="1.7109375" customWidth="1"/>
    <col min="7688" max="7688" width="6.7109375" customWidth="1"/>
    <col min="7689" max="7689" width="7.7109375" customWidth="1"/>
    <col min="7690" max="7690" width="1.7109375" customWidth="1"/>
    <col min="7691" max="7691" width="6.7109375" customWidth="1"/>
    <col min="7692" max="7692" width="7.7109375" customWidth="1"/>
    <col min="7693" max="7693" width="1.7109375" customWidth="1"/>
    <col min="7694" max="7694" width="6.7109375" customWidth="1"/>
    <col min="7695" max="7695" width="7.7109375" customWidth="1"/>
    <col min="7696" max="7696" width="1.7109375" customWidth="1"/>
    <col min="7697" max="7697" width="6.7109375" customWidth="1"/>
    <col min="7698" max="7698" width="7.7109375" customWidth="1"/>
    <col min="7699" max="7699" width="1.7109375" customWidth="1"/>
    <col min="7700" max="7700" width="6.7109375" customWidth="1"/>
    <col min="7701" max="7701" width="7.7109375" customWidth="1"/>
    <col min="7702" max="7702" width="1.85546875" customWidth="1"/>
    <col min="7703" max="7703" width="6.7109375" customWidth="1"/>
    <col min="7704" max="7704" width="7.7109375" customWidth="1"/>
    <col min="7705" max="7705" width="1.7109375" customWidth="1"/>
    <col min="7937" max="7937" width="11" customWidth="1"/>
    <col min="7938" max="7938" width="7.5703125" customWidth="1"/>
    <col min="7939" max="7939" width="7.7109375" customWidth="1"/>
    <col min="7940" max="7940" width="1.7109375" customWidth="1"/>
    <col min="7941" max="7942" width="7.7109375" customWidth="1"/>
    <col min="7943" max="7943" width="1.7109375" customWidth="1"/>
    <col min="7944" max="7944" width="6.7109375" customWidth="1"/>
    <col min="7945" max="7945" width="7.7109375" customWidth="1"/>
    <col min="7946" max="7946" width="1.7109375" customWidth="1"/>
    <col min="7947" max="7947" width="6.7109375" customWidth="1"/>
    <col min="7948" max="7948" width="7.7109375" customWidth="1"/>
    <col min="7949" max="7949" width="1.7109375" customWidth="1"/>
    <col min="7950" max="7950" width="6.7109375" customWidth="1"/>
    <col min="7951" max="7951" width="7.7109375" customWidth="1"/>
    <col min="7952" max="7952" width="1.7109375" customWidth="1"/>
    <col min="7953" max="7953" width="6.7109375" customWidth="1"/>
    <col min="7954" max="7954" width="7.7109375" customWidth="1"/>
    <col min="7955" max="7955" width="1.7109375" customWidth="1"/>
    <col min="7956" max="7956" width="6.7109375" customWidth="1"/>
    <col min="7957" max="7957" width="7.7109375" customWidth="1"/>
    <col min="7958" max="7958" width="1.85546875" customWidth="1"/>
    <col min="7959" max="7959" width="6.7109375" customWidth="1"/>
    <col min="7960" max="7960" width="7.7109375" customWidth="1"/>
    <col min="7961" max="7961" width="1.7109375" customWidth="1"/>
    <col min="8193" max="8193" width="11" customWidth="1"/>
    <col min="8194" max="8194" width="7.5703125" customWidth="1"/>
    <col min="8195" max="8195" width="7.7109375" customWidth="1"/>
    <col min="8196" max="8196" width="1.7109375" customWidth="1"/>
    <col min="8197" max="8198" width="7.7109375" customWidth="1"/>
    <col min="8199" max="8199" width="1.7109375" customWidth="1"/>
    <col min="8200" max="8200" width="6.7109375" customWidth="1"/>
    <col min="8201" max="8201" width="7.7109375" customWidth="1"/>
    <col min="8202" max="8202" width="1.7109375" customWidth="1"/>
    <col min="8203" max="8203" width="6.7109375" customWidth="1"/>
    <col min="8204" max="8204" width="7.7109375" customWidth="1"/>
    <col min="8205" max="8205" width="1.7109375" customWidth="1"/>
    <col min="8206" max="8206" width="6.7109375" customWidth="1"/>
    <col min="8207" max="8207" width="7.7109375" customWidth="1"/>
    <col min="8208" max="8208" width="1.7109375" customWidth="1"/>
    <col min="8209" max="8209" width="6.7109375" customWidth="1"/>
    <col min="8210" max="8210" width="7.7109375" customWidth="1"/>
    <col min="8211" max="8211" width="1.7109375" customWidth="1"/>
    <col min="8212" max="8212" width="6.7109375" customWidth="1"/>
    <col min="8213" max="8213" width="7.7109375" customWidth="1"/>
    <col min="8214" max="8214" width="1.85546875" customWidth="1"/>
    <col min="8215" max="8215" width="6.7109375" customWidth="1"/>
    <col min="8216" max="8216" width="7.7109375" customWidth="1"/>
    <col min="8217" max="8217" width="1.7109375" customWidth="1"/>
    <col min="8449" max="8449" width="11" customWidth="1"/>
    <col min="8450" max="8450" width="7.5703125" customWidth="1"/>
    <col min="8451" max="8451" width="7.7109375" customWidth="1"/>
    <col min="8452" max="8452" width="1.7109375" customWidth="1"/>
    <col min="8453" max="8454" width="7.7109375" customWidth="1"/>
    <col min="8455" max="8455" width="1.7109375" customWidth="1"/>
    <col min="8456" max="8456" width="6.7109375" customWidth="1"/>
    <col min="8457" max="8457" width="7.7109375" customWidth="1"/>
    <col min="8458" max="8458" width="1.7109375" customWidth="1"/>
    <col min="8459" max="8459" width="6.7109375" customWidth="1"/>
    <col min="8460" max="8460" width="7.7109375" customWidth="1"/>
    <col min="8461" max="8461" width="1.7109375" customWidth="1"/>
    <col min="8462" max="8462" width="6.7109375" customWidth="1"/>
    <col min="8463" max="8463" width="7.7109375" customWidth="1"/>
    <col min="8464" max="8464" width="1.7109375" customWidth="1"/>
    <col min="8465" max="8465" width="6.7109375" customWidth="1"/>
    <col min="8466" max="8466" width="7.7109375" customWidth="1"/>
    <col min="8467" max="8467" width="1.7109375" customWidth="1"/>
    <col min="8468" max="8468" width="6.7109375" customWidth="1"/>
    <col min="8469" max="8469" width="7.7109375" customWidth="1"/>
    <col min="8470" max="8470" width="1.85546875" customWidth="1"/>
    <col min="8471" max="8471" width="6.7109375" customWidth="1"/>
    <col min="8472" max="8472" width="7.7109375" customWidth="1"/>
    <col min="8473" max="8473" width="1.7109375" customWidth="1"/>
    <col min="8705" max="8705" width="11" customWidth="1"/>
    <col min="8706" max="8706" width="7.5703125" customWidth="1"/>
    <col min="8707" max="8707" width="7.7109375" customWidth="1"/>
    <col min="8708" max="8708" width="1.7109375" customWidth="1"/>
    <col min="8709" max="8710" width="7.7109375" customWidth="1"/>
    <col min="8711" max="8711" width="1.7109375" customWidth="1"/>
    <col min="8712" max="8712" width="6.7109375" customWidth="1"/>
    <col min="8713" max="8713" width="7.7109375" customWidth="1"/>
    <col min="8714" max="8714" width="1.7109375" customWidth="1"/>
    <col min="8715" max="8715" width="6.7109375" customWidth="1"/>
    <col min="8716" max="8716" width="7.7109375" customWidth="1"/>
    <col min="8717" max="8717" width="1.7109375" customWidth="1"/>
    <col min="8718" max="8718" width="6.7109375" customWidth="1"/>
    <col min="8719" max="8719" width="7.7109375" customWidth="1"/>
    <col min="8720" max="8720" width="1.7109375" customWidth="1"/>
    <col min="8721" max="8721" width="6.7109375" customWidth="1"/>
    <col min="8722" max="8722" width="7.7109375" customWidth="1"/>
    <col min="8723" max="8723" width="1.7109375" customWidth="1"/>
    <col min="8724" max="8724" width="6.7109375" customWidth="1"/>
    <col min="8725" max="8725" width="7.7109375" customWidth="1"/>
    <col min="8726" max="8726" width="1.85546875" customWidth="1"/>
    <col min="8727" max="8727" width="6.7109375" customWidth="1"/>
    <col min="8728" max="8728" width="7.7109375" customWidth="1"/>
    <col min="8729" max="8729" width="1.7109375" customWidth="1"/>
    <col min="8961" max="8961" width="11" customWidth="1"/>
    <col min="8962" max="8962" width="7.5703125" customWidth="1"/>
    <col min="8963" max="8963" width="7.7109375" customWidth="1"/>
    <col min="8964" max="8964" width="1.7109375" customWidth="1"/>
    <col min="8965" max="8966" width="7.7109375" customWidth="1"/>
    <col min="8967" max="8967" width="1.7109375" customWidth="1"/>
    <col min="8968" max="8968" width="6.7109375" customWidth="1"/>
    <col min="8969" max="8969" width="7.7109375" customWidth="1"/>
    <col min="8970" max="8970" width="1.7109375" customWidth="1"/>
    <col min="8971" max="8971" width="6.7109375" customWidth="1"/>
    <col min="8972" max="8972" width="7.7109375" customWidth="1"/>
    <col min="8973" max="8973" width="1.7109375" customWidth="1"/>
    <col min="8974" max="8974" width="6.7109375" customWidth="1"/>
    <col min="8975" max="8975" width="7.7109375" customWidth="1"/>
    <col min="8976" max="8976" width="1.7109375" customWidth="1"/>
    <col min="8977" max="8977" width="6.7109375" customWidth="1"/>
    <col min="8978" max="8978" width="7.7109375" customWidth="1"/>
    <col min="8979" max="8979" width="1.7109375" customWidth="1"/>
    <col min="8980" max="8980" width="6.7109375" customWidth="1"/>
    <col min="8981" max="8981" width="7.7109375" customWidth="1"/>
    <col min="8982" max="8982" width="1.85546875" customWidth="1"/>
    <col min="8983" max="8983" width="6.7109375" customWidth="1"/>
    <col min="8984" max="8984" width="7.7109375" customWidth="1"/>
    <col min="8985" max="8985" width="1.7109375" customWidth="1"/>
    <col min="9217" max="9217" width="11" customWidth="1"/>
    <col min="9218" max="9218" width="7.5703125" customWidth="1"/>
    <col min="9219" max="9219" width="7.7109375" customWidth="1"/>
    <col min="9220" max="9220" width="1.7109375" customWidth="1"/>
    <col min="9221" max="9222" width="7.7109375" customWidth="1"/>
    <col min="9223" max="9223" width="1.7109375" customWidth="1"/>
    <col min="9224" max="9224" width="6.7109375" customWidth="1"/>
    <col min="9225" max="9225" width="7.7109375" customWidth="1"/>
    <col min="9226" max="9226" width="1.7109375" customWidth="1"/>
    <col min="9227" max="9227" width="6.7109375" customWidth="1"/>
    <col min="9228" max="9228" width="7.7109375" customWidth="1"/>
    <col min="9229" max="9229" width="1.7109375" customWidth="1"/>
    <col min="9230" max="9230" width="6.7109375" customWidth="1"/>
    <col min="9231" max="9231" width="7.7109375" customWidth="1"/>
    <col min="9232" max="9232" width="1.7109375" customWidth="1"/>
    <col min="9233" max="9233" width="6.7109375" customWidth="1"/>
    <col min="9234" max="9234" width="7.7109375" customWidth="1"/>
    <col min="9235" max="9235" width="1.7109375" customWidth="1"/>
    <col min="9236" max="9236" width="6.7109375" customWidth="1"/>
    <col min="9237" max="9237" width="7.7109375" customWidth="1"/>
    <col min="9238" max="9238" width="1.85546875" customWidth="1"/>
    <col min="9239" max="9239" width="6.7109375" customWidth="1"/>
    <col min="9240" max="9240" width="7.7109375" customWidth="1"/>
    <col min="9241" max="9241" width="1.7109375" customWidth="1"/>
    <col min="9473" max="9473" width="11" customWidth="1"/>
    <col min="9474" max="9474" width="7.5703125" customWidth="1"/>
    <col min="9475" max="9475" width="7.7109375" customWidth="1"/>
    <col min="9476" max="9476" width="1.7109375" customWidth="1"/>
    <col min="9477" max="9478" width="7.7109375" customWidth="1"/>
    <col min="9479" max="9479" width="1.7109375" customWidth="1"/>
    <col min="9480" max="9480" width="6.7109375" customWidth="1"/>
    <col min="9481" max="9481" width="7.7109375" customWidth="1"/>
    <col min="9482" max="9482" width="1.7109375" customWidth="1"/>
    <col min="9483" max="9483" width="6.7109375" customWidth="1"/>
    <col min="9484" max="9484" width="7.7109375" customWidth="1"/>
    <col min="9485" max="9485" width="1.7109375" customWidth="1"/>
    <col min="9486" max="9486" width="6.7109375" customWidth="1"/>
    <col min="9487" max="9487" width="7.7109375" customWidth="1"/>
    <col min="9488" max="9488" width="1.7109375" customWidth="1"/>
    <col min="9489" max="9489" width="6.7109375" customWidth="1"/>
    <col min="9490" max="9490" width="7.7109375" customWidth="1"/>
    <col min="9491" max="9491" width="1.7109375" customWidth="1"/>
    <col min="9492" max="9492" width="6.7109375" customWidth="1"/>
    <col min="9493" max="9493" width="7.7109375" customWidth="1"/>
    <col min="9494" max="9494" width="1.85546875" customWidth="1"/>
    <col min="9495" max="9495" width="6.7109375" customWidth="1"/>
    <col min="9496" max="9496" width="7.7109375" customWidth="1"/>
    <col min="9497" max="9497" width="1.7109375" customWidth="1"/>
    <col min="9729" max="9729" width="11" customWidth="1"/>
    <col min="9730" max="9730" width="7.5703125" customWidth="1"/>
    <col min="9731" max="9731" width="7.7109375" customWidth="1"/>
    <col min="9732" max="9732" width="1.7109375" customWidth="1"/>
    <col min="9733" max="9734" width="7.7109375" customWidth="1"/>
    <col min="9735" max="9735" width="1.7109375" customWidth="1"/>
    <col min="9736" max="9736" width="6.7109375" customWidth="1"/>
    <col min="9737" max="9737" width="7.7109375" customWidth="1"/>
    <col min="9738" max="9738" width="1.7109375" customWidth="1"/>
    <col min="9739" max="9739" width="6.7109375" customWidth="1"/>
    <col min="9740" max="9740" width="7.7109375" customWidth="1"/>
    <col min="9741" max="9741" width="1.7109375" customWidth="1"/>
    <col min="9742" max="9742" width="6.7109375" customWidth="1"/>
    <col min="9743" max="9743" width="7.7109375" customWidth="1"/>
    <col min="9744" max="9744" width="1.7109375" customWidth="1"/>
    <col min="9745" max="9745" width="6.7109375" customWidth="1"/>
    <col min="9746" max="9746" width="7.7109375" customWidth="1"/>
    <col min="9747" max="9747" width="1.7109375" customWidth="1"/>
    <col min="9748" max="9748" width="6.7109375" customWidth="1"/>
    <col min="9749" max="9749" width="7.7109375" customWidth="1"/>
    <col min="9750" max="9750" width="1.85546875" customWidth="1"/>
    <col min="9751" max="9751" width="6.7109375" customWidth="1"/>
    <col min="9752" max="9752" width="7.7109375" customWidth="1"/>
    <col min="9753" max="9753" width="1.7109375" customWidth="1"/>
    <col min="9985" max="9985" width="11" customWidth="1"/>
    <col min="9986" max="9986" width="7.5703125" customWidth="1"/>
    <col min="9987" max="9987" width="7.7109375" customWidth="1"/>
    <col min="9988" max="9988" width="1.7109375" customWidth="1"/>
    <col min="9989" max="9990" width="7.7109375" customWidth="1"/>
    <col min="9991" max="9991" width="1.7109375" customWidth="1"/>
    <col min="9992" max="9992" width="6.7109375" customWidth="1"/>
    <col min="9993" max="9993" width="7.7109375" customWidth="1"/>
    <col min="9994" max="9994" width="1.7109375" customWidth="1"/>
    <col min="9995" max="9995" width="6.7109375" customWidth="1"/>
    <col min="9996" max="9996" width="7.7109375" customWidth="1"/>
    <col min="9997" max="9997" width="1.7109375" customWidth="1"/>
    <col min="9998" max="9998" width="6.7109375" customWidth="1"/>
    <col min="9999" max="9999" width="7.7109375" customWidth="1"/>
    <col min="10000" max="10000" width="1.7109375" customWidth="1"/>
    <col min="10001" max="10001" width="6.7109375" customWidth="1"/>
    <col min="10002" max="10002" width="7.7109375" customWidth="1"/>
    <col min="10003" max="10003" width="1.7109375" customWidth="1"/>
    <col min="10004" max="10004" width="6.7109375" customWidth="1"/>
    <col min="10005" max="10005" width="7.7109375" customWidth="1"/>
    <col min="10006" max="10006" width="1.85546875" customWidth="1"/>
    <col min="10007" max="10007" width="6.7109375" customWidth="1"/>
    <col min="10008" max="10008" width="7.7109375" customWidth="1"/>
    <col min="10009" max="10009" width="1.7109375" customWidth="1"/>
    <col min="10241" max="10241" width="11" customWidth="1"/>
    <col min="10242" max="10242" width="7.5703125" customWidth="1"/>
    <col min="10243" max="10243" width="7.7109375" customWidth="1"/>
    <col min="10244" max="10244" width="1.7109375" customWidth="1"/>
    <col min="10245" max="10246" width="7.7109375" customWidth="1"/>
    <col min="10247" max="10247" width="1.7109375" customWidth="1"/>
    <col min="10248" max="10248" width="6.7109375" customWidth="1"/>
    <col min="10249" max="10249" width="7.7109375" customWidth="1"/>
    <col min="10250" max="10250" width="1.7109375" customWidth="1"/>
    <col min="10251" max="10251" width="6.7109375" customWidth="1"/>
    <col min="10252" max="10252" width="7.7109375" customWidth="1"/>
    <col min="10253" max="10253" width="1.7109375" customWidth="1"/>
    <col min="10254" max="10254" width="6.7109375" customWidth="1"/>
    <col min="10255" max="10255" width="7.7109375" customWidth="1"/>
    <col min="10256" max="10256" width="1.7109375" customWidth="1"/>
    <col min="10257" max="10257" width="6.7109375" customWidth="1"/>
    <col min="10258" max="10258" width="7.7109375" customWidth="1"/>
    <col min="10259" max="10259" width="1.7109375" customWidth="1"/>
    <col min="10260" max="10260" width="6.7109375" customWidth="1"/>
    <col min="10261" max="10261" width="7.7109375" customWidth="1"/>
    <col min="10262" max="10262" width="1.85546875" customWidth="1"/>
    <col min="10263" max="10263" width="6.7109375" customWidth="1"/>
    <col min="10264" max="10264" width="7.7109375" customWidth="1"/>
    <col min="10265" max="10265" width="1.7109375" customWidth="1"/>
    <col min="10497" max="10497" width="11" customWidth="1"/>
    <col min="10498" max="10498" width="7.5703125" customWidth="1"/>
    <col min="10499" max="10499" width="7.7109375" customWidth="1"/>
    <col min="10500" max="10500" width="1.7109375" customWidth="1"/>
    <col min="10501" max="10502" width="7.7109375" customWidth="1"/>
    <col min="10503" max="10503" width="1.7109375" customWidth="1"/>
    <col min="10504" max="10504" width="6.7109375" customWidth="1"/>
    <col min="10505" max="10505" width="7.7109375" customWidth="1"/>
    <col min="10506" max="10506" width="1.7109375" customWidth="1"/>
    <col min="10507" max="10507" width="6.7109375" customWidth="1"/>
    <col min="10508" max="10508" width="7.7109375" customWidth="1"/>
    <col min="10509" max="10509" width="1.7109375" customWidth="1"/>
    <col min="10510" max="10510" width="6.7109375" customWidth="1"/>
    <col min="10511" max="10511" width="7.7109375" customWidth="1"/>
    <col min="10512" max="10512" width="1.7109375" customWidth="1"/>
    <col min="10513" max="10513" width="6.7109375" customWidth="1"/>
    <col min="10514" max="10514" width="7.7109375" customWidth="1"/>
    <col min="10515" max="10515" width="1.7109375" customWidth="1"/>
    <col min="10516" max="10516" width="6.7109375" customWidth="1"/>
    <col min="10517" max="10517" width="7.7109375" customWidth="1"/>
    <col min="10518" max="10518" width="1.85546875" customWidth="1"/>
    <col min="10519" max="10519" width="6.7109375" customWidth="1"/>
    <col min="10520" max="10520" width="7.7109375" customWidth="1"/>
    <col min="10521" max="10521" width="1.7109375" customWidth="1"/>
    <col min="10753" max="10753" width="11" customWidth="1"/>
    <col min="10754" max="10754" width="7.5703125" customWidth="1"/>
    <col min="10755" max="10755" width="7.7109375" customWidth="1"/>
    <col min="10756" max="10756" width="1.7109375" customWidth="1"/>
    <col min="10757" max="10758" width="7.7109375" customWidth="1"/>
    <col min="10759" max="10759" width="1.7109375" customWidth="1"/>
    <col min="10760" max="10760" width="6.7109375" customWidth="1"/>
    <col min="10761" max="10761" width="7.7109375" customWidth="1"/>
    <col min="10762" max="10762" width="1.7109375" customWidth="1"/>
    <col min="10763" max="10763" width="6.7109375" customWidth="1"/>
    <col min="10764" max="10764" width="7.7109375" customWidth="1"/>
    <col min="10765" max="10765" width="1.7109375" customWidth="1"/>
    <col min="10766" max="10766" width="6.7109375" customWidth="1"/>
    <col min="10767" max="10767" width="7.7109375" customWidth="1"/>
    <col min="10768" max="10768" width="1.7109375" customWidth="1"/>
    <col min="10769" max="10769" width="6.7109375" customWidth="1"/>
    <col min="10770" max="10770" width="7.7109375" customWidth="1"/>
    <col min="10771" max="10771" width="1.7109375" customWidth="1"/>
    <col min="10772" max="10772" width="6.7109375" customWidth="1"/>
    <col min="10773" max="10773" width="7.7109375" customWidth="1"/>
    <col min="10774" max="10774" width="1.85546875" customWidth="1"/>
    <col min="10775" max="10775" width="6.7109375" customWidth="1"/>
    <col min="10776" max="10776" width="7.7109375" customWidth="1"/>
    <col min="10777" max="10777" width="1.7109375" customWidth="1"/>
    <col min="11009" max="11009" width="11" customWidth="1"/>
    <col min="11010" max="11010" width="7.5703125" customWidth="1"/>
    <col min="11011" max="11011" width="7.7109375" customWidth="1"/>
    <col min="11012" max="11012" width="1.7109375" customWidth="1"/>
    <col min="11013" max="11014" width="7.7109375" customWidth="1"/>
    <col min="11015" max="11015" width="1.7109375" customWidth="1"/>
    <col min="11016" max="11016" width="6.7109375" customWidth="1"/>
    <col min="11017" max="11017" width="7.7109375" customWidth="1"/>
    <col min="11018" max="11018" width="1.7109375" customWidth="1"/>
    <col min="11019" max="11019" width="6.7109375" customWidth="1"/>
    <col min="11020" max="11020" width="7.7109375" customWidth="1"/>
    <col min="11021" max="11021" width="1.7109375" customWidth="1"/>
    <col min="11022" max="11022" width="6.7109375" customWidth="1"/>
    <col min="11023" max="11023" width="7.7109375" customWidth="1"/>
    <col min="11024" max="11024" width="1.7109375" customWidth="1"/>
    <col min="11025" max="11025" width="6.7109375" customWidth="1"/>
    <col min="11026" max="11026" width="7.7109375" customWidth="1"/>
    <col min="11027" max="11027" width="1.7109375" customWidth="1"/>
    <col min="11028" max="11028" width="6.7109375" customWidth="1"/>
    <col min="11029" max="11029" width="7.7109375" customWidth="1"/>
    <col min="11030" max="11030" width="1.85546875" customWidth="1"/>
    <col min="11031" max="11031" width="6.7109375" customWidth="1"/>
    <col min="11032" max="11032" width="7.7109375" customWidth="1"/>
    <col min="11033" max="11033" width="1.7109375" customWidth="1"/>
    <col min="11265" max="11265" width="11" customWidth="1"/>
    <col min="11266" max="11266" width="7.5703125" customWidth="1"/>
    <col min="11267" max="11267" width="7.7109375" customWidth="1"/>
    <col min="11268" max="11268" width="1.7109375" customWidth="1"/>
    <col min="11269" max="11270" width="7.7109375" customWidth="1"/>
    <col min="11271" max="11271" width="1.7109375" customWidth="1"/>
    <col min="11272" max="11272" width="6.7109375" customWidth="1"/>
    <col min="11273" max="11273" width="7.7109375" customWidth="1"/>
    <col min="11274" max="11274" width="1.7109375" customWidth="1"/>
    <col min="11275" max="11275" width="6.7109375" customWidth="1"/>
    <col min="11276" max="11276" width="7.7109375" customWidth="1"/>
    <col min="11277" max="11277" width="1.7109375" customWidth="1"/>
    <col min="11278" max="11278" width="6.7109375" customWidth="1"/>
    <col min="11279" max="11279" width="7.7109375" customWidth="1"/>
    <col min="11280" max="11280" width="1.7109375" customWidth="1"/>
    <col min="11281" max="11281" width="6.7109375" customWidth="1"/>
    <col min="11282" max="11282" width="7.7109375" customWidth="1"/>
    <col min="11283" max="11283" width="1.7109375" customWidth="1"/>
    <col min="11284" max="11284" width="6.7109375" customWidth="1"/>
    <col min="11285" max="11285" width="7.7109375" customWidth="1"/>
    <col min="11286" max="11286" width="1.85546875" customWidth="1"/>
    <col min="11287" max="11287" width="6.7109375" customWidth="1"/>
    <col min="11288" max="11288" width="7.7109375" customWidth="1"/>
    <col min="11289" max="11289" width="1.7109375" customWidth="1"/>
    <col min="11521" max="11521" width="11" customWidth="1"/>
    <col min="11522" max="11522" width="7.5703125" customWidth="1"/>
    <col min="11523" max="11523" width="7.7109375" customWidth="1"/>
    <col min="11524" max="11524" width="1.7109375" customWidth="1"/>
    <col min="11525" max="11526" width="7.7109375" customWidth="1"/>
    <col min="11527" max="11527" width="1.7109375" customWidth="1"/>
    <col min="11528" max="11528" width="6.7109375" customWidth="1"/>
    <col min="11529" max="11529" width="7.7109375" customWidth="1"/>
    <col min="11530" max="11530" width="1.7109375" customWidth="1"/>
    <col min="11531" max="11531" width="6.7109375" customWidth="1"/>
    <col min="11532" max="11532" width="7.7109375" customWidth="1"/>
    <col min="11533" max="11533" width="1.7109375" customWidth="1"/>
    <col min="11534" max="11534" width="6.7109375" customWidth="1"/>
    <col min="11535" max="11535" width="7.7109375" customWidth="1"/>
    <col min="11536" max="11536" width="1.7109375" customWidth="1"/>
    <col min="11537" max="11537" width="6.7109375" customWidth="1"/>
    <col min="11538" max="11538" width="7.7109375" customWidth="1"/>
    <col min="11539" max="11539" width="1.7109375" customWidth="1"/>
    <col min="11540" max="11540" width="6.7109375" customWidth="1"/>
    <col min="11541" max="11541" width="7.7109375" customWidth="1"/>
    <col min="11542" max="11542" width="1.85546875" customWidth="1"/>
    <col min="11543" max="11543" width="6.7109375" customWidth="1"/>
    <col min="11544" max="11544" width="7.7109375" customWidth="1"/>
    <col min="11545" max="11545" width="1.7109375" customWidth="1"/>
    <col min="11777" max="11777" width="11" customWidth="1"/>
    <col min="11778" max="11778" width="7.5703125" customWidth="1"/>
    <col min="11779" max="11779" width="7.7109375" customWidth="1"/>
    <col min="11780" max="11780" width="1.7109375" customWidth="1"/>
    <col min="11781" max="11782" width="7.7109375" customWidth="1"/>
    <col min="11783" max="11783" width="1.7109375" customWidth="1"/>
    <col min="11784" max="11784" width="6.7109375" customWidth="1"/>
    <col min="11785" max="11785" width="7.7109375" customWidth="1"/>
    <col min="11786" max="11786" width="1.7109375" customWidth="1"/>
    <col min="11787" max="11787" width="6.7109375" customWidth="1"/>
    <col min="11788" max="11788" width="7.7109375" customWidth="1"/>
    <col min="11789" max="11789" width="1.7109375" customWidth="1"/>
    <col min="11790" max="11790" width="6.7109375" customWidth="1"/>
    <col min="11791" max="11791" width="7.7109375" customWidth="1"/>
    <col min="11792" max="11792" width="1.7109375" customWidth="1"/>
    <col min="11793" max="11793" width="6.7109375" customWidth="1"/>
    <col min="11794" max="11794" width="7.7109375" customWidth="1"/>
    <col min="11795" max="11795" width="1.7109375" customWidth="1"/>
    <col min="11796" max="11796" width="6.7109375" customWidth="1"/>
    <col min="11797" max="11797" width="7.7109375" customWidth="1"/>
    <col min="11798" max="11798" width="1.85546875" customWidth="1"/>
    <col min="11799" max="11799" width="6.7109375" customWidth="1"/>
    <col min="11800" max="11800" width="7.7109375" customWidth="1"/>
    <col min="11801" max="11801" width="1.7109375" customWidth="1"/>
    <col min="12033" max="12033" width="11" customWidth="1"/>
    <col min="12034" max="12034" width="7.5703125" customWidth="1"/>
    <col min="12035" max="12035" width="7.7109375" customWidth="1"/>
    <col min="12036" max="12036" width="1.7109375" customWidth="1"/>
    <col min="12037" max="12038" width="7.7109375" customWidth="1"/>
    <col min="12039" max="12039" width="1.7109375" customWidth="1"/>
    <col min="12040" max="12040" width="6.7109375" customWidth="1"/>
    <col min="12041" max="12041" width="7.7109375" customWidth="1"/>
    <col min="12042" max="12042" width="1.7109375" customWidth="1"/>
    <col min="12043" max="12043" width="6.7109375" customWidth="1"/>
    <col min="12044" max="12044" width="7.7109375" customWidth="1"/>
    <col min="12045" max="12045" width="1.7109375" customWidth="1"/>
    <col min="12046" max="12046" width="6.7109375" customWidth="1"/>
    <col min="12047" max="12047" width="7.7109375" customWidth="1"/>
    <col min="12048" max="12048" width="1.7109375" customWidth="1"/>
    <col min="12049" max="12049" width="6.7109375" customWidth="1"/>
    <col min="12050" max="12050" width="7.7109375" customWidth="1"/>
    <col min="12051" max="12051" width="1.7109375" customWidth="1"/>
    <col min="12052" max="12052" width="6.7109375" customWidth="1"/>
    <col min="12053" max="12053" width="7.7109375" customWidth="1"/>
    <col min="12054" max="12054" width="1.85546875" customWidth="1"/>
    <col min="12055" max="12055" width="6.7109375" customWidth="1"/>
    <col min="12056" max="12056" width="7.7109375" customWidth="1"/>
    <col min="12057" max="12057" width="1.7109375" customWidth="1"/>
    <col min="12289" max="12289" width="11" customWidth="1"/>
    <col min="12290" max="12290" width="7.5703125" customWidth="1"/>
    <col min="12291" max="12291" width="7.7109375" customWidth="1"/>
    <col min="12292" max="12292" width="1.7109375" customWidth="1"/>
    <col min="12293" max="12294" width="7.7109375" customWidth="1"/>
    <col min="12295" max="12295" width="1.7109375" customWidth="1"/>
    <col min="12296" max="12296" width="6.7109375" customWidth="1"/>
    <col min="12297" max="12297" width="7.7109375" customWidth="1"/>
    <col min="12298" max="12298" width="1.7109375" customWidth="1"/>
    <col min="12299" max="12299" width="6.7109375" customWidth="1"/>
    <col min="12300" max="12300" width="7.7109375" customWidth="1"/>
    <col min="12301" max="12301" width="1.7109375" customWidth="1"/>
    <col min="12302" max="12302" width="6.7109375" customWidth="1"/>
    <col min="12303" max="12303" width="7.7109375" customWidth="1"/>
    <col min="12304" max="12304" width="1.7109375" customWidth="1"/>
    <col min="12305" max="12305" width="6.7109375" customWidth="1"/>
    <col min="12306" max="12306" width="7.7109375" customWidth="1"/>
    <col min="12307" max="12307" width="1.7109375" customWidth="1"/>
    <col min="12308" max="12308" width="6.7109375" customWidth="1"/>
    <col min="12309" max="12309" width="7.7109375" customWidth="1"/>
    <col min="12310" max="12310" width="1.85546875" customWidth="1"/>
    <col min="12311" max="12311" width="6.7109375" customWidth="1"/>
    <col min="12312" max="12312" width="7.7109375" customWidth="1"/>
    <col min="12313" max="12313" width="1.7109375" customWidth="1"/>
    <col min="12545" max="12545" width="11" customWidth="1"/>
    <col min="12546" max="12546" width="7.5703125" customWidth="1"/>
    <col min="12547" max="12547" width="7.7109375" customWidth="1"/>
    <col min="12548" max="12548" width="1.7109375" customWidth="1"/>
    <col min="12549" max="12550" width="7.7109375" customWidth="1"/>
    <col min="12551" max="12551" width="1.7109375" customWidth="1"/>
    <col min="12552" max="12552" width="6.7109375" customWidth="1"/>
    <col min="12553" max="12553" width="7.7109375" customWidth="1"/>
    <col min="12554" max="12554" width="1.7109375" customWidth="1"/>
    <col min="12555" max="12555" width="6.7109375" customWidth="1"/>
    <col min="12556" max="12556" width="7.7109375" customWidth="1"/>
    <col min="12557" max="12557" width="1.7109375" customWidth="1"/>
    <col min="12558" max="12558" width="6.7109375" customWidth="1"/>
    <col min="12559" max="12559" width="7.7109375" customWidth="1"/>
    <col min="12560" max="12560" width="1.7109375" customWidth="1"/>
    <col min="12561" max="12561" width="6.7109375" customWidth="1"/>
    <col min="12562" max="12562" width="7.7109375" customWidth="1"/>
    <col min="12563" max="12563" width="1.7109375" customWidth="1"/>
    <col min="12564" max="12564" width="6.7109375" customWidth="1"/>
    <col min="12565" max="12565" width="7.7109375" customWidth="1"/>
    <col min="12566" max="12566" width="1.85546875" customWidth="1"/>
    <col min="12567" max="12567" width="6.7109375" customWidth="1"/>
    <col min="12568" max="12568" width="7.7109375" customWidth="1"/>
    <col min="12569" max="12569" width="1.7109375" customWidth="1"/>
    <col min="12801" max="12801" width="11" customWidth="1"/>
    <col min="12802" max="12802" width="7.5703125" customWidth="1"/>
    <col min="12803" max="12803" width="7.7109375" customWidth="1"/>
    <col min="12804" max="12804" width="1.7109375" customWidth="1"/>
    <col min="12805" max="12806" width="7.7109375" customWidth="1"/>
    <col min="12807" max="12807" width="1.7109375" customWidth="1"/>
    <col min="12808" max="12808" width="6.7109375" customWidth="1"/>
    <col min="12809" max="12809" width="7.7109375" customWidth="1"/>
    <col min="12810" max="12810" width="1.7109375" customWidth="1"/>
    <col min="12811" max="12811" width="6.7109375" customWidth="1"/>
    <col min="12812" max="12812" width="7.7109375" customWidth="1"/>
    <col min="12813" max="12813" width="1.7109375" customWidth="1"/>
    <col min="12814" max="12814" width="6.7109375" customWidth="1"/>
    <col min="12815" max="12815" width="7.7109375" customWidth="1"/>
    <col min="12816" max="12816" width="1.7109375" customWidth="1"/>
    <col min="12817" max="12817" width="6.7109375" customWidth="1"/>
    <col min="12818" max="12818" width="7.7109375" customWidth="1"/>
    <col min="12819" max="12819" width="1.7109375" customWidth="1"/>
    <col min="12820" max="12820" width="6.7109375" customWidth="1"/>
    <col min="12821" max="12821" width="7.7109375" customWidth="1"/>
    <col min="12822" max="12822" width="1.85546875" customWidth="1"/>
    <col min="12823" max="12823" width="6.7109375" customWidth="1"/>
    <col min="12824" max="12824" width="7.7109375" customWidth="1"/>
    <col min="12825" max="12825" width="1.7109375" customWidth="1"/>
    <col min="13057" max="13057" width="11" customWidth="1"/>
    <col min="13058" max="13058" width="7.5703125" customWidth="1"/>
    <col min="13059" max="13059" width="7.7109375" customWidth="1"/>
    <col min="13060" max="13060" width="1.7109375" customWidth="1"/>
    <col min="13061" max="13062" width="7.7109375" customWidth="1"/>
    <col min="13063" max="13063" width="1.7109375" customWidth="1"/>
    <col min="13064" max="13064" width="6.7109375" customWidth="1"/>
    <col min="13065" max="13065" width="7.7109375" customWidth="1"/>
    <col min="13066" max="13066" width="1.7109375" customWidth="1"/>
    <col min="13067" max="13067" width="6.7109375" customWidth="1"/>
    <col min="13068" max="13068" width="7.7109375" customWidth="1"/>
    <col min="13069" max="13069" width="1.7109375" customWidth="1"/>
    <col min="13070" max="13070" width="6.7109375" customWidth="1"/>
    <col min="13071" max="13071" width="7.7109375" customWidth="1"/>
    <col min="13072" max="13072" width="1.7109375" customWidth="1"/>
    <col min="13073" max="13073" width="6.7109375" customWidth="1"/>
    <col min="13074" max="13074" width="7.7109375" customWidth="1"/>
    <col min="13075" max="13075" width="1.7109375" customWidth="1"/>
    <col min="13076" max="13076" width="6.7109375" customWidth="1"/>
    <col min="13077" max="13077" width="7.7109375" customWidth="1"/>
    <col min="13078" max="13078" width="1.85546875" customWidth="1"/>
    <col min="13079" max="13079" width="6.7109375" customWidth="1"/>
    <col min="13080" max="13080" width="7.7109375" customWidth="1"/>
    <col min="13081" max="13081" width="1.7109375" customWidth="1"/>
    <col min="13313" max="13313" width="11" customWidth="1"/>
    <col min="13314" max="13314" width="7.5703125" customWidth="1"/>
    <col min="13315" max="13315" width="7.7109375" customWidth="1"/>
    <col min="13316" max="13316" width="1.7109375" customWidth="1"/>
    <col min="13317" max="13318" width="7.7109375" customWidth="1"/>
    <col min="13319" max="13319" width="1.7109375" customWidth="1"/>
    <col min="13320" max="13320" width="6.7109375" customWidth="1"/>
    <col min="13321" max="13321" width="7.7109375" customWidth="1"/>
    <col min="13322" max="13322" width="1.7109375" customWidth="1"/>
    <col min="13323" max="13323" width="6.7109375" customWidth="1"/>
    <col min="13324" max="13324" width="7.7109375" customWidth="1"/>
    <col min="13325" max="13325" width="1.7109375" customWidth="1"/>
    <col min="13326" max="13326" width="6.7109375" customWidth="1"/>
    <col min="13327" max="13327" width="7.7109375" customWidth="1"/>
    <col min="13328" max="13328" width="1.7109375" customWidth="1"/>
    <col min="13329" max="13329" width="6.7109375" customWidth="1"/>
    <col min="13330" max="13330" width="7.7109375" customWidth="1"/>
    <col min="13331" max="13331" width="1.7109375" customWidth="1"/>
    <col min="13332" max="13332" width="6.7109375" customWidth="1"/>
    <col min="13333" max="13333" width="7.7109375" customWidth="1"/>
    <col min="13334" max="13334" width="1.85546875" customWidth="1"/>
    <col min="13335" max="13335" width="6.7109375" customWidth="1"/>
    <col min="13336" max="13336" width="7.7109375" customWidth="1"/>
    <col min="13337" max="13337" width="1.7109375" customWidth="1"/>
    <col min="13569" max="13569" width="11" customWidth="1"/>
    <col min="13570" max="13570" width="7.5703125" customWidth="1"/>
    <col min="13571" max="13571" width="7.7109375" customWidth="1"/>
    <col min="13572" max="13572" width="1.7109375" customWidth="1"/>
    <col min="13573" max="13574" width="7.7109375" customWidth="1"/>
    <col min="13575" max="13575" width="1.7109375" customWidth="1"/>
    <col min="13576" max="13576" width="6.7109375" customWidth="1"/>
    <col min="13577" max="13577" width="7.7109375" customWidth="1"/>
    <col min="13578" max="13578" width="1.7109375" customWidth="1"/>
    <col min="13579" max="13579" width="6.7109375" customWidth="1"/>
    <col min="13580" max="13580" width="7.7109375" customWidth="1"/>
    <col min="13581" max="13581" width="1.7109375" customWidth="1"/>
    <col min="13582" max="13582" width="6.7109375" customWidth="1"/>
    <col min="13583" max="13583" width="7.7109375" customWidth="1"/>
    <col min="13584" max="13584" width="1.7109375" customWidth="1"/>
    <col min="13585" max="13585" width="6.7109375" customWidth="1"/>
    <col min="13586" max="13586" width="7.7109375" customWidth="1"/>
    <col min="13587" max="13587" width="1.7109375" customWidth="1"/>
    <col min="13588" max="13588" width="6.7109375" customWidth="1"/>
    <col min="13589" max="13589" width="7.7109375" customWidth="1"/>
    <col min="13590" max="13590" width="1.85546875" customWidth="1"/>
    <col min="13591" max="13591" width="6.7109375" customWidth="1"/>
    <col min="13592" max="13592" width="7.7109375" customWidth="1"/>
    <col min="13593" max="13593" width="1.7109375" customWidth="1"/>
    <col min="13825" max="13825" width="11" customWidth="1"/>
    <col min="13826" max="13826" width="7.5703125" customWidth="1"/>
    <col min="13827" max="13827" width="7.7109375" customWidth="1"/>
    <col min="13828" max="13828" width="1.7109375" customWidth="1"/>
    <col min="13829" max="13830" width="7.7109375" customWidth="1"/>
    <col min="13831" max="13831" width="1.7109375" customWidth="1"/>
    <col min="13832" max="13832" width="6.7109375" customWidth="1"/>
    <col min="13833" max="13833" width="7.7109375" customWidth="1"/>
    <col min="13834" max="13834" width="1.7109375" customWidth="1"/>
    <col min="13835" max="13835" width="6.7109375" customWidth="1"/>
    <col min="13836" max="13836" width="7.7109375" customWidth="1"/>
    <col min="13837" max="13837" width="1.7109375" customWidth="1"/>
    <col min="13838" max="13838" width="6.7109375" customWidth="1"/>
    <col min="13839" max="13839" width="7.7109375" customWidth="1"/>
    <col min="13840" max="13840" width="1.7109375" customWidth="1"/>
    <col min="13841" max="13841" width="6.7109375" customWidth="1"/>
    <col min="13842" max="13842" width="7.7109375" customWidth="1"/>
    <col min="13843" max="13843" width="1.7109375" customWidth="1"/>
    <col min="13844" max="13844" width="6.7109375" customWidth="1"/>
    <col min="13845" max="13845" width="7.7109375" customWidth="1"/>
    <col min="13846" max="13846" width="1.85546875" customWidth="1"/>
    <col min="13847" max="13847" width="6.7109375" customWidth="1"/>
    <col min="13848" max="13848" width="7.7109375" customWidth="1"/>
    <col min="13849" max="13849" width="1.7109375" customWidth="1"/>
    <col min="14081" max="14081" width="11" customWidth="1"/>
    <col min="14082" max="14082" width="7.5703125" customWidth="1"/>
    <col min="14083" max="14083" width="7.7109375" customWidth="1"/>
    <col min="14084" max="14084" width="1.7109375" customWidth="1"/>
    <col min="14085" max="14086" width="7.7109375" customWidth="1"/>
    <col min="14087" max="14087" width="1.7109375" customWidth="1"/>
    <col min="14088" max="14088" width="6.7109375" customWidth="1"/>
    <col min="14089" max="14089" width="7.7109375" customWidth="1"/>
    <col min="14090" max="14090" width="1.7109375" customWidth="1"/>
    <col min="14091" max="14091" width="6.7109375" customWidth="1"/>
    <col min="14092" max="14092" width="7.7109375" customWidth="1"/>
    <col min="14093" max="14093" width="1.7109375" customWidth="1"/>
    <col min="14094" max="14094" width="6.7109375" customWidth="1"/>
    <col min="14095" max="14095" width="7.7109375" customWidth="1"/>
    <col min="14096" max="14096" width="1.7109375" customWidth="1"/>
    <col min="14097" max="14097" width="6.7109375" customWidth="1"/>
    <col min="14098" max="14098" width="7.7109375" customWidth="1"/>
    <col min="14099" max="14099" width="1.7109375" customWidth="1"/>
    <col min="14100" max="14100" width="6.7109375" customWidth="1"/>
    <col min="14101" max="14101" width="7.7109375" customWidth="1"/>
    <col min="14102" max="14102" width="1.85546875" customWidth="1"/>
    <col min="14103" max="14103" width="6.7109375" customWidth="1"/>
    <col min="14104" max="14104" width="7.7109375" customWidth="1"/>
    <col min="14105" max="14105" width="1.7109375" customWidth="1"/>
    <col min="14337" max="14337" width="11" customWidth="1"/>
    <col min="14338" max="14338" width="7.5703125" customWidth="1"/>
    <col min="14339" max="14339" width="7.7109375" customWidth="1"/>
    <col min="14340" max="14340" width="1.7109375" customWidth="1"/>
    <col min="14341" max="14342" width="7.7109375" customWidth="1"/>
    <col min="14343" max="14343" width="1.7109375" customWidth="1"/>
    <col min="14344" max="14344" width="6.7109375" customWidth="1"/>
    <col min="14345" max="14345" width="7.7109375" customWidth="1"/>
    <col min="14346" max="14346" width="1.7109375" customWidth="1"/>
    <col min="14347" max="14347" width="6.7109375" customWidth="1"/>
    <col min="14348" max="14348" width="7.7109375" customWidth="1"/>
    <col min="14349" max="14349" width="1.7109375" customWidth="1"/>
    <col min="14350" max="14350" width="6.7109375" customWidth="1"/>
    <col min="14351" max="14351" width="7.7109375" customWidth="1"/>
    <col min="14352" max="14352" width="1.7109375" customWidth="1"/>
    <col min="14353" max="14353" width="6.7109375" customWidth="1"/>
    <col min="14354" max="14354" width="7.7109375" customWidth="1"/>
    <col min="14355" max="14355" width="1.7109375" customWidth="1"/>
    <col min="14356" max="14356" width="6.7109375" customWidth="1"/>
    <col min="14357" max="14357" width="7.7109375" customWidth="1"/>
    <col min="14358" max="14358" width="1.85546875" customWidth="1"/>
    <col min="14359" max="14359" width="6.7109375" customWidth="1"/>
    <col min="14360" max="14360" width="7.7109375" customWidth="1"/>
    <col min="14361" max="14361" width="1.7109375" customWidth="1"/>
    <col min="14593" max="14593" width="11" customWidth="1"/>
    <col min="14594" max="14594" width="7.5703125" customWidth="1"/>
    <col min="14595" max="14595" width="7.7109375" customWidth="1"/>
    <col min="14596" max="14596" width="1.7109375" customWidth="1"/>
    <col min="14597" max="14598" width="7.7109375" customWidth="1"/>
    <col min="14599" max="14599" width="1.7109375" customWidth="1"/>
    <col min="14600" max="14600" width="6.7109375" customWidth="1"/>
    <col min="14601" max="14601" width="7.7109375" customWidth="1"/>
    <col min="14602" max="14602" width="1.7109375" customWidth="1"/>
    <col min="14603" max="14603" width="6.7109375" customWidth="1"/>
    <col min="14604" max="14604" width="7.7109375" customWidth="1"/>
    <col min="14605" max="14605" width="1.7109375" customWidth="1"/>
    <col min="14606" max="14606" width="6.7109375" customWidth="1"/>
    <col min="14607" max="14607" width="7.7109375" customWidth="1"/>
    <col min="14608" max="14608" width="1.7109375" customWidth="1"/>
    <col min="14609" max="14609" width="6.7109375" customWidth="1"/>
    <col min="14610" max="14610" width="7.7109375" customWidth="1"/>
    <col min="14611" max="14611" width="1.7109375" customWidth="1"/>
    <col min="14612" max="14612" width="6.7109375" customWidth="1"/>
    <col min="14613" max="14613" width="7.7109375" customWidth="1"/>
    <col min="14614" max="14614" width="1.85546875" customWidth="1"/>
    <col min="14615" max="14615" width="6.7109375" customWidth="1"/>
    <col min="14616" max="14616" width="7.7109375" customWidth="1"/>
    <col min="14617" max="14617" width="1.7109375" customWidth="1"/>
    <col min="14849" max="14849" width="11" customWidth="1"/>
    <col min="14850" max="14850" width="7.5703125" customWidth="1"/>
    <col min="14851" max="14851" width="7.7109375" customWidth="1"/>
    <col min="14852" max="14852" width="1.7109375" customWidth="1"/>
    <col min="14853" max="14854" width="7.7109375" customWidth="1"/>
    <col min="14855" max="14855" width="1.7109375" customWidth="1"/>
    <col min="14856" max="14856" width="6.7109375" customWidth="1"/>
    <col min="14857" max="14857" width="7.7109375" customWidth="1"/>
    <col min="14858" max="14858" width="1.7109375" customWidth="1"/>
    <col min="14859" max="14859" width="6.7109375" customWidth="1"/>
    <col min="14860" max="14860" width="7.7109375" customWidth="1"/>
    <col min="14861" max="14861" width="1.7109375" customWidth="1"/>
    <col min="14862" max="14862" width="6.7109375" customWidth="1"/>
    <col min="14863" max="14863" width="7.7109375" customWidth="1"/>
    <col min="14864" max="14864" width="1.7109375" customWidth="1"/>
    <col min="14865" max="14865" width="6.7109375" customWidth="1"/>
    <col min="14866" max="14866" width="7.7109375" customWidth="1"/>
    <col min="14867" max="14867" width="1.7109375" customWidth="1"/>
    <col min="14868" max="14868" width="6.7109375" customWidth="1"/>
    <col min="14869" max="14869" width="7.7109375" customWidth="1"/>
    <col min="14870" max="14870" width="1.85546875" customWidth="1"/>
    <col min="14871" max="14871" width="6.7109375" customWidth="1"/>
    <col min="14872" max="14872" width="7.7109375" customWidth="1"/>
    <col min="14873" max="14873" width="1.7109375" customWidth="1"/>
    <col min="15105" max="15105" width="11" customWidth="1"/>
    <col min="15106" max="15106" width="7.5703125" customWidth="1"/>
    <col min="15107" max="15107" width="7.7109375" customWidth="1"/>
    <col min="15108" max="15108" width="1.7109375" customWidth="1"/>
    <col min="15109" max="15110" width="7.7109375" customWidth="1"/>
    <col min="15111" max="15111" width="1.7109375" customWidth="1"/>
    <col min="15112" max="15112" width="6.7109375" customWidth="1"/>
    <col min="15113" max="15113" width="7.7109375" customWidth="1"/>
    <col min="15114" max="15114" width="1.7109375" customWidth="1"/>
    <col min="15115" max="15115" width="6.7109375" customWidth="1"/>
    <col min="15116" max="15116" width="7.7109375" customWidth="1"/>
    <col min="15117" max="15117" width="1.7109375" customWidth="1"/>
    <col min="15118" max="15118" width="6.7109375" customWidth="1"/>
    <col min="15119" max="15119" width="7.7109375" customWidth="1"/>
    <col min="15120" max="15120" width="1.7109375" customWidth="1"/>
    <col min="15121" max="15121" width="6.7109375" customWidth="1"/>
    <col min="15122" max="15122" width="7.7109375" customWidth="1"/>
    <col min="15123" max="15123" width="1.7109375" customWidth="1"/>
    <col min="15124" max="15124" width="6.7109375" customWidth="1"/>
    <col min="15125" max="15125" width="7.7109375" customWidth="1"/>
    <col min="15126" max="15126" width="1.85546875" customWidth="1"/>
    <col min="15127" max="15127" width="6.7109375" customWidth="1"/>
    <col min="15128" max="15128" width="7.7109375" customWidth="1"/>
    <col min="15129" max="15129" width="1.7109375" customWidth="1"/>
    <col min="15361" max="15361" width="11" customWidth="1"/>
    <col min="15362" max="15362" width="7.5703125" customWidth="1"/>
    <col min="15363" max="15363" width="7.7109375" customWidth="1"/>
    <col min="15364" max="15364" width="1.7109375" customWidth="1"/>
    <col min="15365" max="15366" width="7.7109375" customWidth="1"/>
    <col min="15367" max="15367" width="1.7109375" customWidth="1"/>
    <col min="15368" max="15368" width="6.7109375" customWidth="1"/>
    <col min="15369" max="15369" width="7.7109375" customWidth="1"/>
    <col min="15370" max="15370" width="1.7109375" customWidth="1"/>
    <col min="15371" max="15371" width="6.7109375" customWidth="1"/>
    <col min="15372" max="15372" width="7.7109375" customWidth="1"/>
    <col min="15373" max="15373" width="1.7109375" customWidth="1"/>
    <col min="15374" max="15374" width="6.7109375" customWidth="1"/>
    <col min="15375" max="15375" width="7.7109375" customWidth="1"/>
    <col min="15376" max="15376" width="1.7109375" customWidth="1"/>
    <col min="15377" max="15377" width="6.7109375" customWidth="1"/>
    <col min="15378" max="15378" width="7.7109375" customWidth="1"/>
    <col min="15379" max="15379" width="1.7109375" customWidth="1"/>
    <col min="15380" max="15380" width="6.7109375" customWidth="1"/>
    <col min="15381" max="15381" width="7.7109375" customWidth="1"/>
    <col min="15382" max="15382" width="1.85546875" customWidth="1"/>
    <col min="15383" max="15383" width="6.7109375" customWidth="1"/>
    <col min="15384" max="15384" width="7.7109375" customWidth="1"/>
    <col min="15385" max="15385" width="1.7109375" customWidth="1"/>
    <col min="15617" max="15617" width="11" customWidth="1"/>
    <col min="15618" max="15618" width="7.5703125" customWidth="1"/>
    <col min="15619" max="15619" width="7.7109375" customWidth="1"/>
    <col min="15620" max="15620" width="1.7109375" customWidth="1"/>
    <col min="15621" max="15622" width="7.7109375" customWidth="1"/>
    <col min="15623" max="15623" width="1.7109375" customWidth="1"/>
    <col min="15624" max="15624" width="6.7109375" customWidth="1"/>
    <col min="15625" max="15625" width="7.7109375" customWidth="1"/>
    <col min="15626" max="15626" width="1.7109375" customWidth="1"/>
    <col min="15627" max="15627" width="6.7109375" customWidth="1"/>
    <col min="15628" max="15628" width="7.7109375" customWidth="1"/>
    <col min="15629" max="15629" width="1.7109375" customWidth="1"/>
    <col min="15630" max="15630" width="6.7109375" customWidth="1"/>
    <col min="15631" max="15631" width="7.7109375" customWidth="1"/>
    <col min="15632" max="15632" width="1.7109375" customWidth="1"/>
    <col min="15633" max="15633" width="6.7109375" customWidth="1"/>
    <col min="15634" max="15634" width="7.7109375" customWidth="1"/>
    <col min="15635" max="15635" width="1.7109375" customWidth="1"/>
    <col min="15636" max="15636" width="6.7109375" customWidth="1"/>
    <col min="15637" max="15637" width="7.7109375" customWidth="1"/>
    <col min="15638" max="15638" width="1.85546875" customWidth="1"/>
    <col min="15639" max="15639" width="6.7109375" customWidth="1"/>
    <col min="15640" max="15640" width="7.7109375" customWidth="1"/>
    <col min="15641" max="15641" width="1.7109375" customWidth="1"/>
    <col min="15873" max="15873" width="11" customWidth="1"/>
    <col min="15874" max="15874" width="7.5703125" customWidth="1"/>
    <col min="15875" max="15875" width="7.7109375" customWidth="1"/>
    <col min="15876" max="15876" width="1.7109375" customWidth="1"/>
    <col min="15877" max="15878" width="7.7109375" customWidth="1"/>
    <col min="15879" max="15879" width="1.7109375" customWidth="1"/>
    <col min="15880" max="15880" width="6.7109375" customWidth="1"/>
    <col min="15881" max="15881" width="7.7109375" customWidth="1"/>
    <col min="15882" max="15882" width="1.7109375" customWidth="1"/>
    <col min="15883" max="15883" width="6.7109375" customWidth="1"/>
    <col min="15884" max="15884" width="7.7109375" customWidth="1"/>
    <col min="15885" max="15885" width="1.7109375" customWidth="1"/>
    <col min="15886" max="15886" width="6.7109375" customWidth="1"/>
    <col min="15887" max="15887" width="7.7109375" customWidth="1"/>
    <col min="15888" max="15888" width="1.7109375" customWidth="1"/>
    <col min="15889" max="15889" width="6.7109375" customWidth="1"/>
    <col min="15890" max="15890" width="7.7109375" customWidth="1"/>
    <col min="15891" max="15891" width="1.7109375" customWidth="1"/>
    <col min="15892" max="15892" width="6.7109375" customWidth="1"/>
    <col min="15893" max="15893" width="7.7109375" customWidth="1"/>
    <col min="15894" max="15894" width="1.85546875" customWidth="1"/>
    <col min="15895" max="15895" width="6.7109375" customWidth="1"/>
    <col min="15896" max="15896" width="7.7109375" customWidth="1"/>
    <col min="15897" max="15897" width="1.7109375" customWidth="1"/>
    <col min="16129" max="16129" width="11" customWidth="1"/>
    <col min="16130" max="16130" width="7.5703125" customWidth="1"/>
    <col min="16131" max="16131" width="7.7109375" customWidth="1"/>
    <col min="16132" max="16132" width="1.7109375" customWidth="1"/>
    <col min="16133" max="16134" width="7.7109375" customWidth="1"/>
    <col min="16135" max="16135" width="1.7109375" customWidth="1"/>
    <col min="16136" max="16136" width="6.7109375" customWidth="1"/>
    <col min="16137" max="16137" width="7.7109375" customWidth="1"/>
    <col min="16138" max="16138" width="1.7109375" customWidth="1"/>
    <col min="16139" max="16139" width="6.7109375" customWidth="1"/>
    <col min="16140" max="16140" width="7.7109375" customWidth="1"/>
    <col min="16141" max="16141" width="1.7109375" customWidth="1"/>
    <col min="16142" max="16142" width="6.7109375" customWidth="1"/>
    <col min="16143" max="16143" width="7.7109375" customWidth="1"/>
    <col min="16144" max="16144" width="1.7109375" customWidth="1"/>
    <col min="16145" max="16145" width="6.7109375" customWidth="1"/>
    <col min="16146" max="16146" width="7.7109375" customWidth="1"/>
    <col min="16147" max="16147" width="1.7109375" customWidth="1"/>
    <col min="16148" max="16148" width="6.7109375" customWidth="1"/>
    <col min="16149" max="16149" width="7.7109375" customWidth="1"/>
    <col min="16150" max="16150" width="1.85546875" customWidth="1"/>
    <col min="16151" max="16151" width="6.7109375" customWidth="1"/>
    <col min="16152" max="16152" width="7.7109375" customWidth="1"/>
    <col min="16153" max="16153" width="1.7109375" customWidth="1"/>
  </cols>
  <sheetData>
    <row r="1" spans="1:25">
      <c r="A1" t="s">
        <v>379</v>
      </c>
    </row>
    <row r="2" spans="1:25">
      <c r="A2" t="s">
        <v>380</v>
      </c>
      <c r="E2" s="270"/>
      <c r="F2" s="17"/>
    </row>
    <row r="3" spans="1:25" ht="10.5" customHeight="1"/>
    <row r="4" spans="1:25" ht="12.95" customHeight="1">
      <c r="A4" s="42" t="s">
        <v>1801</v>
      </c>
    </row>
    <row r="5" spans="1:25" ht="12.95" customHeight="1" thickBot="1">
      <c r="L5" s="43"/>
      <c r="O5" s="43"/>
      <c r="P5" s="43"/>
      <c r="R5" s="43"/>
      <c r="S5" s="43"/>
      <c r="W5" s="45"/>
    </row>
    <row r="6" spans="1:25" ht="12.95" customHeight="1">
      <c r="A6" s="6"/>
      <c r="B6" s="51"/>
      <c r="C6" s="38"/>
      <c r="D6" s="6"/>
      <c r="E6" s="643"/>
      <c r="F6" s="38"/>
      <c r="G6" s="6"/>
      <c r="H6" s="643"/>
      <c r="I6" s="38"/>
      <c r="J6" s="38"/>
      <c r="K6" s="643"/>
      <c r="L6" s="38"/>
      <c r="M6" s="6"/>
      <c r="N6" s="643"/>
      <c r="O6" s="38"/>
      <c r="P6" s="38"/>
      <c r="Q6" s="643"/>
      <c r="R6" s="38"/>
      <c r="S6" s="38"/>
      <c r="T6" s="644"/>
      <c r="U6" s="38"/>
      <c r="V6" s="38"/>
      <c r="W6" s="644"/>
      <c r="X6" s="38"/>
      <c r="Y6" s="38"/>
    </row>
    <row r="7" spans="1:25" ht="12.95" customHeight="1">
      <c r="A7" s="36" t="s">
        <v>1789</v>
      </c>
      <c r="B7" s="1270" t="s">
        <v>1790</v>
      </c>
      <c r="C7" s="1270"/>
      <c r="D7" s="36"/>
      <c r="E7" s="1270" t="s">
        <v>1447</v>
      </c>
      <c r="F7" s="1270"/>
      <c r="G7" s="36"/>
      <c r="H7" s="1270" t="s">
        <v>1791</v>
      </c>
      <c r="I7" s="1270"/>
      <c r="J7" s="53"/>
      <c r="K7" s="1270" t="s">
        <v>1792</v>
      </c>
      <c r="L7" s="1270"/>
      <c r="M7" s="36"/>
      <c r="N7" s="1270" t="s">
        <v>1793</v>
      </c>
      <c r="O7" s="1270"/>
      <c r="Q7" s="1268" t="s">
        <v>1794</v>
      </c>
      <c r="R7" s="1270"/>
      <c r="T7" s="1270" t="s">
        <v>1795</v>
      </c>
      <c r="U7" s="1270"/>
      <c r="W7" s="1270" t="s">
        <v>1796</v>
      </c>
      <c r="X7" s="1270"/>
    </row>
    <row r="8" spans="1:25" ht="12.95" customHeight="1">
      <c r="A8" t="s">
        <v>1797</v>
      </c>
      <c r="B8" s="54" t="s">
        <v>323</v>
      </c>
      <c r="C8" s="56" t="s">
        <v>324</v>
      </c>
      <c r="D8" s="36"/>
      <c r="E8" s="55" t="s">
        <v>323</v>
      </c>
      <c r="F8" s="56" t="s">
        <v>324</v>
      </c>
      <c r="G8" s="36"/>
      <c r="H8" s="55" t="s">
        <v>323</v>
      </c>
      <c r="I8" s="56" t="s">
        <v>324</v>
      </c>
      <c r="J8" s="56"/>
      <c r="K8" s="55" t="s">
        <v>323</v>
      </c>
      <c r="L8" s="56" t="s">
        <v>324</v>
      </c>
      <c r="M8" s="36"/>
      <c r="N8" s="55" t="s">
        <v>323</v>
      </c>
      <c r="O8" s="56" t="s">
        <v>324</v>
      </c>
      <c r="Q8" s="55" t="s">
        <v>323</v>
      </c>
      <c r="R8" s="56" t="s">
        <v>324</v>
      </c>
      <c r="T8" s="55" t="s">
        <v>323</v>
      </c>
      <c r="U8" s="56" t="s">
        <v>324</v>
      </c>
      <c r="W8" s="55" t="s">
        <v>323</v>
      </c>
      <c r="X8" s="56" t="s">
        <v>324</v>
      </c>
    </row>
    <row r="9" spans="1:25" ht="12.95" customHeight="1" thickBot="1">
      <c r="A9" s="15"/>
      <c r="B9" s="58"/>
      <c r="C9" s="60"/>
      <c r="D9" s="15"/>
      <c r="E9" s="645"/>
      <c r="F9" s="60"/>
      <c r="G9" s="15"/>
      <c r="H9" s="645"/>
      <c r="I9" s="60"/>
      <c r="J9" s="60"/>
      <c r="K9" s="645"/>
      <c r="L9" s="60"/>
      <c r="M9" s="15"/>
      <c r="N9" s="645"/>
      <c r="O9" s="60"/>
      <c r="P9" s="60"/>
      <c r="Q9" s="645"/>
      <c r="R9" s="60"/>
      <c r="S9" s="60"/>
      <c r="T9" s="305"/>
      <c r="U9" s="60"/>
      <c r="V9" s="60"/>
      <c r="W9" s="305"/>
      <c r="X9" s="60"/>
      <c r="Y9" s="60"/>
    </row>
    <row r="10" spans="1:25" ht="12.95" customHeight="1">
      <c r="A10" s="36"/>
      <c r="B10" s="61"/>
      <c r="C10" s="53"/>
      <c r="D10" s="36"/>
      <c r="E10" s="268"/>
      <c r="F10" s="53"/>
      <c r="G10" s="36"/>
      <c r="H10" s="268"/>
      <c r="I10" s="53"/>
      <c r="J10" s="53"/>
      <c r="K10" s="268"/>
      <c r="L10" s="53"/>
      <c r="M10" s="36"/>
      <c r="N10" s="268"/>
      <c r="O10" s="53"/>
      <c r="Q10" s="268"/>
      <c r="R10" s="53"/>
      <c r="W10" s="45"/>
    </row>
    <row r="11" spans="1:25" ht="12.95" customHeight="1">
      <c r="A11" s="690" t="s">
        <v>5</v>
      </c>
      <c r="B11" s="61">
        <f>IF($A11&lt;&gt;0,SUM(B13:B21),"")</f>
        <v>28184</v>
      </c>
      <c r="C11" s="3">
        <f>IF($A11&lt;&gt;0,SUM(C13:C21),"")</f>
        <v>100</v>
      </c>
      <c r="D11" s="36"/>
      <c r="E11" s="268">
        <f>IF($A11&lt;&gt;0,SUM(E13:E21),"")</f>
        <v>18781</v>
      </c>
      <c r="F11" s="3">
        <f>IF($A11&lt;&gt;0,SUM(F13:F21),"")</f>
        <v>100</v>
      </c>
      <c r="G11" s="36"/>
      <c r="H11" s="268">
        <f>IF($A11&lt;&gt;0,SUM(H13:H21),"")</f>
        <v>2866</v>
      </c>
      <c r="I11" s="3">
        <f>IF($A11&lt;&gt;0,SUM(I13:I21),"")</f>
        <v>100</v>
      </c>
      <c r="J11" s="53"/>
      <c r="K11" s="268">
        <f>IF($A11&lt;&gt;0,SUM(K13:K21),"")</f>
        <v>1877</v>
      </c>
      <c r="L11" s="3">
        <f>IF($A11&lt;&gt;0,SUM(L13:L21),"")</f>
        <v>100</v>
      </c>
      <c r="M11" s="36"/>
      <c r="N11" s="268">
        <f>IF($A11&lt;&gt;0,SUM(N13:N21),"")</f>
        <v>1738</v>
      </c>
      <c r="O11" s="3">
        <f>IF($A11&lt;&gt;0,SUM(O13:O21),"")</f>
        <v>100</v>
      </c>
      <c r="Q11" s="268">
        <f>IF($A11&lt;&gt;0,SUM(Q13:Q21),"")</f>
        <v>1330</v>
      </c>
      <c r="R11" s="3">
        <f>IF($A11&lt;&gt;0,SUM(R13:R21),"")</f>
        <v>100</v>
      </c>
      <c r="T11" s="268">
        <f>IF($A11&lt;&gt;0,SUM(T13:T21),"")</f>
        <v>1119</v>
      </c>
      <c r="U11" s="3">
        <f>IF($A11&lt;&gt;0,SUM(U13:U21),"")</f>
        <v>100</v>
      </c>
      <c r="W11" s="268">
        <f>IF($A11&lt;&gt;0,SUM(W13:W21),"")</f>
        <v>473</v>
      </c>
      <c r="X11" s="3">
        <f>IF($A11&lt;&gt;0,SUM(X13:X21),"")</f>
        <v>100</v>
      </c>
    </row>
    <row r="12" spans="1:25" ht="12.95" customHeight="1">
      <c r="A12" s="24"/>
      <c r="B12" s="61" t="str">
        <f>IF(A12&lt;&gt;0,E12+H12+K12+N12+Q12+T12,"")</f>
        <v/>
      </c>
      <c r="C12" s="53" t="str">
        <f>IF($A12&lt;&gt;0,B12/$B$11*100,"")</f>
        <v/>
      </c>
      <c r="D12" s="36"/>
      <c r="E12" s="268"/>
      <c r="F12" s="37" t="str">
        <f>IF(E12&lt;&gt;0,I12+L12+O12+R12+U12,"")</f>
        <v/>
      </c>
      <c r="G12" s="36"/>
      <c r="H12" s="268"/>
      <c r="I12" s="53" t="str">
        <f>IF(A12&lt;&gt;0,H12/B12*100,"")</f>
        <v/>
      </c>
      <c r="J12" s="53"/>
      <c r="K12" s="268"/>
      <c r="L12" s="53" t="str">
        <f>IF(A12&lt;&gt;0,K12/B12*100,"")</f>
        <v/>
      </c>
      <c r="M12" s="36"/>
      <c r="N12" s="268"/>
      <c r="O12" s="53" t="str">
        <f>IF(A12&lt;&gt;0,N12/B12*100,"")</f>
        <v/>
      </c>
      <c r="Q12" s="268"/>
      <c r="R12" s="53" t="str">
        <f>IF(A12&lt;&gt;0,Q12/B12*100,"")</f>
        <v/>
      </c>
      <c r="T12" s="61"/>
      <c r="W12" s="61"/>
    </row>
    <row r="13" spans="1:25" ht="12.95" customHeight="1">
      <c r="A13" s="39">
        <v>1</v>
      </c>
      <c r="B13" s="61">
        <f>IF(A13&lt;&gt;0,E13+H13+K13+N13+Q13+T13+W13,"")</f>
        <v>918</v>
      </c>
      <c r="C13" s="53">
        <f t="shared" ref="C13:C21" si="0">IF($A13&lt;&gt;"",B13/$B$11*100,"")</f>
        <v>3.2571671870564858</v>
      </c>
      <c r="D13" s="36"/>
      <c r="E13" s="702">
        <v>712</v>
      </c>
      <c r="F13" s="53">
        <f t="shared" ref="F13:F21" si="1">IF($A13&lt;&gt;"",E13/$E$11*100,"")</f>
        <v>3.7910654384750546</v>
      </c>
      <c r="G13" s="36"/>
      <c r="H13" s="702">
        <v>54</v>
      </c>
      <c r="I13" s="53">
        <f t="shared" ref="I13:I21" si="2">IF($A13&lt;&gt;"",H13/$H$11*100,"")</f>
        <v>1.884159106769016</v>
      </c>
      <c r="J13" s="53"/>
      <c r="K13" s="702">
        <v>38</v>
      </c>
      <c r="L13" s="53">
        <f t="shared" ref="L13:L21" si="3">IF($A13&lt;&gt;"",K13/$K$11*100,"")</f>
        <v>2.0245071923281834</v>
      </c>
      <c r="M13" s="36"/>
      <c r="N13" s="702">
        <v>42</v>
      </c>
      <c r="O13" s="53">
        <f t="shared" ref="O13:O21" si="4">IF($A13&lt;&gt;"",N13/$N$11*100,"")</f>
        <v>2.4165707710011506</v>
      </c>
      <c r="Q13" s="702">
        <v>24</v>
      </c>
      <c r="R13" s="53">
        <f t="shared" ref="R13:R21" si="5">IF($A13&lt;&gt;"",Q13/$Q$11*100,"")</f>
        <v>1.8045112781954888</v>
      </c>
      <c r="T13" s="702">
        <v>33</v>
      </c>
      <c r="U13" s="53">
        <f t="shared" ref="U13:U21" si="6">IF($A13&lt;&gt;"",T13/$T$11*100,"")</f>
        <v>2.9490616621983912</v>
      </c>
      <c r="W13" s="702">
        <v>15</v>
      </c>
      <c r="X13" s="53">
        <f>IF($A13&lt;&gt;"",W13/$W$11*100,"")</f>
        <v>3.1712473572938689</v>
      </c>
    </row>
    <row r="14" spans="1:25" ht="12.95" customHeight="1">
      <c r="A14" s="39"/>
      <c r="B14" s="61" t="str">
        <f t="shared" ref="B14:B21" si="7">IF(A14&lt;&gt;0,E14+H14+K14+N14+Q14+T14+W14,"")</f>
        <v/>
      </c>
      <c r="C14" s="53" t="str">
        <f t="shared" si="0"/>
        <v/>
      </c>
      <c r="D14" s="36"/>
      <c r="E14" s="702"/>
      <c r="F14" s="53" t="str">
        <f t="shared" si="1"/>
        <v/>
      </c>
      <c r="G14" s="36"/>
      <c r="H14" s="702"/>
      <c r="I14" s="53" t="str">
        <f t="shared" si="2"/>
        <v/>
      </c>
      <c r="J14" s="53"/>
      <c r="K14" s="702"/>
      <c r="L14" s="53" t="str">
        <f t="shared" si="3"/>
        <v/>
      </c>
      <c r="M14" s="36"/>
      <c r="N14" s="702"/>
      <c r="O14" s="53" t="str">
        <f t="shared" si="4"/>
        <v/>
      </c>
      <c r="Q14" s="702"/>
      <c r="R14" s="53" t="str">
        <f t="shared" si="5"/>
        <v/>
      </c>
      <c r="T14" s="702"/>
      <c r="U14" s="53" t="str">
        <f t="shared" si="6"/>
        <v/>
      </c>
      <c r="W14" s="702"/>
      <c r="X14" s="53" t="str">
        <f t="shared" ref="X14:X21" si="8">IF($A14&lt;&gt;"",W14/$W$11*100,"")</f>
        <v/>
      </c>
    </row>
    <row r="15" spans="1:25" ht="12.95" customHeight="1">
      <c r="A15" s="39">
        <v>2</v>
      </c>
      <c r="B15" s="61">
        <f t="shared" si="7"/>
        <v>1371</v>
      </c>
      <c r="C15" s="53">
        <f t="shared" si="0"/>
        <v>4.8644621061595226</v>
      </c>
      <c r="D15" s="36"/>
      <c r="E15" s="702">
        <v>1051</v>
      </c>
      <c r="F15" s="53">
        <f t="shared" si="1"/>
        <v>5.5960811458388795</v>
      </c>
      <c r="G15" s="36"/>
      <c r="H15" s="702">
        <v>104</v>
      </c>
      <c r="I15" s="53">
        <f t="shared" si="2"/>
        <v>3.6287508722958828</v>
      </c>
      <c r="J15" s="53"/>
      <c r="K15" s="702">
        <v>45</v>
      </c>
      <c r="L15" s="53">
        <f t="shared" si="3"/>
        <v>2.3974427277570589</v>
      </c>
      <c r="M15" s="36"/>
      <c r="N15" s="702">
        <v>69</v>
      </c>
      <c r="O15" s="53">
        <f t="shared" si="4"/>
        <v>3.9700805523590335</v>
      </c>
      <c r="Q15" s="702">
        <v>39</v>
      </c>
      <c r="R15" s="53">
        <f t="shared" si="5"/>
        <v>2.9323308270676693</v>
      </c>
      <c r="T15" s="702">
        <v>38</v>
      </c>
      <c r="U15" s="53">
        <f t="shared" si="6"/>
        <v>3.3958891867739052</v>
      </c>
      <c r="W15" s="702">
        <v>25</v>
      </c>
      <c r="X15" s="53">
        <f t="shared" si="8"/>
        <v>5.2854122621564485</v>
      </c>
    </row>
    <row r="16" spans="1:25" ht="12.95" customHeight="1">
      <c r="A16" s="39"/>
      <c r="B16" s="61" t="str">
        <f t="shared" si="7"/>
        <v/>
      </c>
      <c r="C16" s="53" t="str">
        <f t="shared" si="0"/>
        <v/>
      </c>
      <c r="D16" s="36"/>
      <c r="E16" s="702"/>
      <c r="F16" s="53" t="str">
        <f t="shared" si="1"/>
        <v/>
      </c>
      <c r="G16" s="36"/>
      <c r="H16" s="702"/>
      <c r="I16" s="53" t="str">
        <f t="shared" si="2"/>
        <v/>
      </c>
      <c r="J16" s="53"/>
      <c r="K16" s="702"/>
      <c r="L16" s="53" t="str">
        <f t="shared" si="3"/>
        <v/>
      </c>
      <c r="M16" s="36"/>
      <c r="N16" s="702"/>
      <c r="O16" s="53" t="str">
        <f t="shared" si="4"/>
        <v/>
      </c>
      <c r="Q16" s="702"/>
      <c r="R16" s="53" t="str">
        <f t="shared" si="5"/>
        <v/>
      </c>
      <c r="T16" s="702"/>
      <c r="U16" s="53" t="str">
        <f t="shared" si="6"/>
        <v/>
      </c>
      <c r="W16" s="702"/>
      <c r="X16" s="53" t="str">
        <f t="shared" si="8"/>
        <v/>
      </c>
    </row>
    <row r="17" spans="1:25" ht="12.95" customHeight="1">
      <c r="A17" s="39">
        <v>3</v>
      </c>
      <c r="B17" s="61">
        <f t="shared" si="7"/>
        <v>2461</v>
      </c>
      <c r="C17" s="53">
        <f t="shared" si="0"/>
        <v>8.7319046267385758</v>
      </c>
      <c r="D17" s="36"/>
      <c r="E17" s="702">
        <v>1838</v>
      </c>
      <c r="F17" s="53">
        <f t="shared" si="1"/>
        <v>9.7864863425802664</v>
      </c>
      <c r="G17" s="312"/>
      <c r="H17" s="702">
        <v>183</v>
      </c>
      <c r="I17" s="53">
        <f t="shared" si="2"/>
        <v>6.3852058618283314</v>
      </c>
      <c r="J17" s="633"/>
      <c r="K17" s="702">
        <v>114</v>
      </c>
      <c r="L17" s="53">
        <f t="shared" si="3"/>
        <v>6.0735215769845494</v>
      </c>
      <c r="M17" s="312"/>
      <c r="N17" s="702">
        <v>110</v>
      </c>
      <c r="O17" s="53">
        <f t="shared" si="4"/>
        <v>6.3291139240506329</v>
      </c>
      <c r="P17" s="44"/>
      <c r="Q17" s="702">
        <v>82</v>
      </c>
      <c r="R17" s="53">
        <f t="shared" si="5"/>
        <v>6.1654135338345863</v>
      </c>
      <c r="T17" s="702">
        <v>79</v>
      </c>
      <c r="U17" s="53">
        <f t="shared" si="6"/>
        <v>7.0598748882931188</v>
      </c>
      <c r="W17" s="702">
        <v>55</v>
      </c>
      <c r="X17" s="53">
        <f t="shared" si="8"/>
        <v>11.627906976744185</v>
      </c>
    </row>
    <row r="18" spans="1:25" ht="12.95" customHeight="1">
      <c r="A18" s="39"/>
      <c r="B18" s="61" t="str">
        <f t="shared" si="7"/>
        <v/>
      </c>
      <c r="C18" s="53" t="str">
        <f t="shared" si="0"/>
        <v/>
      </c>
      <c r="D18" s="36"/>
      <c r="E18" s="702"/>
      <c r="F18" s="53" t="str">
        <f t="shared" si="1"/>
        <v/>
      </c>
      <c r="G18" s="312"/>
      <c r="H18" s="702"/>
      <c r="I18" s="53" t="str">
        <f t="shared" si="2"/>
        <v/>
      </c>
      <c r="J18" s="633"/>
      <c r="K18" s="702"/>
      <c r="L18" s="53" t="str">
        <f t="shared" si="3"/>
        <v/>
      </c>
      <c r="M18" s="312"/>
      <c r="N18" s="702"/>
      <c r="O18" s="53" t="str">
        <f t="shared" si="4"/>
        <v/>
      </c>
      <c r="P18" s="44"/>
      <c r="Q18" s="702"/>
      <c r="R18" s="53" t="str">
        <f t="shared" si="5"/>
        <v/>
      </c>
      <c r="T18" s="702"/>
      <c r="U18" s="53" t="str">
        <f t="shared" si="6"/>
        <v/>
      </c>
      <c r="W18" s="702"/>
      <c r="X18" s="53" t="str">
        <f t="shared" si="8"/>
        <v/>
      </c>
    </row>
    <row r="19" spans="1:25" ht="12.95" customHeight="1">
      <c r="A19" s="39">
        <v>4</v>
      </c>
      <c r="B19" s="61">
        <f t="shared" si="7"/>
        <v>6204</v>
      </c>
      <c r="C19" s="53">
        <f t="shared" si="0"/>
        <v>22.012489355662787</v>
      </c>
      <c r="D19" s="36"/>
      <c r="E19" s="702">
        <v>5119</v>
      </c>
      <c r="F19" s="53">
        <f t="shared" si="1"/>
        <v>27.256269634204784</v>
      </c>
      <c r="G19" s="312"/>
      <c r="H19" s="702">
        <v>355</v>
      </c>
      <c r="I19" s="53">
        <f t="shared" si="2"/>
        <v>12.386601535240754</v>
      </c>
      <c r="J19" s="633"/>
      <c r="K19" s="702">
        <v>203</v>
      </c>
      <c r="L19" s="53">
        <f t="shared" si="3"/>
        <v>10.8151305274374</v>
      </c>
      <c r="M19" s="312"/>
      <c r="N19" s="702">
        <v>172</v>
      </c>
      <c r="O19" s="53">
        <f t="shared" si="4"/>
        <v>9.896432681242807</v>
      </c>
      <c r="P19" s="44"/>
      <c r="Q19" s="702">
        <v>133</v>
      </c>
      <c r="R19" s="53">
        <f t="shared" si="5"/>
        <v>10</v>
      </c>
      <c r="T19" s="702">
        <v>114</v>
      </c>
      <c r="U19" s="53">
        <f t="shared" si="6"/>
        <v>10.187667560321715</v>
      </c>
      <c r="W19" s="702">
        <v>108</v>
      </c>
      <c r="X19" s="53">
        <f t="shared" si="8"/>
        <v>22.832980972515855</v>
      </c>
    </row>
    <row r="20" spans="1:25" ht="12.95" customHeight="1">
      <c r="A20" s="39"/>
      <c r="B20" s="61" t="str">
        <f t="shared" si="7"/>
        <v/>
      </c>
      <c r="C20" s="53" t="str">
        <f t="shared" si="0"/>
        <v/>
      </c>
      <c r="D20" s="36"/>
      <c r="E20" s="702"/>
      <c r="F20" s="53" t="str">
        <f t="shared" si="1"/>
        <v/>
      </c>
      <c r="G20" s="36"/>
      <c r="H20" s="702"/>
      <c r="I20" s="53" t="str">
        <f t="shared" si="2"/>
        <v/>
      </c>
      <c r="J20" s="53"/>
      <c r="K20" s="702"/>
      <c r="L20" s="53" t="str">
        <f t="shared" si="3"/>
        <v/>
      </c>
      <c r="M20" s="36"/>
      <c r="N20" s="702"/>
      <c r="O20" s="53" t="str">
        <f t="shared" si="4"/>
        <v/>
      </c>
      <c r="Q20" s="702"/>
      <c r="R20" s="53" t="str">
        <f t="shared" si="5"/>
        <v/>
      </c>
      <c r="T20" s="702"/>
      <c r="U20" s="53" t="str">
        <f t="shared" si="6"/>
        <v/>
      </c>
      <c r="W20" s="702"/>
      <c r="X20" s="53" t="str">
        <f t="shared" si="8"/>
        <v/>
      </c>
    </row>
    <row r="21" spans="1:25" ht="12.95" customHeight="1">
      <c r="A21" s="39">
        <v>5</v>
      </c>
      <c r="B21" s="61">
        <f t="shared" si="7"/>
        <v>17230</v>
      </c>
      <c r="C21" s="53">
        <f t="shared" si="0"/>
        <v>61.133976724382634</v>
      </c>
      <c r="D21" s="36"/>
      <c r="E21" s="702">
        <v>10061</v>
      </c>
      <c r="F21" s="53">
        <f t="shared" si="1"/>
        <v>53.570097438901023</v>
      </c>
      <c r="G21" s="36"/>
      <c r="H21" s="702">
        <v>2170</v>
      </c>
      <c r="I21" s="53">
        <f t="shared" si="2"/>
        <v>75.715282623866017</v>
      </c>
      <c r="J21" s="53"/>
      <c r="K21" s="702">
        <v>1477</v>
      </c>
      <c r="L21" s="53">
        <f t="shared" si="3"/>
        <v>78.68939797549281</v>
      </c>
      <c r="M21" s="36"/>
      <c r="N21" s="702">
        <v>1345</v>
      </c>
      <c r="O21" s="53">
        <f t="shared" si="4"/>
        <v>77.387802071346385</v>
      </c>
      <c r="Q21" s="702">
        <v>1052</v>
      </c>
      <c r="R21" s="53">
        <f t="shared" si="5"/>
        <v>79.097744360902254</v>
      </c>
      <c r="T21" s="702">
        <v>855</v>
      </c>
      <c r="U21" s="53">
        <f t="shared" si="6"/>
        <v>76.40750670241286</v>
      </c>
      <c r="W21" s="702">
        <v>270</v>
      </c>
      <c r="X21" s="53">
        <f t="shared" si="8"/>
        <v>57.082452431289646</v>
      </c>
    </row>
    <row r="22" spans="1:25" ht="12.95" customHeight="1">
      <c r="A22" s="39"/>
      <c r="B22" s="61"/>
      <c r="C22" s="53"/>
      <c r="D22" s="36"/>
      <c r="E22" s="268"/>
      <c r="F22" s="53"/>
      <c r="G22" s="36"/>
      <c r="H22" s="268"/>
      <c r="I22" s="53"/>
      <c r="J22" s="53"/>
      <c r="K22" s="268"/>
      <c r="L22" s="53"/>
      <c r="M22" s="36"/>
      <c r="N22" s="268"/>
      <c r="O22" s="53"/>
      <c r="Q22" s="268"/>
      <c r="R22" s="53"/>
      <c r="T22" s="61"/>
      <c r="U22" s="53"/>
      <c r="W22" s="45"/>
      <c r="X22" s="53"/>
    </row>
    <row r="23" spans="1:25" ht="12.95" customHeight="1">
      <c r="A23" s="39" t="s">
        <v>1802</v>
      </c>
      <c r="B23" s="61"/>
      <c r="C23" s="53">
        <f>F23+I23+L23+O23+R23+U23+X23</f>
        <v>100</v>
      </c>
      <c r="D23" s="36"/>
      <c r="E23" s="268"/>
      <c r="F23" s="53">
        <f>E11/B11*100</f>
        <v>66.637099063298322</v>
      </c>
      <c r="G23" s="36"/>
      <c r="H23" s="268"/>
      <c r="I23" s="53">
        <f>H11/B11*100</f>
        <v>10.168890150439966</v>
      </c>
      <c r="J23" s="53"/>
      <c r="K23" s="268"/>
      <c r="L23" s="53">
        <f>K11/B11*100</f>
        <v>6.6598069826852111</v>
      </c>
      <c r="M23" s="36"/>
      <c r="N23" s="268"/>
      <c r="O23" s="53">
        <f>N11/B11*100</f>
        <v>6.1666193585012774</v>
      </c>
      <c r="Q23" s="268"/>
      <c r="R23" s="53">
        <f>Q11/B11*100</f>
        <v>4.7189894975872839</v>
      </c>
      <c r="U23" s="53">
        <f>T11/B11*100</f>
        <v>3.9703377803008797</v>
      </c>
      <c r="W23" s="45"/>
      <c r="X23" s="53">
        <f>W11/B11*100</f>
        <v>1.6782571671870565</v>
      </c>
    </row>
    <row r="24" spans="1:25" ht="12.95" customHeight="1" thickBot="1">
      <c r="W24" s="45"/>
    </row>
    <row r="25" spans="1:25" ht="8.25" customHeight="1">
      <c r="A25" s="6"/>
      <c r="B25" s="51"/>
      <c r="C25" s="38"/>
      <c r="D25" s="6"/>
      <c r="E25" s="643"/>
      <c r="F25" s="38"/>
      <c r="G25" s="6"/>
      <c r="H25" s="643"/>
      <c r="I25" s="38"/>
      <c r="J25" s="38"/>
      <c r="K25" s="643"/>
      <c r="L25" s="6"/>
      <c r="M25" s="6"/>
      <c r="N25" s="643"/>
      <c r="O25" s="6"/>
      <c r="P25" s="6"/>
      <c r="Q25" s="643"/>
      <c r="R25" s="6"/>
      <c r="S25" s="6"/>
      <c r="T25" s="703"/>
      <c r="U25" s="6"/>
      <c r="V25" s="6"/>
      <c r="W25" s="703"/>
      <c r="X25" s="6"/>
      <c r="Y25" s="6"/>
    </row>
    <row r="26" spans="1:25" ht="12.95" customHeight="1">
      <c r="A26" t="s">
        <v>1743</v>
      </c>
    </row>
    <row r="27" spans="1:25" ht="12.95" customHeight="1">
      <c r="A27" t="s">
        <v>385</v>
      </c>
    </row>
  </sheetData>
  <mergeCells count="8">
    <mergeCell ref="T7:U7"/>
    <mergeCell ref="W7:X7"/>
    <mergeCell ref="B7:C7"/>
    <mergeCell ref="E7:F7"/>
    <mergeCell ref="H7:I7"/>
    <mergeCell ref="K7:L7"/>
    <mergeCell ref="N7:O7"/>
    <mergeCell ref="Q7:R7"/>
  </mergeCells>
  <printOptions horizontalCentered="1" verticalCentered="1"/>
  <pageMargins left="0.70866141732283472" right="0.70866141732283472" top="0.74803149606299213" bottom="0.74803149606299213" header="0.31496062992125984" footer="0.31496062992125984"/>
  <pageSetup paperSize="9" scale="90" orientation="landscape" r:id="rId1"/>
</worksheet>
</file>

<file path=xl/worksheets/sheet12.xml><?xml version="1.0" encoding="utf-8"?>
<worksheet xmlns="http://schemas.openxmlformats.org/spreadsheetml/2006/main" xmlns:r="http://schemas.openxmlformats.org/officeDocument/2006/relationships">
  <dimension ref="A1:T120"/>
  <sheetViews>
    <sheetView topLeftCell="A79" workbookViewId="0">
      <selection activeCell="A83" sqref="A83"/>
    </sheetView>
  </sheetViews>
  <sheetFormatPr baseColWidth="10" defaultColWidth="9.140625" defaultRowHeight="12.75"/>
  <cols>
    <col min="1" max="1" width="36" style="434" customWidth="1"/>
    <col min="2" max="2" width="7.42578125" style="810" customWidth="1"/>
    <col min="3" max="3" width="7.42578125" style="436" customWidth="1"/>
    <col min="4" max="4" width="2.5703125" style="434" customWidth="1"/>
    <col min="5" max="5" width="6.5703125" style="435" customWidth="1"/>
    <col min="6" max="6" width="6.5703125" style="436" customWidth="1"/>
    <col min="7" max="7" width="2.5703125" style="434" customWidth="1"/>
    <col min="8" max="8" width="7" style="435" customWidth="1"/>
    <col min="9" max="9" width="7" style="436" customWidth="1"/>
    <col min="10" max="10" width="2.5703125" style="436" customWidth="1"/>
    <col min="11" max="11" width="6.85546875" style="435" customWidth="1"/>
    <col min="12" max="12" width="6.85546875" style="436" customWidth="1"/>
    <col min="13" max="13" width="2.5703125" style="434" customWidth="1"/>
    <col min="14" max="14" width="6.42578125" style="435" customWidth="1"/>
    <col min="15" max="15" width="6.42578125" style="434" customWidth="1"/>
    <col min="16" max="16" width="2.7109375" style="434" customWidth="1"/>
    <col min="17" max="17" width="7.85546875" style="440" customWidth="1"/>
    <col min="18" max="18" width="7.85546875" style="434" customWidth="1"/>
    <col min="19" max="19" width="2" style="434" customWidth="1"/>
    <col min="20" max="256" width="9.140625" style="434"/>
    <col min="257" max="257" width="36" style="434" customWidth="1"/>
    <col min="258" max="259" width="7.42578125" style="434" customWidth="1"/>
    <col min="260" max="260" width="2.5703125" style="434" customWidth="1"/>
    <col min="261" max="262" width="6.5703125" style="434" customWidth="1"/>
    <col min="263" max="263" width="2.5703125" style="434" customWidth="1"/>
    <col min="264" max="265" width="7" style="434" customWidth="1"/>
    <col min="266" max="266" width="2.5703125" style="434" customWidth="1"/>
    <col min="267" max="268" width="6.85546875" style="434" customWidth="1"/>
    <col min="269" max="269" width="2.5703125" style="434" customWidth="1"/>
    <col min="270" max="271" width="6.42578125" style="434" customWidth="1"/>
    <col min="272" max="272" width="2.7109375" style="434" customWidth="1"/>
    <col min="273" max="274" width="7.85546875" style="434" customWidth="1"/>
    <col min="275" max="275" width="2" style="434" customWidth="1"/>
    <col min="276" max="512" width="9.140625" style="434"/>
    <col min="513" max="513" width="36" style="434" customWidth="1"/>
    <col min="514" max="515" width="7.42578125" style="434" customWidth="1"/>
    <col min="516" max="516" width="2.5703125" style="434" customWidth="1"/>
    <col min="517" max="518" width="6.5703125" style="434" customWidth="1"/>
    <col min="519" max="519" width="2.5703125" style="434" customWidth="1"/>
    <col min="520" max="521" width="7" style="434" customWidth="1"/>
    <col min="522" max="522" width="2.5703125" style="434" customWidth="1"/>
    <col min="523" max="524" width="6.85546875" style="434" customWidth="1"/>
    <col min="525" max="525" width="2.5703125" style="434" customWidth="1"/>
    <col min="526" max="527" width="6.42578125" style="434" customWidth="1"/>
    <col min="528" max="528" width="2.7109375" style="434" customWidth="1"/>
    <col min="529" max="530" width="7.85546875" style="434" customWidth="1"/>
    <col min="531" max="531" width="2" style="434" customWidth="1"/>
    <col min="532" max="768" width="9.140625" style="434"/>
    <col min="769" max="769" width="36" style="434" customWidth="1"/>
    <col min="770" max="771" width="7.42578125" style="434" customWidth="1"/>
    <col min="772" max="772" width="2.5703125" style="434" customWidth="1"/>
    <col min="773" max="774" width="6.5703125" style="434" customWidth="1"/>
    <col min="775" max="775" width="2.5703125" style="434" customWidth="1"/>
    <col min="776" max="777" width="7" style="434" customWidth="1"/>
    <col min="778" max="778" width="2.5703125" style="434" customWidth="1"/>
    <col min="779" max="780" width="6.85546875" style="434" customWidth="1"/>
    <col min="781" max="781" width="2.5703125" style="434" customWidth="1"/>
    <col min="782" max="783" width="6.42578125" style="434" customWidth="1"/>
    <col min="784" max="784" width="2.7109375" style="434" customWidth="1"/>
    <col min="785" max="786" width="7.85546875" style="434" customWidth="1"/>
    <col min="787" max="787" width="2" style="434" customWidth="1"/>
    <col min="788" max="1024" width="9.140625" style="434"/>
    <col min="1025" max="1025" width="36" style="434" customWidth="1"/>
    <col min="1026" max="1027" width="7.42578125" style="434" customWidth="1"/>
    <col min="1028" max="1028" width="2.5703125" style="434" customWidth="1"/>
    <col min="1029" max="1030" width="6.5703125" style="434" customWidth="1"/>
    <col min="1031" max="1031" width="2.5703125" style="434" customWidth="1"/>
    <col min="1032" max="1033" width="7" style="434" customWidth="1"/>
    <col min="1034" max="1034" width="2.5703125" style="434" customWidth="1"/>
    <col min="1035" max="1036" width="6.85546875" style="434" customWidth="1"/>
    <col min="1037" max="1037" width="2.5703125" style="434" customWidth="1"/>
    <col min="1038" max="1039" width="6.42578125" style="434" customWidth="1"/>
    <col min="1040" max="1040" width="2.7109375" style="434" customWidth="1"/>
    <col min="1041" max="1042" width="7.85546875" style="434" customWidth="1"/>
    <col min="1043" max="1043" width="2" style="434" customWidth="1"/>
    <col min="1044" max="1280" width="9.140625" style="434"/>
    <col min="1281" max="1281" width="36" style="434" customWidth="1"/>
    <col min="1282" max="1283" width="7.42578125" style="434" customWidth="1"/>
    <col min="1284" max="1284" width="2.5703125" style="434" customWidth="1"/>
    <col min="1285" max="1286" width="6.5703125" style="434" customWidth="1"/>
    <col min="1287" max="1287" width="2.5703125" style="434" customWidth="1"/>
    <col min="1288" max="1289" width="7" style="434" customWidth="1"/>
    <col min="1290" max="1290" width="2.5703125" style="434" customWidth="1"/>
    <col min="1291" max="1292" width="6.85546875" style="434" customWidth="1"/>
    <col min="1293" max="1293" width="2.5703125" style="434" customWidth="1"/>
    <col min="1294" max="1295" width="6.42578125" style="434" customWidth="1"/>
    <col min="1296" max="1296" width="2.7109375" style="434" customWidth="1"/>
    <col min="1297" max="1298" width="7.85546875" style="434" customWidth="1"/>
    <col min="1299" max="1299" width="2" style="434" customWidth="1"/>
    <col min="1300" max="1536" width="9.140625" style="434"/>
    <col min="1537" max="1537" width="36" style="434" customWidth="1"/>
    <col min="1538" max="1539" width="7.42578125" style="434" customWidth="1"/>
    <col min="1540" max="1540" width="2.5703125" style="434" customWidth="1"/>
    <col min="1541" max="1542" width="6.5703125" style="434" customWidth="1"/>
    <col min="1543" max="1543" width="2.5703125" style="434" customWidth="1"/>
    <col min="1544" max="1545" width="7" style="434" customWidth="1"/>
    <col min="1546" max="1546" width="2.5703125" style="434" customWidth="1"/>
    <col min="1547" max="1548" width="6.85546875" style="434" customWidth="1"/>
    <col min="1549" max="1549" width="2.5703125" style="434" customWidth="1"/>
    <col min="1550" max="1551" width="6.42578125" style="434" customWidth="1"/>
    <col min="1552" max="1552" width="2.7109375" style="434" customWidth="1"/>
    <col min="1553" max="1554" width="7.85546875" style="434" customWidth="1"/>
    <col min="1555" max="1555" width="2" style="434" customWidth="1"/>
    <col min="1556" max="1792" width="9.140625" style="434"/>
    <col min="1793" max="1793" width="36" style="434" customWidth="1"/>
    <col min="1794" max="1795" width="7.42578125" style="434" customWidth="1"/>
    <col min="1796" max="1796" width="2.5703125" style="434" customWidth="1"/>
    <col min="1797" max="1798" width="6.5703125" style="434" customWidth="1"/>
    <col min="1799" max="1799" width="2.5703125" style="434" customWidth="1"/>
    <col min="1800" max="1801" width="7" style="434" customWidth="1"/>
    <col min="1802" max="1802" width="2.5703125" style="434" customWidth="1"/>
    <col min="1803" max="1804" width="6.85546875" style="434" customWidth="1"/>
    <col min="1805" max="1805" width="2.5703125" style="434" customWidth="1"/>
    <col min="1806" max="1807" width="6.42578125" style="434" customWidth="1"/>
    <col min="1808" max="1808" width="2.7109375" style="434" customWidth="1"/>
    <col min="1809" max="1810" width="7.85546875" style="434" customWidth="1"/>
    <col min="1811" max="1811" width="2" style="434" customWidth="1"/>
    <col min="1812" max="2048" width="9.140625" style="434"/>
    <col min="2049" max="2049" width="36" style="434" customWidth="1"/>
    <col min="2050" max="2051" width="7.42578125" style="434" customWidth="1"/>
    <col min="2052" max="2052" width="2.5703125" style="434" customWidth="1"/>
    <col min="2053" max="2054" width="6.5703125" style="434" customWidth="1"/>
    <col min="2055" max="2055" width="2.5703125" style="434" customWidth="1"/>
    <col min="2056" max="2057" width="7" style="434" customWidth="1"/>
    <col min="2058" max="2058" width="2.5703125" style="434" customWidth="1"/>
    <col min="2059" max="2060" width="6.85546875" style="434" customWidth="1"/>
    <col min="2061" max="2061" width="2.5703125" style="434" customWidth="1"/>
    <col min="2062" max="2063" width="6.42578125" style="434" customWidth="1"/>
    <col min="2064" max="2064" width="2.7109375" style="434" customWidth="1"/>
    <col min="2065" max="2066" width="7.85546875" style="434" customWidth="1"/>
    <col min="2067" max="2067" width="2" style="434" customWidth="1"/>
    <col min="2068" max="2304" width="9.140625" style="434"/>
    <col min="2305" max="2305" width="36" style="434" customWidth="1"/>
    <col min="2306" max="2307" width="7.42578125" style="434" customWidth="1"/>
    <col min="2308" max="2308" width="2.5703125" style="434" customWidth="1"/>
    <col min="2309" max="2310" width="6.5703125" style="434" customWidth="1"/>
    <col min="2311" max="2311" width="2.5703125" style="434" customWidth="1"/>
    <col min="2312" max="2313" width="7" style="434" customWidth="1"/>
    <col min="2314" max="2314" width="2.5703125" style="434" customWidth="1"/>
    <col min="2315" max="2316" width="6.85546875" style="434" customWidth="1"/>
    <col min="2317" max="2317" width="2.5703125" style="434" customWidth="1"/>
    <col min="2318" max="2319" width="6.42578125" style="434" customWidth="1"/>
    <col min="2320" max="2320" width="2.7109375" style="434" customWidth="1"/>
    <col min="2321" max="2322" width="7.85546875" style="434" customWidth="1"/>
    <col min="2323" max="2323" width="2" style="434" customWidth="1"/>
    <col min="2324" max="2560" width="9.140625" style="434"/>
    <col min="2561" max="2561" width="36" style="434" customWidth="1"/>
    <col min="2562" max="2563" width="7.42578125" style="434" customWidth="1"/>
    <col min="2564" max="2564" width="2.5703125" style="434" customWidth="1"/>
    <col min="2565" max="2566" width="6.5703125" style="434" customWidth="1"/>
    <col min="2567" max="2567" width="2.5703125" style="434" customWidth="1"/>
    <col min="2568" max="2569" width="7" style="434" customWidth="1"/>
    <col min="2570" max="2570" width="2.5703125" style="434" customWidth="1"/>
    <col min="2571" max="2572" width="6.85546875" style="434" customWidth="1"/>
    <col min="2573" max="2573" width="2.5703125" style="434" customWidth="1"/>
    <col min="2574" max="2575" width="6.42578125" style="434" customWidth="1"/>
    <col min="2576" max="2576" width="2.7109375" style="434" customWidth="1"/>
    <col min="2577" max="2578" width="7.85546875" style="434" customWidth="1"/>
    <col min="2579" max="2579" width="2" style="434" customWidth="1"/>
    <col min="2580" max="2816" width="9.140625" style="434"/>
    <col min="2817" max="2817" width="36" style="434" customWidth="1"/>
    <col min="2818" max="2819" width="7.42578125" style="434" customWidth="1"/>
    <col min="2820" max="2820" width="2.5703125" style="434" customWidth="1"/>
    <col min="2821" max="2822" width="6.5703125" style="434" customWidth="1"/>
    <col min="2823" max="2823" width="2.5703125" style="434" customWidth="1"/>
    <col min="2824" max="2825" width="7" style="434" customWidth="1"/>
    <col min="2826" max="2826" width="2.5703125" style="434" customWidth="1"/>
    <col min="2827" max="2828" width="6.85546875" style="434" customWidth="1"/>
    <col min="2829" max="2829" width="2.5703125" style="434" customWidth="1"/>
    <col min="2830" max="2831" width="6.42578125" style="434" customWidth="1"/>
    <col min="2832" max="2832" width="2.7109375" style="434" customWidth="1"/>
    <col min="2833" max="2834" width="7.85546875" style="434" customWidth="1"/>
    <col min="2835" max="2835" width="2" style="434" customWidth="1"/>
    <col min="2836" max="3072" width="9.140625" style="434"/>
    <col min="3073" max="3073" width="36" style="434" customWidth="1"/>
    <col min="3074" max="3075" width="7.42578125" style="434" customWidth="1"/>
    <col min="3076" max="3076" width="2.5703125" style="434" customWidth="1"/>
    <col min="3077" max="3078" width="6.5703125" style="434" customWidth="1"/>
    <col min="3079" max="3079" width="2.5703125" style="434" customWidth="1"/>
    <col min="3080" max="3081" width="7" style="434" customWidth="1"/>
    <col min="3082" max="3082" width="2.5703125" style="434" customWidth="1"/>
    <col min="3083" max="3084" width="6.85546875" style="434" customWidth="1"/>
    <col min="3085" max="3085" width="2.5703125" style="434" customWidth="1"/>
    <col min="3086" max="3087" width="6.42578125" style="434" customWidth="1"/>
    <col min="3088" max="3088" width="2.7109375" style="434" customWidth="1"/>
    <col min="3089" max="3090" width="7.85546875" style="434" customWidth="1"/>
    <col min="3091" max="3091" width="2" style="434" customWidth="1"/>
    <col min="3092" max="3328" width="9.140625" style="434"/>
    <col min="3329" max="3329" width="36" style="434" customWidth="1"/>
    <col min="3330" max="3331" width="7.42578125" style="434" customWidth="1"/>
    <col min="3332" max="3332" width="2.5703125" style="434" customWidth="1"/>
    <col min="3333" max="3334" width="6.5703125" style="434" customWidth="1"/>
    <col min="3335" max="3335" width="2.5703125" style="434" customWidth="1"/>
    <col min="3336" max="3337" width="7" style="434" customWidth="1"/>
    <col min="3338" max="3338" width="2.5703125" style="434" customWidth="1"/>
    <col min="3339" max="3340" width="6.85546875" style="434" customWidth="1"/>
    <col min="3341" max="3341" width="2.5703125" style="434" customWidth="1"/>
    <col min="3342" max="3343" width="6.42578125" style="434" customWidth="1"/>
    <col min="3344" max="3344" width="2.7109375" style="434" customWidth="1"/>
    <col min="3345" max="3346" width="7.85546875" style="434" customWidth="1"/>
    <col min="3347" max="3347" width="2" style="434" customWidth="1"/>
    <col min="3348" max="3584" width="9.140625" style="434"/>
    <col min="3585" max="3585" width="36" style="434" customWidth="1"/>
    <col min="3586" max="3587" width="7.42578125" style="434" customWidth="1"/>
    <col min="3588" max="3588" width="2.5703125" style="434" customWidth="1"/>
    <col min="3589" max="3590" width="6.5703125" style="434" customWidth="1"/>
    <col min="3591" max="3591" width="2.5703125" style="434" customWidth="1"/>
    <col min="3592" max="3593" width="7" style="434" customWidth="1"/>
    <col min="3594" max="3594" width="2.5703125" style="434" customWidth="1"/>
    <col min="3595" max="3596" width="6.85546875" style="434" customWidth="1"/>
    <col min="3597" max="3597" width="2.5703125" style="434" customWidth="1"/>
    <col min="3598" max="3599" width="6.42578125" style="434" customWidth="1"/>
    <col min="3600" max="3600" width="2.7109375" style="434" customWidth="1"/>
    <col min="3601" max="3602" width="7.85546875" style="434" customWidth="1"/>
    <col min="3603" max="3603" width="2" style="434" customWidth="1"/>
    <col min="3604" max="3840" width="9.140625" style="434"/>
    <col min="3841" max="3841" width="36" style="434" customWidth="1"/>
    <col min="3842" max="3843" width="7.42578125" style="434" customWidth="1"/>
    <col min="3844" max="3844" width="2.5703125" style="434" customWidth="1"/>
    <col min="3845" max="3846" width="6.5703125" style="434" customWidth="1"/>
    <col min="3847" max="3847" width="2.5703125" style="434" customWidth="1"/>
    <col min="3848" max="3849" width="7" style="434" customWidth="1"/>
    <col min="3850" max="3850" width="2.5703125" style="434" customWidth="1"/>
    <col min="3851" max="3852" width="6.85546875" style="434" customWidth="1"/>
    <col min="3853" max="3853" width="2.5703125" style="434" customWidth="1"/>
    <col min="3854" max="3855" width="6.42578125" style="434" customWidth="1"/>
    <col min="3856" max="3856" width="2.7109375" style="434" customWidth="1"/>
    <col min="3857" max="3858" width="7.85546875" style="434" customWidth="1"/>
    <col min="3859" max="3859" width="2" style="434" customWidth="1"/>
    <col min="3860" max="4096" width="9.140625" style="434"/>
    <col min="4097" max="4097" width="36" style="434" customWidth="1"/>
    <col min="4098" max="4099" width="7.42578125" style="434" customWidth="1"/>
    <col min="4100" max="4100" width="2.5703125" style="434" customWidth="1"/>
    <col min="4101" max="4102" width="6.5703125" style="434" customWidth="1"/>
    <col min="4103" max="4103" width="2.5703125" style="434" customWidth="1"/>
    <col min="4104" max="4105" width="7" style="434" customWidth="1"/>
    <col min="4106" max="4106" width="2.5703125" style="434" customWidth="1"/>
    <col min="4107" max="4108" width="6.85546875" style="434" customWidth="1"/>
    <col min="4109" max="4109" width="2.5703125" style="434" customWidth="1"/>
    <col min="4110" max="4111" width="6.42578125" style="434" customWidth="1"/>
    <col min="4112" max="4112" width="2.7109375" style="434" customWidth="1"/>
    <col min="4113" max="4114" width="7.85546875" style="434" customWidth="1"/>
    <col min="4115" max="4115" width="2" style="434" customWidth="1"/>
    <col min="4116" max="4352" width="9.140625" style="434"/>
    <col min="4353" max="4353" width="36" style="434" customWidth="1"/>
    <col min="4354" max="4355" width="7.42578125" style="434" customWidth="1"/>
    <col min="4356" max="4356" width="2.5703125" style="434" customWidth="1"/>
    <col min="4357" max="4358" width="6.5703125" style="434" customWidth="1"/>
    <col min="4359" max="4359" width="2.5703125" style="434" customWidth="1"/>
    <col min="4360" max="4361" width="7" style="434" customWidth="1"/>
    <col min="4362" max="4362" width="2.5703125" style="434" customWidth="1"/>
    <col min="4363" max="4364" width="6.85546875" style="434" customWidth="1"/>
    <col min="4365" max="4365" width="2.5703125" style="434" customWidth="1"/>
    <col min="4366" max="4367" width="6.42578125" style="434" customWidth="1"/>
    <col min="4368" max="4368" width="2.7109375" style="434" customWidth="1"/>
    <col min="4369" max="4370" width="7.85546875" style="434" customWidth="1"/>
    <col min="4371" max="4371" width="2" style="434" customWidth="1"/>
    <col min="4372" max="4608" width="9.140625" style="434"/>
    <col min="4609" max="4609" width="36" style="434" customWidth="1"/>
    <col min="4610" max="4611" width="7.42578125" style="434" customWidth="1"/>
    <col min="4612" max="4612" width="2.5703125" style="434" customWidth="1"/>
    <col min="4613" max="4614" width="6.5703125" style="434" customWidth="1"/>
    <col min="4615" max="4615" width="2.5703125" style="434" customWidth="1"/>
    <col min="4616" max="4617" width="7" style="434" customWidth="1"/>
    <col min="4618" max="4618" width="2.5703125" style="434" customWidth="1"/>
    <col min="4619" max="4620" width="6.85546875" style="434" customWidth="1"/>
    <col min="4621" max="4621" width="2.5703125" style="434" customWidth="1"/>
    <col min="4622" max="4623" width="6.42578125" style="434" customWidth="1"/>
    <col min="4624" max="4624" width="2.7109375" style="434" customWidth="1"/>
    <col min="4625" max="4626" width="7.85546875" style="434" customWidth="1"/>
    <col min="4627" max="4627" width="2" style="434" customWidth="1"/>
    <col min="4628" max="4864" width="9.140625" style="434"/>
    <col min="4865" max="4865" width="36" style="434" customWidth="1"/>
    <col min="4866" max="4867" width="7.42578125" style="434" customWidth="1"/>
    <col min="4868" max="4868" width="2.5703125" style="434" customWidth="1"/>
    <col min="4869" max="4870" width="6.5703125" style="434" customWidth="1"/>
    <col min="4871" max="4871" width="2.5703125" style="434" customWidth="1"/>
    <col min="4872" max="4873" width="7" style="434" customWidth="1"/>
    <col min="4874" max="4874" width="2.5703125" style="434" customWidth="1"/>
    <col min="4875" max="4876" width="6.85546875" style="434" customWidth="1"/>
    <col min="4877" max="4877" width="2.5703125" style="434" customWidth="1"/>
    <col min="4878" max="4879" width="6.42578125" style="434" customWidth="1"/>
    <col min="4880" max="4880" width="2.7109375" style="434" customWidth="1"/>
    <col min="4881" max="4882" width="7.85546875" style="434" customWidth="1"/>
    <col min="4883" max="4883" width="2" style="434" customWidth="1"/>
    <col min="4884" max="5120" width="9.140625" style="434"/>
    <col min="5121" max="5121" width="36" style="434" customWidth="1"/>
    <col min="5122" max="5123" width="7.42578125" style="434" customWidth="1"/>
    <col min="5124" max="5124" width="2.5703125" style="434" customWidth="1"/>
    <col min="5125" max="5126" width="6.5703125" style="434" customWidth="1"/>
    <col min="5127" max="5127" width="2.5703125" style="434" customWidth="1"/>
    <col min="5128" max="5129" width="7" style="434" customWidth="1"/>
    <col min="5130" max="5130" width="2.5703125" style="434" customWidth="1"/>
    <col min="5131" max="5132" width="6.85546875" style="434" customWidth="1"/>
    <col min="5133" max="5133" width="2.5703125" style="434" customWidth="1"/>
    <col min="5134" max="5135" width="6.42578125" style="434" customWidth="1"/>
    <col min="5136" max="5136" width="2.7109375" style="434" customWidth="1"/>
    <col min="5137" max="5138" width="7.85546875" style="434" customWidth="1"/>
    <col min="5139" max="5139" width="2" style="434" customWidth="1"/>
    <col min="5140" max="5376" width="9.140625" style="434"/>
    <col min="5377" max="5377" width="36" style="434" customWidth="1"/>
    <col min="5378" max="5379" width="7.42578125" style="434" customWidth="1"/>
    <col min="5380" max="5380" width="2.5703125" style="434" customWidth="1"/>
    <col min="5381" max="5382" width="6.5703125" style="434" customWidth="1"/>
    <col min="5383" max="5383" width="2.5703125" style="434" customWidth="1"/>
    <col min="5384" max="5385" width="7" style="434" customWidth="1"/>
    <col min="5386" max="5386" width="2.5703125" style="434" customWidth="1"/>
    <col min="5387" max="5388" width="6.85546875" style="434" customWidth="1"/>
    <col min="5389" max="5389" width="2.5703125" style="434" customWidth="1"/>
    <col min="5390" max="5391" width="6.42578125" style="434" customWidth="1"/>
    <col min="5392" max="5392" width="2.7109375" style="434" customWidth="1"/>
    <col min="5393" max="5394" width="7.85546875" style="434" customWidth="1"/>
    <col min="5395" max="5395" width="2" style="434" customWidth="1"/>
    <col min="5396" max="5632" width="9.140625" style="434"/>
    <col min="5633" max="5633" width="36" style="434" customWidth="1"/>
    <col min="5634" max="5635" width="7.42578125" style="434" customWidth="1"/>
    <col min="5636" max="5636" width="2.5703125" style="434" customWidth="1"/>
    <col min="5637" max="5638" width="6.5703125" style="434" customWidth="1"/>
    <col min="5639" max="5639" width="2.5703125" style="434" customWidth="1"/>
    <col min="5640" max="5641" width="7" style="434" customWidth="1"/>
    <col min="5642" max="5642" width="2.5703125" style="434" customWidth="1"/>
    <col min="5643" max="5644" width="6.85546875" style="434" customWidth="1"/>
    <col min="5645" max="5645" width="2.5703125" style="434" customWidth="1"/>
    <col min="5646" max="5647" width="6.42578125" style="434" customWidth="1"/>
    <col min="5648" max="5648" width="2.7109375" style="434" customWidth="1"/>
    <col min="5649" max="5650" width="7.85546875" style="434" customWidth="1"/>
    <col min="5651" max="5651" width="2" style="434" customWidth="1"/>
    <col min="5652" max="5888" width="9.140625" style="434"/>
    <col min="5889" max="5889" width="36" style="434" customWidth="1"/>
    <col min="5890" max="5891" width="7.42578125" style="434" customWidth="1"/>
    <col min="5892" max="5892" width="2.5703125" style="434" customWidth="1"/>
    <col min="5893" max="5894" width="6.5703125" style="434" customWidth="1"/>
    <col min="5895" max="5895" width="2.5703125" style="434" customWidth="1"/>
    <col min="5896" max="5897" width="7" style="434" customWidth="1"/>
    <col min="5898" max="5898" width="2.5703125" style="434" customWidth="1"/>
    <col min="5899" max="5900" width="6.85546875" style="434" customWidth="1"/>
    <col min="5901" max="5901" width="2.5703125" style="434" customWidth="1"/>
    <col min="5902" max="5903" width="6.42578125" style="434" customWidth="1"/>
    <col min="5904" max="5904" width="2.7109375" style="434" customWidth="1"/>
    <col min="5905" max="5906" width="7.85546875" style="434" customWidth="1"/>
    <col min="5907" max="5907" width="2" style="434" customWidth="1"/>
    <col min="5908" max="6144" width="9.140625" style="434"/>
    <col min="6145" max="6145" width="36" style="434" customWidth="1"/>
    <col min="6146" max="6147" width="7.42578125" style="434" customWidth="1"/>
    <col min="6148" max="6148" width="2.5703125" style="434" customWidth="1"/>
    <col min="6149" max="6150" width="6.5703125" style="434" customWidth="1"/>
    <col min="6151" max="6151" width="2.5703125" style="434" customWidth="1"/>
    <col min="6152" max="6153" width="7" style="434" customWidth="1"/>
    <col min="6154" max="6154" width="2.5703125" style="434" customWidth="1"/>
    <col min="6155" max="6156" width="6.85546875" style="434" customWidth="1"/>
    <col min="6157" max="6157" width="2.5703125" style="434" customWidth="1"/>
    <col min="6158" max="6159" width="6.42578125" style="434" customWidth="1"/>
    <col min="6160" max="6160" width="2.7109375" style="434" customWidth="1"/>
    <col min="6161" max="6162" width="7.85546875" style="434" customWidth="1"/>
    <col min="6163" max="6163" width="2" style="434" customWidth="1"/>
    <col min="6164" max="6400" width="9.140625" style="434"/>
    <col min="6401" max="6401" width="36" style="434" customWidth="1"/>
    <col min="6402" max="6403" width="7.42578125" style="434" customWidth="1"/>
    <col min="6404" max="6404" width="2.5703125" style="434" customWidth="1"/>
    <col min="6405" max="6406" width="6.5703125" style="434" customWidth="1"/>
    <col min="6407" max="6407" width="2.5703125" style="434" customWidth="1"/>
    <col min="6408" max="6409" width="7" style="434" customWidth="1"/>
    <col min="6410" max="6410" width="2.5703125" style="434" customWidth="1"/>
    <col min="6411" max="6412" width="6.85546875" style="434" customWidth="1"/>
    <col min="6413" max="6413" width="2.5703125" style="434" customWidth="1"/>
    <col min="6414" max="6415" width="6.42578125" style="434" customWidth="1"/>
    <col min="6416" max="6416" width="2.7109375" style="434" customWidth="1"/>
    <col min="6417" max="6418" width="7.85546875" style="434" customWidth="1"/>
    <col min="6419" max="6419" width="2" style="434" customWidth="1"/>
    <col min="6420" max="6656" width="9.140625" style="434"/>
    <col min="6657" max="6657" width="36" style="434" customWidth="1"/>
    <col min="6658" max="6659" width="7.42578125" style="434" customWidth="1"/>
    <col min="6660" max="6660" width="2.5703125" style="434" customWidth="1"/>
    <col min="6661" max="6662" width="6.5703125" style="434" customWidth="1"/>
    <col min="6663" max="6663" width="2.5703125" style="434" customWidth="1"/>
    <col min="6664" max="6665" width="7" style="434" customWidth="1"/>
    <col min="6666" max="6666" width="2.5703125" style="434" customWidth="1"/>
    <col min="6667" max="6668" width="6.85546875" style="434" customWidth="1"/>
    <col min="6669" max="6669" width="2.5703125" style="434" customWidth="1"/>
    <col min="6670" max="6671" width="6.42578125" style="434" customWidth="1"/>
    <col min="6672" max="6672" width="2.7109375" style="434" customWidth="1"/>
    <col min="6673" max="6674" width="7.85546875" style="434" customWidth="1"/>
    <col min="6675" max="6675" width="2" style="434" customWidth="1"/>
    <col min="6676" max="6912" width="9.140625" style="434"/>
    <col min="6913" max="6913" width="36" style="434" customWidth="1"/>
    <col min="6914" max="6915" width="7.42578125" style="434" customWidth="1"/>
    <col min="6916" max="6916" width="2.5703125" style="434" customWidth="1"/>
    <col min="6917" max="6918" width="6.5703125" style="434" customWidth="1"/>
    <col min="6919" max="6919" width="2.5703125" style="434" customWidth="1"/>
    <col min="6920" max="6921" width="7" style="434" customWidth="1"/>
    <col min="6922" max="6922" width="2.5703125" style="434" customWidth="1"/>
    <col min="6923" max="6924" width="6.85546875" style="434" customWidth="1"/>
    <col min="6925" max="6925" width="2.5703125" style="434" customWidth="1"/>
    <col min="6926" max="6927" width="6.42578125" style="434" customWidth="1"/>
    <col min="6928" max="6928" width="2.7109375" style="434" customWidth="1"/>
    <col min="6929" max="6930" width="7.85546875" style="434" customWidth="1"/>
    <col min="6931" max="6931" width="2" style="434" customWidth="1"/>
    <col min="6932" max="7168" width="9.140625" style="434"/>
    <col min="7169" max="7169" width="36" style="434" customWidth="1"/>
    <col min="7170" max="7171" width="7.42578125" style="434" customWidth="1"/>
    <col min="7172" max="7172" width="2.5703125" style="434" customWidth="1"/>
    <col min="7173" max="7174" width="6.5703125" style="434" customWidth="1"/>
    <col min="7175" max="7175" width="2.5703125" style="434" customWidth="1"/>
    <col min="7176" max="7177" width="7" style="434" customWidth="1"/>
    <col min="7178" max="7178" width="2.5703125" style="434" customWidth="1"/>
    <col min="7179" max="7180" width="6.85546875" style="434" customWidth="1"/>
    <col min="7181" max="7181" width="2.5703125" style="434" customWidth="1"/>
    <col min="7182" max="7183" width="6.42578125" style="434" customWidth="1"/>
    <col min="7184" max="7184" width="2.7109375" style="434" customWidth="1"/>
    <col min="7185" max="7186" width="7.85546875" style="434" customWidth="1"/>
    <col min="7187" max="7187" width="2" style="434" customWidth="1"/>
    <col min="7188" max="7424" width="9.140625" style="434"/>
    <col min="7425" max="7425" width="36" style="434" customWidth="1"/>
    <col min="7426" max="7427" width="7.42578125" style="434" customWidth="1"/>
    <col min="7428" max="7428" width="2.5703125" style="434" customWidth="1"/>
    <col min="7429" max="7430" width="6.5703125" style="434" customWidth="1"/>
    <col min="7431" max="7431" width="2.5703125" style="434" customWidth="1"/>
    <col min="7432" max="7433" width="7" style="434" customWidth="1"/>
    <col min="7434" max="7434" width="2.5703125" style="434" customWidth="1"/>
    <col min="7435" max="7436" width="6.85546875" style="434" customWidth="1"/>
    <col min="7437" max="7437" width="2.5703125" style="434" customWidth="1"/>
    <col min="7438" max="7439" width="6.42578125" style="434" customWidth="1"/>
    <col min="7440" max="7440" width="2.7109375" style="434" customWidth="1"/>
    <col min="7441" max="7442" width="7.85546875" style="434" customWidth="1"/>
    <col min="7443" max="7443" width="2" style="434" customWidth="1"/>
    <col min="7444" max="7680" width="9.140625" style="434"/>
    <col min="7681" max="7681" width="36" style="434" customWidth="1"/>
    <col min="7682" max="7683" width="7.42578125" style="434" customWidth="1"/>
    <col min="7684" max="7684" width="2.5703125" style="434" customWidth="1"/>
    <col min="7685" max="7686" width="6.5703125" style="434" customWidth="1"/>
    <col min="7687" max="7687" width="2.5703125" style="434" customWidth="1"/>
    <col min="7688" max="7689" width="7" style="434" customWidth="1"/>
    <col min="7690" max="7690" width="2.5703125" style="434" customWidth="1"/>
    <col min="7691" max="7692" width="6.85546875" style="434" customWidth="1"/>
    <col min="7693" max="7693" width="2.5703125" style="434" customWidth="1"/>
    <col min="7694" max="7695" width="6.42578125" style="434" customWidth="1"/>
    <col min="7696" max="7696" width="2.7109375" style="434" customWidth="1"/>
    <col min="7697" max="7698" width="7.85546875" style="434" customWidth="1"/>
    <col min="7699" max="7699" width="2" style="434" customWidth="1"/>
    <col min="7700" max="7936" width="9.140625" style="434"/>
    <col min="7937" max="7937" width="36" style="434" customWidth="1"/>
    <col min="7938" max="7939" width="7.42578125" style="434" customWidth="1"/>
    <col min="7940" max="7940" width="2.5703125" style="434" customWidth="1"/>
    <col min="7941" max="7942" width="6.5703125" style="434" customWidth="1"/>
    <col min="7943" max="7943" width="2.5703125" style="434" customWidth="1"/>
    <col min="7944" max="7945" width="7" style="434" customWidth="1"/>
    <col min="7946" max="7946" width="2.5703125" style="434" customWidth="1"/>
    <col min="7947" max="7948" width="6.85546875" style="434" customWidth="1"/>
    <col min="7949" max="7949" width="2.5703125" style="434" customWidth="1"/>
    <col min="7950" max="7951" width="6.42578125" style="434" customWidth="1"/>
    <col min="7952" max="7952" width="2.7109375" style="434" customWidth="1"/>
    <col min="7953" max="7954" width="7.85546875" style="434" customWidth="1"/>
    <col min="7955" max="7955" width="2" style="434" customWidth="1"/>
    <col min="7956" max="8192" width="9.140625" style="434"/>
    <col min="8193" max="8193" width="36" style="434" customWidth="1"/>
    <col min="8194" max="8195" width="7.42578125" style="434" customWidth="1"/>
    <col min="8196" max="8196" width="2.5703125" style="434" customWidth="1"/>
    <col min="8197" max="8198" width="6.5703125" style="434" customWidth="1"/>
    <col min="8199" max="8199" width="2.5703125" style="434" customWidth="1"/>
    <col min="8200" max="8201" width="7" style="434" customWidth="1"/>
    <col min="8202" max="8202" width="2.5703125" style="434" customWidth="1"/>
    <col min="8203" max="8204" width="6.85546875" style="434" customWidth="1"/>
    <col min="8205" max="8205" width="2.5703125" style="434" customWidth="1"/>
    <col min="8206" max="8207" width="6.42578125" style="434" customWidth="1"/>
    <col min="8208" max="8208" width="2.7109375" style="434" customWidth="1"/>
    <col min="8209" max="8210" width="7.85546875" style="434" customWidth="1"/>
    <col min="8211" max="8211" width="2" style="434" customWidth="1"/>
    <col min="8212" max="8448" width="9.140625" style="434"/>
    <col min="8449" max="8449" width="36" style="434" customWidth="1"/>
    <col min="8450" max="8451" width="7.42578125" style="434" customWidth="1"/>
    <col min="8452" max="8452" width="2.5703125" style="434" customWidth="1"/>
    <col min="8453" max="8454" width="6.5703125" style="434" customWidth="1"/>
    <col min="8455" max="8455" width="2.5703125" style="434" customWidth="1"/>
    <col min="8456" max="8457" width="7" style="434" customWidth="1"/>
    <col min="8458" max="8458" width="2.5703125" style="434" customWidth="1"/>
    <col min="8459" max="8460" width="6.85546875" style="434" customWidth="1"/>
    <col min="8461" max="8461" width="2.5703125" style="434" customWidth="1"/>
    <col min="8462" max="8463" width="6.42578125" style="434" customWidth="1"/>
    <col min="8464" max="8464" width="2.7109375" style="434" customWidth="1"/>
    <col min="8465" max="8466" width="7.85546875" style="434" customWidth="1"/>
    <col min="8467" max="8467" width="2" style="434" customWidth="1"/>
    <col min="8468" max="8704" width="9.140625" style="434"/>
    <col min="8705" max="8705" width="36" style="434" customWidth="1"/>
    <col min="8706" max="8707" width="7.42578125" style="434" customWidth="1"/>
    <col min="8708" max="8708" width="2.5703125" style="434" customWidth="1"/>
    <col min="8709" max="8710" width="6.5703125" style="434" customWidth="1"/>
    <col min="8711" max="8711" width="2.5703125" style="434" customWidth="1"/>
    <col min="8712" max="8713" width="7" style="434" customWidth="1"/>
    <col min="8714" max="8714" width="2.5703125" style="434" customWidth="1"/>
    <col min="8715" max="8716" width="6.85546875" style="434" customWidth="1"/>
    <col min="8717" max="8717" width="2.5703125" style="434" customWidth="1"/>
    <col min="8718" max="8719" width="6.42578125" style="434" customWidth="1"/>
    <col min="8720" max="8720" width="2.7109375" style="434" customWidth="1"/>
    <col min="8721" max="8722" width="7.85546875" style="434" customWidth="1"/>
    <col min="8723" max="8723" width="2" style="434" customWidth="1"/>
    <col min="8724" max="8960" width="9.140625" style="434"/>
    <col min="8961" max="8961" width="36" style="434" customWidth="1"/>
    <col min="8962" max="8963" width="7.42578125" style="434" customWidth="1"/>
    <col min="8964" max="8964" width="2.5703125" style="434" customWidth="1"/>
    <col min="8965" max="8966" width="6.5703125" style="434" customWidth="1"/>
    <col min="8967" max="8967" width="2.5703125" style="434" customWidth="1"/>
    <col min="8968" max="8969" width="7" style="434" customWidth="1"/>
    <col min="8970" max="8970" width="2.5703125" style="434" customWidth="1"/>
    <col min="8971" max="8972" width="6.85546875" style="434" customWidth="1"/>
    <col min="8973" max="8973" width="2.5703125" style="434" customWidth="1"/>
    <col min="8974" max="8975" width="6.42578125" style="434" customWidth="1"/>
    <col min="8976" max="8976" width="2.7109375" style="434" customWidth="1"/>
    <col min="8977" max="8978" width="7.85546875" style="434" customWidth="1"/>
    <col min="8979" max="8979" width="2" style="434" customWidth="1"/>
    <col min="8980" max="9216" width="9.140625" style="434"/>
    <col min="9217" max="9217" width="36" style="434" customWidth="1"/>
    <col min="9218" max="9219" width="7.42578125" style="434" customWidth="1"/>
    <col min="9220" max="9220" width="2.5703125" style="434" customWidth="1"/>
    <col min="9221" max="9222" width="6.5703125" style="434" customWidth="1"/>
    <col min="9223" max="9223" width="2.5703125" style="434" customWidth="1"/>
    <col min="9224" max="9225" width="7" style="434" customWidth="1"/>
    <col min="9226" max="9226" width="2.5703125" style="434" customWidth="1"/>
    <col min="9227" max="9228" width="6.85546875" style="434" customWidth="1"/>
    <col min="9229" max="9229" width="2.5703125" style="434" customWidth="1"/>
    <col min="9230" max="9231" width="6.42578125" style="434" customWidth="1"/>
    <col min="9232" max="9232" width="2.7109375" style="434" customWidth="1"/>
    <col min="9233" max="9234" width="7.85546875" style="434" customWidth="1"/>
    <col min="9235" max="9235" width="2" style="434" customWidth="1"/>
    <col min="9236" max="9472" width="9.140625" style="434"/>
    <col min="9473" max="9473" width="36" style="434" customWidth="1"/>
    <col min="9474" max="9475" width="7.42578125" style="434" customWidth="1"/>
    <col min="9476" max="9476" width="2.5703125" style="434" customWidth="1"/>
    <col min="9477" max="9478" width="6.5703125" style="434" customWidth="1"/>
    <col min="9479" max="9479" width="2.5703125" style="434" customWidth="1"/>
    <col min="9480" max="9481" width="7" style="434" customWidth="1"/>
    <col min="9482" max="9482" width="2.5703125" style="434" customWidth="1"/>
    <col min="9483" max="9484" width="6.85546875" style="434" customWidth="1"/>
    <col min="9485" max="9485" width="2.5703125" style="434" customWidth="1"/>
    <col min="9486" max="9487" width="6.42578125" style="434" customWidth="1"/>
    <col min="9488" max="9488" width="2.7109375" style="434" customWidth="1"/>
    <col min="9489" max="9490" width="7.85546875" style="434" customWidth="1"/>
    <col min="9491" max="9491" width="2" style="434" customWidth="1"/>
    <col min="9492" max="9728" width="9.140625" style="434"/>
    <col min="9729" max="9729" width="36" style="434" customWidth="1"/>
    <col min="9730" max="9731" width="7.42578125" style="434" customWidth="1"/>
    <col min="9732" max="9732" width="2.5703125" style="434" customWidth="1"/>
    <col min="9733" max="9734" width="6.5703125" style="434" customWidth="1"/>
    <col min="9735" max="9735" width="2.5703125" style="434" customWidth="1"/>
    <col min="9736" max="9737" width="7" style="434" customWidth="1"/>
    <col min="9738" max="9738" width="2.5703125" style="434" customWidth="1"/>
    <col min="9739" max="9740" width="6.85546875" style="434" customWidth="1"/>
    <col min="9741" max="9741" width="2.5703125" style="434" customWidth="1"/>
    <col min="9742" max="9743" width="6.42578125" style="434" customWidth="1"/>
    <col min="9744" max="9744" width="2.7109375" style="434" customWidth="1"/>
    <col min="9745" max="9746" width="7.85546875" style="434" customWidth="1"/>
    <col min="9747" max="9747" width="2" style="434" customWidth="1"/>
    <col min="9748" max="9984" width="9.140625" style="434"/>
    <col min="9985" max="9985" width="36" style="434" customWidth="1"/>
    <col min="9986" max="9987" width="7.42578125" style="434" customWidth="1"/>
    <col min="9988" max="9988" width="2.5703125" style="434" customWidth="1"/>
    <col min="9989" max="9990" width="6.5703125" style="434" customWidth="1"/>
    <col min="9991" max="9991" width="2.5703125" style="434" customWidth="1"/>
    <col min="9992" max="9993" width="7" style="434" customWidth="1"/>
    <col min="9994" max="9994" width="2.5703125" style="434" customWidth="1"/>
    <col min="9995" max="9996" width="6.85546875" style="434" customWidth="1"/>
    <col min="9997" max="9997" width="2.5703125" style="434" customWidth="1"/>
    <col min="9998" max="9999" width="6.42578125" style="434" customWidth="1"/>
    <col min="10000" max="10000" width="2.7109375" style="434" customWidth="1"/>
    <col min="10001" max="10002" width="7.85546875" style="434" customWidth="1"/>
    <col min="10003" max="10003" width="2" style="434" customWidth="1"/>
    <col min="10004" max="10240" width="9.140625" style="434"/>
    <col min="10241" max="10241" width="36" style="434" customWidth="1"/>
    <col min="10242" max="10243" width="7.42578125" style="434" customWidth="1"/>
    <col min="10244" max="10244" width="2.5703125" style="434" customWidth="1"/>
    <col min="10245" max="10246" width="6.5703125" style="434" customWidth="1"/>
    <col min="10247" max="10247" width="2.5703125" style="434" customWidth="1"/>
    <col min="10248" max="10249" width="7" style="434" customWidth="1"/>
    <col min="10250" max="10250" width="2.5703125" style="434" customWidth="1"/>
    <col min="10251" max="10252" width="6.85546875" style="434" customWidth="1"/>
    <col min="10253" max="10253" width="2.5703125" style="434" customWidth="1"/>
    <col min="10254" max="10255" width="6.42578125" style="434" customWidth="1"/>
    <col min="10256" max="10256" width="2.7109375" style="434" customWidth="1"/>
    <col min="10257" max="10258" width="7.85546875" style="434" customWidth="1"/>
    <col min="10259" max="10259" width="2" style="434" customWidth="1"/>
    <col min="10260" max="10496" width="9.140625" style="434"/>
    <col min="10497" max="10497" width="36" style="434" customWidth="1"/>
    <col min="10498" max="10499" width="7.42578125" style="434" customWidth="1"/>
    <col min="10500" max="10500" width="2.5703125" style="434" customWidth="1"/>
    <col min="10501" max="10502" width="6.5703125" style="434" customWidth="1"/>
    <col min="10503" max="10503" width="2.5703125" style="434" customWidth="1"/>
    <col min="10504" max="10505" width="7" style="434" customWidth="1"/>
    <col min="10506" max="10506" width="2.5703125" style="434" customWidth="1"/>
    <col min="10507" max="10508" width="6.85546875" style="434" customWidth="1"/>
    <col min="10509" max="10509" width="2.5703125" style="434" customWidth="1"/>
    <col min="10510" max="10511" width="6.42578125" style="434" customWidth="1"/>
    <col min="10512" max="10512" width="2.7109375" style="434" customWidth="1"/>
    <col min="10513" max="10514" width="7.85546875" style="434" customWidth="1"/>
    <col min="10515" max="10515" width="2" style="434" customWidth="1"/>
    <col min="10516" max="10752" width="9.140625" style="434"/>
    <col min="10753" max="10753" width="36" style="434" customWidth="1"/>
    <col min="10754" max="10755" width="7.42578125" style="434" customWidth="1"/>
    <col min="10756" max="10756" width="2.5703125" style="434" customWidth="1"/>
    <col min="10757" max="10758" width="6.5703125" style="434" customWidth="1"/>
    <col min="10759" max="10759" width="2.5703125" style="434" customWidth="1"/>
    <col min="10760" max="10761" width="7" style="434" customWidth="1"/>
    <col min="10762" max="10762" width="2.5703125" style="434" customWidth="1"/>
    <col min="10763" max="10764" width="6.85546875" style="434" customWidth="1"/>
    <col min="10765" max="10765" width="2.5703125" style="434" customWidth="1"/>
    <col min="10766" max="10767" width="6.42578125" style="434" customWidth="1"/>
    <col min="10768" max="10768" width="2.7109375" style="434" customWidth="1"/>
    <col min="10769" max="10770" width="7.85546875" style="434" customWidth="1"/>
    <col min="10771" max="10771" width="2" style="434" customWidth="1"/>
    <col min="10772" max="11008" width="9.140625" style="434"/>
    <col min="11009" max="11009" width="36" style="434" customWidth="1"/>
    <col min="11010" max="11011" width="7.42578125" style="434" customWidth="1"/>
    <col min="11012" max="11012" width="2.5703125" style="434" customWidth="1"/>
    <col min="11013" max="11014" width="6.5703125" style="434" customWidth="1"/>
    <col min="11015" max="11015" width="2.5703125" style="434" customWidth="1"/>
    <col min="11016" max="11017" width="7" style="434" customWidth="1"/>
    <col min="11018" max="11018" width="2.5703125" style="434" customWidth="1"/>
    <col min="11019" max="11020" width="6.85546875" style="434" customWidth="1"/>
    <col min="11021" max="11021" width="2.5703125" style="434" customWidth="1"/>
    <col min="11022" max="11023" width="6.42578125" style="434" customWidth="1"/>
    <col min="11024" max="11024" width="2.7109375" style="434" customWidth="1"/>
    <col min="11025" max="11026" width="7.85546875" style="434" customWidth="1"/>
    <col min="11027" max="11027" width="2" style="434" customWidth="1"/>
    <col min="11028" max="11264" width="9.140625" style="434"/>
    <col min="11265" max="11265" width="36" style="434" customWidth="1"/>
    <col min="11266" max="11267" width="7.42578125" style="434" customWidth="1"/>
    <col min="11268" max="11268" width="2.5703125" style="434" customWidth="1"/>
    <col min="11269" max="11270" width="6.5703125" style="434" customWidth="1"/>
    <col min="11271" max="11271" width="2.5703125" style="434" customWidth="1"/>
    <col min="11272" max="11273" width="7" style="434" customWidth="1"/>
    <col min="11274" max="11274" width="2.5703125" style="434" customWidth="1"/>
    <col min="11275" max="11276" width="6.85546875" style="434" customWidth="1"/>
    <col min="11277" max="11277" width="2.5703125" style="434" customWidth="1"/>
    <col min="11278" max="11279" width="6.42578125" style="434" customWidth="1"/>
    <col min="11280" max="11280" width="2.7109375" style="434" customWidth="1"/>
    <col min="11281" max="11282" width="7.85546875" style="434" customWidth="1"/>
    <col min="11283" max="11283" width="2" style="434" customWidth="1"/>
    <col min="11284" max="11520" width="9.140625" style="434"/>
    <col min="11521" max="11521" width="36" style="434" customWidth="1"/>
    <col min="11522" max="11523" width="7.42578125" style="434" customWidth="1"/>
    <col min="11524" max="11524" width="2.5703125" style="434" customWidth="1"/>
    <col min="11525" max="11526" width="6.5703125" style="434" customWidth="1"/>
    <col min="11527" max="11527" width="2.5703125" style="434" customWidth="1"/>
    <col min="11528" max="11529" width="7" style="434" customWidth="1"/>
    <col min="11530" max="11530" width="2.5703125" style="434" customWidth="1"/>
    <col min="11531" max="11532" width="6.85546875" style="434" customWidth="1"/>
    <col min="11533" max="11533" width="2.5703125" style="434" customWidth="1"/>
    <col min="11534" max="11535" width="6.42578125" style="434" customWidth="1"/>
    <col min="11536" max="11536" width="2.7109375" style="434" customWidth="1"/>
    <col min="11537" max="11538" width="7.85546875" style="434" customWidth="1"/>
    <col min="11539" max="11539" width="2" style="434" customWidth="1"/>
    <col min="11540" max="11776" width="9.140625" style="434"/>
    <col min="11777" max="11777" width="36" style="434" customWidth="1"/>
    <col min="11778" max="11779" width="7.42578125" style="434" customWidth="1"/>
    <col min="11780" max="11780" width="2.5703125" style="434" customWidth="1"/>
    <col min="11781" max="11782" width="6.5703125" style="434" customWidth="1"/>
    <col min="11783" max="11783" width="2.5703125" style="434" customWidth="1"/>
    <col min="11784" max="11785" width="7" style="434" customWidth="1"/>
    <col min="11786" max="11786" width="2.5703125" style="434" customWidth="1"/>
    <col min="11787" max="11788" width="6.85546875" style="434" customWidth="1"/>
    <col min="11789" max="11789" width="2.5703125" style="434" customWidth="1"/>
    <col min="11790" max="11791" width="6.42578125" style="434" customWidth="1"/>
    <col min="11792" max="11792" width="2.7109375" style="434" customWidth="1"/>
    <col min="11793" max="11794" width="7.85546875" style="434" customWidth="1"/>
    <col min="11795" max="11795" width="2" style="434" customWidth="1"/>
    <col min="11796" max="12032" width="9.140625" style="434"/>
    <col min="12033" max="12033" width="36" style="434" customWidth="1"/>
    <col min="12034" max="12035" width="7.42578125" style="434" customWidth="1"/>
    <col min="12036" max="12036" width="2.5703125" style="434" customWidth="1"/>
    <col min="12037" max="12038" width="6.5703125" style="434" customWidth="1"/>
    <col min="12039" max="12039" width="2.5703125" style="434" customWidth="1"/>
    <col min="12040" max="12041" width="7" style="434" customWidth="1"/>
    <col min="12042" max="12042" width="2.5703125" style="434" customWidth="1"/>
    <col min="12043" max="12044" width="6.85546875" style="434" customWidth="1"/>
    <col min="12045" max="12045" width="2.5703125" style="434" customWidth="1"/>
    <col min="12046" max="12047" width="6.42578125" style="434" customWidth="1"/>
    <col min="12048" max="12048" width="2.7109375" style="434" customWidth="1"/>
    <col min="12049" max="12050" width="7.85546875" style="434" customWidth="1"/>
    <col min="12051" max="12051" width="2" style="434" customWidth="1"/>
    <col min="12052" max="12288" width="9.140625" style="434"/>
    <col min="12289" max="12289" width="36" style="434" customWidth="1"/>
    <col min="12290" max="12291" width="7.42578125" style="434" customWidth="1"/>
    <col min="12292" max="12292" width="2.5703125" style="434" customWidth="1"/>
    <col min="12293" max="12294" width="6.5703125" style="434" customWidth="1"/>
    <col min="12295" max="12295" width="2.5703125" style="434" customWidth="1"/>
    <col min="12296" max="12297" width="7" style="434" customWidth="1"/>
    <col min="12298" max="12298" width="2.5703125" style="434" customWidth="1"/>
    <col min="12299" max="12300" width="6.85546875" style="434" customWidth="1"/>
    <col min="12301" max="12301" width="2.5703125" style="434" customWidth="1"/>
    <col min="12302" max="12303" width="6.42578125" style="434" customWidth="1"/>
    <col min="12304" max="12304" width="2.7109375" style="434" customWidth="1"/>
    <col min="12305" max="12306" width="7.85546875" style="434" customWidth="1"/>
    <col min="12307" max="12307" width="2" style="434" customWidth="1"/>
    <col min="12308" max="12544" width="9.140625" style="434"/>
    <col min="12545" max="12545" width="36" style="434" customWidth="1"/>
    <col min="12546" max="12547" width="7.42578125" style="434" customWidth="1"/>
    <col min="12548" max="12548" width="2.5703125" style="434" customWidth="1"/>
    <col min="12549" max="12550" width="6.5703125" style="434" customWidth="1"/>
    <col min="12551" max="12551" width="2.5703125" style="434" customWidth="1"/>
    <col min="12552" max="12553" width="7" style="434" customWidth="1"/>
    <col min="12554" max="12554" width="2.5703125" style="434" customWidth="1"/>
    <col min="12555" max="12556" width="6.85546875" style="434" customWidth="1"/>
    <col min="12557" max="12557" width="2.5703125" style="434" customWidth="1"/>
    <col min="12558" max="12559" width="6.42578125" style="434" customWidth="1"/>
    <col min="12560" max="12560" width="2.7109375" style="434" customWidth="1"/>
    <col min="12561" max="12562" width="7.85546875" style="434" customWidth="1"/>
    <col min="12563" max="12563" width="2" style="434" customWidth="1"/>
    <col min="12564" max="12800" width="9.140625" style="434"/>
    <col min="12801" max="12801" width="36" style="434" customWidth="1"/>
    <col min="12802" max="12803" width="7.42578125" style="434" customWidth="1"/>
    <col min="12804" max="12804" width="2.5703125" style="434" customWidth="1"/>
    <col min="12805" max="12806" width="6.5703125" style="434" customWidth="1"/>
    <col min="12807" max="12807" width="2.5703125" style="434" customWidth="1"/>
    <col min="12808" max="12809" width="7" style="434" customWidth="1"/>
    <col min="12810" max="12810" width="2.5703125" style="434" customWidth="1"/>
    <col min="12811" max="12812" width="6.85546875" style="434" customWidth="1"/>
    <col min="12813" max="12813" width="2.5703125" style="434" customWidth="1"/>
    <col min="12814" max="12815" width="6.42578125" style="434" customWidth="1"/>
    <col min="12816" max="12816" width="2.7109375" style="434" customWidth="1"/>
    <col min="12817" max="12818" width="7.85546875" style="434" customWidth="1"/>
    <col min="12819" max="12819" width="2" style="434" customWidth="1"/>
    <col min="12820" max="13056" width="9.140625" style="434"/>
    <col min="13057" max="13057" width="36" style="434" customWidth="1"/>
    <col min="13058" max="13059" width="7.42578125" style="434" customWidth="1"/>
    <col min="13060" max="13060" width="2.5703125" style="434" customWidth="1"/>
    <col min="13061" max="13062" width="6.5703125" style="434" customWidth="1"/>
    <col min="13063" max="13063" width="2.5703125" style="434" customWidth="1"/>
    <col min="13064" max="13065" width="7" style="434" customWidth="1"/>
    <col min="13066" max="13066" width="2.5703125" style="434" customWidth="1"/>
    <col min="13067" max="13068" width="6.85546875" style="434" customWidth="1"/>
    <col min="13069" max="13069" width="2.5703125" style="434" customWidth="1"/>
    <col min="13070" max="13071" width="6.42578125" style="434" customWidth="1"/>
    <col min="13072" max="13072" width="2.7109375" style="434" customWidth="1"/>
    <col min="13073" max="13074" width="7.85546875" style="434" customWidth="1"/>
    <col min="13075" max="13075" width="2" style="434" customWidth="1"/>
    <col min="13076" max="13312" width="9.140625" style="434"/>
    <col min="13313" max="13313" width="36" style="434" customWidth="1"/>
    <col min="13314" max="13315" width="7.42578125" style="434" customWidth="1"/>
    <col min="13316" max="13316" width="2.5703125" style="434" customWidth="1"/>
    <col min="13317" max="13318" width="6.5703125" style="434" customWidth="1"/>
    <col min="13319" max="13319" width="2.5703125" style="434" customWidth="1"/>
    <col min="13320" max="13321" width="7" style="434" customWidth="1"/>
    <col min="13322" max="13322" width="2.5703125" style="434" customWidth="1"/>
    <col min="13323" max="13324" width="6.85546875" style="434" customWidth="1"/>
    <col min="13325" max="13325" width="2.5703125" style="434" customWidth="1"/>
    <col min="13326" max="13327" width="6.42578125" style="434" customWidth="1"/>
    <col min="13328" max="13328" width="2.7109375" style="434" customWidth="1"/>
    <col min="13329" max="13330" width="7.85546875" style="434" customWidth="1"/>
    <col min="13331" max="13331" width="2" style="434" customWidth="1"/>
    <col min="13332" max="13568" width="9.140625" style="434"/>
    <col min="13569" max="13569" width="36" style="434" customWidth="1"/>
    <col min="13570" max="13571" width="7.42578125" style="434" customWidth="1"/>
    <col min="13572" max="13572" width="2.5703125" style="434" customWidth="1"/>
    <col min="13573" max="13574" width="6.5703125" style="434" customWidth="1"/>
    <col min="13575" max="13575" width="2.5703125" style="434" customWidth="1"/>
    <col min="13576" max="13577" width="7" style="434" customWidth="1"/>
    <col min="13578" max="13578" width="2.5703125" style="434" customWidth="1"/>
    <col min="13579" max="13580" width="6.85546875" style="434" customWidth="1"/>
    <col min="13581" max="13581" width="2.5703125" style="434" customWidth="1"/>
    <col min="13582" max="13583" width="6.42578125" style="434" customWidth="1"/>
    <col min="13584" max="13584" width="2.7109375" style="434" customWidth="1"/>
    <col min="13585" max="13586" width="7.85546875" style="434" customWidth="1"/>
    <col min="13587" max="13587" width="2" style="434" customWidth="1"/>
    <col min="13588" max="13824" width="9.140625" style="434"/>
    <col min="13825" max="13825" width="36" style="434" customWidth="1"/>
    <col min="13826" max="13827" width="7.42578125" style="434" customWidth="1"/>
    <col min="13828" max="13828" width="2.5703125" style="434" customWidth="1"/>
    <col min="13829" max="13830" width="6.5703125" style="434" customWidth="1"/>
    <col min="13831" max="13831" width="2.5703125" style="434" customWidth="1"/>
    <col min="13832" max="13833" width="7" style="434" customWidth="1"/>
    <col min="13834" max="13834" width="2.5703125" style="434" customWidth="1"/>
    <col min="13835" max="13836" width="6.85546875" style="434" customWidth="1"/>
    <col min="13837" max="13837" width="2.5703125" style="434" customWidth="1"/>
    <col min="13838" max="13839" width="6.42578125" style="434" customWidth="1"/>
    <col min="13840" max="13840" width="2.7109375" style="434" customWidth="1"/>
    <col min="13841" max="13842" width="7.85546875" style="434" customWidth="1"/>
    <col min="13843" max="13843" width="2" style="434" customWidth="1"/>
    <col min="13844" max="14080" width="9.140625" style="434"/>
    <col min="14081" max="14081" width="36" style="434" customWidth="1"/>
    <col min="14082" max="14083" width="7.42578125" style="434" customWidth="1"/>
    <col min="14084" max="14084" width="2.5703125" style="434" customWidth="1"/>
    <col min="14085" max="14086" width="6.5703125" style="434" customWidth="1"/>
    <col min="14087" max="14087" width="2.5703125" style="434" customWidth="1"/>
    <col min="14088" max="14089" width="7" style="434" customWidth="1"/>
    <col min="14090" max="14090" width="2.5703125" style="434" customWidth="1"/>
    <col min="14091" max="14092" width="6.85546875" style="434" customWidth="1"/>
    <col min="14093" max="14093" width="2.5703125" style="434" customWidth="1"/>
    <col min="14094" max="14095" width="6.42578125" style="434" customWidth="1"/>
    <col min="14096" max="14096" width="2.7109375" style="434" customWidth="1"/>
    <col min="14097" max="14098" width="7.85546875" style="434" customWidth="1"/>
    <col min="14099" max="14099" width="2" style="434" customWidth="1"/>
    <col min="14100" max="14336" width="9.140625" style="434"/>
    <col min="14337" max="14337" width="36" style="434" customWidth="1"/>
    <col min="14338" max="14339" width="7.42578125" style="434" customWidth="1"/>
    <col min="14340" max="14340" width="2.5703125" style="434" customWidth="1"/>
    <col min="14341" max="14342" width="6.5703125" style="434" customWidth="1"/>
    <col min="14343" max="14343" width="2.5703125" style="434" customWidth="1"/>
    <col min="14344" max="14345" width="7" style="434" customWidth="1"/>
    <col min="14346" max="14346" width="2.5703125" style="434" customWidth="1"/>
    <col min="14347" max="14348" width="6.85546875" style="434" customWidth="1"/>
    <col min="14349" max="14349" width="2.5703125" style="434" customWidth="1"/>
    <col min="14350" max="14351" width="6.42578125" style="434" customWidth="1"/>
    <col min="14352" max="14352" width="2.7109375" style="434" customWidth="1"/>
    <col min="14353" max="14354" width="7.85546875" style="434" customWidth="1"/>
    <col min="14355" max="14355" width="2" style="434" customWidth="1"/>
    <col min="14356" max="14592" width="9.140625" style="434"/>
    <col min="14593" max="14593" width="36" style="434" customWidth="1"/>
    <col min="14594" max="14595" width="7.42578125" style="434" customWidth="1"/>
    <col min="14596" max="14596" width="2.5703125" style="434" customWidth="1"/>
    <col min="14597" max="14598" width="6.5703125" style="434" customWidth="1"/>
    <col min="14599" max="14599" width="2.5703125" style="434" customWidth="1"/>
    <col min="14600" max="14601" width="7" style="434" customWidth="1"/>
    <col min="14602" max="14602" width="2.5703125" style="434" customWidth="1"/>
    <col min="14603" max="14604" width="6.85546875" style="434" customWidth="1"/>
    <col min="14605" max="14605" width="2.5703125" style="434" customWidth="1"/>
    <col min="14606" max="14607" width="6.42578125" style="434" customWidth="1"/>
    <col min="14608" max="14608" width="2.7109375" style="434" customWidth="1"/>
    <col min="14609" max="14610" width="7.85546875" style="434" customWidth="1"/>
    <col min="14611" max="14611" width="2" style="434" customWidth="1"/>
    <col min="14612" max="14848" width="9.140625" style="434"/>
    <col min="14849" max="14849" width="36" style="434" customWidth="1"/>
    <col min="14850" max="14851" width="7.42578125" style="434" customWidth="1"/>
    <col min="14852" max="14852" width="2.5703125" style="434" customWidth="1"/>
    <col min="14853" max="14854" width="6.5703125" style="434" customWidth="1"/>
    <col min="14855" max="14855" width="2.5703125" style="434" customWidth="1"/>
    <col min="14856" max="14857" width="7" style="434" customWidth="1"/>
    <col min="14858" max="14858" width="2.5703125" style="434" customWidth="1"/>
    <col min="14859" max="14860" width="6.85546875" style="434" customWidth="1"/>
    <col min="14861" max="14861" width="2.5703125" style="434" customWidth="1"/>
    <col min="14862" max="14863" width="6.42578125" style="434" customWidth="1"/>
    <col min="14864" max="14864" width="2.7109375" style="434" customWidth="1"/>
    <col min="14865" max="14866" width="7.85546875" style="434" customWidth="1"/>
    <col min="14867" max="14867" width="2" style="434" customWidth="1"/>
    <col min="14868" max="15104" width="9.140625" style="434"/>
    <col min="15105" max="15105" width="36" style="434" customWidth="1"/>
    <col min="15106" max="15107" width="7.42578125" style="434" customWidth="1"/>
    <col min="15108" max="15108" width="2.5703125" style="434" customWidth="1"/>
    <col min="15109" max="15110" width="6.5703125" style="434" customWidth="1"/>
    <col min="15111" max="15111" width="2.5703125" style="434" customWidth="1"/>
    <col min="15112" max="15113" width="7" style="434" customWidth="1"/>
    <col min="15114" max="15114" width="2.5703125" style="434" customWidth="1"/>
    <col min="15115" max="15116" width="6.85546875" style="434" customWidth="1"/>
    <col min="15117" max="15117" width="2.5703125" style="434" customWidth="1"/>
    <col min="15118" max="15119" width="6.42578125" style="434" customWidth="1"/>
    <col min="15120" max="15120" width="2.7109375" style="434" customWidth="1"/>
    <col min="15121" max="15122" width="7.85546875" style="434" customWidth="1"/>
    <col min="15123" max="15123" width="2" style="434" customWidth="1"/>
    <col min="15124" max="15360" width="9.140625" style="434"/>
    <col min="15361" max="15361" width="36" style="434" customWidth="1"/>
    <col min="15362" max="15363" width="7.42578125" style="434" customWidth="1"/>
    <col min="15364" max="15364" width="2.5703125" style="434" customWidth="1"/>
    <col min="15365" max="15366" width="6.5703125" style="434" customWidth="1"/>
    <col min="15367" max="15367" width="2.5703125" style="434" customWidth="1"/>
    <col min="15368" max="15369" width="7" style="434" customWidth="1"/>
    <col min="15370" max="15370" width="2.5703125" style="434" customWidth="1"/>
    <col min="15371" max="15372" width="6.85546875" style="434" customWidth="1"/>
    <col min="15373" max="15373" width="2.5703125" style="434" customWidth="1"/>
    <col min="15374" max="15375" width="6.42578125" style="434" customWidth="1"/>
    <col min="15376" max="15376" width="2.7109375" style="434" customWidth="1"/>
    <col min="15377" max="15378" width="7.85546875" style="434" customWidth="1"/>
    <col min="15379" max="15379" width="2" style="434" customWidth="1"/>
    <col min="15380" max="15616" width="9.140625" style="434"/>
    <col min="15617" max="15617" width="36" style="434" customWidth="1"/>
    <col min="15618" max="15619" width="7.42578125" style="434" customWidth="1"/>
    <col min="15620" max="15620" width="2.5703125" style="434" customWidth="1"/>
    <col min="15621" max="15622" width="6.5703125" style="434" customWidth="1"/>
    <col min="15623" max="15623" width="2.5703125" style="434" customWidth="1"/>
    <col min="15624" max="15625" width="7" style="434" customWidth="1"/>
    <col min="15626" max="15626" width="2.5703125" style="434" customWidth="1"/>
    <col min="15627" max="15628" width="6.85546875" style="434" customWidth="1"/>
    <col min="15629" max="15629" width="2.5703125" style="434" customWidth="1"/>
    <col min="15630" max="15631" width="6.42578125" style="434" customWidth="1"/>
    <col min="15632" max="15632" width="2.7109375" style="434" customWidth="1"/>
    <col min="15633" max="15634" width="7.85546875" style="434" customWidth="1"/>
    <col min="15635" max="15635" width="2" style="434" customWidth="1"/>
    <col min="15636" max="15872" width="9.140625" style="434"/>
    <col min="15873" max="15873" width="36" style="434" customWidth="1"/>
    <col min="15874" max="15875" width="7.42578125" style="434" customWidth="1"/>
    <col min="15876" max="15876" width="2.5703125" style="434" customWidth="1"/>
    <col min="15877" max="15878" width="6.5703125" style="434" customWidth="1"/>
    <col min="15879" max="15879" width="2.5703125" style="434" customWidth="1"/>
    <col min="15880" max="15881" width="7" style="434" customWidth="1"/>
    <col min="15882" max="15882" width="2.5703125" style="434" customWidth="1"/>
    <col min="15883" max="15884" width="6.85546875" style="434" customWidth="1"/>
    <col min="15885" max="15885" width="2.5703125" style="434" customWidth="1"/>
    <col min="15886" max="15887" width="6.42578125" style="434" customWidth="1"/>
    <col min="15888" max="15888" width="2.7109375" style="434" customWidth="1"/>
    <col min="15889" max="15890" width="7.85546875" style="434" customWidth="1"/>
    <col min="15891" max="15891" width="2" style="434" customWidth="1"/>
    <col min="15892" max="16128" width="9.140625" style="434"/>
    <col min="16129" max="16129" width="36" style="434" customWidth="1"/>
    <col min="16130" max="16131" width="7.42578125" style="434" customWidth="1"/>
    <col min="16132" max="16132" width="2.5703125" style="434" customWidth="1"/>
    <col min="16133" max="16134" width="6.5703125" style="434" customWidth="1"/>
    <col min="16135" max="16135" width="2.5703125" style="434" customWidth="1"/>
    <col min="16136" max="16137" width="7" style="434" customWidth="1"/>
    <col min="16138" max="16138" width="2.5703125" style="434" customWidth="1"/>
    <col min="16139" max="16140" width="6.85546875" style="434" customWidth="1"/>
    <col min="16141" max="16141" width="2.5703125" style="434" customWidth="1"/>
    <col min="16142" max="16143" width="6.42578125" style="434" customWidth="1"/>
    <col min="16144" max="16144" width="2.7109375" style="434" customWidth="1"/>
    <col min="16145" max="16146" width="7.85546875" style="434" customWidth="1"/>
    <col min="16147" max="16147" width="2" style="434" customWidth="1"/>
    <col min="16148" max="16384" width="9.140625" style="434"/>
  </cols>
  <sheetData>
    <row r="1" spans="1:20">
      <c r="A1" s="434" t="s">
        <v>366</v>
      </c>
    </row>
    <row r="2" spans="1:20">
      <c r="A2" s="434" t="s">
        <v>367</v>
      </c>
    </row>
    <row r="3" spans="1:20" ht="9.9499999999999993" customHeight="1"/>
    <row r="4" spans="1:20">
      <c r="A4" s="42" t="s">
        <v>2109</v>
      </c>
      <c r="L4" s="810"/>
      <c r="O4" s="810"/>
    </row>
    <row r="5" spans="1:20" ht="9.9499999999999993" customHeight="1" thickBot="1">
      <c r="O5" s="436"/>
      <c r="Q5" s="435"/>
      <c r="R5" s="436"/>
    </row>
    <row r="6" spans="1:20" ht="9.9499999999999993" customHeight="1">
      <c r="A6" s="437" t="s">
        <v>386</v>
      </c>
      <c r="B6" s="811"/>
      <c r="C6" s="439"/>
      <c r="D6" s="437"/>
      <c r="E6" s="438"/>
      <c r="F6" s="439"/>
      <c r="G6" s="437"/>
      <c r="H6" s="438"/>
      <c r="I6" s="439"/>
      <c r="J6" s="439"/>
      <c r="K6" s="438"/>
      <c r="L6" s="439"/>
      <c r="M6" s="437"/>
      <c r="N6" s="438"/>
      <c r="O6" s="439"/>
      <c r="P6" s="439"/>
      <c r="Q6" s="438"/>
      <c r="R6" s="439"/>
      <c r="S6" s="439"/>
    </row>
    <row r="7" spans="1:20" ht="15" customHeight="1">
      <c r="A7" s="440" t="s">
        <v>387</v>
      </c>
      <c r="B7" s="448" t="s">
        <v>371</v>
      </c>
      <c r="C7" s="442"/>
      <c r="D7" s="440"/>
      <c r="E7" s="812" t="s">
        <v>388</v>
      </c>
      <c r="F7" s="442"/>
      <c r="G7" s="440"/>
      <c r="H7" s="441" t="s">
        <v>389</v>
      </c>
      <c r="I7" s="442"/>
      <c r="J7" s="442"/>
      <c r="K7" s="812" t="s">
        <v>390</v>
      </c>
      <c r="L7" s="442"/>
      <c r="M7" s="440"/>
      <c r="N7" s="1268" t="s">
        <v>391</v>
      </c>
      <c r="O7" s="1268"/>
      <c r="Q7" s="1268" t="s">
        <v>298</v>
      </c>
      <c r="R7" s="1268"/>
    </row>
    <row r="8" spans="1:20" ht="15" customHeight="1">
      <c r="A8" s="434" t="s">
        <v>392</v>
      </c>
      <c r="B8" s="813"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20" ht="9.9499999999999993" customHeight="1" thickBot="1">
      <c r="A9" s="445" t="s">
        <v>393</v>
      </c>
      <c r="B9" s="814"/>
      <c r="C9" s="447"/>
      <c r="D9" s="445"/>
      <c r="E9" s="446"/>
      <c r="F9" s="447"/>
      <c r="G9" s="445"/>
      <c r="H9" s="446"/>
      <c r="I9" s="447"/>
      <c r="J9" s="447"/>
      <c r="K9" s="446"/>
      <c r="L9" s="447"/>
      <c r="M9" s="445"/>
      <c r="N9" s="446"/>
      <c r="O9" s="447"/>
      <c r="P9" s="447"/>
      <c r="Q9" s="446"/>
      <c r="R9" s="447"/>
      <c r="S9" s="447"/>
    </row>
    <row r="10" spans="1:20" ht="9.9499999999999993" customHeight="1">
      <c r="Q10" s="435"/>
    </row>
    <row r="11" spans="1:20" ht="14.1" customHeight="1">
      <c r="A11" s="90" t="s">
        <v>394</v>
      </c>
      <c r="B11" s="456">
        <f>IF($A11&lt;&gt;"",E11+H11+K11+N11+Q11,"")</f>
        <v>1880</v>
      </c>
      <c r="C11" s="436">
        <f>SUM(C13+C107)</f>
        <v>100.00000000000001</v>
      </c>
      <c r="E11" s="435">
        <f>E13+E107</f>
        <v>579</v>
      </c>
      <c r="F11" s="436">
        <f t="shared" ref="F11:F74" si="0">IF($A11&lt;&gt;0,E11/$B11*100,"")</f>
        <v>30.797872340425531</v>
      </c>
      <c r="H11" s="435">
        <f>H13+H107</f>
        <v>1073</v>
      </c>
      <c r="I11" s="436">
        <f t="shared" ref="I11:I74" si="1">IF($A11&lt;&gt;0,H11/$B11*100,"")</f>
        <v>57.074468085106375</v>
      </c>
      <c r="K11" s="435">
        <f>K13+K107</f>
        <v>219</v>
      </c>
      <c r="L11" s="436">
        <f t="shared" ref="L11:L74" si="2">IF($A11&lt;&gt;0,K11/$B11*100,"")</f>
        <v>11.648936170212766</v>
      </c>
      <c r="M11" s="440"/>
      <c r="N11" s="435">
        <f>N13+N107</f>
        <v>3</v>
      </c>
      <c r="O11" s="436">
        <f t="shared" ref="O11:O74" si="3">IF($A11&lt;&gt;0,N11/$B11*100,"")</f>
        <v>0.15957446808510636</v>
      </c>
      <c r="P11" s="442"/>
      <c r="Q11" s="435">
        <f>Q13+Q107</f>
        <v>6</v>
      </c>
      <c r="R11" s="436">
        <f t="shared" ref="R11:R18" si="4">IF($A11&lt;&gt;0,Q11/$B11*100,"")</f>
        <v>0.31914893617021273</v>
      </c>
      <c r="S11" s="442"/>
      <c r="T11" s="436"/>
    </row>
    <row r="12" spans="1:20" ht="9.9499999999999993" customHeight="1">
      <c r="B12" s="456" t="str">
        <f t="shared" ref="B12:B75" si="5">IF($A12&lt;&gt;"",E12+H12+K12+N12+Q12,"")</f>
        <v/>
      </c>
      <c r="C12" s="436" t="str">
        <f>IF(A12&lt;&gt;0,B12/$B$10*100,"")</f>
        <v/>
      </c>
      <c r="F12" s="436" t="str">
        <f t="shared" si="0"/>
        <v/>
      </c>
      <c r="I12" s="436" t="str">
        <f t="shared" si="1"/>
        <v/>
      </c>
      <c r="L12" s="436" t="str">
        <f t="shared" si="2"/>
        <v/>
      </c>
      <c r="M12" s="440"/>
      <c r="O12" s="436" t="str">
        <f t="shared" si="3"/>
        <v/>
      </c>
      <c r="P12" s="442"/>
      <c r="Q12" s="435"/>
      <c r="R12" s="436" t="str">
        <f t="shared" si="4"/>
        <v/>
      </c>
      <c r="S12" s="442"/>
    </row>
    <row r="13" spans="1:20" ht="14.1" customHeight="1">
      <c r="A13" s="63" t="s">
        <v>326</v>
      </c>
      <c r="B13" s="456">
        <f t="shared" si="5"/>
        <v>1671</v>
      </c>
      <c r="C13" s="436">
        <f t="shared" ref="C13:C76" si="6">IF(A13&lt;&gt;0,B13/$B$11*100,"")</f>
        <v>88.882978723404264</v>
      </c>
      <c r="E13" s="435">
        <f>E15+E99</f>
        <v>541</v>
      </c>
      <c r="F13" s="436">
        <f t="shared" si="0"/>
        <v>32.375822860562536</v>
      </c>
      <c r="H13" s="435">
        <f>H15+H99</f>
        <v>928</v>
      </c>
      <c r="I13" s="436">
        <f t="shared" si="1"/>
        <v>55.535607420706171</v>
      </c>
      <c r="K13" s="435">
        <f>K15+K99</f>
        <v>193</v>
      </c>
      <c r="L13" s="436">
        <f t="shared" si="2"/>
        <v>11.549970077797726</v>
      </c>
      <c r="M13" s="440"/>
      <c r="N13" s="435">
        <f>N15+N99</f>
        <v>3</v>
      </c>
      <c r="O13" s="436">
        <f t="shared" si="3"/>
        <v>0.17953321364452424</v>
      </c>
      <c r="P13" s="442"/>
      <c r="Q13" s="435">
        <f>Q15+Q99</f>
        <v>6</v>
      </c>
      <c r="R13" s="436">
        <f t="shared" si="4"/>
        <v>0.35906642728904847</v>
      </c>
      <c r="S13" s="442"/>
    </row>
    <row r="14" spans="1:20" ht="8.25" customHeight="1">
      <c r="A14" s="63"/>
      <c r="B14" s="456" t="str">
        <f t="shared" si="5"/>
        <v/>
      </c>
      <c r="C14" s="436" t="str">
        <f t="shared" si="6"/>
        <v/>
      </c>
      <c r="F14" s="436" t="str">
        <f t="shared" si="0"/>
        <v/>
      </c>
      <c r="I14" s="436" t="str">
        <f t="shared" si="1"/>
        <v/>
      </c>
      <c r="L14" s="436" t="str">
        <f t="shared" si="2"/>
        <v/>
      </c>
      <c r="M14" s="440"/>
      <c r="O14" s="436" t="str">
        <f t="shared" si="3"/>
        <v/>
      </c>
      <c r="P14" s="442"/>
      <c r="Q14" s="435"/>
      <c r="R14" s="436" t="str">
        <f t="shared" si="4"/>
        <v/>
      </c>
      <c r="S14" s="442"/>
    </row>
    <row r="15" spans="1:20" ht="14.1" customHeight="1">
      <c r="A15" s="63" t="s">
        <v>12</v>
      </c>
      <c r="B15" s="456">
        <f t="shared" si="5"/>
        <v>1531</v>
      </c>
      <c r="C15" s="436">
        <f t="shared" si="6"/>
        <v>81.436170212765958</v>
      </c>
      <c r="E15" s="435">
        <f>E17+E28+E36+E62+E76+E83+E95+E96+E97</f>
        <v>447</v>
      </c>
      <c r="F15" s="436">
        <f t="shared" si="0"/>
        <v>29.196603527106468</v>
      </c>
      <c r="H15" s="435">
        <f>H17+H28+H36+H62+H76+H83+H95+H96+H97</f>
        <v>890</v>
      </c>
      <c r="I15" s="436">
        <f t="shared" si="1"/>
        <v>58.131939908556497</v>
      </c>
      <c r="K15" s="435">
        <f>K17+K28+K36+K62+K76+K83+K95+K96+K97</f>
        <v>186</v>
      </c>
      <c r="L15" s="436">
        <f t="shared" si="2"/>
        <v>12.148922273024167</v>
      </c>
      <c r="M15" s="440"/>
      <c r="N15" s="435">
        <f>N17+N28+N36+N62+N76+N83+N95+N96+N97</f>
        <v>3</v>
      </c>
      <c r="O15" s="436">
        <f t="shared" si="3"/>
        <v>0.19595035924232529</v>
      </c>
      <c r="P15" s="442"/>
      <c r="Q15" s="435">
        <f>Q17+Q28+Q36+Q62+Q76+Q83+Q95+Q96+Q97</f>
        <v>5</v>
      </c>
      <c r="R15" s="436">
        <f t="shared" si="4"/>
        <v>0.32658393207054215</v>
      </c>
      <c r="S15" s="442"/>
    </row>
    <row r="16" spans="1:20" ht="9.9499999999999993" customHeight="1">
      <c r="B16" s="456" t="str">
        <f t="shared" si="5"/>
        <v/>
      </c>
      <c r="C16" s="436" t="str">
        <f t="shared" si="6"/>
        <v/>
      </c>
      <c r="F16" s="436" t="str">
        <f t="shared" si="0"/>
        <v/>
      </c>
      <c r="I16" s="436" t="str">
        <f t="shared" si="1"/>
        <v/>
      </c>
      <c r="L16" s="436" t="str">
        <f t="shared" si="2"/>
        <v/>
      </c>
      <c r="M16" s="440"/>
      <c r="O16" s="436" t="str">
        <f t="shared" si="3"/>
        <v/>
      </c>
      <c r="P16" s="442"/>
      <c r="Q16" s="435"/>
      <c r="R16" s="436" t="str">
        <f t="shared" si="4"/>
        <v/>
      </c>
      <c r="S16" s="442"/>
    </row>
    <row r="17" spans="1:19" ht="13.15" customHeight="1">
      <c r="A17" s="63" t="s">
        <v>327</v>
      </c>
      <c r="B17" s="456">
        <f t="shared" si="5"/>
        <v>156</v>
      </c>
      <c r="C17" s="436">
        <f t="shared" si="6"/>
        <v>8.2978723404255312</v>
      </c>
      <c r="E17" s="435">
        <f>E18+E23</f>
        <v>41</v>
      </c>
      <c r="F17" s="436">
        <f t="shared" si="0"/>
        <v>26.282051282051285</v>
      </c>
      <c r="H17" s="435">
        <f>H18+H23</f>
        <v>102</v>
      </c>
      <c r="I17" s="436">
        <f t="shared" si="1"/>
        <v>65.384615384615387</v>
      </c>
      <c r="K17" s="435">
        <f>K18+K23</f>
        <v>12</v>
      </c>
      <c r="L17" s="436">
        <f t="shared" si="2"/>
        <v>7.6923076923076925</v>
      </c>
      <c r="M17" s="440"/>
      <c r="N17" s="435">
        <f>N18+N23</f>
        <v>1</v>
      </c>
      <c r="O17" s="436">
        <f t="shared" si="3"/>
        <v>0.64102564102564097</v>
      </c>
      <c r="P17" s="442"/>
      <c r="Q17" s="435">
        <f>Q18+Q23</f>
        <v>0</v>
      </c>
      <c r="R17" s="436">
        <f t="shared" si="4"/>
        <v>0</v>
      </c>
      <c r="S17" s="442"/>
    </row>
    <row r="18" spans="1:19" ht="13.15" customHeight="1">
      <c r="A18" s="434" t="s">
        <v>20</v>
      </c>
      <c r="B18" s="456">
        <f t="shared" si="5"/>
        <v>65</v>
      </c>
      <c r="C18" s="436">
        <f t="shared" si="6"/>
        <v>3.4574468085106385</v>
      </c>
      <c r="E18" s="435">
        <f>SUM(E19:E21)</f>
        <v>14</v>
      </c>
      <c r="F18" s="436">
        <f t="shared" si="0"/>
        <v>21.53846153846154</v>
      </c>
      <c r="H18" s="435">
        <f>SUM(H19:H21)</f>
        <v>44</v>
      </c>
      <c r="I18" s="436">
        <f t="shared" si="1"/>
        <v>67.692307692307693</v>
      </c>
      <c r="K18" s="435">
        <f>SUM(K19:K21)</f>
        <v>7</v>
      </c>
      <c r="L18" s="436">
        <f t="shared" si="2"/>
        <v>10.76923076923077</v>
      </c>
      <c r="M18" s="440"/>
      <c r="N18" s="435">
        <f>SUM(N19:N21)</f>
        <v>0</v>
      </c>
      <c r="O18" s="436">
        <f t="shared" si="3"/>
        <v>0</v>
      </c>
      <c r="P18" s="442"/>
      <c r="Q18" s="435">
        <f>SUM(Q19:Q21)</f>
        <v>0</v>
      </c>
      <c r="R18" s="436">
        <f t="shared" si="4"/>
        <v>0</v>
      </c>
      <c r="S18" s="442"/>
    </row>
    <row r="19" spans="1:19" ht="13.15" customHeight="1">
      <c r="A19" s="434" t="s">
        <v>21</v>
      </c>
      <c r="B19" s="456">
        <f t="shared" si="5"/>
        <v>5</v>
      </c>
      <c r="C19" s="436">
        <f t="shared" si="6"/>
        <v>0.26595744680851063</v>
      </c>
      <c r="E19" s="434">
        <v>1</v>
      </c>
      <c r="F19" s="436">
        <f t="shared" si="0"/>
        <v>20</v>
      </c>
      <c r="H19" s="434">
        <v>3</v>
      </c>
      <c r="I19" s="436">
        <f t="shared" si="1"/>
        <v>60</v>
      </c>
      <c r="J19" s="434"/>
      <c r="K19" s="434">
        <v>1</v>
      </c>
      <c r="L19" s="436">
        <f t="shared" si="2"/>
        <v>20</v>
      </c>
      <c r="N19" s="434">
        <v>0</v>
      </c>
      <c r="O19" s="436">
        <f t="shared" si="3"/>
        <v>0</v>
      </c>
      <c r="Q19" s="434">
        <v>0</v>
      </c>
      <c r="R19" s="453"/>
      <c r="S19" s="453"/>
    </row>
    <row r="20" spans="1:19" ht="13.15" customHeight="1">
      <c r="A20" s="434" t="s">
        <v>22</v>
      </c>
      <c r="B20" s="456">
        <f t="shared" si="5"/>
        <v>38</v>
      </c>
      <c r="C20" s="436">
        <f t="shared" si="6"/>
        <v>2.021276595744681</v>
      </c>
      <c r="E20" s="434">
        <v>8</v>
      </c>
      <c r="F20" s="436">
        <f t="shared" si="0"/>
        <v>21.052631578947366</v>
      </c>
      <c r="H20" s="434">
        <v>24</v>
      </c>
      <c r="I20" s="436">
        <f t="shared" si="1"/>
        <v>63.157894736842103</v>
      </c>
      <c r="J20" s="434"/>
      <c r="K20" s="434">
        <v>6</v>
      </c>
      <c r="L20" s="436">
        <f t="shared" si="2"/>
        <v>15.789473684210526</v>
      </c>
      <c r="N20" s="434">
        <v>0</v>
      </c>
      <c r="O20" s="436">
        <f t="shared" si="3"/>
        <v>0</v>
      </c>
      <c r="Q20" s="434">
        <v>0</v>
      </c>
      <c r="R20" s="453"/>
      <c r="S20" s="453"/>
    </row>
    <row r="21" spans="1:19" ht="12" customHeight="1">
      <c r="A21" s="434" t="s">
        <v>23</v>
      </c>
      <c r="B21" s="456">
        <f t="shared" si="5"/>
        <v>22</v>
      </c>
      <c r="C21" s="436">
        <f t="shared" si="6"/>
        <v>1.1702127659574468</v>
      </c>
      <c r="E21" s="434">
        <v>5</v>
      </c>
      <c r="F21" s="436">
        <f t="shared" si="0"/>
        <v>22.727272727272727</v>
      </c>
      <c r="H21" s="434">
        <v>17</v>
      </c>
      <c r="I21" s="436">
        <f t="shared" si="1"/>
        <v>77.272727272727266</v>
      </c>
      <c r="J21" s="434"/>
      <c r="K21" s="434">
        <v>0</v>
      </c>
      <c r="L21" s="436">
        <f t="shared" si="2"/>
        <v>0</v>
      </c>
      <c r="N21" s="434">
        <v>0</v>
      </c>
      <c r="O21" s="436">
        <f t="shared" si="3"/>
        <v>0</v>
      </c>
      <c r="Q21" s="434">
        <v>0</v>
      </c>
      <c r="R21" s="453"/>
      <c r="S21" s="453"/>
    </row>
    <row r="22" spans="1:19" ht="9.9499999999999993" customHeight="1">
      <c r="B22" s="456" t="str">
        <f t="shared" si="5"/>
        <v/>
      </c>
      <c r="C22" s="436" t="str">
        <f t="shared" si="6"/>
        <v/>
      </c>
      <c r="F22" s="436" t="str">
        <f t="shared" si="0"/>
        <v/>
      </c>
      <c r="I22" s="436" t="str">
        <f t="shared" si="1"/>
        <v/>
      </c>
      <c r="L22" s="436" t="str">
        <f t="shared" si="2"/>
        <v/>
      </c>
      <c r="M22" s="440"/>
      <c r="O22" s="436" t="str">
        <f t="shared" si="3"/>
        <v/>
      </c>
      <c r="P22" s="442"/>
      <c r="Q22" s="435"/>
      <c r="R22" s="436" t="str">
        <f t="shared" ref="R22:R44" si="7">IF($A22&lt;&gt;0,Q22/$B22*100,"")</f>
        <v/>
      </c>
      <c r="S22" s="442"/>
    </row>
    <row r="23" spans="1:19" ht="13.15" customHeight="1">
      <c r="A23" s="434" t="s">
        <v>24</v>
      </c>
      <c r="B23" s="456">
        <f t="shared" si="5"/>
        <v>91</v>
      </c>
      <c r="C23" s="436">
        <f t="shared" si="6"/>
        <v>4.8404255319148941</v>
      </c>
      <c r="E23" s="435">
        <f>SUM(E24:E26)</f>
        <v>27</v>
      </c>
      <c r="F23" s="436">
        <f t="shared" si="0"/>
        <v>29.670329670329672</v>
      </c>
      <c r="H23" s="435">
        <f>SUM(H24:H26)</f>
        <v>58</v>
      </c>
      <c r="I23" s="436">
        <f t="shared" si="1"/>
        <v>63.73626373626373</v>
      </c>
      <c r="K23" s="435">
        <f>SUM(K24:K26)</f>
        <v>5</v>
      </c>
      <c r="L23" s="436">
        <f t="shared" si="2"/>
        <v>5.4945054945054945</v>
      </c>
      <c r="M23" s="440"/>
      <c r="N23" s="435">
        <f>SUM(N24:N26)</f>
        <v>1</v>
      </c>
      <c r="O23" s="436">
        <f t="shared" si="3"/>
        <v>1.098901098901099</v>
      </c>
      <c r="P23" s="442"/>
      <c r="Q23" s="435">
        <f>SUM(Q24:Q26)</f>
        <v>0</v>
      </c>
      <c r="R23" s="436">
        <f t="shared" si="7"/>
        <v>0</v>
      </c>
      <c r="S23" s="442"/>
    </row>
    <row r="24" spans="1:19" ht="13.15" customHeight="1">
      <c r="A24" s="434" t="s">
        <v>25</v>
      </c>
      <c r="B24" s="456">
        <f t="shared" si="5"/>
        <v>26</v>
      </c>
      <c r="C24" s="436">
        <f t="shared" si="6"/>
        <v>1.3829787234042552</v>
      </c>
      <c r="E24" s="434">
        <v>8</v>
      </c>
      <c r="F24" s="436">
        <f t="shared" si="0"/>
        <v>30.76923076923077</v>
      </c>
      <c r="H24" s="434">
        <v>16</v>
      </c>
      <c r="I24" s="436">
        <f t="shared" si="1"/>
        <v>61.53846153846154</v>
      </c>
      <c r="J24" s="434"/>
      <c r="K24" s="434">
        <v>1</v>
      </c>
      <c r="L24" s="436">
        <f t="shared" si="2"/>
        <v>3.8461538461538463</v>
      </c>
      <c r="N24" s="434">
        <v>1</v>
      </c>
      <c r="O24" s="436">
        <f t="shared" si="3"/>
        <v>3.8461538461538463</v>
      </c>
      <c r="Q24" s="434">
        <v>0</v>
      </c>
      <c r="R24" s="436">
        <f t="shared" si="7"/>
        <v>0</v>
      </c>
      <c r="S24" s="442"/>
    </row>
    <row r="25" spans="1:19" ht="13.15" customHeight="1">
      <c r="A25" s="434" t="s">
        <v>26</v>
      </c>
      <c r="B25" s="456">
        <f t="shared" si="5"/>
        <v>20</v>
      </c>
      <c r="C25" s="436">
        <f t="shared" si="6"/>
        <v>1.0638297872340425</v>
      </c>
      <c r="E25" s="434">
        <v>11</v>
      </c>
      <c r="F25" s="436">
        <f t="shared" si="0"/>
        <v>55.000000000000007</v>
      </c>
      <c r="H25" s="434">
        <v>6</v>
      </c>
      <c r="I25" s="436">
        <f t="shared" si="1"/>
        <v>30</v>
      </c>
      <c r="J25" s="434"/>
      <c r="K25" s="434">
        <v>3</v>
      </c>
      <c r="L25" s="436">
        <f t="shared" si="2"/>
        <v>15</v>
      </c>
      <c r="N25" s="434">
        <v>0</v>
      </c>
      <c r="O25" s="436">
        <f t="shared" si="3"/>
        <v>0</v>
      </c>
      <c r="Q25" s="434">
        <v>0</v>
      </c>
      <c r="R25" s="436">
        <f t="shared" si="7"/>
        <v>0</v>
      </c>
      <c r="S25" s="442"/>
    </row>
    <row r="26" spans="1:19" ht="12" customHeight="1">
      <c r="A26" s="434" t="s">
        <v>27</v>
      </c>
      <c r="B26" s="456">
        <f t="shared" si="5"/>
        <v>45</v>
      </c>
      <c r="C26" s="436">
        <f t="shared" si="6"/>
        <v>2.3936170212765959</v>
      </c>
      <c r="E26" s="434">
        <v>8</v>
      </c>
      <c r="F26" s="436">
        <f t="shared" si="0"/>
        <v>17.777777777777779</v>
      </c>
      <c r="H26" s="434">
        <v>36</v>
      </c>
      <c r="I26" s="436">
        <f t="shared" si="1"/>
        <v>80</v>
      </c>
      <c r="J26" s="434"/>
      <c r="K26" s="434">
        <v>1</v>
      </c>
      <c r="L26" s="436">
        <f t="shared" si="2"/>
        <v>2.2222222222222223</v>
      </c>
      <c r="N26" s="434">
        <v>0</v>
      </c>
      <c r="O26" s="436">
        <f t="shared" si="3"/>
        <v>0</v>
      </c>
      <c r="Q26" s="434">
        <v>0</v>
      </c>
      <c r="R26" s="436">
        <f t="shared" si="7"/>
        <v>0</v>
      </c>
      <c r="S26" s="442"/>
    </row>
    <row r="27" spans="1:19" ht="9.9499999999999993" customHeight="1">
      <c r="B27" s="456" t="str">
        <f t="shared" si="5"/>
        <v/>
      </c>
      <c r="C27" s="436" t="str">
        <f t="shared" si="6"/>
        <v/>
      </c>
      <c r="F27" s="436" t="str">
        <f t="shared" si="0"/>
        <v/>
      </c>
      <c r="I27" s="436" t="str">
        <f t="shared" si="1"/>
        <v/>
      </c>
      <c r="K27" s="435">
        <v>0</v>
      </c>
      <c r="L27" s="436" t="str">
        <f t="shared" si="2"/>
        <v/>
      </c>
      <c r="M27" s="440"/>
      <c r="O27" s="436" t="str">
        <f t="shared" si="3"/>
        <v/>
      </c>
      <c r="P27" s="442"/>
      <c r="Q27" s="435"/>
      <c r="R27" s="436" t="str">
        <f t="shared" si="7"/>
        <v/>
      </c>
      <c r="S27" s="442"/>
    </row>
    <row r="28" spans="1:19" ht="13.15" customHeight="1">
      <c r="A28" s="63" t="s">
        <v>375</v>
      </c>
      <c r="B28" s="456">
        <f t="shared" si="5"/>
        <v>133</v>
      </c>
      <c r="C28" s="436">
        <f t="shared" si="6"/>
        <v>7.0744680851063837</v>
      </c>
      <c r="E28" s="435">
        <f>SUM(E30:E34)</f>
        <v>101</v>
      </c>
      <c r="F28" s="436">
        <f t="shared" si="0"/>
        <v>75.939849624060145</v>
      </c>
      <c r="H28" s="435">
        <f>SUM(H30:H34)</f>
        <v>28</v>
      </c>
      <c r="I28" s="436">
        <f t="shared" si="1"/>
        <v>21.052631578947366</v>
      </c>
      <c r="K28" s="435">
        <f>SUM(K30:K34)</f>
        <v>4</v>
      </c>
      <c r="L28" s="436">
        <f t="shared" si="2"/>
        <v>3.007518796992481</v>
      </c>
      <c r="M28" s="440"/>
      <c r="N28" s="435">
        <f>SUM(N30:N34)</f>
        <v>0</v>
      </c>
      <c r="O28" s="436">
        <f t="shared" si="3"/>
        <v>0</v>
      </c>
      <c r="P28" s="442"/>
      <c r="Q28" s="435">
        <f>SUM(Q30:Q34)</f>
        <v>0</v>
      </c>
      <c r="R28" s="436">
        <f t="shared" si="7"/>
        <v>0</v>
      </c>
      <c r="S28" s="442"/>
    </row>
    <row r="29" spans="1:19" ht="13.15" customHeight="1">
      <c r="A29" s="434" t="s">
        <v>29</v>
      </c>
      <c r="B29" s="456">
        <f t="shared" si="5"/>
        <v>133</v>
      </c>
      <c r="C29" s="436">
        <f t="shared" si="6"/>
        <v>7.0744680851063837</v>
      </c>
      <c r="E29" s="435">
        <f>SUM(E30:E34)</f>
        <v>101</v>
      </c>
      <c r="F29" s="436">
        <f t="shared" si="0"/>
        <v>75.939849624060145</v>
      </c>
      <c r="H29" s="435">
        <f>SUM(H30:H34)</f>
        <v>28</v>
      </c>
      <c r="I29" s="436">
        <f t="shared" si="1"/>
        <v>21.052631578947366</v>
      </c>
      <c r="K29" s="435">
        <f>SUM(K30:K34)</f>
        <v>4</v>
      </c>
      <c r="L29" s="436">
        <f t="shared" si="2"/>
        <v>3.007518796992481</v>
      </c>
      <c r="M29" s="440"/>
      <c r="N29" s="435">
        <f>SUM(N30:N34)</f>
        <v>0</v>
      </c>
      <c r="O29" s="436">
        <f t="shared" si="3"/>
        <v>0</v>
      </c>
      <c r="P29" s="442"/>
      <c r="Q29" s="435">
        <f>SUM(Q30:Q34)</f>
        <v>0</v>
      </c>
      <c r="R29" s="436">
        <f t="shared" si="7"/>
        <v>0</v>
      </c>
      <c r="S29" s="442"/>
    </row>
    <row r="30" spans="1:19" ht="13.15" customHeight="1">
      <c r="A30" s="434" t="s">
        <v>30</v>
      </c>
      <c r="B30" s="456">
        <f t="shared" si="5"/>
        <v>37</v>
      </c>
      <c r="C30" s="436">
        <f t="shared" si="6"/>
        <v>1.9680851063829787</v>
      </c>
      <c r="E30" s="434">
        <v>29</v>
      </c>
      <c r="F30" s="436">
        <f t="shared" si="0"/>
        <v>78.378378378378372</v>
      </c>
      <c r="H30" s="434">
        <v>7</v>
      </c>
      <c r="I30" s="436">
        <f t="shared" si="1"/>
        <v>18.918918918918919</v>
      </c>
      <c r="J30" s="434"/>
      <c r="K30" s="434">
        <v>1</v>
      </c>
      <c r="L30" s="436">
        <f t="shared" si="2"/>
        <v>2.7027027027027026</v>
      </c>
      <c r="N30" s="434">
        <v>0</v>
      </c>
      <c r="O30" s="436">
        <f t="shared" si="3"/>
        <v>0</v>
      </c>
      <c r="Q30" s="434">
        <v>0</v>
      </c>
      <c r="R30" s="436">
        <f t="shared" si="7"/>
        <v>0</v>
      </c>
      <c r="S30" s="442"/>
    </row>
    <row r="31" spans="1:19" ht="13.15" customHeight="1">
      <c r="A31" s="434" t="s">
        <v>31</v>
      </c>
      <c r="B31" s="456">
        <f t="shared" si="5"/>
        <v>25</v>
      </c>
      <c r="C31" s="436">
        <f t="shared" si="6"/>
        <v>1.3297872340425532</v>
      </c>
      <c r="E31" s="434">
        <v>23</v>
      </c>
      <c r="F31" s="436">
        <f t="shared" si="0"/>
        <v>92</v>
      </c>
      <c r="H31" s="434">
        <v>2</v>
      </c>
      <c r="I31" s="436">
        <f t="shared" si="1"/>
        <v>8</v>
      </c>
      <c r="J31" s="434"/>
      <c r="K31" s="434">
        <v>0</v>
      </c>
      <c r="L31" s="436">
        <f t="shared" si="2"/>
        <v>0</v>
      </c>
      <c r="N31" s="434">
        <v>0</v>
      </c>
      <c r="O31" s="436">
        <f t="shared" si="3"/>
        <v>0</v>
      </c>
      <c r="Q31" s="434">
        <v>0</v>
      </c>
      <c r="R31" s="436">
        <f t="shared" si="7"/>
        <v>0</v>
      </c>
      <c r="S31" s="442"/>
    </row>
    <row r="32" spans="1:19" ht="13.15" customHeight="1">
      <c r="A32" s="434" t="s">
        <v>32</v>
      </c>
      <c r="B32" s="456">
        <f t="shared" si="5"/>
        <v>13</v>
      </c>
      <c r="C32" s="436">
        <f t="shared" si="6"/>
        <v>0.6914893617021276</v>
      </c>
      <c r="E32" s="434">
        <v>6</v>
      </c>
      <c r="F32" s="436">
        <f t="shared" si="0"/>
        <v>46.153846153846153</v>
      </c>
      <c r="H32" s="434">
        <v>7</v>
      </c>
      <c r="I32" s="436">
        <f t="shared" si="1"/>
        <v>53.846153846153847</v>
      </c>
      <c r="J32" s="434"/>
      <c r="K32" s="434">
        <v>0</v>
      </c>
      <c r="L32" s="436">
        <f t="shared" si="2"/>
        <v>0</v>
      </c>
      <c r="N32" s="434">
        <v>0</v>
      </c>
      <c r="O32" s="436">
        <f t="shared" si="3"/>
        <v>0</v>
      </c>
      <c r="Q32" s="434">
        <v>0</v>
      </c>
      <c r="R32" s="436">
        <f t="shared" si="7"/>
        <v>0</v>
      </c>
      <c r="S32" s="442"/>
    </row>
    <row r="33" spans="1:19" ht="13.15" customHeight="1">
      <c r="A33" s="434" t="s">
        <v>33</v>
      </c>
      <c r="B33" s="456">
        <f t="shared" si="5"/>
        <v>26</v>
      </c>
      <c r="C33" s="436">
        <f t="shared" si="6"/>
        <v>1.3829787234042552</v>
      </c>
      <c r="E33" s="434">
        <v>21</v>
      </c>
      <c r="F33" s="436">
        <f t="shared" si="0"/>
        <v>80.769230769230774</v>
      </c>
      <c r="H33" s="434">
        <v>4</v>
      </c>
      <c r="I33" s="436">
        <f t="shared" si="1"/>
        <v>15.384615384615385</v>
      </c>
      <c r="J33" s="434"/>
      <c r="K33" s="434">
        <v>1</v>
      </c>
      <c r="L33" s="436">
        <f t="shared" si="2"/>
        <v>3.8461538461538463</v>
      </c>
      <c r="N33" s="434">
        <v>0</v>
      </c>
      <c r="O33" s="436">
        <f t="shared" si="3"/>
        <v>0</v>
      </c>
      <c r="Q33" s="434">
        <v>0</v>
      </c>
      <c r="R33" s="436">
        <f t="shared" si="7"/>
        <v>0</v>
      </c>
      <c r="S33" s="442"/>
    </row>
    <row r="34" spans="1:19" ht="12" customHeight="1">
      <c r="A34" s="434" t="s">
        <v>34</v>
      </c>
      <c r="B34" s="456">
        <f t="shared" si="5"/>
        <v>32</v>
      </c>
      <c r="C34" s="436">
        <f t="shared" si="6"/>
        <v>1.7021276595744681</v>
      </c>
      <c r="E34" s="434">
        <v>22</v>
      </c>
      <c r="F34" s="436">
        <f t="shared" si="0"/>
        <v>68.75</v>
      </c>
      <c r="H34" s="434">
        <v>8</v>
      </c>
      <c r="I34" s="436">
        <f t="shared" si="1"/>
        <v>25</v>
      </c>
      <c r="J34" s="434"/>
      <c r="K34" s="434">
        <v>2</v>
      </c>
      <c r="L34" s="436">
        <f t="shared" si="2"/>
        <v>6.25</v>
      </c>
      <c r="N34" s="434">
        <v>0</v>
      </c>
      <c r="O34" s="436">
        <f t="shared" si="3"/>
        <v>0</v>
      </c>
      <c r="Q34" s="434">
        <v>0</v>
      </c>
      <c r="R34" s="436">
        <f t="shared" si="7"/>
        <v>0</v>
      </c>
      <c r="S34" s="442"/>
    </row>
    <row r="35" spans="1:19" ht="9.9499999999999993" customHeight="1">
      <c r="B35" s="456" t="str">
        <f t="shared" si="5"/>
        <v/>
      </c>
      <c r="C35" s="436" t="str">
        <f t="shared" si="6"/>
        <v/>
      </c>
      <c r="F35" s="436" t="str">
        <f t="shared" si="0"/>
        <v/>
      </c>
      <c r="I35" s="436" t="str">
        <f t="shared" si="1"/>
        <v/>
      </c>
      <c r="L35" s="436" t="str">
        <f t="shared" si="2"/>
        <v/>
      </c>
      <c r="M35" s="440"/>
      <c r="O35" s="436" t="str">
        <f t="shared" si="3"/>
        <v/>
      </c>
      <c r="P35" s="442"/>
      <c r="Q35" s="435"/>
      <c r="R35" s="436" t="str">
        <f t="shared" si="7"/>
        <v/>
      </c>
      <c r="S35" s="442"/>
    </row>
    <row r="36" spans="1:19" ht="13.15" customHeight="1">
      <c r="A36" s="63" t="s">
        <v>329</v>
      </c>
      <c r="B36" s="456">
        <f t="shared" si="5"/>
        <v>413</v>
      </c>
      <c r="C36" s="436">
        <f t="shared" si="6"/>
        <v>21.968085106382979</v>
      </c>
      <c r="E36" s="435">
        <f>E37+E43+E53+E55</f>
        <v>157</v>
      </c>
      <c r="F36" s="436">
        <f t="shared" si="0"/>
        <v>38.014527845036319</v>
      </c>
      <c r="H36" s="435">
        <f>H37+H43+H53+H55</f>
        <v>201</v>
      </c>
      <c r="I36" s="436">
        <f t="shared" si="1"/>
        <v>48.668280871670703</v>
      </c>
      <c r="K36" s="435">
        <f>K37+K43+K53+K55</f>
        <v>52</v>
      </c>
      <c r="L36" s="436">
        <f t="shared" si="2"/>
        <v>12.590799031476999</v>
      </c>
      <c r="M36" s="440"/>
      <c r="N36" s="435">
        <f>N37+N43+N53+N55</f>
        <v>1</v>
      </c>
      <c r="O36" s="436">
        <f t="shared" si="3"/>
        <v>0.24213075060532688</v>
      </c>
      <c r="P36" s="442"/>
      <c r="Q36" s="435">
        <f>Q37+Q43+Q53+Q55</f>
        <v>2</v>
      </c>
      <c r="R36" s="436">
        <f t="shared" si="7"/>
        <v>0.48426150121065376</v>
      </c>
      <c r="S36" s="442"/>
    </row>
    <row r="37" spans="1:19" ht="13.15" customHeight="1">
      <c r="A37" s="434" t="s">
        <v>36</v>
      </c>
      <c r="B37" s="456">
        <f t="shared" si="5"/>
        <v>110</v>
      </c>
      <c r="C37" s="436">
        <f t="shared" si="6"/>
        <v>5.8510638297872344</v>
      </c>
      <c r="E37" s="435">
        <f>SUM(E38:E41)</f>
        <v>24</v>
      </c>
      <c r="F37" s="436">
        <f t="shared" si="0"/>
        <v>21.818181818181817</v>
      </c>
      <c r="H37" s="435">
        <f>SUM(H38:H41)</f>
        <v>71</v>
      </c>
      <c r="I37" s="436">
        <f t="shared" si="1"/>
        <v>64.545454545454547</v>
      </c>
      <c r="K37" s="435">
        <f>SUM(K38:K41)</f>
        <v>15</v>
      </c>
      <c r="L37" s="436">
        <f t="shared" si="2"/>
        <v>13.636363636363635</v>
      </c>
      <c r="M37" s="440"/>
      <c r="N37" s="435">
        <f>SUM(N38:N41)</f>
        <v>0</v>
      </c>
      <c r="O37" s="436">
        <f t="shared" si="3"/>
        <v>0</v>
      </c>
      <c r="P37" s="442"/>
      <c r="Q37" s="435">
        <f>SUM(Q38:Q41)</f>
        <v>0</v>
      </c>
      <c r="R37" s="436">
        <f t="shared" si="7"/>
        <v>0</v>
      </c>
      <c r="S37" s="442"/>
    </row>
    <row r="38" spans="1:19" ht="13.15" customHeight="1">
      <c r="A38" s="434" t="s">
        <v>37</v>
      </c>
      <c r="B38" s="456">
        <f t="shared" si="5"/>
        <v>51</v>
      </c>
      <c r="C38" s="436">
        <f t="shared" si="6"/>
        <v>2.7127659574468086</v>
      </c>
      <c r="E38" s="434">
        <v>3</v>
      </c>
      <c r="F38" s="436">
        <f t="shared" si="0"/>
        <v>5.8823529411764701</v>
      </c>
      <c r="H38" s="434">
        <v>40</v>
      </c>
      <c r="I38" s="436">
        <f t="shared" si="1"/>
        <v>78.431372549019613</v>
      </c>
      <c r="J38" s="434"/>
      <c r="K38" s="434">
        <v>8</v>
      </c>
      <c r="L38" s="436">
        <f t="shared" si="2"/>
        <v>15.686274509803921</v>
      </c>
      <c r="N38" s="434">
        <v>0</v>
      </c>
      <c r="O38" s="436">
        <f t="shared" si="3"/>
        <v>0</v>
      </c>
      <c r="Q38" s="434">
        <v>0</v>
      </c>
      <c r="R38" s="436">
        <f t="shared" si="7"/>
        <v>0</v>
      </c>
      <c r="S38" s="442"/>
    </row>
    <row r="39" spans="1:19" ht="13.15" customHeight="1">
      <c r="A39" s="434" t="s">
        <v>38</v>
      </c>
      <c r="B39" s="456">
        <f t="shared" si="5"/>
        <v>30</v>
      </c>
      <c r="C39" s="436">
        <f t="shared" si="6"/>
        <v>1.5957446808510638</v>
      </c>
      <c r="E39" s="434">
        <v>8</v>
      </c>
      <c r="F39" s="436">
        <f t="shared" si="0"/>
        <v>26.666666666666668</v>
      </c>
      <c r="H39" s="434">
        <v>18</v>
      </c>
      <c r="I39" s="436">
        <f t="shared" si="1"/>
        <v>60</v>
      </c>
      <c r="J39" s="434"/>
      <c r="K39" s="434">
        <v>4</v>
      </c>
      <c r="L39" s="436">
        <f t="shared" si="2"/>
        <v>13.333333333333334</v>
      </c>
      <c r="N39" s="434">
        <v>0</v>
      </c>
      <c r="O39" s="436">
        <f t="shared" si="3"/>
        <v>0</v>
      </c>
      <c r="Q39" s="434">
        <v>0</v>
      </c>
      <c r="R39" s="436">
        <f t="shared" si="7"/>
        <v>0</v>
      </c>
      <c r="S39" s="442"/>
    </row>
    <row r="40" spans="1:19" ht="13.15" customHeight="1">
      <c r="A40" s="434" t="s">
        <v>39</v>
      </c>
      <c r="B40" s="456">
        <f t="shared" si="5"/>
        <v>17</v>
      </c>
      <c r="C40" s="436">
        <f t="shared" si="6"/>
        <v>0.90425531914893609</v>
      </c>
      <c r="E40" s="434">
        <v>10</v>
      </c>
      <c r="F40" s="436">
        <f t="shared" si="0"/>
        <v>58.82352941176471</v>
      </c>
      <c r="H40" s="434">
        <v>6</v>
      </c>
      <c r="I40" s="436">
        <f t="shared" si="1"/>
        <v>35.294117647058826</v>
      </c>
      <c r="J40" s="434"/>
      <c r="K40" s="434">
        <v>1</v>
      </c>
      <c r="L40" s="436">
        <f t="shared" si="2"/>
        <v>5.8823529411764701</v>
      </c>
      <c r="N40" s="434">
        <v>0</v>
      </c>
      <c r="O40" s="436">
        <f t="shared" si="3"/>
        <v>0</v>
      </c>
      <c r="Q40" s="434">
        <v>0</v>
      </c>
      <c r="R40" s="436">
        <f t="shared" si="7"/>
        <v>0</v>
      </c>
      <c r="S40" s="442"/>
    </row>
    <row r="41" spans="1:19" ht="12" customHeight="1">
      <c r="A41" s="434" t="s">
        <v>40</v>
      </c>
      <c r="B41" s="456">
        <f t="shared" si="5"/>
        <v>12</v>
      </c>
      <c r="C41" s="436">
        <f t="shared" si="6"/>
        <v>0.63829787234042545</v>
      </c>
      <c r="E41" s="434">
        <v>3</v>
      </c>
      <c r="F41" s="436">
        <f t="shared" si="0"/>
        <v>25</v>
      </c>
      <c r="H41" s="434">
        <v>7</v>
      </c>
      <c r="I41" s="436">
        <f t="shared" si="1"/>
        <v>58.333333333333336</v>
      </c>
      <c r="J41" s="434"/>
      <c r="K41" s="434">
        <v>2</v>
      </c>
      <c r="L41" s="436">
        <f t="shared" si="2"/>
        <v>16.666666666666664</v>
      </c>
      <c r="N41" s="434">
        <v>0</v>
      </c>
      <c r="O41" s="436">
        <f t="shared" si="3"/>
        <v>0</v>
      </c>
      <c r="Q41" s="434">
        <v>0</v>
      </c>
      <c r="R41" s="436">
        <f t="shared" si="7"/>
        <v>0</v>
      </c>
      <c r="S41" s="442"/>
    </row>
    <row r="42" spans="1:19" ht="9.9499999999999993" customHeight="1">
      <c r="B42" s="456" t="str">
        <f t="shared" si="5"/>
        <v/>
      </c>
      <c r="C42" s="436" t="str">
        <f t="shared" si="6"/>
        <v/>
      </c>
      <c r="F42" s="436" t="str">
        <f t="shared" si="0"/>
        <v/>
      </c>
      <c r="I42" s="436" t="str">
        <f t="shared" si="1"/>
        <v/>
      </c>
      <c r="L42" s="436" t="str">
        <f t="shared" si="2"/>
        <v/>
      </c>
      <c r="M42" s="440"/>
      <c r="O42" s="436" t="str">
        <f t="shared" si="3"/>
        <v/>
      </c>
      <c r="P42" s="442"/>
      <c r="Q42" s="435"/>
      <c r="R42" s="436" t="str">
        <f t="shared" si="7"/>
        <v/>
      </c>
      <c r="S42" s="442"/>
    </row>
    <row r="43" spans="1:19" ht="13.15" customHeight="1">
      <c r="A43" s="434" t="s">
        <v>41</v>
      </c>
      <c r="B43" s="456">
        <f t="shared" si="5"/>
        <v>163</v>
      </c>
      <c r="C43" s="436">
        <f t="shared" si="6"/>
        <v>8.6702127659574462</v>
      </c>
      <c r="E43" s="435">
        <f>SUM(E44:E51)</f>
        <v>80</v>
      </c>
      <c r="F43" s="436">
        <f t="shared" si="0"/>
        <v>49.079754601226995</v>
      </c>
      <c r="H43" s="435">
        <f>SUM(H44:H51)</f>
        <v>68</v>
      </c>
      <c r="I43" s="436">
        <f t="shared" si="1"/>
        <v>41.717791411042946</v>
      </c>
      <c r="K43" s="435">
        <f>SUM(K44:K51)</f>
        <v>14</v>
      </c>
      <c r="L43" s="436">
        <f t="shared" si="2"/>
        <v>8.5889570552147241</v>
      </c>
      <c r="M43" s="440"/>
      <c r="N43" s="435">
        <f>SUM(N44:N51)</f>
        <v>1</v>
      </c>
      <c r="O43" s="436">
        <f t="shared" si="3"/>
        <v>0.61349693251533743</v>
      </c>
      <c r="P43" s="442"/>
      <c r="Q43" s="435">
        <f>SUM(Q44:Q51)</f>
        <v>0</v>
      </c>
      <c r="R43" s="436">
        <f t="shared" si="7"/>
        <v>0</v>
      </c>
      <c r="S43" s="442"/>
    </row>
    <row r="44" spans="1:19" ht="13.15" customHeight="1">
      <c r="A44" s="434" t="s">
        <v>49</v>
      </c>
      <c r="B44" s="456">
        <f t="shared" si="5"/>
        <v>17</v>
      </c>
      <c r="C44" s="436">
        <f t="shared" si="6"/>
        <v>0.90425531914893609</v>
      </c>
      <c r="E44" s="434">
        <v>10</v>
      </c>
      <c r="F44" s="436">
        <f t="shared" si="0"/>
        <v>58.82352941176471</v>
      </c>
      <c r="H44" s="434">
        <v>7</v>
      </c>
      <c r="I44" s="436">
        <f t="shared" si="1"/>
        <v>41.17647058823529</v>
      </c>
      <c r="J44" s="434"/>
      <c r="K44" s="434">
        <v>0</v>
      </c>
      <c r="L44" s="436">
        <f t="shared" si="2"/>
        <v>0</v>
      </c>
      <c r="N44" s="434">
        <v>0</v>
      </c>
      <c r="O44" s="436">
        <f t="shared" si="3"/>
        <v>0</v>
      </c>
      <c r="Q44" s="434">
        <v>0</v>
      </c>
      <c r="R44" s="436">
        <f t="shared" si="7"/>
        <v>0</v>
      </c>
      <c r="S44" s="442"/>
    </row>
    <row r="45" spans="1:19" ht="13.15" customHeight="1">
      <c r="A45" s="434" t="s">
        <v>42</v>
      </c>
      <c r="B45" s="456">
        <f t="shared" si="5"/>
        <v>20</v>
      </c>
      <c r="C45" s="436">
        <f t="shared" si="6"/>
        <v>1.0638297872340425</v>
      </c>
      <c r="E45" s="434">
        <v>15</v>
      </c>
      <c r="F45" s="436">
        <f t="shared" si="0"/>
        <v>75</v>
      </c>
      <c r="H45" s="434">
        <v>4</v>
      </c>
      <c r="I45" s="436">
        <f t="shared" si="1"/>
        <v>20</v>
      </c>
      <c r="J45" s="434"/>
      <c r="K45" s="434">
        <v>0</v>
      </c>
      <c r="L45" s="436">
        <f t="shared" si="2"/>
        <v>0</v>
      </c>
      <c r="N45" s="434">
        <v>1</v>
      </c>
      <c r="O45" s="436">
        <f t="shared" si="3"/>
        <v>5</v>
      </c>
      <c r="Q45" s="434">
        <v>0</v>
      </c>
      <c r="R45" s="436"/>
      <c r="S45" s="442"/>
    </row>
    <row r="46" spans="1:19" ht="13.15" customHeight="1">
      <c r="A46" s="434" t="s">
        <v>43</v>
      </c>
      <c r="B46" s="456">
        <f t="shared" si="5"/>
        <v>33</v>
      </c>
      <c r="C46" s="436">
        <f t="shared" si="6"/>
        <v>1.7553191489361704</v>
      </c>
      <c r="E46" s="434">
        <v>7</v>
      </c>
      <c r="F46" s="436">
        <f t="shared" si="0"/>
        <v>21.212121212121211</v>
      </c>
      <c r="H46" s="434">
        <v>21</v>
      </c>
      <c r="I46" s="436">
        <f t="shared" si="1"/>
        <v>63.636363636363633</v>
      </c>
      <c r="J46" s="434"/>
      <c r="K46" s="434">
        <v>5</v>
      </c>
      <c r="L46" s="436">
        <f t="shared" si="2"/>
        <v>15.151515151515152</v>
      </c>
      <c r="N46" s="434">
        <v>0</v>
      </c>
      <c r="O46" s="436">
        <f t="shared" si="3"/>
        <v>0</v>
      </c>
      <c r="Q46" s="434">
        <v>0</v>
      </c>
      <c r="R46" s="436">
        <f t="shared" ref="R46:R68" si="8">IF($A46&lt;&gt;0,Q46/$B46*100,"")</f>
        <v>0</v>
      </c>
      <c r="S46" s="442"/>
    </row>
    <row r="47" spans="1:19" ht="13.15" customHeight="1">
      <c r="A47" s="434" t="s">
        <v>44</v>
      </c>
      <c r="B47" s="456">
        <f t="shared" si="5"/>
        <v>17</v>
      </c>
      <c r="C47" s="436">
        <f t="shared" si="6"/>
        <v>0.90425531914893609</v>
      </c>
      <c r="E47" s="434">
        <v>8</v>
      </c>
      <c r="F47" s="436">
        <f t="shared" si="0"/>
        <v>47.058823529411761</v>
      </c>
      <c r="H47" s="434">
        <v>9</v>
      </c>
      <c r="I47" s="436">
        <f t="shared" si="1"/>
        <v>52.941176470588239</v>
      </c>
      <c r="J47" s="434"/>
      <c r="K47" s="434">
        <v>0</v>
      </c>
      <c r="L47" s="436">
        <f t="shared" si="2"/>
        <v>0</v>
      </c>
      <c r="N47" s="434">
        <v>0</v>
      </c>
      <c r="O47" s="436">
        <f t="shared" si="3"/>
        <v>0</v>
      </c>
      <c r="Q47" s="434">
        <v>0</v>
      </c>
      <c r="R47" s="436">
        <f t="shared" si="8"/>
        <v>0</v>
      </c>
      <c r="S47" s="442"/>
    </row>
    <row r="48" spans="1:19" ht="13.15" customHeight="1">
      <c r="A48" s="434" t="s">
        <v>331</v>
      </c>
      <c r="B48" s="456">
        <f t="shared" si="5"/>
        <v>23</v>
      </c>
      <c r="C48" s="436">
        <f t="shared" si="6"/>
        <v>1.2234042553191489</v>
      </c>
      <c r="E48" s="434">
        <v>17</v>
      </c>
      <c r="F48" s="436">
        <f t="shared" si="0"/>
        <v>73.91304347826086</v>
      </c>
      <c r="H48" s="434">
        <v>3</v>
      </c>
      <c r="I48" s="436">
        <f t="shared" si="1"/>
        <v>13.043478260869565</v>
      </c>
      <c r="J48" s="434"/>
      <c r="K48" s="434">
        <v>3</v>
      </c>
      <c r="L48" s="436">
        <f t="shared" si="2"/>
        <v>13.043478260869565</v>
      </c>
      <c r="N48" s="434">
        <v>0</v>
      </c>
      <c r="O48" s="436">
        <f t="shared" si="3"/>
        <v>0</v>
      </c>
      <c r="Q48" s="434">
        <v>0</v>
      </c>
      <c r="R48" s="436">
        <f t="shared" si="8"/>
        <v>0</v>
      </c>
      <c r="S48" s="442"/>
    </row>
    <row r="49" spans="1:19" ht="13.15" customHeight="1">
      <c r="A49" s="434" t="s">
        <v>48</v>
      </c>
      <c r="B49" s="456">
        <f t="shared" si="5"/>
        <v>8</v>
      </c>
      <c r="C49" s="436">
        <f t="shared" si="6"/>
        <v>0.42553191489361702</v>
      </c>
      <c r="E49" s="434">
        <v>5</v>
      </c>
      <c r="F49" s="436">
        <f t="shared" si="0"/>
        <v>62.5</v>
      </c>
      <c r="H49" s="434">
        <v>2</v>
      </c>
      <c r="I49" s="436">
        <f t="shared" si="1"/>
        <v>25</v>
      </c>
      <c r="J49" s="434"/>
      <c r="K49" s="434">
        <v>1</v>
      </c>
      <c r="L49" s="436">
        <f t="shared" si="2"/>
        <v>12.5</v>
      </c>
      <c r="N49" s="434">
        <v>0</v>
      </c>
      <c r="O49" s="436">
        <f t="shared" si="3"/>
        <v>0</v>
      </c>
      <c r="Q49" s="434">
        <v>0</v>
      </c>
      <c r="R49" s="436">
        <f t="shared" si="8"/>
        <v>0</v>
      </c>
      <c r="S49" s="442"/>
    </row>
    <row r="50" spans="1:19" ht="13.15" customHeight="1">
      <c r="A50" s="434" t="s">
        <v>47</v>
      </c>
      <c r="B50" s="456">
        <f t="shared" si="5"/>
        <v>33</v>
      </c>
      <c r="C50" s="436">
        <f t="shared" si="6"/>
        <v>1.7553191489361704</v>
      </c>
      <c r="E50" s="434">
        <v>16</v>
      </c>
      <c r="F50" s="436">
        <f t="shared" si="0"/>
        <v>48.484848484848484</v>
      </c>
      <c r="H50" s="434">
        <v>13</v>
      </c>
      <c r="I50" s="436">
        <f t="shared" si="1"/>
        <v>39.393939393939391</v>
      </c>
      <c r="J50" s="434"/>
      <c r="K50" s="434">
        <v>4</v>
      </c>
      <c r="L50" s="436">
        <f t="shared" si="2"/>
        <v>12.121212121212121</v>
      </c>
      <c r="N50" s="434">
        <v>0</v>
      </c>
      <c r="O50" s="436">
        <f t="shared" si="3"/>
        <v>0</v>
      </c>
      <c r="Q50" s="434">
        <v>0</v>
      </c>
      <c r="R50" s="436">
        <f t="shared" si="8"/>
        <v>0</v>
      </c>
      <c r="S50" s="442"/>
    </row>
    <row r="51" spans="1:19" ht="12" customHeight="1">
      <c r="A51" s="434" t="s">
        <v>46</v>
      </c>
      <c r="B51" s="456">
        <f t="shared" si="5"/>
        <v>12</v>
      </c>
      <c r="C51" s="436">
        <f t="shared" si="6"/>
        <v>0.63829787234042545</v>
      </c>
      <c r="E51" s="434">
        <v>2</v>
      </c>
      <c r="F51" s="436">
        <f t="shared" si="0"/>
        <v>16.666666666666664</v>
      </c>
      <c r="H51" s="434">
        <v>9</v>
      </c>
      <c r="I51" s="436">
        <f t="shared" si="1"/>
        <v>75</v>
      </c>
      <c r="J51" s="434"/>
      <c r="K51" s="434">
        <v>1</v>
      </c>
      <c r="L51" s="436">
        <f t="shared" si="2"/>
        <v>8.3333333333333321</v>
      </c>
      <c r="N51" s="434">
        <v>0</v>
      </c>
      <c r="O51" s="436">
        <f t="shared" si="3"/>
        <v>0</v>
      </c>
      <c r="Q51" s="434">
        <v>0</v>
      </c>
      <c r="R51" s="436">
        <f t="shared" si="8"/>
        <v>0</v>
      </c>
      <c r="S51" s="442"/>
    </row>
    <row r="52" spans="1:19" ht="9.9499999999999993" customHeight="1">
      <c r="B52" s="456" t="str">
        <f t="shared" si="5"/>
        <v/>
      </c>
      <c r="C52" s="436" t="str">
        <f t="shared" si="6"/>
        <v/>
      </c>
      <c r="E52" s="434"/>
      <c r="F52" s="436" t="str">
        <f t="shared" si="0"/>
        <v/>
      </c>
      <c r="H52" s="434"/>
      <c r="I52" s="436" t="str">
        <f t="shared" si="1"/>
        <v/>
      </c>
      <c r="J52" s="434"/>
      <c r="K52" s="434"/>
      <c r="L52" s="436" t="str">
        <f t="shared" si="2"/>
        <v/>
      </c>
      <c r="N52" s="434"/>
      <c r="O52" s="436" t="str">
        <f t="shared" si="3"/>
        <v/>
      </c>
      <c r="Q52" s="434"/>
      <c r="R52" s="436" t="str">
        <f t="shared" si="8"/>
        <v/>
      </c>
      <c r="S52" s="442"/>
    </row>
    <row r="53" spans="1:19" ht="12" customHeight="1">
      <c r="A53" s="434" t="s">
        <v>50</v>
      </c>
      <c r="B53" s="456">
        <f t="shared" si="5"/>
        <v>56</v>
      </c>
      <c r="C53" s="436">
        <f t="shared" si="6"/>
        <v>2.9787234042553195</v>
      </c>
      <c r="E53" s="434">
        <v>27</v>
      </c>
      <c r="F53" s="436">
        <f t="shared" si="0"/>
        <v>48.214285714285715</v>
      </c>
      <c r="H53" s="434">
        <v>13</v>
      </c>
      <c r="I53" s="436">
        <f t="shared" si="1"/>
        <v>23.214285714285715</v>
      </c>
      <c r="J53" s="434"/>
      <c r="K53" s="434">
        <v>15</v>
      </c>
      <c r="L53" s="436">
        <f t="shared" si="2"/>
        <v>26.785714285714285</v>
      </c>
      <c r="N53" s="434">
        <v>0</v>
      </c>
      <c r="O53" s="436">
        <f t="shared" si="3"/>
        <v>0</v>
      </c>
      <c r="Q53" s="434">
        <v>1</v>
      </c>
      <c r="R53" s="436">
        <f t="shared" si="8"/>
        <v>1.7857142857142856</v>
      </c>
      <c r="S53" s="442"/>
    </row>
    <row r="54" spans="1:19" ht="9.9499999999999993" customHeight="1">
      <c r="B54" s="456" t="str">
        <f t="shared" si="5"/>
        <v/>
      </c>
      <c r="C54" s="436" t="str">
        <f t="shared" si="6"/>
        <v/>
      </c>
      <c r="F54" s="436" t="str">
        <f t="shared" si="0"/>
        <v/>
      </c>
      <c r="I54" s="436" t="str">
        <f t="shared" si="1"/>
        <v/>
      </c>
      <c r="L54" s="436" t="str">
        <f t="shared" si="2"/>
        <v/>
      </c>
      <c r="M54" s="440"/>
      <c r="O54" s="436" t="str">
        <f t="shared" si="3"/>
        <v/>
      </c>
      <c r="P54" s="442"/>
      <c r="Q54" s="435"/>
      <c r="R54" s="436" t="str">
        <f t="shared" si="8"/>
        <v/>
      </c>
      <c r="S54" s="442"/>
    </row>
    <row r="55" spans="1:19" ht="13.15" customHeight="1">
      <c r="A55" s="434" t="s">
        <v>51</v>
      </c>
      <c r="B55" s="456">
        <f t="shared" si="5"/>
        <v>84</v>
      </c>
      <c r="C55" s="436">
        <f t="shared" si="6"/>
        <v>4.4680851063829792</v>
      </c>
      <c r="E55" s="435">
        <f>SUM(E56:E60)</f>
        <v>26</v>
      </c>
      <c r="F55" s="436">
        <f t="shared" si="0"/>
        <v>30.952380952380953</v>
      </c>
      <c r="H55" s="435">
        <f>SUM(H56:H60)</f>
        <v>49</v>
      </c>
      <c r="I55" s="436">
        <f t="shared" si="1"/>
        <v>58.333333333333336</v>
      </c>
      <c r="K55" s="435">
        <f>SUM(K56:K60)</f>
        <v>8</v>
      </c>
      <c r="L55" s="436">
        <f t="shared" si="2"/>
        <v>9.5238095238095237</v>
      </c>
      <c r="M55" s="440"/>
      <c r="N55" s="435">
        <f>SUM(N56:N60)</f>
        <v>0</v>
      </c>
      <c r="O55" s="436">
        <f t="shared" si="3"/>
        <v>0</v>
      </c>
      <c r="P55" s="442"/>
      <c r="Q55" s="435">
        <f>SUM(Q56:Q60)</f>
        <v>1</v>
      </c>
      <c r="R55" s="436">
        <f t="shared" si="8"/>
        <v>1.1904761904761905</v>
      </c>
      <c r="S55" s="442"/>
    </row>
    <row r="56" spans="1:19" ht="13.15" customHeight="1">
      <c r="A56" s="434" t="s">
        <v>52</v>
      </c>
      <c r="B56" s="456">
        <f t="shared" si="5"/>
        <v>13</v>
      </c>
      <c r="C56" s="436">
        <f t="shared" si="6"/>
        <v>0.6914893617021276</v>
      </c>
      <c r="E56" s="434">
        <v>5</v>
      </c>
      <c r="F56" s="436">
        <f t="shared" si="0"/>
        <v>38.461538461538467</v>
      </c>
      <c r="H56" s="434">
        <v>6</v>
      </c>
      <c r="I56" s="436">
        <f t="shared" si="1"/>
        <v>46.153846153846153</v>
      </c>
      <c r="J56" s="434"/>
      <c r="K56" s="434">
        <v>2</v>
      </c>
      <c r="L56" s="436">
        <f t="shared" si="2"/>
        <v>15.384615384615385</v>
      </c>
      <c r="N56" s="434">
        <v>0</v>
      </c>
      <c r="O56" s="436">
        <f t="shared" si="3"/>
        <v>0</v>
      </c>
      <c r="Q56" s="434">
        <v>0</v>
      </c>
      <c r="R56" s="436">
        <f t="shared" si="8"/>
        <v>0</v>
      </c>
      <c r="S56" s="442"/>
    </row>
    <row r="57" spans="1:19" ht="13.15" customHeight="1">
      <c r="A57" s="434" t="s">
        <v>53</v>
      </c>
      <c r="B57" s="456">
        <f t="shared" si="5"/>
        <v>26</v>
      </c>
      <c r="C57" s="436">
        <f t="shared" si="6"/>
        <v>1.3829787234042552</v>
      </c>
      <c r="E57" s="434">
        <v>7</v>
      </c>
      <c r="F57" s="436">
        <f t="shared" si="0"/>
        <v>26.923076923076923</v>
      </c>
      <c r="H57" s="434">
        <v>16</v>
      </c>
      <c r="I57" s="436">
        <f t="shared" si="1"/>
        <v>61.53846153846154</v>
      </c>
      <c r="J57" s="434"/>
      <c r="K57" s="434">
        <v>2</v>
      </c>
      <c r="L57" s="436">
        <f t="shared" si="2"/>
        <v>7.6923076923076925</v>
      </c>
      <c r="N57" s="434">
        <v>0</v>
      </c>
      <c r="O57" s="436">
        <f t="shared" si="3"/>
        <v>0</v>
      </c>
      <c r="Q57" s="434">
        <v>1</v>
      </c>
      <c r="R57" s="436">
        <f t="shared" si="8"/>
        <v>3.8461538461538463</v>
      </c>
      <c r="S57" s="442"/>
    </row>
    <row r="58" spans="1:19" ht="13.15" customHeight="1">
      <c r="A58" s="434" t="s">
        <v>54</v>
      </c>
      <c r="B58" s="456">
        <f t="shared" si="5"/>
        <v>21</v>
      </c>
      <c r="C58" s="436">
        <f t="shared" si="6"/>
        <v>1.1170212765957448</v>
      </c>
      <c r="E58" s="434">
        <v>5</v>
      </c>
      <c r="F58" s="436">
        <f t="shared" si="0"/>
        <v>23.809523809523807</v>
      </c>
      <c r="H58" s="434">
        <v>13</v>
      </c>
      <c r="I58" s="436">
        <f t="shared" si="1"/>
        <v>61.904761904761905</v>
      </c>
      <c r="J58" s="434"/>
      <c r="K58" s="434">
        <v>3</v>
      </c>
      <c r="L58" s="436">
        <f t="shared" si="2"/>
        <v>14.285714285714285</v>
      </c>
      <c r="N58" s="434">
        <v>0</v>
      </c>
      <c r="O58" s="436">
        <f t="shared" si="3"/>
        <v>0</v>
      </c>
      <c r="Q58" s="434">
        <v>0</v>
      </c>
      <c r="R58" s="436">
        <f t="shared" si="8"/>
        <v>0</v>
      </c>
      <c r="S58" s="442"/>
    </row>
    <row r="59" spans="1:19" ht="13.15" customHeight="1">
      <c r="A59" s="434" t="s">
        <v>332</v>
      </c>
      <c r="B59" s="456">
        <f t="shared" si="5"/>
        <v>9</v>
      </c>
      <c r="C59" s="436">
        <f t="shared" si="6"/>
        <v>0.47872340425531912</v>
      </c>
      <c r="E59" s="434">
        <v>2</v>
      </c>
      <c r="F59" s="436">
        <f t="shared" si="0"/>
        <v>22.222222222222221</v>
      </c>
      <c r="H59" s="434">
        <v>7</v>
      </c>
      <c r="I59" s="436">
        <f t="shared" si="1"/>
        <v>77.777777777777786</v>
      </c>
      <c r="J59" s="434"/>
      <c r="K59" s="434">
        <v>0</v>
      </c>
      <c r="L59" s="436">
        <f t="shared" si="2"/>
        <v>0</v>
      </c>
      <c r="N59" s="434">
        <v>0</v>
      </c>
      <c r="O59" s="436">
        <f t="shared" si="3"/>
        <v>0</v>
      </c>
      <c r="Q59" s="434">
        <v>0</v>
      </c>
      <c r="R59" s="436">
        <f t="shared" si="8"/>
        <v>0</v>
      </c>
      <c r="S59" s="442"/>
    </row>
    <row r="60" spans="1:19" ht="12" customHeight="1">
      <c r="A60" s="434" t="s">
        <v>56</v>
      </c>
      <c r="B60" s="456">
        <f t="shared" si="5"/>
        <v>15</v>
      </c>
      <c r="C60" s="436">
        <f t="shared" si="6"/>
        <v>0.7978723404255319</v>
      </c>
      <c r="E60" s="434">
        <v>7</v>
      </c>
      <c r="F60" s="436">
        <f t="shared" si="0"/>
        <v>46.666666666666664</v>
      </c>
      <c r="H60" s="434">
        <v>7</v>
      </c>
      <c r="I60" s="436">
        <f t="shared" si="1"/>
        <v>46.666666666666664</v>
      </c>
      <c r="J60" s="434"/>
      <c r="K60" s="434">
        <v>1</v>
      </c>
      <c r="L60" s="436">
        <f t="shared" si="2"/>
        <v>6.666666666666667</v>
      </c>
      <c r="N60" s="434">
        <v>0</v>
      </c>
      <c r="O60" s="436">
        <f t="shared" si="3"/>
        <v>0</v>
      </c>
      <c r="Q60" s="434">
        <v>0</v>
      </c>
      <c r="R60" s="436">
        <f t="shared" si="8"/>
        <v>0</v>
      </c>
      <c r="S60" s="442"/>
    </row>
    <row r="61" spans="1:19" ht="9.9499999999999993" customHeight="1">
      <c r="B61" s="456" t="str">
        <f t="shared" si="5"/>
        <v/>
      </c>
      <c r="C61" s="436" t="str">
        <f t="shared" si="6"/>
        <v/>
      </c>
      <c r="F61" s="436" t="str">
        <f t="shared" si="0"/>
        <v/>
      </c>
      <c r="I61" s="436" t="str">
        <f t="shared" si="1"/>
        <v/>
      </c>
      <c r="L61" s="436" t="str">
        <f t="shared" si="2"/>
        <v/>
      </c>
      <c r="M61" s="440"/>
      <c r="O61" s="436" t="str">
        <f t="shared" si="3"/>
        <v/>
      </c>
      <c r="P61" s="442"/>
      <c r="Q61" s="435"/>
      <c r="R61" s="436" t="str">
        <f t="shared" si="8"/>
        <v/>
      </c>
      <c r="S61" s="442"/>
    </row>
    <row r="62" spans="1:19" ht="13.15" customHeight="1">
      <c r="A62" s="63" t="s">
        <v>333</v>
      </c>
      <c r="B62" s="456">
        <f t="shared" si="5"/>
        <v>503</v>
      </c>
      <c r="C62" s="436">
        <f t="shared" si="6"/>
        <v>26.75531914893617</v>
      </c>
      <c r="E62" s="435">
        <f>E63+E65+E72+E74</f>
        <v>42</v>
      </c>
      <c r="F62" s="436">
        <f t="shared" si="0"/>
        <v>8.3499005964214703</v>
      </c>
      <c r="H62" s="435">
        <f>H63+H65+H72+H74</f>
        <v>410</v>
      </c>
      <c r="I62" s="436">
        <f t="shared" si="1"/>
        <v>81.510934393638166</v>
      </c>
      <c r="J62" s="434"/>
      <c r="K62" s="435">
        <f>K63+K65+K72+K74</f>
        <v>49</v>
      </c>
      <c r="L62" s="436">
        <f t="shared" si="2"/>
        <v>9.7415506958250493</v>
      </c>
      <c r="M62" s="440"/>
      <c r="N62" s="435">
        <f>N63+N65+N72+N74</f>
        <v>0</v>
      </c>
      <c r="O62" s="436">
        <f t="shared" si="3"/>
        <v>0</v>
      </c>
      <c r="P62" s="442"/>
      <c r="Q62" s="435">
        <f>Q63+Q65+Q72+Q74</f>
        <v>2</v>
      </c>
      <c r="R62" s="436">
        <f t="shared" si="8"/>
        <v>0.39761431411530812</v>
      </c>
      <c r="S62" s="442"/>
    </row>
    <row r="63" spans="1:19" ht="12" customHeight="1">
      <c r="A63" s="434" t="s">
        <v>334</v>
      </c>
      <c r="B63" s="456">
        <f t="shared" si="5"/>
        <v>25</v>
      </c>
      <c r="C63" s="436">
        <f t="shared" si="6"/>
        <v>1.3297872340425532</v>
      </c>
      <c r="E63" s="434">
        <v>4</v>
      </c>
      <c r="F63" s="436">
        <f t="shared" si="0"/>
        <v>16</v>
      </c>
      <c r="H63" s="434">
        <v>18</v>
      </c>
      <c r="I63" s="436">
        <f t="shared" si="1"/>
        <v>72</v>
      </c>
      <c r="J63" s="434"/>
      <c r="K63" s="434">
        <v>3</v>
      </c>
      <c r="L63" s="436">
        <f t="shared" si="2"/>
        <v>12</v>
      </c>
      <c r="N63" s="434">
        <v>0</v>
      </c>
      <c r="O63" s="436">
        <f t="shared" si="3"/>
        <v>0</v>
      </c>
      <c r="Q63" s="434">
        <v>0</v>
      </c>
      <c r="R63" s="436">
        <f t="shared" si="8"/>
        <v>0</v>
      </c>
      <c r="S63" s="442"/>
    </row>
    <row r="64" spans="1:19" ht="9.9499999999999993" customHeight="1">
      <c r="B64" s="456" t="str">
        <f t="shared" si="5"/>
        <v/>
      </c>
      <c r="C64" s="436" t="str">
        <f t="shared" si="6"/>
        <v/>
      </c>
      <c r="F64" s="436" t="str">
        <f t="shared" si="0"/>
        <v/>
      </c>
      <c r="I64" s="436" t="str">
        <f t="shared" si="1"/>
        <v/>
      </c>
      <c r="L64" s="436" t="str">
        <f t="shared" si="2"/>
        <v/>
      </c>
      <c r="M64" s="440"/>
      <c r="O64" s="436" t="str">
        <f t="shared" si="3"/>
        <v/>
      </c>
      <c r="P64" s="442"/>
      <c r="Q64" s="435"/>
      <c r="R64" s="436" t="str">
        <f t="shared" si="8"/>
        <v/>
      </c>
      <c r="S64" s="442"/>
    </row>
    <row r="65" spans="1:19" ht="13.15" customHeight="1">
      <c r="A65" s="434" t="s">
        <v>60</v>
      </c>
      <c r="B65" s="456">
        <f t="shared" si="5"/>
        <v>368</v>
      </c>
      <c r="C65" s="436">
        <f t="shared" si="6"/>
        <v>19.574468085106382</v>
      </c>
      <c r="E65" s="435">
        <f>SUM(E66:E70)</f>
        <v>22</v>
      </c>
      <c r="F65" s="436">
        <f t="shared" si="0"/>
        <v>5.9782608695652177</v>
      </c>
      <c r="H65" s="435">
        <f>SUM(H66:H70)</f>
        <v>308</v>
      </c>
      <c r="I65" s="436">
        <f t="shared" si="1"/>
        <v>83.695652173913047</v>
      </c>
      <c r="K65" s="435">
        <f>SUM(K66:K70)</f>
        <v>36</v>
      </c>
      <c r="L65" s="436">
        <f t="shared" si="2"/>
        <v>9.7826086956521738</v>
      </c>
      <c r="M65" s="440"/>
      <c r="N65" s="435">
        <f>SUM(N66:N70)</f>
        <v>0</v>
      </c>
      <c r="O65" s="436">
        <f t="shared" si="3"/>
        <v>0</v>
      </c>
      <c r="P65" s="442"/>
      <c r="Q65" s="435">
        <f>SUM(Q66:Q70)</f>
        <v>2</v>
      </c>
      <c r="R65" s="436">
        <f t="shared" si="8"/>
        <v>0.54347826086956519</v>
      </c>
      <c r="S65" s="442"/>
    </row>
    <row r="66" spans="1:19" ht="13.15" customHeight="1">
      <c r="A66" s="434" t="s">
        <v>395</v>
      </c>
      <c r="B66" s="456">
        <f t="shared" si="5"/>
        <v>302</v>
      </c>
      <c r="C66" s="436">
        <f t="shared" si="6"/>
        <v>16.063829787234045</v>
      </c>
      <c r="E66" s="434">
        <v>14</v>
      </c>
      <c r="F66" s="436">
        <f t="shared" si="0"/>
        <v>4.6357615894039732</v>
      </c>
      <c r="H66" s="434">
        <v>258</v>
      </c>
      <c r="I66" s="436">
        <f t="shared" si="1"/>
        <v>85.430463576158942</v>
      </c>
      <c r="J66" s="434"/>
      <c r="K66" s="434">
        <v>29</v>
      </c>
      <c r="L66" s="436">
        <f t="shared" si="2"/>
        <v>9.6026490066225172</v>
      </c>
      <c r="N66" s="434">
        <v>0</v>
      </c>
      <c r="O66" s="436">
        <f t="shared" si="3"/>
        <v>0</v>
      </c>
      <c r="Q66" s="434">
        <v>1</v>
      </c>
      <c r="R66" s="436">
        <f t="shared" si="8"/>
        <v>0.33112582781456956</v>
      </c>
      <c r="S66" s="442"/>
    </row>
    <row r="67" spans="1:19" ht="13.15" customHeight="1">
      <c r="A67" s="434" t="s">
        <v>62</v>
      </c>
      <c r="B67" s="456">
        <f t="shared" si="5"/>
        <v>29</v>
      </c>
      <c r="C67" s="436">
        <f t="shared" si="6"/>
        <v>1.5425531914893618</v>
      </c>
      <c r="E67" s="434">
        <v>3</v>
      </c>
      <c r="F67" s="436">
        <f t="shared" si="0"/>
        <v>10.344827586206897</v>
      </c>
      <c r="H67" s="434">
        <v>23</v>
      </c>
      <c r="I67" s="436">
        <f t="shared" si="1"/>
        <v>79.310344827586206</v>
      </c>
      <c r="J67" s="434"/>
      <c r="K67" s="434">
        <v>2</v>
      </c>
      <c r="L67" s="436">
        <f t="shared" si="2"/>
        <v>6.8965517241379306</v>
      </c>
      <c r="N67" s="434">
        <v>0</v>
      </c>
      <c r="O67" s="436">
        <f t="shared" si="3"/>
        <v>0</v>
      </c>
      <c r="Q67" s="434">
        <v>1</v>
      </c>
      <c r="R67" s="436">
        <f t="shared" si="8"/>
        <v>3.4482758620689653</v>
      </c>
      <c r="S67" s="442"/>
    </row>
    <row r="68" spans="1:19" ht="13.15" customHeight="1">
      <c r="A68" s="434" t="s">
        <v>64</v>
      </c>
      <c r="B68" s="456">
        <f t="shared" si="5"/>
        <v>14</v>
      </c>
      <c r="C68" s="436">
        <f t="shared" si="6"/>
        <v>0.74468085106382986</v>
      </c>
      <c r="E68" s="434">
        <v>3</v>
      </c>
      <c r="F68" s="436">
        <f t="shared" si="0"/>
        <v>21.428571428571427</v>
      </c>
      <c r="H68" s="434">
        <v>9</v>
      </c>
      <c r="I68" s="436">
        <f t="shared" si="1"/>
        <v>64.285714285714292</v>
      </c>
      <c r="J68" s="434"/>
      <c r="K68" s="434">
        <v>2</v>
      </c>
      <c r="L68" s="436">
        <f t="shared" si="2"/>
        <v>14.285714285714285</v>
      </c>
      <c r="N68" s="434">
        <v>0</v>
      </c>
      <c r="O68" s="436">
        <f t="shared" si="3"/>
        <v>0</v>
      </c>
      <c r="Q68" s="434">
        <v>0</v>
      </c>
      <c r="R68" s="436">
        <f t="shared" si="8"/>
        <v>0</v>
      </c>
      <c r="S68" s="442"/>
    </row>
    <row r="69" spans="1:19" ht="13.15" customHeight="1">
      <c r="A69" s="434" t="s">
        <v>65</v>
      </c>
      <c r="B69" s="456">
        <f t="shared" si="5"/>
        <v>11</v>
      </c>
      <c r="C69" s="436">
        <f t="shared" si="6"/>
        <v>0.58510638297872342</v>
      </c>
      <c r="E69" s="434">
        <v>1</v>
      </c>
      <c r="F69" s="436">
        <f t="shared" si="0"/>
        <v>9.0909090909090917</v>
      </c>
      <c r="H69" s="434">
        <v>7</v>
      </c>
      <c r="I69" s="436">
        <f t="shared" si="1"/>
        <v>63.636363636363633</v>
      </c>
      <c r="J69" s="434"/>
      <c r="K69" s="434">
        <v>3</v>
      </c>
      <c r="L69" s="436">
        <f t="shared" si="2"/>
        <v>27.27272727272727</v>
      </c>
      <c r="N69" s="434">
        <v>0</v>
      </c>
      <c r="O69" s="436">
        <f t="shared" si="3"/>
        <v>0</v>
      </c>
      <c r="Q69" s="434">
        <v>0</v>
      </c>
      <c r="R69" s="436"/>
      <c r="S69" s="442"/>
    </row>
    <row r="70" spans="1:19" ht="12" customHeight="1">
      <c r="A70" s="434" t="s">
        <v>63</v>
      </c>
      <c r="B70" s="456">
        <f t="shared" si="5"/>
        <v>12</v>
      </c>
      <c r="C70" s="436">
        <f t="shared" si="6"/>
        <v>0.63829787234042545</v>
      </c>
      <c r="E70" s="434">
        <v>1</v>
      </c>
      <c r="F70" s="436">
        <f t="shared" si="0"/>
        <v>8.3333333333333321</v>
      </c>
      <c r="H70" s="434">
        <v>11</v>
      </c>
      <c r="I70" s="436">
        <f t="shared" si="1"/>
        <v>91.666666666666657</v>
      </c>
      <c r="J70" s="434"/>
      <c r="K70" s="434">
        <v>0</v>
      </c>
      <c r="L70" s="436">
        <f t="shared" si="2"/>
        <v>0</v>
      </c>
      <c r="N70" s="434">
        <v>0</v>
      </c>
      <c r="O70" s="436">
        <f t="shared" si="3"/>
        <v>0</v>
      </c>
      <c r="Q70" s="434">
        <v>0</v>
      </c>
      <c r="R70" s="436">
        <f t="shared" ref="R70:R103" si="9">IF($A70&lt;&gt;0,Q70/$B70*100,"")</f>
        <v>0</v>
      </c>
      <c r="S70" s="442"/>
    </row>
    <row r="71" spans="1:19" ht="9.9499999999999993" customHeight="1">
      <c r="B71" s="456" t="str">
        <f t="shared" si="5"/>
        <v/>
      </c>
      <c r="C71" s="436" t="str">
        <f t="shared" si="6"/>
        <v/>
      </c>
      <c r="E71" s="434"/>
      <c r="F71" s="436" t="str">
        <f t="shared" si="0"/>
        <v/>
      </c>
      <c r="H71" s="434"/>
      <c r="I71" s="436" t="str">
        <f t="shared" si="1"/>
        <v/>
      </c>
      <c r="J71" s="434"/>
      <c r="K71" s="434"/>
      <c r="L71" s="436" t="str">
        <f t="shared" si="2"/>
        <v/>
      </c>
      <c r="N71" s="434"/>
      <c r="O71" s="436" t="str">
        <f t="shared" si="3"/>
        <v/>
      </c>
      <c r="Q71" s="434"/>
      <c r="R71" s="436" t="str">
        <f t="shared" si="9"/>
        <v/>
      </c>
      <c r="S71" s="442"/>
    </row>
    <row r="72" spans="1:19" ht="13.15" customHeight="1">
      <c r="A72" s="434" t="s">
        <v>66</v>
      </c>
      <c r="B72" s="456">
        <f t="shared" si="5"/>
        <v>26</v>
      </c>
      <c r="C72" s="436">
        <f t="shared" si="6"/>
        <v>1.3829787234042552</v>
      </c>
      <c r="E72" s="434">
        <v>14</v>
      </c>
      <c r="F72" s="436">
        <f t="shared" si="0"/>
        <v>53.846153846153847</v>
      </c>
      <c r="H72" s="434">
        <v>11</v>
      </c>
      <c r="I72" s="436">
        <f t="shared" si="1"/>
        <v>42.307692307692307</v>
      </c>
      <c r="J72" s="434"/>
      <c r="K72" s="434">
        <v>1</v>
      </c>
      <c r="L72" s="436">
        <f t="shared" si="2"/>
        <v>3.8461538461538463</v>
      </c>
      <c r="N72" s="434">
        <v>0</v>
      </c>
      <c r="O72" s="436">
        <f t="shared" si="3"/>
        <v>0</v>
      </c>
      <c r="Q72" s="434">
        <v>0</v>
      </c>
      <c r="R72" s="436">
        <f t="shared" si="9"/>
        <v>0</v>
      </c>
      <c r="S72" s="442"/>
    </row>
    <row r="73" spans="1:19" ht="9.9499999999999993" customHeight="1">
      <c r="B73" s="456" t="str">
        <f t="shared" si="5"/>
        <v/>
      </c>
      <c r="C73" s="436" t="str">
        <f t="shared" si="6"/>
        <v/>
      </c>
      <c r="E73" s="434"/>
      <c r="F73" s="436" t="str">
        <f t="shared" si="0"/>
        <v/>
      </c>
      <c r="H73" s="434"/>
      <c r="I73" s="436" t="str">
        <f t="shared" si="1"/>
        <v/>
      </c>
      <c r="J73" s="434"/>
      <c r="K73" s="434"/>
      <c r="L73" s="436" t="str">
        <f t="shared" si="2"/>
        <v/>
      </c>
      <c r="N73" s="434"/>
      <c r="O73" s="436" t="str">
        <f t="shared" si="3"/>
        <v/>
      </c>
      <c r="Q73" s="434"/>
      <c r="R73" s="436" t="str">
        <f t="shared" si="9"/>
        <v/>
      </c>
      <c r="S73" s="442"/>
    </row>
    <row r="74" spans="1:19" ht="13.15" customHeight="1">
      <c r="A74" s="434" t="s">
        <v>67</v>
      </c>
      <c r="B74" s="456">
        <f t="shared" si="5"/>
        <v>84</v>
      </c>
      <c r="C74" s="436">
        <f t="shared" si="6"/>
        <v>4.4680851063829792</v>
      </c>
      <c r="E74" s="434">
        <v>2</v>
      </c>
      <c r="F74" s="436">
        <f t="shared" si="0"/>
        <v>2.3809523809523809</v>
      </c>
      <c r="H74" s="434">
        <v>73</v>
      </c>
      <c r="I74" s="436">
        <f t="shared" si="1"/>
        <v>86.904761904761912</v>
      </c>
      <c r="J74" s="434"/>
      <c r="K74" s="434">
        <v>9</v>
      </c>
      <c r="L74" s="436">
        <f t="shared" si="2"/>
        <v>10.714285714285714</v>
      </c>
      <c r="N74" s="434">
        <v>0</v>
      </c>
      <c r="O74" s="436">
        <f t="shared" si="3"/>
        <v>0</v>
      </c>
      <c r="Q74" s="434">
        <v>0</v>
      </c>
      <c r="R74" s="436">
        <f t="shared" si="9"/>
        <v>0</v>
      </c>
      <c r="S74" s="442"/>
    </row>
    <row r="75" spans="1:19" ht="9.9499999999999993" customHeight="1">
      <c r="B75" s="456" t="str">
        <f t="shared" si="5"/>
        <v/>
      </c>
      <c r="C75" s="436" t="str">
        <f t="shared" si="6"/>
        <v/>
      </c>
      <c r="F75" s="436" t="str">
        <f t="shared" ref="F75:F112" si="10">IF($A75&lt;&gt;0,E75/$B75*100,"")</f>
        <v/>
      </c>
      <c r="I75" s="436" t="str">
        <f t="shared" ref="I75:I112" si="11">IF($A75&lt;&gt;0,H75/$B75*100,"")</f>
        <v/>
      </c>
      <c r="K75" s="441"/>
      <c r="L75" s="436" t="str">
        <f t="shared" ref="L75:L112" si="12">IF($A75&lt;&gt;0,K75/$B75*100,"")</f>
        <v/>
      </c>
      <c r="M75" s="440"/>
      <c r="N75" s="441"/>
      <c r="O75" s="436" t="str">
        <f t="shared" ref="O75:O112" si="13">IF($A75&lt;&gt;0,N75/$B75*100,"")</f>
        <v/>
      </c>
      <c r="P75" s="442"/>
      <c r="Q75" s="441"/>
      <c r="R75" s="436" t="str">
        <f t="shared" si="9"/>
        <v/>
      </c>
      <c r="S75" s="442"/>
    </row>
    <row r="76" spans="1:19" ht="13.15" customHeight="1">
      <c r="A76" s="63" t="s">
        <v>336</v>
      </c>
      <c r="B76" s="456">
        <f t="shared" ref="B76:B112" si="14">IF($A76&lt;&gt;"",E76+H76+K76+N76+Q76,"")</f>
        <v>59</v>
      </c>
      <c r="C76" s="436">
        <f t="shared" si="6"/>
        <v>3.1382978723404253</v>
      </c>
      <c r="E76" s="435">
        <f>SUM(E77)</f>
        <v>21</v>
      </c>
      <c r="F76" s="436">
        <f t="shared" si="10"/>
        <v>35.593220338983052</v>
      </c>
      <c r="H76" s="435">
        <f>SUM(H77)</f>
        <v>34</v>
      </c>
      <c r="I76" s="436">
        <f t="shared" si="11"/>
        <v>57.627118644067799</v>
      </c>
      <c r="K76" s="441">
        <f>SUM(K77)</f>
        <v>4</v>
      </c>
      <c r="L76" s="436">
        <f t="shared" si="12"/>
        <v>6.7796610169491522</v>
      </c>
      <c r="M76" s="440"/>
      <c r="N76" s="441">
        <f>SUM(N77)</f>
        <v>0</v>
      </c>
      <c r="O76" s="436">
        <f t="shared" si="13"/>
        <v>0</v>
      </c>
      <c r="P76" s="442"/>
      <c r="Q76" s="441">
        <f>SUM(Q77)</f>
        <v>0</v>
      </c>
      <c r="R76" s="436">
        <f t="shared" si="9"/>
        <v>0</v>
      </c>
      <c r="S76" s="442"/>
    </row>
    <row r="77" spans="1:19" ht="13.15" customHeight="1">
      <c r="A77" s="434" t="s">
        <v>337</v>
      </c>
      <c r="B77" s="456">
        <f t="shared" si="14"/>
        <v>59</v>
      </c>
      <c r="C77" s="436">
        <f t="shared" ref="C77:C95" si="15">IF(A77&lt;&gt;0,B77/$B$11*100,"")</f>
        <v>3.1382978723404253</v>
      </c>
      <c r="E77" s="435">
        <f>SUM(E78:E81)</f>
        <v>21</v>
      </c>
      <c r="F77" s="436">
        <f t="shared" si="10"/>
        <v>35.593220338983052</v>
      </c>
      <c r="H77" s="435">
        <f>SUM(H78:H81)</f>
        <v>34</v>
      </c>
      <c r="I77" s="436">
        <f t="shared" si="11"/>
        <v>57.627118644067799</v>
      </c>
      <c r="K77" s="435">
        <f>SUM(K78:K81)</f>
        <v>4</v>
      </c>
      <c r="L77" s="436">
        <f t="shared" si="12"/>
        <v>6.7796610169491522</v>
      </c>
      <c r="M77" s="440"/>
      <c r="N77" s="435">
        <f>SUM(N78:N81)</f>
        <v>0</v>
      </c>
      <c r="O77" s="436">
        <f t="shared" si="13"/>
        <v>0</v>
      </c>
      <c r="P77" s="442"/>
      <c r="Q77" s="435">
        <f>SUM(Q78:Q81)</f>
        <v>0</v>
      </c>
      <c r="R77" s="436">
        <f t="shared" si="9"/>
        <v>0</v>
      </c>
      <c r="S77" s="442"/>
    </row>
    <row r="78" spans="1:19" ht="13.15" customHeight="1">
      <c r="A78" s="434" t="s">
        <v>70</v>
      </c>
      <c r="B78" s="456">
        <f t="shared" si="14"/>
        <v>12</v>
      </c>
      <c r="C78" s="436">
        <f t="shared" si="15"/>
        <v>0.63829787234042545</v>
      </c>
      <c r="E78" s="434">
        <v>2</v>
      </c>
      <c r="F78" s="436">
        <f t="shared" si="10"/>
        <v>16.666666666666664</v>
      </c>
      <c r="H78" s="434">
        <v>10</v>
      </c>
      <c r="I78" s="436">
        <f t="shared" si="11"/>
        <v>83.333333333333343</v>
      </c>
      <c r="J78" s="434"/>
      <c r="K78" s="434">
        <v>0</v>
      </c>
      <c r="L78" s="436">
        <f t="shared" si="12"/>
        <v>0</v>
      </c>
      <c r="N78" s="434">
        <v>0</v>
      </c>
      <c r="O78" s="436">
        <f t="shared" si="13"/>
        <v>0</v>
      </c>
      <c r="Q78" s="434">
        <v>0</v>
      </c>
      <c r="R78" s="436">
        <f t="shared" si="9"/>
        <v>0</v>
      </c>
      <c r="S78" s="442"/>
    </row>
    <row r="79" spans="1:19" ht="13.15" customHeight="1">
      <c r="A79" s="434" t="s">
        <v>71</v>
      </c>
      <c r="B79" s="456">
        <f t="shared" si="14"/>
        <v>28</v>
      </c>
      <c r="C79" s="436">
        <f t="shared" si="15"/>
        <v>1.4893617021276597</v>
      </c>
      <c r="E79" s="434">
        <v>13</v>
      </c>
      <c r="F79" s="436">
        <f t="shared" si="10"/>
        <v>46.428571428571431</v>
      </c>
      <c r="H79" s="434">
        <v>12</v>
      </c>
      <c r="I79" s="436">
        <f t="shared" si="11"/>
        <v>42.857142857142854</v>
      </c>
      <c r="J79" s="434"/>
      <c r="K79" s="434">
        <v>3</v>
      </c>
      <c r="L79" s="436">
        <f t="shared" si="12"/>
        <v>10.714285714285714</v>
      </c>
      <c r="N79" s="434">
        <v>0</v>
      </c>
      <c r="O79" s="436">
        <f t="shared" si="13"/>
        <v>0</v>
      </c>
      <c r="Q79" s="434">
        <v>0</v>
      </c>
      <c r="R79" s="436">
        <f t="shared" si="9"/>
        <v>0</v>
      </c>
      <c r="S79" s="442"/>
    </row>
    <row r="80" spans="1:19" ht="12" customHeight="1">
      <c r="A80" s="434" t="s">
        <v>72</v>
      </c>
      <c r="B80" s="456">
        <f t="shared" si="14"/>
        <v>7</v>
      </c>
      <c r="C80" s="436">
        <f t="shared" si="15"/>
        <v>0.37234042553191493</v>
      </c>
      <c r="E80" s="434">
        <v>1</v>
      </c>
      <c r="F80" s="436">
        <f t="shared" si="10"/>
        <v>14.285714285714285</v>
      </c>
      <c r="H80" s="434">
        <v>5</v>
      </c>
      <c r="I80" s="436">
        <f t="shared" si="11"/>
        <v>71.428571428571431</v>
      </c>
      <c r="J80" s="434"/>
      <c r="K80" s="434">
        <v>1</v>
      </c>
      <c r="L80" s="436">
        <f t="shared" si="12"/>
        <v>14.285714285714285</v>
      </c>
      <c r="N80" s="434">
        <v>0</v>
      </c>
      <c r="O80" s="436">
        <f t="shared" si="13"/>
        <v>0</v>
      </c>
      <c r="Q80" s="434">
        <v>0</v>
      </c>
      <c r="R80" s="436">
        <f t="shared" si="9"/>
        <v>0</v>
      </c>
      <c r="S80" s="442"/>
    </row>
    <row r="81" spans="1:19" ht="13.15" customHeight="1">
      <c r="A81" s="434" t="s">
        <v>73</v>
      </c>
      <c r="B81" s="456">
        <f t="shared" si="14"/>
        <v>12</v>
      </c>
      <c r="C81" s="436">
        <f t="shared" si="15"/>
        <v>0.63829787234042545</v>
      </c>
      <c r="E81" s="434">
        <v>5</v>
      </c>
      <c r="F81" s="436">
        <f t="shared" si="10"/>
        <v>41.666666666666671</v>
      </c>
      <c r="H81" s="434">
        <v>7</v>
      </c>
      <c r="I81" s="436">
        <f t="shared" si="11"/>
        <v>58.333333333333336</v>
      </c>
      <c r="J81" s="434"/>
      <c r="K81" s="434">
        <v>0</v>
      </c>
      <c r="L81" s="436">
        <f t="shared" si="12"/>
        <v>0</v>
      </c>
      <c r="N81" s="434">
        <v>0</v>
      </c>
      <c r="O81" s="436">
        <f t="shared" si="13"/>
        <v>0</v>
      </c>
      <c r="Q81" s="434">
        <v>0</v>
      </c>
      <c r="R81" s="436">
        <f t="shared" si="9"/>
        <v>0</v>
      </c>
      <c r="S81" s="442"/>
    </row>
    <row r="82" spans="1:19" ht="8.25" customHeight="1">
      <c r="B82" s="456" t="str">
        <f t="shared" si="14"/>
        <v/>
      </c>
      <c r="C82" s="436" t="str">
        <f t="shared" si="15"/>
        <v/>
      </c>
      <c r="F82" s="436" t="str">
        <f t="shared" si="10"/>
        <v/>
      </c>
      <c r="I82" s="436" t="str">
        <f t="shared" si="11"/>
        <v/>
      </c>
      <c r="L82" s="436" t="str">
        <f t="shared" si="12"/>
        <v/>
      </c>
      <c r="M82" s="440"/>
      <c r="O82" s="436" t="str">
        <f t="shared" si="13"/>
        <v/>
      </c>
      <c r="P82" s="442"/>
      <c r="Q82" s="435"/>
      <c r="R82" s="436" t="str">
        <f t="shared" si="9"/>
        <v/>
      </c>
      <c r="S82" s="442"/>
    </row>
    <row r="83" spans="1:19" s="63" customFormat="1" ht="12.75" customHeight="1">
      <c r="A83" s="63" t="s">
        <v>396</v>
      </c>
      <c r="B83" s="456">
        <f t="shared" si="14"/>
        <v>158</v>
      </c>
      <c r="C83" s="436">
        <f t="shared" si="15"/>
        <v>8.4042553191489358</v>
      </c>
      <c r="E83" s="93">
        <f>SUM(E84)</f>
        <v>51</v>
      </c>
      <c r="F83" s="436">
        <f t="shared" si="10"/>
        <v>32.278481012658226</v>
      </c>
      <c r="G83" s="42"/>
      <c r="H83" s="93">
        <f>SUM(H84)</f>
        <v>60</v>
      </c>
      <c r="I83" s="436">
        <f t="shared" si="11"/>
        <v>37.974683544303801</v>
      </c>
      <c r="J83" s="94"/>
      <c r="K83" s="93">
        <f>SUM(K84)</f>
        <v>45</v>
      </c>
      <c r="L83" s="436">
        <f t="shared" si="12"/>
        <v>28.481012658227851</v>
      </c>
      <c r="M83" s="95"/>
      <c r="N83" s="93">
        <f>SUM(N84)</f>
        <v>1</v>
      </c>
      <c r="O83" s="436">
        <f t="shared" si="13"/>
        <v>0.63291139240506333</v>
      </c>
      <c r="P83" s="96"/>
      <c r="Q83" s="93">
        <f>SUM(Q84)</f>
        <v>1</v>
      </c>
      <c r="R83" s="436">
        <f t="shared" si="9"/>
        <v>0.63291139240506333</v>
      </c>
      <c r="S83" s="96"/>
    </row>
    <row r="84" spans="1:19" ht="13.15" customHeight="1">
      <c r="A84" s="434" t="s">
        <v>75</v>
      </c>
      <c r="B84" s="456">
        <f t="shared" si="14"/>
        <v>158</v>
      </c>
      <c r="C84" s="436">
        <f t="shared" si="15"/>
        <v>8.4042553191489358</v>
      </c>
      <c r="E84" s="435">
        <f>SUM(E85:E93)</f>
        <v>51</v>
      </c>
      <c r="F84" s="436">
        <f t="shared" si="10"/>
        <v>32.278481012658226</v>
      </c>
      <c r="H84" s="435">
        <f>SUM(H85:H93)</f>
        <v>60</v>
      </c>
      <c r="I84" s="436">
        <f t="shared" si="11"/>
        <v>37.974683544303801</v>
      </c>
      <c r="K84" s="435">
        <f>SUM(K85:K93)</f>
        <v>45</v>
      </c>
      <c r="L84" s="436">
        <f t="shared" si="12"/>
        <v>28.481012658227851</v>
      </c>
      <c r="M84" s="440"/>
      <c r="N84" s="435">
        <f>SUM(N85:N93)</f>
        <v>1</v>
      </c>
      <c r="O84" s="436">
        <f t="shared" si="13"/>
        <v>0.63291139240506333</v>
      </c>
      <c r="P84" s="442"/>
      <c r="Q84" s="435">
        <f>SUM(Q85:Q93)</f>
        <v>1</v>
      </c>
      <c r="R84" s="436">
        <f t="shared" si="9"/>
        <v>0.63291139240506333</v>
      </c>
      <c r="S84" s="442"/>
    </row>
    <row r="85" spans="1:19" ht="13.15" customHeight="1">
      <c r="A85" s="434" t="s">
        <v>338</v>
      </c>
      <c r="B85" s="456">
        <f t="shared" si="14"/>
        <v>8</v>
      </c>
      <c r="C85" s="436">
        <f t="shared" si="15"/>
        <v>0.42553191489361702</v>
      </c>
      <c r="E85" s="434">
        <v>6</v>
      </c>
      <c r="F85" s="436">
        <f t="shared" si="10"/>
        <v>75</v>
      </c>
      <c r="H85" s="434">
        <v>1</v>
      </c>
      <c r="I85" s="436">
        <f t="shared" si="11"/>
        <v>12.5</v>
      </c>
      <c r="J85" s="434"/>
      <c r="K85" s="434">
        <v>1</v>
      </c>
      <c r="L85" s="436">
        <f t="shared" si="12"/>
        <v>12.5</v>
      </c>
      <c r="N85" s="434">
        <v>0</v>
      </c>
      <c r="O85" s="436">
        <f t="shared" si="13"/>
        <v>0</v>
      </c>
      <c r="Q85" s="434">
        <v>0</v>
      </c>
      <c r="R85" s="436">
        <f t="shared" si="9"/>
        <v>0</v>
      </c>
      <c r="S85" s="442"/>
    </row>
    <row r="86" spans="1:19" ht="13.15" customHeight="1">
      <c r="A86" s="434" t="s">
        <v>76</v>
      </c>
      <c r="B86" s="456">
        <f t="shared" si="14"/>
        <v>23</v>
      </c>
      <c r="C86" s="436">
        <f t="shared" si="15"/>
        <v>1.2234042553191489</v>
      </c>
      <c r="E86" s="434">
        <v>10</v>
      </c>
      <c r="F86" s="436">
        <f t="shared" si="10"/>
        <v>43.478260869565219</v>
      </c>
      <c r="H86" s="434">
        <v>9</v>
      </c>
      <c r="I86" s="436">
        <f t="shared" si="11"/>
        <v>39.130434782608695</v>
      </c>
      <c r="J86" s="434"/>
      <c r="K86" s="434">
        <v>4</v>
      </c>
      <c r="L86" s="436">
        <f t="shared" si="12"/>
        <v>17.391304347826086</v>
      </c>
      <c r="N86" s="434">
        <v>0</v>
      </c>
      <c r="O86" s="436">
        <f t="shared" si="13"/>
        <v>0</v>
      </c>
      <c r="Q86" s="434">
        <v>0</v>
      </c>
      <c r="R86" s="436">
        <f t="shared" si="9"/>
        <v>0</v>
      </c>
      <c r="S86" s="442"/>
    </row>
    <row r="87" spans="1:19" ht="13.15" customHeight="1">
      <c r="A87" s="434" t="s">
        <v>78</v>
      </c>
      <c r="B87" s="456">
        <f t="shared" si="14"/>
        <v>18</v>
      </c>
      <c r="C87" s="436">
        <f t="shared" si="15"/>
        <v>0.95744680851063824</v>
      </c>
      <c r="E87" s="434">
        <v>10</v>
      </c>
      <c r="F87" s="436">
        <f t="shared" si="10"/>
        <v>55.555555555555557</v>
      </c>
      <c r="H87" s="434">
        <v>7</v>
      </c>
      <c r="I87" s="436">
        <f t="shared" si="11"/>
        <v>38.888888888888893</v>
      </c>
      <c r="J87" s="434"/>
      <c r="K87" s="434">
        <v>1</v>
      </c>
      <c r="L87" s="436">
        <f t="shared" si="12"/>
        <v>5.5555555555555554</v>
      </c>
      <c r="N87" s="434">
        <v>0</v>
      </c>
      <c r="O87" s="436">
        <f t="shared" si="13"/>
        <v>0</v>
      </c>
      <c r="Q87" s="434">
        <v>0</v>
      </c>
      <c r="R87" s="436">
        <f t="shared" si="9"/>
        <v>0</v>
      </c>
      <c r="S87" s="442"/>
    </row>
    <row r="88" spans="1:19" ht="13.15" customHeight="1">
      <c r="A88" s="434" t="s">
        <v>80</v>
      </c>
      <c r="B88" s="456">
        <f t="shared" si="14"/>
        <v>18</v>
      </c>
      <c r="C88" s="436">
        <f t="shared" si="15"/>
        <v>0.95744680851063824</v>
      </c>
      <c r="E88" s="434">
        <v>2</v>
      </c>
      <c r="F88" s="436">
        <f t="shared" si="10"/>
        <v>11.111111111111111</v>
      </c>
      <c r="H88" s="434">
        <v>9</v>
      </c>
      <c r="I88" s="436">
        <f t="shared" si="11"/>
        <v>50</v>
      </c>
      <c r="J88" s="434"/>
      <c r="K88" s="434">
        <v>7</v>
      </c>
      <c r="L88" s="436">
        <f t="shared" si="12"/>
        <v>38.888888888888893</v>
      </c>
      <c r="N88" s="434">
        <v>0</v>
      </c>
      <c r="O88" s="436">
        <f t="shared" si="13"/>
        <v>0</v>
      </c>
      <c r="Q88" s="434">
        <v>0</v>
      </c>
      <c r="R88" s="436">
        <f t="shared" si="9"/>
        <v>0</v>
      </c>
      <c r="S88" s="442"/>
    </row>
    <row r="89" spans="1:19" ht="13.15" customHeight="1">
      <c r="A89" s="434" t="s">
        <v>79</v>
      </c>
      <c r="B89" s="456">
        <f t="shared" si="14"/>
        <v>13</v>
      </c>
      <c r="C89" s="436">
        <f t="shared" si="15"/>
        <v>0.6914893617021276</v>
      </c>
      <c r="E89" s="434">
        <v>2</v>
      </c>
      <c r="F89" s="436">
        <f t="shared" si="10"/>
        <v>15.384615384615385</v>
      </c>
      <c r="H89" s="434">
        <v>9</v>
      </c>
      <c r="I89" s="436">
        <f t="shared" si="11"/>
        <v>69.230769230769226</v>
      </c>
      <c r="J89" s="434"/>
      <c r="K89" s="434">
        <v>1</v>
      </c>
      <c r="L89" s="436">
        <f t="shared" si="12"/>
        <v>7.6923076923076925</v>
      </c>
      <c r="N89" s="434">
        <v>0</v>
      </c>
      <c r="O89" s="436">
        <f t="shared" si="13"/>
        <v>0</v>
      </c>
      <c r="Q89" s="434">
        <v>1</v>
      </c>
      <c r="R89" s="436">
        <f t="shared" si="9"/>
        <v>7.6923076923076925</v>
      </c>
      <c r="S89" s="442"/>
    </row>
    <row r="90" spans="1:19" ht="13.15" customHeight="1">
      <c r="A90" s="434" t="s">
        <v>77</v>
      </c>
      <c r="B90" s="456">
        <f t="shared" si="14"/>
        <v>10</v>
      </c>
      <c r="C90" s="436">
        <f t="shared" si="15"/>
        <v>0.53191489361702127</v>
      </c>
      <c r="E90" s="434">
        <v>2</v>
      </c>
      <c r="F90" s="436">
        <f t="shared" si="10"/>
        <v>20</v>
      </c>
      <c r="H90" s="434">
        <v>6</v>
      </c>
      <c r="I90" s="436">
        <f t="shared" si="11"/>
        <v>60</v>
      </c>
      <c r="J90" s="434"/>
      <c r="K90" s="434">
        <v>2</v>
      </c>
      <c r="L90" s="436">
        <f t="shared" si="12"/>
        <v>20</v>
      </c>
      <c r="N90" s="434">
        <v>0</v>
      </c>
      <c r="O90" s="436">
        <f t="shared" si="13"/>
        <v>0</v>
      </c>
      <c r="Q90" s="434">
        <v>0</v>
      </c>
      <c r="R90" s="436">
        <f t="shared" si="9"/>
        <v>0</v>
      </c>
      <c r="S90" s="442"/>
    </row>
    <row r="91" spans="1:19" ht="13.15" customHeight="1">
      <c r="A91" s="434" t="s">
        <v>81</v>
      </c>
      <c r="B91" s="456">
        <f t="shared" si="14"/>
        <v>37</v>
      </c>
      <c r="C91" s="436">
        <f t="shared" si="15"/>
        <v>1.9680851063829787</v>
      </c>
      <c r="E91" s="434">
        <v>6</v>
      </c>
      <c r="F91" s="436">
        <f t="shared" si="10"/>
        <v>16.216216216216218</v>
      </c>
      <c r="H91" s="434">
        <v>11</v>
      </c>
      <c r="I91" s="436">
        <f t="shared" si="11"/>
        <v>29.72972972972973</v>
      </c>
      <c r="J91" s="434"/>
      <c r="K91" s="434">
        <v>20</v>
      </c>
      <c r="L91" s="436">
        <f t="shared" si="12"/>
        <v>54.054054054054056</v>
      </c>
      <c r="N91" s="434">
        <v>0</v>
      </c>
      <c r="O91" s="436">
        <f t="shared" si="13"/>
        <v>0</v>
      </c>
      <c r="Q91" s="434">
        <v>0</v>
      </c>
      <c r="R91" s="436">
        <f t="shared" si="9"/>
        <v>0</v>
      </c>
      <c r="S91" s="442"/>
    </row>
    <row r="92" spans="1:19" ht="12" customHeight="1">
      <c r="A92" s="434" t="s">
        <v>84</v>
      </c>
      <c r="B92" s="456">
        <f t="shared" si="14"/>
        <v>8</v>
      </c>
      <c r="C92" s="436">
        <f t="shared" si="15"/>
        <v>0.42553191489361702</v>
      </c>
      <c r="E92" s="434">
        <v>0</v>
      </c>
      <c r="F92" s="436">
        <f t="shared" si="10"/>
        <v>0</v>
      </c>
      <c r="H92" s="434">
        <v>2</v>
      </c>
      <c r="I92" s="436">
        <f t="shared" si="11"/>
        <v>25</v>
      </c>
      <c r="J92" s="434"/>
      <c r="K92" s="434">
        <v>5</v>
      </c>
      <c r="L92" s="436">
        <f t="shared" si="12"/>
        <v>62.5</v>
      </c>
      <c r="N92" s="434">
        <v>1</v>
      </c>
      <c r="O92" s="436">
        <f t="shared" si="13"/>
        <v>12.5</v>
      </c>
      <c r="Q92" s="434">
        <v>0</v>
      </c>
      <c r="R92" s="436">
        <f t="shared" si="9"/>
        <v>0</v>
      </c>
      <c r="S92" s="442"/>
    </row>
    <row r="93" spans="1:19" ht="13.15" customHeight="1">
      <c r="A93" s="434" t="s">
        <v>339</v>
      </c>
      <c r="B93" s="456">
        <f t="shared" si="14"/>
        <v>23</v>
      </c>
      <c r="C93" s="436">
        <f t="shared" si="15"/>
        <v>1.2234042553191489</v>
      </c>
      <c r="E93" s="434">
        <v>13</v>
      </c>
      <c r="F93" s="436">
        <f t="shared" si="10"/>
        <v>56.521739130434781</v>
      </c>
      <c r="H93" s="434">
        <v>6</v>
      </c>
      <c r="I93" s="436">
        <f t="shared" si="11"/>
        <v>26.086956521739129</v>
      </c>
      <c r="J93" s="434"/>
      <c r="K93" s="434">
        <v>4</v>
      </c>
      <c r="L93" s="436">
        <f t="shared" si="12"/>
        <v>17.391304347826086</v>
      </c>
      <c r="N93" s="434">
        <v>0</v>
      </c>
      <c r="O93" s="436">
        <f t="shared" si="13"/>
        <v>0</v>
      </c>
      <c r="Q93" s="434">
        <v>0</v>
      </c>
      <c r="R93" s="436">
        <f t="shared" si="9"/>
        <v>0</v>
      </c>
      <c r="S93" s="442"/>
    </row>
    <row r="94" spans="1:19" ht="9.9499999999999993" customHeight="1">
      <c r="B94" s="456" t="str">
        <f t="shared" si="14"/>
        <v/>
      </c>
      <c r="C94" s="436" t="str">
        <f t="shared" si="15"/>
        <v/>
      </c>
      <c r="E94" s="434"/>
      <c r="F94" s="436" t="str">
        <f t="shared" si="10"/>
        <v/>
      </c>
      <c r="H94" s="434"/>
      <c r="I94" s="436" t="str">
        <f t="shared" si="11"/>
        <v/>
      </c>
      <c r="J94" s="434"/>
      <c r="K94" s="434"/>
      <c r="L94" s="436" t="str">
        <f t="shared" si="12"/>
        <v/>
      </c>
      <c r="N94" s="434"/>
      <c r="O94" s="436" t="str">
        <f t="shared" si="13"/>
        <v/>
      </c>
      <c r="Q94" s="434"/>
      <c r="R94" s="436" t="str">
        <f t="shared" si="9"/>
        <v/>
      </c>
      <c r="S94" s="442"/>
    </row>
    <row r="95" spans="1:19" ht="12" customHeight="1">
      <c r="A95" s="434" t="s">
        <v>85</v>
      </c>
      <c r="B95" s="456">
        <f t="shared" si="14"/>
        <v>104</v>
      </c>
      <c r="C95" s="436">
        <f t="shared" si="15"/>
        <v>5.5319148936170208</v>
      </c>
      <c r="E95" s="434">
        <v>34</v>
      </c>
      <c r="F95" s="436">
        <f t="shared" si="10"/>
        <v>32.692307692307693</v>
      </c>
      <c r="H95" s="434">
        <v>52</v>
      </c>
      <c r="I95" s="436">
        <f t="shared" si="11"/>
        <v>50</v>
      </c>
      <c r="J95" s="434"/>
      <c r="K95" s="434">
        <v>18</v>
      </c>
      <c r="L95" s="436">
        <f t="shared" si="12"/>
        <v>17.307692307692307</v>
      </c>
      <c r="N95" s="434">
        <v>0</v>
      </c>
      <c r="O95" s="436">
        <f t="shared" si="13"/>
        <v>0</v>
      </c>
      <c r="Q95" s="434">
        <v>0</v>
      </c>
      <c r="R95" s="436">
        <f t="shared" si="9"/>
        <v>0</v>
      </c>
      <c r="S95" s="442"/>
    </row>
    <row r="96" spans="1:19" ht="12" customHeight="1">
      <c r="A96" s="42" t="s">
        <v>397</v>
      </c>
      <c r="B96" s="456">
        <f t="shared" si="14"/>
        <v>4</v>
      </c>
      <c r="E96" s="434">
        <v>0</v>
      </c>
      <c r="F96" s="436">
        <f t="shared" si="10"/>
        <v>0</v>
      </c>
      <c r="H96" s="434">
        <v>2</v>
      </c>
      <c r="I96" s="436">
        <f t="shared" si="11"/>
        <v>50</v>
      </c>
      <c r="J96" s="434"/>
      <c r="K96" s="434">
        <v>2</v>
      </c>
      <c r="L96" s="436">
        <f t="shared" si="12"/>
        <v>50</v>
      </c>
      <c r="N96" s="434">
        <v>0</v>
      </c>
      <c r="O96" s="436">
        <f t="shared" si="13"/>
        <v>0</v>
      </c>
      <c r="P96" s="442"/>
      <c r="Q96" s="455">
        <v>0</v>
      </c>
      <c r="R96" s="436">
        <f t="shared" si="9"/>
        <v>0</v>
      </c>
      <c r="S96" s="442"/>
    </row>
    <row r="97" spans="1:19" ht="12" customHeight="1">
      <c r="A97" s="434" t="s">
        <v>340</v>
      </c>
      <c r="B97" s="456">
        <f t="shared" si="14"/>
        <v>1</v>
      </c>
      <c r="E97" s="434">
        <v>0</v>
      </c>
      <c r="F97" s="436">
        <f t="shared" si="10"/>
        <v>0</v>
      </c>
      <c r="H97" s="434">
        <v>1</v>
      </c>
      <c r="I97" s="436">
        <f t="shared" si="11"/>
        <v>100</v>
      </c>
      <c r="J97" s="434"/>
      <c r="K97" s="434">
        <v>0</v>
      </c>
      <c r="L97" s="436">
        <f t="shared" si="12"/>
        <v>0</v>
      </c>
      <c r="N97" s="434">
        <v>0</v>
      </c>
      <c r="O97" s="436">
        <f t="shared" si="13"/>
        <v>0</v>
      </c>
      <c r="P97" s="442"/>
      <c r="Q97" s="435"/>
      <c r="R97" s="436">
        <f t="shared" si="9"/>
        <v>0</v>
      </c>
      <c r="S97" s="442"/>
    </row>
    <row r="98" spans="1:19" ht="9" customHeight="1">
      <c r="B98" s="456" t="str">
        <f t="shared" si="14"/>
        <v/>
      </c>
      <c r="C98" s="436" t="str">
        <f t="shared" ref="C98:C103" si="16">IF(A98&lt;&gt;0,B98/$B$11*100,"")</f>
        <v/>
      </c>
      <c r="F98" s="436" t="str">
        <f t="shared" si="10"/>
        <v/>
      </c>
      <c r="I98" s="436" t="str">
        <f t="shared" si="11"/>
        <v/>
      </c>
      <c r="L98" s="436" t="str">
        <f t="shared" si="12"/>
        <v/>
      </c>
      <c r="M98" s="440"/>
      <c r="O98" s="436" t="str">
        <f t="shared" si="13"/>
        <v/>
      </c>
      <c r="P98" s="442"/>
      <c r="Q98" s="435"/>
      <c r="R98" s="436" t="str">
        <f t="shared" si="9"/>
        <v/>
      </c>
      <c r="S98" s="442"/>
    </row>
    <row r="99" spans="1:19" ht="12" customHeight="1">
      <c r="A99" s="9" t="s">
        <v>86</v>
      </c>
      <c r="B99" s="456">
        <f t="shared" si="14"/>
        <v>140</v>
      </c>
      <c r="C99" s="454">
        <f t="shared" si="16"/>
        <v>7.4468085106382977</v>
      </c>
      <c r="D99" s="455"/>
      <c r="E99" s="449">
        <f>SUM(E101+E102+E103+E105)</f>
        <v>94</v>
      </c>
      <c r="F99" s="436">
        <f t="shared" si="10"/>
        <v>67.142857142857139</v>
      </c>
      <c r="G99" s="449"/>
      <c r="H99" s="449">
        <f>SUM(H101+H102+H103+H105)</f>
        <v>38</v>
      </c>
      <c r="I99" s="436">
        <f t="shared" si="11"/>
        <v>27.142857142857142</v>
      </c>
      <c r="J99" s="454"/>
      <c r="K99" s="449">
        <f>SUM(K101+K102+K103+K105)</f>
        <v>7</v>
      </c>
      <c r="L99" s="436">
        <f t="shared" si="12"/>
        <v>5</v>
      </c>
      <c r="M99" s="440"/>
      <c r="N99" s="435">
        <f>SUM(N101+N102+N103+N105)</f>
        <v>0</v>
      </c>
      <c r="O99" s="436">
        <f t="shared" si="13"/>
        <v>0</v>
      </c>
      <c r="P99" s="442"/>
      <c r="Q99" s="435">
        <f>SUM(Q101+Q102+Q103+Q105)</f>
        <v>1</v>
      </c>
      <c r="R99" s="436">
        <f t="shared" si="9"/>
        <v>0.7142857142857143</v>
      </c>
      <c r="S99" s="442"/>
    </row>
    <row r="100" spans="1:19" ht="9" customHeight="1">
      <c r="A100" s="455"/>
      <c r="B100" s="456" t="str">
        <f t="shared" si="14"/>
        <v/>
      </c>
      <c r="C100" s="454" t="str">
        <f t="shared" si="16"/>
        <v/>
      </c>
      <c r="D100" s="455"/>
      <c r="E100" s="449"/>
      <c r="F100" s="436" t="str">
        <f t="shared" si="10"/>
        <v/>
      </c>
      <c r="G100" s="455"/>
      <c r="H100" s="449"/>
      <c r="I100" s="436" t="str">
        <f t="shared" si="11"/>
        <v/>
      </c>
      <c r="J100" s="454"/>
      <c r="K100" s="449"/>
      <c r="L100" s="436" t="str">
        <f t="shared" si="12"/>
        <v/>
      </c>
      <c r="M100" s="440"/>
      <c r="O100" s="436" t="str">
        <f t="shared" si="13"/>
        <v/>
      </c>
      <c r="P100" s="435"/>
      <c r="Q100" s="435"/>
      <c r="R100" s="436" t="str">
        <f t="shared" si="9"/>
        <v/>
      </c>
      <c r="S100" s="435"/>
    </row>
    <row r="101" spans="1:19" ht="12" customHeight="1">
      <c r="A101" s="455" t="s">
        <v>398</v>
      </c>
      <c r="B101" s="456">
        <f t="shared" si="14"/>
        <v>52</v>
      </c>
      <c r="C101" s="454">
        <f t="shared" si="16"/>
        <v>2.7659574468085104</v>
      </c>
      <c r="D101" s="455"/>
      <c r="E101" s="434">
        <v>42</v>
      </c>
      <c r="F101" s="436">
        <f t="shared" si="10"/>
        <v>80.769230769230774</v>
      </c>
      <c r="H101" s="434">
        <v>10</v>
      </c>
      <c r="I101" s="436">
        <f t="shared" si="11"/>
        <v>19.230769230769234</v>
      </c>
      <c r="J101" s="434"/>
      <c r="K101" s="434">
        <v>0</v>
      </c>
      <c r="L101" s="436">
        <f t="shared" si="12"/>
        <v>0</v>
      </c>
      <c r="N101" s="434">
        <v>0</v>
      </c>
      <c r="O101" s="436">
        <f t="shared" si="13"/>
        <v>0</v>
      </c>
      <c r="Q101" s="434">
        <v>0</v>
      </c>
      <c r="R101" s="436">
        <f t="shared" si="9"/>
        <v>0</v>
      </c>
      <c r="S101" s="435"/>
    </row>
    <row r="102" spans="1:19" ht="12" customHeight="1">
      <c r="A102" s="455" t="s">
        <v>399</v>
      </c>
      <c r="B102" s="456">
        <f t="shared" si="14"/>
        <v>74</v>
      </c>
      <c r="C102" s="454">
        <f t="shared" si="16"/>
        <v>3.9361702127659575</v>
      </c>
      <c r="D102" s="455"/>
      <c r="E102" s="434">
        <v>44</v>
      </c>
      <c r="F102" s="436">
        <f t="shared" si="10"/>
        <v>59.45945945945946</v>
      </c>
      <c r="H102" s="434">
        <v>22</v>
      </c>
      <c r="I102" s="436">
        <f t="shared" si="11"/>
        <v>29.72972972972973</v>
      </c>
      <c r="J102" s="434"/>
      <c r="K102" s="434">
        <v>7</v>
      </c>
      <c r="L102" s="436">
        <f t="shared" si="12"/>
        <v>9.4594594594594597</v>
      </c>
      <c r="N102" s="434">
        <v>0</v>
      </c>
      <c r="O102" s="436">
        <f t="shared" si="13"/>
        <v>0</v>
      </c>
      <c r="Q102" s="434">
        <v>1</v>
      </c>
      <c r="R102" s="436">
        <f t="shared" si="9"/>
        <v>1.3513513513513513</v>
      </c>
      <c r="S102" s="442"/>
    </row>
    <row r="103" spans="1:19" ht="12" customHeight="1">
      <c r="A103" s="455" t="s">
        <v>400</v>
      </c>
      <c r="B103" s="456">
        <f t="shared" si="14"/>
        <v>12</v>
      </c>
      <c r="C103" s="454">
        <f t="shared" si="16"/>
        <v>0.63829787234042545</v>
      </c>
      <c r="D103" s="455"/>
      <c r="E103" s="434">
        <v>8</v>
      </c>
      <c r="F103" s="436">
        <f t="shared" si="10"/>
        <v>66.666666666666657</v>
      </c>
      <c r="H103" s="434">
        <v>4</v>
      </c>
      <c r="I103" s="436">
        <f t="shared" si="11"/>
        <v>33.333333333333329</v>
      </c>
      <c r="J103" s="434"/>
      <c r="K103" s="434">
        <v>0</v>
      </c>
      <c r="L103" s="436">
        <f t="shared" si="12"/>
        <v>0</v>
      </c>
      <c r="N103" s="434">
        <v>0</v>
      </c>
      <c r="O103" s="436">
        <f t="shared" si="13"/>
        <v>0</v>
      </c>
      <c r="Q103" s="434">
        <v>0</v>
      </c>
      <c r="R103" s="436">
        <f t="shared" si="9"/>
        <v>0</v>
      </c>
      <c r="S103" s="442"/>
    </row>
    <row r="104" spans="1:19" ht="12" customHeight="1">
      <c r="B104" s="456" t="str">
        <f t="shared" si="14"/>
        <v/>
      </c>
      <c r="C104" s="454"/>
      <c r="D104" s="455"/>
      <c r="E104" s="434"/>
      <c r="F104" s="436" t="str">
        <f t="shared" si="10"/>
        <v/>
      </c>
      <c r="H104" s="434"/>
      <c r="I104" s="436" t="str">
        <f t="shared" si="11"/>
        <v/>
      </c>
      <c r="J104" s="434"/>
      <c r="K104" s="434"/>
      <c r="L104" s="436" t="str">
        <f t="shared" si="12"/>
        <v/>
      </c>
      <c r="N104" s="434"/>
      <c r="O104" s="436" t="str">
        <f t="shared" si="13"/>
        <v/>
      </c>
      <c r="Q104" s="434"/>
      <c r="R104" s="436"/>
      <c r="S104" s="442"/>
    </row>
    <row r="105" spans="1:19" ht="12" customHeight="1">
      <c r="A105" s="434" t="s">
        <v>149</v>
      </c>
      <c r="B105" s="456">
        <f t="shared" si="14"/>
        <v>2</v>
      </c>
      <c r="C105" s="436">
        <f t="shared" ref="C105:C112" si="17">IF(A105&lt;&gt;0,B105/$B$11*100,"")</f>
        <v>0.10638297872340426</v>
      </c>
      <c r="E105" s="434">
        <v>0</v>
      </c>
      <c r="F105" s="436">
        <f t="shared" si="10"/>
        <v>0</v>
      </c>
      <c r="H105" s="434">
        <v>2</v>
      </c>
      <c r="I105" s="436">
        <f t="shared" si="11"/>
        <v>100</v>
      </c>
      <c r="J105" s="434"/>
      <c r="K105" s="434">
        <v>0</v>
      </c>
      <c r="L105" s="436">
        <f t="shared" si="12"/>
        <v>0</v>
      </c>
      <c r="N105" s="434">
        <v>0</v>
      </c>
      <c r="O105" s="436">
        <f t="shared" si="13"/>
        <v>0</v>
      </c>
      <c r="Q105" s="434">
        <v>0</v>
      </c>
      <c r="R105" s="436">
        <f t="shared" ref="R105:R112" si="18">IF($A105&lt;&gt;0,Q105/$B105*100,"")</f>
        <v>0</v>
      </c>
      <c r="S105" s="442"/>
    </row>
    <row r="106" spans="1:19" ht="7.5" customHeight="1">
      <c r="B106" s="456" t="str">
        <f t="shared" si="14"/>
        <v/>
      </c>
      <c r="C106" s="436" t="str">
        <f t="shared" si="17"/>
        <v/>
      </c>
      <c r="F106" s="436" t="str">
        <f t="shared" si="10"/>
        <v/>
      </c>
      <c r="I106" s="436" t="str">
        <f t="shared" si="11"/>
        <v/>
      </c>
      <c r="L106" s="436" t="str">
        <f t="shared" si="12"/>
        <v/>
      </c>
      <c r="M106" s="440"/>
      <c r="O106" s="436" t="str">
        <f t="shared" si="13"/>
        <v/>
      </c>
      <c r="P106" s="442"/>
      <c r="Q106" s="435"/>
      <c r="R106" s="436" t="str">
        <f t="shared" si="18"/>
        <v/>
      </c>
      <c r="S106" s="442"/>
    </row>
    <row r="107" spans="1:19" ht="12" customHeight="1">
      <c r="A107" s="63" t="s">
        <v>346</v>
      </c>
      <c r="B107" s="456">
        <f t="shared" si="14"/>
        <v>209</v>
      </c>
      <c r="C107" s="436">
        <f t="shared" si="17"/>
        <v>11.117021276595745</v>
      </c>
      <c r="E107" s="435">
        <f>SUM(E108:E112)</f>
        <v>38</v>
      </c>
      <c r="F107" s="436">
        <f t="shared" si="10"/>
        <v>18.181818181818183</v>
      </c>
      <c r="H107" s="435">
        <f>SUM(H108:H112)</f>
        <v>145</v>
      </c>
      <c r="I107" s="436">
        <f t="shared" si="11"/>
        <v>69.377990430622006</v>
      </c>
      <c r="K107" s="435">
        <f>SUM(K108:K112)</f>
        <v>26</v>
      </c>
      <c r="L107" s="436">
        <f t="shared" si="12"/>
        <v>12.440191387559809</v>
      </c>
      <c r="M107" s="440"/>
      <c r="N107" s="435">
        <f>SUM(N108:N112)</f>
        <v>0</v>
      </c>
      <c r="O107" s="436">
        <f t="shared" si="13"/>
        <v>0</v>
      </c>
      <c r="P107" s="442"/>
      <c r="Q107" s="435">
        <f>SUM(Q108:Q112)</f>
        <v>0</v>
      </c>
      <c r="R107" s="436">
        <f t="shared" si="18"/>
        <v>0</v>
      </c>
      <c r="S107" s="442"/>
    </row>
    <row r="108" spans="1:19" ht="12" customHeight="1">
      <c r="A108" s="434" t="s">
        <v>347</v>
      </c>
      <c r="B108" s="456">
        <f t="shared" si="14"/>
        <v>92</v>
      </c>
      <c r="C108" s="436">
        <f t="shared" si="17"/>
        <v>4.8936170212765955</v>
      </c>
      <c r="E108" s="434">
        <v>16</v>
      </c>
      <c r="F108" s="436">
        <f t="shared" si="10"/>
        <v>17.391304347826086</v>
      </c>
      <c r="H108" s="434">
        <v>61</v>
      </c>
      <c r="I108" s="436">
        <f t="shared" si="11"/>
        <v>66.304347826086953</v>
      </c>
      <c r="J108" s="434"/>
      <c r="K108" s="434">
        <v>15</v>
      </c>
      <c r="L108" s="436">
        <f t="shared" si="12"/>
        <v>16.304347826086957</v>
      </c>
      <c r="N108" s="434">
        <v>0</v>
      </c>
      <c r="O108" s="436">
        <f t="shared" si="13"/>
        <v>0</v>
      </c>
      <c r="Q108" s="434">
        <v>0</v>
      </c>
      <c r="R108" s="436">
        <f t="shared" si="18"/>
        <v>0</v>
      </c>
      <c r="S108" s="442"/>
    </row>
    <row r="109" spans="1:19" ht="12" customHeight="1">
      <c r="A109" s="434" t="s">
        <v>348</v>
      </c>
      <c r="B109" s="456">
        <f t="shared" si="14"/>
        <v>34</v>
      </c>
      <c r="C109" s="436">
        <f t="shared" si="17"/>
        <v>1.8085106382978722</v>
      </c>
      <c r="E109" s="434">
        <v>5</v>
      </c>
      <c r="F109" s="436">
        <f t="shared" si="10"/>
        <v>14.705882352941178</v>
      </c>
      <c r="H109" s="434">
        <v>27</v>
      </c>
      <c r="I109" s="436">
        <f t="shared" si="11"/>
        <v>79.411764705882348</v>
      </c>
      <c r="J109" s="434"/>
      <c r="K109" s="434">
        <v>2</v>
      </c>
      <c r="L109" s="436">
        <f t="shared" si="12"/>
        <v>5.8823529411764701</v>
      </c>
      <c r="N109" s="434">
        <v>0</v>
      </c>
      <c r="O109" s="436">
        <f t="shared" si="13"/>
        <v>0</v>
      </c>
      <c r="Q109" s="434">
        <v>0</v>
      </c>
      <c r="R109" s="436">
        <f t="shared" si="18"/>
        <v>0</v>
      </c>
      <c r="S109" s="442"/>
    </row>
    <row r="110" spans="1:19" ht="12" customHeight="1">
      <c r="A110" s="434" t="s">
        <v>349</v>
      </c>
      <c r="B110" s="456">
        <f t="shared" si="14"/>
        <v>34</v>
      </c>
      <c r="C110" s="436">
        <f t="shared" si="17"/>
        <v>1.8085106382978722</v>
      </c>
      <c r="E110" s="434">
        <v>5</v>
      </c>
      <c r="F110" s="436">
        <f t="shared" si="10"/>
        <v>14.705882352941178</v>
      </c>
      <c r="H110" s="434">
        <v>24</v>
      </c>
      <c r="I110" s="436">
        <f t="shared" si="11"/>
        <v>70.588235294117652</v>
      </c>
      <c r="J110" s="434"/>
      <c r="K110" s="434">
        <v>5</v>
      </c>
      <c r="L110" s="436">
        <f t="shared" si="12"/>
        <v>14.705882352941178</v>
      </c>
      <c r="N110" s="434">
        <v>0</v>
      </c>
      <c r="O110" s="436">
        <f t="shared" si="13"/>
        <v>0</v>
      </c>
      <c r="Q110" s="434">
        <v>0</v>
      </c>
      <c r="R110" s="436">
        <f t="shared" si="18"/>
        <v>0</v>
      </c>
      <c r="S110" s="442"/>
    </row>
    <row r="111" spans="1:19" ht="12" customHeight="1">
      <c r="A111" s="42" t="s">
        <v>378</v>
      </c>
      <c r="B111" s="456">
        <f t="shared" si="14"/>
        <v>23</v>
      </c>
      <c r="C111" s="436">
        <f t="shared" si="17"/>
        <v>1.2234042553191489</v>
      </c>
      <c r="E111" s="434">
        <v>7</v>
      </c>
      <c r="F111" s="436">
        <f t="shared" si="10"/>
        <v>30.434782608695656</v>
      </c>
      <c r="H111" s="434">
        <v>15</v>
      </c>
      <c r="I111" s="436">
        <f t="shared" si="11"/>
        <v>65.217391304347828</v>
      </c>
      <c r="J111" s="434"/>
      <c r="K111" s="434">
        <v>1</v>
      </c>
      <c r="L111" s="436">
        <f t="shared" si="12"/>
        <v>4.3478260869565215</v>
      </c>
      <c r="N111" s="434">
        <v>0</v>
      </c>
      <c r="O111" s="436">
        <f t="shared" si="13"/>
        <v>0</v>
      </c>
      <c r="Q111" s="434">
        <v>0</v>
      </c>
      <c r="R111" s="436">
        <f t="shared" si="18"/>
        <v>0</v>
      </c>
      <c r="S111" s="442"/>
    </row>
    <row r="112" spans="1:19" ht="12" customHeight="1">
      <c r="A112" s="434" t="s">
        <v>351</v>
      </c>
      <c r="B112" s="456">
        <f t="shared" si="14"/>
        <v>26</v>
      </c>
      <c r="C112" s="436">
        <f t="shared" si="17"/>
        <v>1.3829787234042552</v>
      </c>
      <c r="E112" s="434">
        <v>5</v>
      </c>
      <c r="F112" s="436">
        <f t="shared" si="10"/>
        <v>19.230769230769234</v>
      </c>
      <c r="H112" s="434">
        <v>18</v>
      </c>
      <c r="I112" s="436">
        <f t="shared" si="11"/>
        <v>69.230769230769226</v>
      </c>
      <c r="J112" s="434"/>
      <c r="K112" s="434">
        <v>3</v>
      </c>
      <c r="L112" s="436">
        <f t="shared" si="12"/>
        <v>11.538461538461538</v>
      </c>
      <c r="N112" s="434">
        <v>0</v>
      </c>
      <c r="O112" s="436">
        <f t="shared" si="13"/>
        <v>0</v>
      </c>
      <c r="Q112" s="434">
        <v>0</v>
      </c>
      <c r="R112" s="436">
        <f t="shared" si="18"/>
        <v>0</v>
      </c>
      <c r="S112" s="442"/>
    </row>
    <row r="113" spans="1:19" ht="9.9499999999999993" customHeight="1" thickBot="1">
      <c r="O113" s="436"/>
      <c r="P113" s="436"/>
      <c r="Q113" s="435"/>
      <c r="R113" s="436"/>
      <c r="S113" s="436"/>
    </row>
    <row r="114" spans="1:19" ht="7.5" customHeight="1">
      <c r="A114" s="437"/>
      <c r="B114" s="811"/>
      <c r="C114" s="439"/>
      <c r="D114" s="437"/>
      <c r="E114" s="438"/>
      <c r="F114" s="439"/>
      <c r="G114" s="437"/>
      <c r="H114" s="438"/>
      <c r="I114" s="439"/>
      <c r="J114" s="439"/>
      <c r="K114" s="438"/>
      <c r="L114" s="439"/>
      <c r="M114" s="437"/>
      <c r="N114" s="438"/>
      <c r="O114" s="439"/>
      <c r="P114" s="439"/>
      <c r="Q114" s="438"/>
      <c r="R114" s="439"/>
      <c r="S114" s="439"/>
    </row>
    <row r="115" spans="1:19" ht="16.5" customHeight="1">
      <c r="A115" s="453" t="s">
        <v>401</v>
      </c>
      <c r="B115" s="448"/>
      <c r="C115" s="442"/>
      <c r="D115" s="440"/>
      <c r="E115" s="441"/>
      <c r="F115" s="442"/>
      <c r="G115" s="440"/>
      <c r="H115" s="441"/>
      <c r="I115" s="442"/>
      <c r="J115" s="442"/>
      <c r="K115" s="441"/>
      <c r="L115" s="442"/>
      <c r="M115" s="440"/>
      <c r="N115" s="441"/>
      <c r="O115" s="442"/>
      <c r="P115" s="442"/>
    </row>
    <row r="116" spans="1:19" ht="15" customHeight="1">
      <c r="A116" s="453" t="s">
        <v>402</v>
      </c>
      <c r="B116" s="448"/>
      <c r="C116" s="442"/>
      <c r="D116" s="440"/>
      <c r="E116" s="441"/>
      <c r="F116" s="442"/>
      <c r="G116" s="440"/>
      <c r="H116" s="441"/>
      <c r="I116" s="442"/>
      <c r="J116" s="442"/>
      <c r="K116" s="441"/>
      <c r="L116" s="442"/>
      <c r="M116" s="440"/>
      <c r="N116" s="441"/>
      <c r="O116" s="442"/>
      <c r="P116" s="442"/>
    </row>
    <row r="117" spans="1:19">
      <c r="A117" s="95" t="s">
        <v>403</v>
      </c>
      <c r="B117" s="448"/>
      <c r="C117" s="442"/>
      <c r="D117" s="440"/>
      <c r="E117" s="441"/>
      <c r="F117" s="442"/>
      <c r="G117" s="440"/>
      <c r="H117" s="441"/>
      <c r="I117" s="442"/>
      <c r="J117" s="442"/>
      <c r="K117" s="441"/>
      <c r="L117" s="442"/>
      <c r="M117" s="440"/>
      <c r="N117" s="441"/>
      <c r="O117" s="442"/>
      <c r="P117" s="442"/>
    </row>
    <row r="118" spans="1:19" ht="8.25" customHeight="1"/>
    <row r="119" spans="1:19">
      <c r="A119" s="434" t="s">
        <v>404</v>
      </c>
    </row>
    <row r="120" spans="1:19">
      <c r="A120" s="434" t="s">
        <v>385</v>
      </c>
    </row>
  </sheetData>
  <mergeCells count="2">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120.xml><?xml version="1.0" encoding="utf-8"?>
<worksheet xmlns="http://schemas.openxmlformats.org/spreadsheetml/2006/main" xmlns:r="http://schemas.openxmlformats.org/officeDocument/2006/relationships">
  <dimension ref="A1:Y36"/>
  <sheetViews>
    <sheetView workbookViewId="0">
      <selection activeCell="H39" sqref="H39"/>
    </sheetView>
  </sheetViews>
  <sheetFormatPr baseColWidth="10" defaultColWidth="9.140625" defaultRowHeight="15"/>
  <cols>
    <col min="1" max="1" width="10.85546875" style="847" customWidth="1"/>
    <col min="2" max="2" width="7.7109375" style="1158" customWidth="1"/>
    <col min="3" max="3" width="7.7109375" style="943" customWidth="1"/>
    <col min="4" max="4" width="1.7109375" style="847" customWidth="1"/>
    <col min="5" max="5" width="7.7109375" style="942" customWidth="1"/>
    <col min="6" max="6" width="7.7109375" style="943" customWidth="1"/>
    <col min="7" max="7" width="1.7109375" style="847" customWidth="1"/>
    <col min="8" max="8" width="6.7109375" style="942" customWidth="1"/>
    <col min="9" max="9" width="7.7109375" style="943" customWidth="1"/>
    <col min="10" max="10" width="1.7109375" style="943" customWidth="1"/>
    <col min="11" max="11" width="6.7109375" style="942" customWidth="1"/>
    <col min="12" max="12" width="7.7109375" style="847" customWidth="1"/>
    <col min="13" max="13" width="1.7109375" style="847" customWidth="1"/>
    <col min="14" max="14" width="6.7109375" style="942" customWidth="1"/>
    <col min="15" max="15" width="7.7109375" style="847" customWidth="1"/>
    <col min="16" max="16" width="1.7109375" style="847" customWidth="1"/>
    <col min="17" max="17" width="6.7109375" style="942" customWidth="1"/>
    <col min="18" max="18" width="7.7109375" style="847" customWidth="1"/>
    <col min="19" max="19" width="1.7109375" style="847" customWidth="1"/>
    <col min="20" max="20" width="6.7109375" style="847" customWidth="1"/>
    <col min="21" max="21" width="9.140625" style="847" customWidth="1"/>
    <col min="22" max="22" width="1.85546875" style="847" customWidth="1"/>
    <col min="23" max="23" width="6.7109375" style="847" customWidth="1"/>
    <col min="24" max="24" width="9.140625" style="847" customWidth="1"/>
    <col min="25" max="25" width="1.7109375" style="847" customWidth="1"/>
    <col min="26" max="256" width="9.140625" style="847"/>
    <col min="257" max="257" width="10.85546875" style="847" customWidth="1"/>
    <col min="258" max="259" width="7.7109375" style="847" customWidth="1"/>
    <col min="260" max="260" width="1.7109375" style="847" customWidth="1"/>
    <col min="261" max="262" width="7.7109375" style="847" customWidth="1"/>
    <col min="263" max="263" width="1.7109375" style="847" customWidth="1"/>
    <col min="264" max="264" width="6.7109375" style="847" customWidth="1"/>
    <col min="265" max="265" width="7.7109375" style="847" customWidth="1"/>
    <col min="266" max="266" width="1.7109375" style="847" customWidth="1"/>
    <col min="267" max="267" width="6.7109375" style="847" customWidth="1"/>
    <col min="268" max="268" width="7.7109375" style="847" customWidth="1"/>
    <col min="269" max="269" width="1.7109375" style="847" customWidth="1"/>
    <col min="270" max="270" width="6.7109375" style="847" customWidth="1"/>
    <col min="271" max="271" width="7.7109375" style="847" customWidth="1"/>
    <col min="272" max="272" width="1.7109375" style="847" customWidth="1"/>
    <col min="273" max="273" width="6.7109375" style="847" customWidth="1"/>
    <col min="274" max="274" width="7.7109375" style="847" customWidth="1"/>
    <col min="275" max="275" width="1.7109375" style="847" customWidth="1"/>
    <col min="276" max="276" width="6.7109375" style="847" customWidth="1"/>
    <col min="277" max="277" width="9.140625" style="847" customWidth="1"/>
    <col min="278" max="278" width="1.85546875" style="847" customWidth="1"/>
    <col min="279" max="279" width="6.7109375" style="847" customWidth="1"/>
    <col min="280" max="280" width="9.140625" style="847" customWidth="1"/>
    <col min="281" max="281" width="1.7109375" style="847" customWidth="1"/>
    <col min="282" max="512" width="9.140625" style="847"/>
    <col min="513" max="513" width="10.85546875" style="847" customWidth="1"/>
    <col min="514" max="515" width="7.7109375" style="847" customWidth="1"/>
    <col min="516" max="516" width="1.7109375" style="847" customWidth="1"/>
    <col min="517" max="518" width="7.7109375" style="847" customWidth="1"/>
    <col min="519" max="519" width="1.7109375" style="847" customWidth="1"/>
    <col min="520" max="520" width="6.7109375" style="847" customWidth="1"/>
    <col min="521" max="521" width="7.7109375" style="847" customWidth="1"/>
    <col min="522" max="522" width="1.7109375" style="847" customWidth="1"/>
    <col min="523" max="523" width="6.7109375" style="847" customWidth="1"/>
    <col min="524" max="524" width="7.7109375" style="847" customWidth="1"/>
    <col min="525" max="525" width="1.7109375" style="847" customWidth="1"/>
    <col min="526" max="526" width="6.7109375" style="847" customWidth="1"/>
    <col min="527" max="527" width="7.7109375" style="847" customWidth="1"/>
    <col min="528" max="528" width="1.7109375" style="847" customWidth="1"/>
    <col min="529" max="529" width="6.7109375" style="847" customWidth="1"/>
    <col min="530" max="530" width="7.7109375" style="847" customWidth="1"/>
    <col min="531" max="531" width="1.7109375" style="847" customWidth="1"/>
    <col min="532" max="532" width="6.7109375" style="847" customWidth="1"/>
    <col min="533" max="533" width="9.140625" style="847" customWidth="1"/>
    <col min="534" max="534" width="1.85546875" style="847" customWidth="1"/>
    <col min="535" max="535" width="6.7109375" style="847" customWidth="1"/>
    <col min="536" max="536" width="9.140625" style="847" customWidth="1"/>
    <col min="537" max="537" width="1.7109375" style="847" customWidth="1"/>
    <col min="538" max="768" width="9.140625" style="847"/>
    <col min="769" max="769" width="10.85546875" style="847" customWidth="1"/>
    <col min="770" max="771" width="7.7109375" style="847" customWidth="1"/>
    <col min="772" max="772" width="1.7109375" style="847" customWidth="1"/>
    <col min="773" max="774" width="7.7109375" style="847" customWidth="1"/>
    <col min="775" max="775" width="1.7109375" style="847" customWidth="1"/>
    <col min="776" max="776" width="6.7109375" style="847" customWidth="1"/>
    <col min="777" max="777" width="7.7109375" style="847" customWidth="1"/>
    <col min="778" max="778" width="1.7109375" style="847" customWidth="1"/>
    <col min="779" max="779" width="6.7109375" style="847" customWidth="1"/>
    <col min="780" max="780" width="7.7109375" style="847" customWidth="1"/>
    <col min="781" max="781" width="1.7109375" style="847" customWidth="1"/>
    <col min="782" max="782" width="6.7109375" style="847" customWidth="1"/>
    <col min="783" max="783" width="7.7109375" style="847" customWidth="1"/>
    <col min="784" max="784" width="1.7109375" style="847" customWidth="1"/>
    <col min="785" max="785" width="6.7109375" style="847" customWidth="1"/>
    <col min="786" max="786" width="7.7109375" style="847" customWidth="1"/>
    <col min="787" max="787" width="1.7109375" style="847" customWidth="1"/>
    <col min="788" max="788" width="6.7109375" style="847" customWidth="1"/>
    <col min="789" max="789" width="9.140625" style="847" customWidth="1"/>
    <col min="790" max="790" width="1.85546875" style="847" customWidth="1"/>
    <col min="791" max="791" width="6.7109375" style="847" customWidth="1"/>
    <col min="792" max="792" width="9.140625" style="847" customWidth="1"/>
    <col min="793" max="793" width="1.7109375" style="847" customWidth="1"/>
    <col min="794" max="1024" width="9.140625" style="847"/>
    <col min="1025" max="1025" width="10.85546875" style="847" customWidth="1"/>
    <col min="1026" max="1027" width="7.7109375" style="847" customWidth="1"/>
    <col min="1028" max="1028" width="1.7109375" style="847" customWidth="1"/>
    <col min="1029" max="1030" width="7.7109375" style="847" customWidth="1"/>
    <col min="1031" max="1031" width="1.7109375" style="847" customWidth="1"/>
    <col min="1032" max="1032" width="6.7109375" style="847" customWidth="1"/>
    <col min="1033" max="1033" width="7.7109375" style="847" customWidth="1"/>
    <col min="1034" max="1034" width="1.7109375" style="847" customWidth="1"/>
    <col min="1035" max="1035" width="6.7109375" style="847" customWidth="1"/>
    <col min="1036" max="1036" width="7.7109375" style="847" customWidth="1"/>
    <col min="1037" max="1037" width="1.7109375" style="847" customWidth="1"/>
    <col min="1038" max="1038" width="6.7109375" style="847" customWidth="1"/>
    <col min="1039" max="1039" width="7.7109375" style="847" customWidth="1"/>
    <col min="1040" max="1040" width="1.7109375" style="847" customWidth="1"/>
    <col min="1041" max="1041" width="6.7109375" style="847" customWidth="1"/>
    <col min="1042" max="1042" width="7.7109375" style="847" customWidth="1"/>
    <col min="1043" max="1043" width="1.7109375" style="847" customWidth="1"/>
    <col min="1044" max="1044" width="6.7109375" style="847" customWidth="1"/>
    <col min="1045" max="1045" width="9.140625" style="847" customWidth="1"/>
    <col min="1046" max="1046" width="1.85546875" style="847" customWidth="1"/>
    <col min="1047" max="1047" width="6.7109375" style="847" customWidth="1"/>
    <col min="1048" max="1048" width="9.140625" style="847" customWidth="1"/>
    <col min="1049" max="1049" width="1.7109375" style="847" customWidth="1"/>
    <col min="1050" max="1280" width="9.140625" style="847"/>
    <col min="1281" max="1281" width="10.85546875" style="847" customWidth="1"/>
    <col min="1282" max="1283" width="7.7109375" style="847" customWidth="1"/>
    <col min="1284" max="1284" width="1.7109375" style="847" customWidth="1"/>
    <col min="1285" max="1286" width="7.7109375" style="847" customWidth="1"/>
    <col min="1287" max="1287" width="1.7109375" style="847" customWidth="1"/>
    <col min="1288" max="1288" width="6.7109375" style="847" customWidth="1"/>
    <col min="1289" max="1289" width="7.7109375" style="847" customWidth="1"/>
    <col min="1290" max="1290" width="1.7109375" style="847" customWidth="1"/>
    <col min="1291" max="1291" width="6.7109375" style="847" customWidth="1"/>
    <col min="1292" max="1292" width="7.7109375" style="847" customWidth="1"/>
    <col min="1293" max="1293" width="1.7109375" style="847" customWidth="1"/>
    <col min="1294" max="1294" width="6.7109375" style="847" customWidth="1"/>
    <col min="1295" max="1295" width="7.7109375" style="847" customWidth="1"/>
    <col min="1296" max="1296" width="1.7109375" style="847" customWidth="1"/>
    <col min="1297" max="1297" width="6.7109375" style="847" customWidth="1"/>
    <col min="1298" max="1298" width="7.7109375" style="847" customWidth="1"/>
    <col min="1299" max="1299" width="1.7109375" style="847" customWidth="1"/>
    <col min="1300" max="1300" width="6.7109375" style="847" customWidth="1"/>
    <col min="1301" max="1301" width="9.140625" style="847" customWidth="1"/>
    <col min="1302" max="1302" width="1.85546875" style="847" customWidth="1"/>
    <col min="1303" max="1303" width="6.7109375" style="847" customWidth="1"/>
    <col min="1304" max="1304" width="9.140625" style="847" customWidth="1"/>
    <col min="1305" max="1305" width="1.7109375" style="847" customWidth="1"/>
    <col min="1306" max="1536" width="9.140625" style="847"/>
    <col min="1537" max="1537" width="10.85546875" style="847" customWidth="1"/>
    <col min="1538" max="1539" width="7.7109375" style="847" customWidth="1"/>
    <col min="1540" max="1540" width="1.7109375" style="847" customWidth="1"/>
    <col min="1541" max="1542" width="7.7109375" style="847" customWidth="1"/>
    <col min="1543" max="1543" width="1.7109375" style="847" customWidth="1"/>
    <col min="1544" max="1544" width="6.7109375" style="847" customWidth="1"/>
    <col min="1545" max="1545" width="7.7109375" style="847" customWidth="1"/>
    <col min="1546" max="1546" width="1.7109375" style="847" customWidth="1"/>
    <col min="1547" max="1547" width="6.7109375" style="847" customWidth="1"/>
    <col min="1548" max="1548" width="7.7109375" style="847" customWidth="1"/>
    <col min="1549" max="1549" width="1.7109375" style="847" customWidth="1"/>
    <col min="1550" max="1550" width="6.7109375" style="847" customWidth="1"/>
    <col min="1551" max="1551" width="7.7109375" style="847" customWidth="1"/>
    <col min="1552" max="1552" width="1.7109375" style="847" customWidth="1"/>
    <col min="1553" max="1553" width="6.7109375" style="847" customWidth="1"/>
    <col min="1554" max="1554" width="7.7109375" style="847" customWidth="1"/>
    <col min="1555" max="1555" width="1.7109375" style="847" customWidth="1"/>
    <col min="1556" max="1556" width="6.7109375" style="847" customWidth="1"/>
    <col min="1557" max="1557" width="9.140625" style="847" customWidth="1"/>
    <col min="1558" max="1558" width="1.85546875" style="847" customWidth="1"/>
    <col min="1559" max="1559" width="6.7109375" style="847" customWidth="1"/>
    <col min="1560" max="1560" width="9.140625" style="847" customWidth="1"/>
    <col min="1561" max="1561" width="1.7109375" style="847" customWidth="1"/>
    <col min="1562" max="1792" width="9.140625" style="847"/>
    <col min="1793" max="1793" width="10.85546875" style="847" customWidth="1"/>
    <col min="1794" max="1795" width="7.7109375" style="847" customWidth="1"/>
    <col min="1796" max="1796" width="1.7109375" style="847" customWidth="1"/>
    <col min="1797" max="1798" width="7.7109375" style="847" customWidth="1"/>
    <col min="1799" max="1799" width="1.7109375" style="847" customWidth="1"/>
    <col min="1800" max="1800" width="6.7109375" style="847" customWidth="1"/>
    <col min="1801" max="1801" width="7.7109375" style="847" customWidth="1"/>
    <col min="1802" max="1802" width="1.7109375" style="847" customWidth="1"/>
    <col min="1803" max="1803" width="6.7109375" style="847" customWidth="1"/>
    <col min="1804" max="1804" width="7.7109375" style="847" customWidth="1"/>
    <col min="1805" max="1805" width="1.7109375" style="847" customWidth="1"/>
    <col min="1806" max="1806" width="6.7109375" style="847" customWidth="1"/>
    <col min="1807" max="1807" width="7.7109375" style="847" customWidth="1"/>
    <col min="1808" max="1808" width="1.7109375" style="847" customWidth="1"/>
    <col min="1809" max="1809" width="6.7109375" style="847" customWidth="1"/>
    <col min="1810" max="1810" width="7.7109375" style="847" customWidth="1"/>
    <col min="1811" max="1811" width="1.7109375" style="847" customWidth="1"/>
    <col min="1812" max="1812" width="6.7109375" style="847" customWidth="1"/>
    <col min="1813" max="1813" width="9.140625" style="847" customWidth="1"/>
    <col min="1814" max="1814" width="1.85546875" style="847" customWidth="1"/>
    <col min="1815" max="1815" width="6.7109375" style="847" customWidth="1"/>
    <col min="1816" max="1816" width="9.140625" style="847" customWidth="1"/>
    <col min="1817" max="1817" width="1.7109375" style="847" customWidth="1"/>
    <col min="1818" max="2048" width="9.140625" style="847"/>
    <col min="2049" max="2049" width="10.85546875" style="847" customWidth="1"/>
    <col min="2050" max="2051" width="7.7109375" style="847" customWidth="1"/>
    <col min="2052" max="2052" width="1.7109375" style="847" customWidth="1"/>
    <col min="2053" max="2054" width="7.7109375" style="847" customWidth="1"/>
    <col min="2055" max="2055" width="1.7109375" style="847" customWidth="1"/>
    <col min="2056" max="2056" width="6.7109375" style="847" customWidth="1"/>
    <col min="2057" max="2057" width="7.7109375" style="847" customWidth="1"/>
    <col min="2058" max="2058" width="1.7109375" style="847" customWidth="1"/>
    <col min="2059" max="2059" width="6.7109375" style="847" customWidth="1"/>
    <col min="2060" max="2060" width="7.7109375" style="847" customWidth="1"/>
    <col min="2061" max="2061" width="1.7109375" style="847" customWidth="1"/>
    <col min="2062" max="2062" width="6.7109375" style="847" customWidth="1"/>
    <col min="2063" max="2063" width="7.7109375" style="847" customWidth="1"/>
    <col min="2064" max="2064" width="1.7109375" style="847" customWidth="1"/>
    <col min="2065" max="2065" width="6.7109375" style="847" customWidth="1"/>
    <col min="2066" max="2066" width="7.7109375" style="847" customWidth="1"/>
    <col min="2067" max="2067" width="1.7109375" style="847" customWidth="1"/>
    <col min="2068" max="2068" width="6.7109375" style="847" customWidth="1"/>
    <col min="2069" max="2069" width="9.140625" style="847" customWidth="1"/>
    <col min="2070" max="2070" width="1.85546875" style="847" customWidth="1"/>
    <col min="2071" max="2071" width="6.7109375" style="847" customWidth="1"/>
    <col min="2072" max="2072" width="9.140625" style="847" customWidth="1"/>
    <col min="2073" max="2073" width="1.7109375" style="847" customWidth="1"/>
    <col min="2074" max="2304" width="9.140625" style="847"/>
    <col min="2305" max="2305" width="10.85546875" style="847" customWidth="1"/>
    <col min="2306" max="2307" width="7.7109375" style="847" customWidth="1"/>
    <col min="2308" max="2308" width="1.7109375" style="847" customWidth="1"/>
    <col min="2309" max="2310" width="7.7109375" style="847" customWidth="1"/>
    <col min="2311" max="2311" width="1.7109375" style="847" customWidth="1"/>
    <col min="2312" max="2312" width="6.7109375" style="847" customWidth="1"/>
    <col min="2313" max="2313" width="7.7109375" style="847" customWidth="1"/>
    <col min="2314" max="2314" width="1.7109375" style="847" customWidth="1"/>
    <col min="2315" max="2315" width="6.7109375" style="847" customWidth="1"/>
    <col min="2316" max="2316" width="7.7109375" style="847" customWidth="1"/>
    <col min="2317" max="2317" width="1.7109375" style="847" customWidth="1"/>
    <col min="2318" max="2318" width="6.7109375" style="847" customWidth="1"/>
    <col min="2319" max="2319" width="7.7109375" style="847" customWidth="1"/>
    <col min="2320" max="2320" width="1.7109375" style="847" customWidth="1"/>
    <col min="2321" max="2321" width="6.7109375" style="847" customWidth="1"/>
    <col min="2322" max="2322" width="7.7109375" style="847" customWidth="1"/>
    <col min="2323" max="2323" width="1.7109375" style="847" customWidth="1"/>
    <col min="2324" max="2324" width="6.7109375" style="847" customWidth="1"/>
    <col min="2325" max="2325" width="9.140625" style="847" customWidth="1"/>
    <col min="2326" max="2326" width="1.85546875" style="847" customWidth="1"/>
    <col min="2327" max="2327" width="6.7109375" style="847" customWidth="1"/>
    <col min="2328" max="2328" width="9.140625" style="847" customWidth="1"/>
    <col min="2329" max="2329" width="1.7109375" style="847" customWidth="1"/>
    <col min="2330" max="2560" width="9.140625" style="847"/>
    <col min="2561" max="2561" width="10.85546875" style="847" customWidth="1"/>
    <col min="2562" max="2563" width="7.7109375" style="847" customWidth="1"/>
    <col min="2564" max="2564" width="1.7109375" style="847" customWidth="1"/>
    <col min="2565" max="2566" width="7.7109375" style="847" customWidth="1"/>
    <col min="2567" max="2567" width="1.7109375" style="847" customWidth="1"/>
    <col min="2568" max="2568" width="6.7109375" style="847" customWidth="1"/>
    <col min="2569" max="2569" width="7.7109375" style="847" customWidth="1"/>
    <col min="2570" max="2570" width="1.7109375" style="847" customWidth="1"/>
    <col min="2571" max="2571" width="6.7109375" style="847" customWidth="1"/>
    <col min="2572" max="2572" width="7.7109375" style="847" customWidth="1"/>
    <col min="2573" max="2573" width="1.7109375" style="847" customWidth="1"/>
    <col min="2574" max="2574" width="6.7109375" style="847" customWidth="1"/>
    <col min="2575" max="2575" width="7.7109375" style="847" customWidth="1"/>
    <col min="2576" max="2576" width="1.7109375" style="847" customWidth="1"/>
    <col min="2577" max="2577" width="6.7109375" style="847" customWidth="1"/>
    <col min="2578" max="2578" width="7.7109375" style="847" customWidth="1"/>
    <col min="2579" max="2579" width="1.7109375" style="847" customWidth="1"/>
    <col min="2580" max="2580" width="6.7109375" style="847" customWidth="1"/>
    <col min="2581" max="2581" width="9.140625" style="847" customWidth="1"/>
    <col min="2582" max="2582" width="1.85546875" style="847" customWidth="1"/>
    <col min="2583" max="2583" width="6.7109375" style="847" customWidth="1"/>
    <col min="2584" max="2584" width="9.140625" style="847" customWidth="1"/>
    <col min="2585" max="2585" width="1.7109375" style="847" customWidth="1"/>
    <col min="2586" max="2816" width="9.140625" style="847"/>
    <col min="2817" max="2817" width="10.85546875" style="847" customWidth="1"/>
    <col min="2818" max="2819" width="7.7109375" style="847" customWidth="1"/>
    <col min="2820" max="2820" width="1.7109375" style="847" customWidth="1"/>
    <col min="2821" max="2822" width="7.7109375" style="847" customWidth="1"/>
    <col min="2823" max="2823" width="1.7109375" style="847" customWidth="1"/>
    <col min="2824" max="2824" width="6.7109375" style="847" customWidth="1"/>
    <col min="2825" max="2825" width="7.7109375" style="847" customWidth="1"/>
    <col min="2826" max="2826" width="1.7109375" style="847" customWidth="1"/>
    <col min="2827" max="2827" width="6.7109375" style="847" customWidth="1"/>
    <col min="2828" max="2828" width="7.7109375" style="847" customWidth="1"/>
    <col min="2829" max="2829" width="1.7109375" style="847" customWidth="1"/>
    <col min="2830" max="2830" width="6.7109375" style="847" customWidth="1"/>
    <col min="2831" max="2831" width="7.7109375" style="847" customWidth="1"/>
    <col min="2832" max="2832" width="1.7109375" style="847" customWidth="1"/>
    <col min="2833" max="2833" width="6.7109375" style="847" customWidth="1"/>
    <col min="2834" max="2834" width="7.7109375" style="847" customWidth="1"/>
    <col min="2835" max="2835" width="1.7109375" style="847" customWidth="1"/>
    <col min="2836" max="2836" width="6.7109375" style="847" customWidth="1"/>
    <col min="2837" max="2837" width="9.140625" style="847" customWidth="1"/>
    <col min="2838" max="2838" width="1.85546875" style="847" customWidth="1"/>
    <col min="2839" max="2839" width="6.7109375" style="847" customWidth="1"/>
    <col min="2840" max="2840" width="9.140625" style="847" customWidth="1"/>
    <col min="2841" max="2841" width="1.7109375" style="847" customWidth="1"/>
    <col min="2842" max="3072" width="9.140625" style="847"/>
    <col min="3073" max="3073" width="10.85546875" style="847" customWidth="1"/>
    <col min="3074" max="3075" width="7.7109375" style="847" customWidth="1"/>
    <col min="3076" max="3076" width="1.7109375" style="847" customWidth="1"/>
    <col min="3077" max="3078" width="7.7109375" style="847" customWidth="1"/>
    <col min="3079" max="3079" width="1.7109375" style="847" customWidth="1"/>
    <col min="3080" max="3080" width="6.7109375" style="847" customWidth="1"/>
    <col min="3081" max="3081" width="7.7109375" style="847" customWidth="1"/>
    <col min="3082" max="3082" width="1.7109375" style="847" customWidth="1"/>
    <col min="3083" max="3083" width="6.7109375" style="847" customWidth="1"/>
    <col min="3084" max="3084" width="7.7109375" style="847" customWidth="1"/>
    <col min="3085" max="3085" width="1.7109375" style="847" customWidth="1"/>
    <col min="3086" max="3086" width="6.7109375" style="847" customWidth="1"/>
    <col min="3087" max="3087" width="7.7109375" style="847" customWidth="1"/>
    <col min="3088" max="3088" width="1.7109375" style="847" customWidth="1"/>
    <col min="3089" max="3089" width="6.7109375" style="847" customWidth="1"/>
    <col min="3090" max="3090" width="7.7109375" style="847" customWidth="1"/>
    <col min="3091" max="3091" width="1.7109375" style="847" customWidth="1"/>
    <col min="3092" max="3092" width="6.7109375" style="847" customWidth="1"/>
    <col min="3093" max="3093" width="9.140625" style="847" customWidth="1"/>
    <col min="3094" max="3094" width="1.85546875" style="847" customWidth="1"/>
    <col min="3095" max="3095" width="6.7109375" style="847" customWidth="1"/>
    <col min="3096" max="3096" width="9.140625" style="847" customWidth="1"/>
    <col min="3097" max="3097" width="1.7109375" style="847" customWidth="1"/>
    <col min="3098" max="3328" width="9.140625" style="847"/>
    <col min="3329" max="3329" width="10.85546875" style="847" customWidth="1"/>
    <col min="3330" max="3331" width="7.7109375" style="847" customWidth="1"/>
    <col min="3332" max="3332" width="1.7109375" style="847" customWidth="1"/>
    <col min="3333" max="3334" width="7.7109375" style="847" customWidth="1"/>
    <col min="3335" max="3335" width="1.7109375" style="847" customWidth="1"/>
    <col min="3336" max="3336" width="6.7109375" style="847" customWidth="1"/>
    <col min="3337" max="3337" width="7.7109375" style="847" customWidth="1"/>
    <col min="3338" max="3338" width="1.7109375" style="847" customWidth="1"/>
    <col min="3339" max="3339" width="6.7109375" style="847" customWidth="1"/>
    <col min="3340" max="3340" width="7.7109375" style="847" customWidth="1"/>
    <col min="3341" max="3341" width="1.7109375" style="847" customWidth="1"/>
    <col min="3342" max="3342" width="6.7109375" style="847" customWidth="1"/>
    <col min="3343" max="3343" width="7.7109375" style="847" customWidth="1"/>
    <col min="3344" max="3344" width="1.7109375" style="847" customWidth="1"/>
    <col min="3345" max="3345" width="6.7109375" style="847" customWidth="1"/>
    <col min="3346" max="3346" width="7.7109375" style="847" customWidth="1"/>
    <col min="3347" max="3347" width="1.7109375" style="847" customWidth="1"/>
    <col min="3348" max="3348" width="6.7109375" style="847" customWidth="1"/>
    <col min="3349" max="3349" width="9.140625" style="847" customWidth="1"/>
    <col min="3350" max="3350" width="1.85546875" style="847" customWidth="1"/>
    <col min="3351" max="3351" width="6.7109375" style="847" customWidth="1"/>
    <col min="3352" max="3352" width="9.140625" style="847" customWidth="1"/>
    <col min="3353" max="3353" width="1.7109375" style="847" customWidth="1"/>
    <col min="3354" max="3584" width="9.140625" style="847"/>
    <col min="3585" max="3585" width="10.85546875" style="847" customWidth="1"/>
    <col min="3586" max="3587" width="7.7109375" style="847" customWidth="1"/>
    <col min="3588" max="3588" width="1.7109375" style="847" customWidth="1"/>
    <col min="3589" max="3590" width="7.7109375" style="847" customWidth="1"/>
    <col min="3591" max="3591" width="1.7109375" style="847" customWidth="1"/>
    <col min="3592" max="3592" width="6.7109375" style="847" customWidth="1"/>
    <col min="3593" max="3593" width="7.7109375" style="847" customWidth="1"/>
    <col min="3594" max="3594" width="1.7109375" style="847" customWidth="1"/>
    <col min="3595" max="3595" width="6.7109375" style="847" customWidth="1"/>
    <col min="3596" max="3596" width="7.7109375" style="847" customWidth="1"/>
    <col min="3597" max="3597" width="1.7109375" style="847" customWidth="1"/>
    <col min="3598" max="3598" width="6.7109375" style="847" customWidth="1"/>
    <col min="3599" max="3599" width="7.7109375" style="847" customWidth="1"/>
    <col min="3600" max="3600" width="1.7109375" style="847" customWidth="1"/>
    <col min="3601" max="3601" width="6.7109375" style="847" customWidth="1"/>
    <col min="3602" max="3602" width="7.7109375" style="847" customWidth="1"/>
    <col min="3603" max="3603" width="1.7109375" style="847" customWidth="1"/>
    <col min="3604" max="3604" width="6.7109375" style="847" customWidth="1"/>
    <col min="3605" max="3605" width="9.140625" style="847" customWidth="1"/>
    <col min="3606" max="3606" width="1.85546875" style="847" customWidth="1"/>
    <col min="3607" max="3607" width="6.7109375" style="847" customWidth="1"/>
    <col min="3608" max="3608" width="9.140625" style="847" customWidth="1"/>
    <col min="3609" max="3609" width="1.7109375" style="847" customWidth="1"/>
    <col min="3610" max="3840" width="9.140625" style="847"/>
    <col min="3841" max="3841" width="10.85546875" style="847" customWidth="1"/>
    <col min="3842" max="3843" width="7.7109375" style="847" customWidth="1"/>
    <col min="3844" max="3844" width="1.7109375" style="847" customWidth="1"/>
    <col min="3845" max="3846" width="7.7109375" style="847" customWidth="1"/>
    <col min="3847" max="3847" width="1.7109375" style="847" customWidth="1"/>
    <col min="3848" max="3848" width="6.7109375" style="847" customWidth="1"/>
    <col min="3849" max="3849" width="7.7109375" style="847" customWidth="1"/>
    <col min="3850" max="3850" width="1.7109375" style="847" customWidth="1"/>
    <col min="3851" max="3851" width="6.7109375" style="847" customWidth="1"/>
    <col min="3852" max="3852" width="7.7109375" style="847" customWidth="1"/>
    <col min="3853" max="3853" width="1.7109375" style="847" customWidth="1"/>
    <col min="3854" max="3854" width="6.7109375" style="847" customWidth="1"/>
    <col min="3855" max="3855" width="7.7109375" style="847" customWidth="1"/>
    <col min="3856" max="3856" width="1.7109375" style="847" customWidth="1"/>
    <col min="3857" max="3857" width="6.7109375" style="847" customWidth="1"/>
    <col min="3858" max="3858" width="7.7109375" style="847" customWidth="1"/>
    <col min="3859" max="3859" width="1.7109375" style="847" customWidth="1"/>
    <col min="3860" max="3860" width="6.7109375" style="847" customWidth="1"/>
    <col min="3861" max="3861" width="9.140625" style="847" customWidth="1"/>
    <col min="3862" max="3862" width="1.85546875" style="847" customWidth="1"/>
    <col min="3863" max="3863" width="6.7109375" style="847" customWidth="1"/>
    <col min="3864" max="3864" width="9.140625" style="847" customWidth="1"/>
    <col min="3865" max="3865" width="1.7109375" style="847" customWidth="1"/>
    <col min="3866" max="4096" width="9.140625" style="847"/>
    <col min="4097" max="4097" width="10.85546875" style="847" customWidth="1"/>
    <col min="4098" max="4099" width="7.7109375" style="847" customWidth="1"/>
    <col min="4100" max="4100" width="1.7109375" style="847" customWidth="1"/>
    <col min="4101" max="4102" width="7.7109375" style="847" customWidth="1"/>
    <col min="4103" max="4103" width="1.7109375" style="847" customWidth="1"/>
    <col min="4104" max="4104" width="6.7109375" style="847" customWidth="1"/>
    <col min="4105" max="4105" width="7.7109375" style="847" customWidth="1"/>
    <col min="4106" max="4106" width="1.7109375" style="847" customWidth="1"/>
    <col min="4107" max="4107" width="6.7109375" style="847" customWidth="1"/>
    <col min="4108" max="4108" width="7.7109375" style="847" customWidth="1"/>
    <col min="4109" max="4109" width="1.7109375" style="847" customWidth="1"/>
    <col min="4110" max="4110" width="6.7109375" style="847" customWidth="1"/>
    <col min="4111" max="4111" width="7.7109375" style="847" customWidth="1"/>
    <col min="4112" max="4112" width="1.7109375" style="847" customWidth="1"/>
    <col min="4113" max="4113" width="6.7109375" style="847" customWidth="1"/>
    <col min="4114" max="4114" width="7.7109375" style="847" customWidth="1"/>
    <col min="4115" max="4115" width="1.7109375" style="847" customWidth="1"/>
    <col min="4116" max="4116" width="6.7109375" style="847" customWidth="1"/>
    <col min="4117" max="4117" width="9.140625" style="847" customWidth="1"/>
    <col min="4118" max="4118" width="1.85546875" style="847" customWidth="1"/>
    <col min="4119" max="4119" width="6.7109375" style="847" customWidth="1"/>
    <col min="4120" max="4120" width="9.140625" style="847" customWidth="1"/>
    <col min="4121" max="4121" width="1.7109375" style="847" customWidth="1"/>
    <col min="4122" max="4352" width="9.140625" style="847"/>
    <col min="4353" max="4353" width="10.85546875" style="847" customWidth="1"/>
    <col min="4354" max="4355" width="7.7109375" style="847" customWidth="1"/>
    <col min="4356" max="4356" width="1.7109375" style="847" customWidth="1"/>
    <col min="4357" max="4358" width="7.7109375" style="847" customWidth="1"/>
    <col min="4359" max="4359" width="1.7109375" style="847" customWidth="1"/>
    <col min="4360" max="4360" width="6.7109375" style="847" customWidth="1"/>
    <col min="4361" max="4361" width="7.7109375" style="847" customWidth="1"/>
    <col min="4362" max="4362" width="1.7109375" style="847" customWidth="1"/>
    <col min="4363" max="4363" width="6.7109375" style="847" customWidth="1"/>
    <col min="4364" max="4364" width="7.7109375" style="847" customWidth="1"/>
    <col min="4365" max="4365" width="1.7109375" style="847" customWidth="1"/>
    <col min="4366" max="4366" width="6.7109375" style="847" customWidth="1"/>
    <col min="4367" max="4367" width="7.7109375" style="847" customWidth="1"/>
    <col min="4368" max="4368" width="1.7109375" style="847" customWidth="1"/>
    <col min="4369" max="4369" width="6.7109375" style="847" customWidth="1"/>
    <col min="4370" max="4370" width="7.7109375" style="847" customWidth="1"/>
    <col min="4371" max="4371" width="1.7109375" style="847" customWidth="1"/>
    <col min="4372" max="4372" width="6.7109375" style="847" customWidth="1"/>
    <col min="4373" max="4373" width="9.140625" style="847" customWidth="1"/>
    <col min="4374" max="4374" width="1.85546875" style="847" customWidth="1"/>
    <col min="4375" max="4375" width="6.7109375" style="847" customWidth="1"/>
    <col min="4376" max="4376" width="9.140625" style="847" customWidth="1"/>
    <col min="4377" max="4377" width="1.7109375" style="847" customWidth="1"/>
    <col min="4378" max="4608" width="9.140625" style="847"/>
    <col min="4609" max="4609" width="10.85546875" style="847" customWidth="1"/>
    <col min="4610" max="4611" width="7.7109375" style="847" customWidth="1"/>
    <col min="4612" max="4612" width="1.7109375" style="847" customWidth="1"/>
    <col min="4613" max="4614" width="7.7109375" style="847" customWidth="1"/>
    <col min="4615" max="4615" width="1.7109375" style="847" customWidth="1"/>
    <col min="4616" max="4616" width="6.7109375" style="847" customWidth="1"/>
    <col min="4617" max="4617" width="7.7109375" style="847" customWidth="1"/>
    <col min="4618" max="4618" width="1.7109375" style="847" customWidth="1"/>
    <col min="4619" max="4619" width="6.7109375" style="847" customWidth="1"/>
    <col min="4620" max="4620" width="7.7109375" style="847" customWidth="1"/>
    <col min="4621" max="4621" width="1.7109375" style="847" customWidth="1"/>
    <col min="4622" max="4622" width="6.7109375" style="847" customWidth="1"/>
    <col min="4623" max="4623" width="7.7109375" style="847" customWidth="1"/>
    <col min="4624" max="4624" width="1.7109375" style="847" customWidth="1"/>
    <col min="4625" max="4625" width="6.7109375" style="847" customWidth="1"/>
    <col min="4626" max="4626" width="7.7109375" style="847" customWidth="1"/>
    <col min="4627" max="4627" width="1.7109375" style="847" customWidth="1"/>
    <col min="4628" max="4628" width="6.7109375" style="847" customWidth="1"/>
    <col min="4629" max="4629" width="9.140625" style="847" customWidth="1"/>
    <col min="4630" max="4630" width="1.85546875" style="847" customWidth="1"/>
    <col min="4631" max="4631" width="6.7109375" style="847" customWidth="1"/>
    <col min="4632" max="4632" width="9.140625" style="847" customWidth="1"/>
    <col min="4633" max="4633" width="1.7109375" style="847" customWidth="1"/>
    <col min="4634" max="4864" width="9.140625" style="847"/>
    <col min="4865" max="4865" width="10.85546875" style="847" customWidth="1"/>
    <col min="4866" max="4867" width="7.7109375" style="847" customWidth="1"/>
    <col min="4868" max="4868" width="1.7109375" style="847" customWidth="1"/>
    <col min="4869" max="4870" width="7.7109375" style="847" customWidth="1"/>
    <col min="4871" max="4871" width="1.7109375" style="847" customWidth="1"/>
    <col min="4872" max="4872" width="6.7109375" style="847" customWidth="1"/>
    <col min="4873" max="4873" width="7.7109375" style="847" customWidth="1"/>
    <col min="4874" max="4874" width="1.7109375" style="847" customWidth="1"/>
    <col min="4875" max="4875" width="6.7109375" style="847" customWidth="1"/>
    <col min="4876" max="4876" width="7.7109375" style="847" customWidth="1"/>
    <col min="4877" max="4877" width="1.7109375" style="847" customWidth="1"/>
    <col min="4878" max="4878" width="6.7109375" style="847" customWidth="1"/>
    <col min="4879" max="4879" width="7.7109375" style="847" customWidth="1"/>
    <col min="4880" max="4880" width="1.7109375" style="847" customWidth="1"/>
    <col min="4881" max="4881" width="6.7109375" style="847" customWidth="1"/>
    <col min="4882" max="4882" width="7.7109375" style="847" customWidth="1"/>
    <col min="4883" max="4883" width="1.7109375" style="847" customWidth="1"/>
    <col min="4884" max="4884" width="6.7109375" style="847" customWidth="1"/>
    <col min="4885" max="4885" width="9.140625" style="847" customWidth="1"/>
    <col min="4886" max="4886" width="1.85546875" style="847" customWidth="1"/>
    <col min="4887" max="4887" width="6.7109375" style="847" customWidth="1"/>
    <col min="4888" max="4888" width="9.140625" style="847" customWidth="1"/>
    <col min="4889" max="4889" width="1.7109375" style="847" customWidth="1"/>
    <col min="4890" max="5120" width="9.140625" style="847"/>
    <col min="5121" max="5121" width="10.85546875" style="847" customWidth="1"/>
    <col min="5122" max="5123" width="7.7109375" style="847" customWidth="1"/>
    <col min="5124" max="5124" width="1.7109375" style="847" customWidth="1"/>
    <col min="5125" max="5126" width="7.7109375" style="847" customWidth="1"/>
    <col min="5127" max="5127" width="1.7109375" style="847" customWidth="1"/>
    <col min="5128" max="5128" width="6.7109375" style="847" customWidth="1"/>
    <col min="5129" max="5129" width="7.7109375" style="847" customWidth="1"/>
    <col min="5130" max="5130" width="1.7109375" style="847" customWidth="1"/>
    <col min="5131" max="5131" width="6.7109375" style="847" customWidth="1"/>
    <col min="5132" max="5132" width="7.7109375" style="847" customWidth="1"/>
    <col min="5133" max="5133" width="1.7109375" style="847" customWidth="1"/>
    <col min="5134" max="5134" width="6.7109375" style="847" customWidth="1"/>
    <col min="5135" max="5135" width="7.7109375" style="847" customWidth="1"/>
    <col min="5136" max="5136" width="1.7109375" style="847" customWidth="1"/>
    <col min="5137" max="5137" width="6.7109375" style="847" customWidth="1"/>
    <col min="5138" max="5138" width="7.7109375" style="847" customWidth="1"/>
    <col min="5139" max="5139" width="1.7109375" style="847" customWidth="1"/>
    <col min="5140" max="5140" width="6.7109375" style="847" customWidth="1"/>
    <col min="5141" max="5141" width="9.140625" style="847" customWidth="1"/>
    <col min="5142" max="5142" width="1.85546875" style="847" customWidth="1"/>
    <col min="5143" max="5143" width="6.7109375" style="847" customWidth="1"/>
    <col min="5144" max="5144" width="9.140625" style="847" customWidth="1"/>
    <col min="5145" max="5145" width="1.7109375" style="847" customWidth="1"/>
    <col min="5146" max="5376" width="9.140625" style="847"/>
    <col min="5377" max="5377" width="10.85546875" style="847" customWidth="1"/>
    <col min="5378" max="5379" width="7.7109375" style="847" customWidth="1"/>
    <col min="5380" max="5380" width="1.7109375" style="847" customWidth="1"/>
    <col min="5381" max="5382" width="7.7109375" style="847" customWidth="1"/>
    <col min="5383" max="5383" width="1.7109375" style="847" customWidth="1"/>
    <col min="5384" max="5384" width="6.7109375" style="847" customWidth="1"/>
    <col min="5385" max="5385" width="7.7109375" style="847" customWidth="1"/>
    <col min="5386" max="5386" width="1.7109375" style="847" customWidth="1"/>
    <col min="5387" max="5387" width="6.7109375" style="847" customWidth="1"/>
    <col min="5388" max="5388" width="7.7109375" style="847" customWidth="1"/>
    <col min="5389" max="5389" width="1.7109375" style="847" customWidth="1"/>
    <col min="5390" max="5390" width="6.7109375" style="847" customWidth="1"/>
    <col min="5391" max="5391" width="7.7109375" style="847" customWidth="1"/>
    <col min="5392" max="5392" width="1.7109375" style="847" customWidth="1"/>
    <col min="5393" max="5393" width="6.7109375" style="847" customWidth="1"/>
    <col min="5394" max="5394" width="7.7109375" style="847" customWidth="1"/>
    <col min="5395" max="5395" width="1.7109375" style="847" customWidth="1"/>
    <col min="5396" max="5396" width="6.7109375" style="847" customWidth="1"/>
    <col min="5397" max="5397" width="9.140625" style="847" customWidth="1"/>
    <col min="5398" max="5398" width="1.85546875" style="847" customWidth="1"/>
    <col min="5399" max="5399" width="6.7109375" style="847" customWidth="1"/>
    <col min="5400" max="5400" width="9.140625" style="847" customWidth="1"/>
    <col min="5401" max="5401" width="1.7109375" style="847" customWidth="1"/>
    <col min="5402" max="5632" width="9.140625" style="847"/>
    <col min="5633" max="5633" width="10.85546875" style="847" customWidth="1"/>
    <col min="5634" max="5635" width="7.7109375" style="847" customWidth="1"/>
    <col min="5636" max="5636" width="1.7109375" style="847" customWidth="1"/>
    <col min="5637" max="5638" width="7.7109375" style="847" customWidth="1"/>
    <col min="5639" max="5639" width="1.7109375" style="847" customWidth="1"/>
    <col min="5640" max="5640" width="6.7109375" style="847" customWidth="1"/>
    <col min="5641" max="5641" width="7.7109375" style="847" customWidth="1"/>
    <col min="5642" max="5642" width="1.7109375" style="847" customWidth="1"/>
    <col min="5643" max="5643" width="6.7109375" style="847" customWidth="1"/>
    <col min="5644" max="5644" width="7.7109375" style="847" customWidth="1"/>
    <col min="5645" max="5645" width="1.7109375" style="847" customWidth="1"/>
    <col min="5646" max="5646" width="6.7109375" style="847" customWidth="1"/>
    <col min="5647" max="5647" width="7.7109375" style="847" customWidth="1"/>
    <col min="5648" max="5648" width="1.7109375" style="847" customWidth="1"/>
    <col min="5649" max="5649" width="6.7109375" style="847" customWidth="1"/>
    <col min="5650" max="5650" width="7.7109375" style="847" customWidth="1"/>
    <col min="5651" max="5651" width="1.7109375" style="847" customWidth="1"/>
    <col min="5652" max="5652" width="6.7109375" style="847" customWidth="1"/>
    <col min="5653" max="5653" width="9.140625" style="847" customWidth="1"/>
    <col min="5654" max="5654" width="1.85546875" style="847" customWidth="1"/>
    <col min="5655" max="5655" width="6.7109375" style="847" customWidth="1"/>
    <col min="5656" max="5656" width="9.140625" style="847" customWidth="1"/>
    <col min="5657" max="5657" width="1.7109375" style="847" customWidth="1"/>
    <col min="5658" max="5888" width="9.140625" style="847"/>
    <col min="5889" max="5889" width="10.85546875" style="847" customWidth="1"/>
    <col min="5890" max="5891" width="7.7109375" style="847" customWidth="1"/>
    <col min="5892" max="5892" width="1.7109375" style="847" customWidth="1"/>
    <col min="5893" max="5894" width="7.7109375" style="847" customWidth="1"/>
    <col min="5895" max="5895" width="1.7109375" style="847" customWidth="1"/>
    <col min="5896" max="5896" width="6.7109375" style="847" customWidth="1"/>
    <col min="5897" max="5897" width="7.7109375" style="847" customWidth="1"/>
    <col min="5898" max="5898" width="1.7109375" style="847" customWidth="1"/>
    <col min="5899" max="5899" width="6.7109375" style="847" customWidth="1"/>
    <col min="5900" max="5900" width="7.7109375" style="847" customWidth="1"/>
    <col min="5901" max="5901" width="1.7109375" style="847" customWidth="1"/>
    <col min="5902" max="5902" width="6.7109375" style="847" customWidth="1"/>
    <col min="5903" max="5903" width="7.7109375" style="847" customWidth="1"/>
    <col min="5904" max="5904" width="1.7109375" style="847" customWidth="1"/>
    <col min="5905" max="5905" width="6.7109375" style="847" customWidth="1"/>
    <col min="5906" max="5906" width="7.7109375" style="847" customWidth="1"/>
    <col min="5907" max="5907" width="1.7109375" style="847" customWidth="1"/>
    <col min="5908" max="5908" width="6.7109375" style="847" customWidth="1"/>
    <col min="5909" max="5909" width="9.140625" style="847" customWidth="1"/>
    <col min="5910" max="5910" width="1.85546875" style="847" customWidth="1"/>
    <col min="5911" max="5911" width="6.7109375" style="847" customWidth="1"/>
    <col min="5912" max="5912" width="9.140625" style="847" customWidth="1"/>
    <col min="5913" max="5913" width="1.7109375" style="847" customWidth="1"/>
    <col min="5914" max="6144" width="9.140625" style="847"/>
    <col min="6145" max="6145" width="10.85546875" style="847" customWidth="1"/>
    <col min="6146" max="6147" width="7.7109375" style="847" customWidth="1"/>
    <col min="6148" max="6148" width="1.7109375" style="847" customWidth="1"/>
    <col min="6149" max="6150" width="7.7109375" style="847" customWidth="1"/>
    <col min="6151" max="6151" width="1.7109375" style="847" customWidth="1"/>
    <col min="6152" max="6152" width="6.7109375" style="847" customWidth="1"/>
    <col min="6153" max="6153" width="7.7109375" style="847" customWidth="1"/>
    <col min="6154" max="6154" width="1.7109375" style="847" customWidth="1"/>
    <col min="6155" max="6155" width="6.7109375" style="847" customWidth="1"/>
    <col min="6156" max="6156" width="7.7109375" style="847" customWidth="1"/>
    <col min="6157" max="6157" width="1.7109375" style="847" customWidth="1"/>
    <col min="6158" max="6158" width="6.7109375" style="847" customWidth="1"/>
    <col min="6159" max="6159" width="7.7109375" style="847" customWidth="1"/>
    <col min="6160" max="6160" width="1.7109375" style="847" customWidth="1"/>
    <col min="6161" max="6161" width="6.7109375" style="847" customWidth="1"/>
    <col min="6162" max="6162" width="7.7109375" style="847" customWidth="1"/>
    <col min="6163" max="6163" width="1.7109375" style="847" customWidth="1"/>
    <col min="6164" max="6164" width="6.7109375" style="847" customWidth="1"/>
    <col min="6165" max="6165" width="9.140625" style="847" customWidth="1"/>
    <col min="6166" max="6166" width="1.85546875" style="847" customWidth="1"/>
    <col min="6167" max="6167" width="6.7109375" style="847" customWidth="1"/>
    <col min="6168" max="6168" width="9.140625" style="847" customWidth="1"/>
    <col min="6169" max="6169" width="1.7109375" style="847" customWidth="1"/>
    <col min="6170" max="6400" width="9.140625" style="847"/>
    <col min="6401" max="6401" width="10.85546875" style="847" customWidth="1"/>
    <col min="6402" max="6403" width="7.7109375" style="847" customWidth="1"/>
    <col min="6404" max="6404" width="1.7109375" style="847" customWidth="1"/>
    <col min="6405" max="6406" width="7.7109375" style="847" customWidth="1"/>
    <col min="6407" max="6407" width="1.7109375" style="847" customWidth="1"/>
    <col min="6408" max="6408" width="6.7109375" style="847" customWidth="1"/>
    <col min="6409" max="6409" width="7.7109375" style="847" customWidth="1"/>
    <col min="6410" max="6410" width="1.7109375" style="847" customWidth="1"/>
    <col min="6411" max="6411" width="6.7109375" style="847" customWidth="1"/>
    <col min="6412" max="6412" width="7.7109375" style="847" customWidth="1"/>
    <col min="6413" max="6413" width="1.7109375" style="847" customWidth="1"/>
    <col min="6414" max="6414" width="6.7109375" style="847" customWidth="1"/>
    <col min="6415" max="6415" width="7.7109375" style="847" customWidth="1"/>
    <col min="6416" max="6416" width="1.7109375" style="847" customWidth="1"/>
    <col min="6417" max="6417" width="6.7109375" style="847" customWidth="1"/>
    <col min="6418" max="6418" width="7.7109375" style="847" customWidth="1"/>
    <col min="6419" max="6419" width="1.7109375" style="847" customWidth="1"/>
    <col min="6420" max="6420" width="6.7109375" style="847" customWidth="1"/>
    <col min="6421" max="6421" width="9.140625" style="847" customWidth="1"/>
    <col min="6422" max="6422" width="1.85546875" style="847" customWidth="1"/>
    <col min="6423" max="6423" width="6.7109375" style="847" customWidth="1"/>
    <col min="6424" max="6424" width="9.140625" style="847" customWidth="1"/>
    <col min="6425" max="6425" width="1.7109375" style="847" customWidth="1"/>
    <col min="6426" max="6656" width="9.140625" style="847"/>
    <col min="6657" max="6657" width="10.85546875" style="847" customWidth="1"/>
    <col min="6658" max="6659" width="7.7109375" style="847" customWidth="1"/>
    <col min="6660" max="6660" width="1.7109375" style="847" customWidth="1"/>
    <col min="6661" max="6662" width="7.7109375" style="847" customWidth="1"/>
    <col min="6663" max="6663" width="1.7109375" style="847" customWidth="1"/>
    <col min="6664" max="6664" width="6.7109375" style="847" customWidth="1"/>
    <col min="6665" max="6665" width="7.7109375" style="847" customWidth="1"/>
    <col min="6666" max="6666" width="1.7109375" style="847" customWidth="1"/>
    <col min="6667" max="6667" width="6.7109375" style="847" customWidth="1"/>
    <col min="6668" max="6668" width="7.7109375" style="847" customWidth="1"/>
    <col min="6669" max="6669" width="1.7109375" style="847" customWidth="1"/>
    <col min="6670" max="6670" width="6.7109375" style="847" customWidth="1"/>
    <col min="6671" max="6671" width="7.7109375" style="847" customWidth="1"/>
    <col min="6672" max="6672" width="1.7109375" style="847" customWidth="1"/>
    <col min="6673" max="6673" width="6.7109375" style="847" customWidth="1"/>
    <col min="6674" max="6674" width="7.7109375" style="847" customWidth="1"/>
    <col min="6675" max="6675" width="1.7109375" style="847" customWidth="1"/>
    <col min="6676" max="6676" width="6.7109375" style="847" customWidth="1"/>
    <col min="6677" max="6677" width="9.140625" style="847" customWidth="1"/>
    <col min="6678" max="6678" width="1.85546875" style="847" customWidth="1"/>
    <col min="6679" max="6679" width="6.7109375" style="847" customWidth="1"/>
    <col min="6680" max="6680" width="9.140625" style="847" customWidth="1"/>
    <col min="6681" max="6681" width="1.7109375" style="847" customWidth="1"/>
    <col min="6682" max="6912" width="9.140625" style="847"/>
    <col min="6913" max="6913" width="10.85546875" style="847" customWidth="1"/>
    <col min="6914" max="6915" width="7.7109375" style="847" customWidth="1"/>
    <col min="6916" max="6916" width="1.7109375" style="847" customWidth="1"/>
    <col min="6917" max="6918" width="7.7109375" style="847" customWidth="1"/>
    <col min="6919" max="6919" width="1.7109375" style="847" customWidth="1"/>
    <col min="6920" max="6920" width="6.7109375" style="847" customWidth="1"/>
    <col min="6921" max="6921" width="7.7109375" style="847" customWidth="1"/>
    <col min="6922" max="6922" width="1.7109375" style="847" customWidth="1"/>
    <col min="6923" max="6923" width="6.7109375" style="847" customWidth="1"/>
    <col min="6924" max="6924" width="7.7109375" style="847" customWidth="1"/>
    <col min="6925" max="6925" width="1.7109375" style="847" customWidth="1"/>
    <col min="6926" max="6926" width="6.7109375" style="847" customWidth="1"/>
    <col min="6927" max="6927" width="7.7109375" style="847" customWidth="1"/>
    <col min="6928" max="6928" width="1.7109375" style="847" customWidth="1"/>
    <col min="6929" max="6929" width="6.7109375" style="847" customWidth="1"/>
    <col min="6930" max="6930" width="7.7109375" style="847" customWidth="1"/>
    <col min="6931" max="6931" width="1.7109375" style="847" customWidth="1"/>
    <col min="6932" max="6932" width="6.7109375" style="847" customWidth="1"/>
    <col min="6933" max="6933" width="9.140625" style="847" customWidth="1"/>
    <col min="6934" max="6934" width="1.85546875" style="847" customWidth="1"/>
    <col min="6935" max="6935" width="6.7109375" style="847" customWidth="1"/>
    <col min="6936" max="6936" width="9.140625" style="847" customWidth="1"/>
    <col min="6937" max="6937" width="1.7109375" style="847" customWidth="1"/>
    <col min="6938" max="7168" width="9.140625" style="847"/>
    <col min="7169" max="7169" width="10.85546875" style="847" customWidth="1"/>
    <col min="7170" max="7171" width="7.7109375" style="847" customWidth="1"/>
    <col min="7172" max="7172" width="1.7109375" style="847" customWidth="1"/>
    <col min="7173" max="7174" width="7.7109375" style="847" customWidth="1"/>
    <col min="7175" max="7175" width="1.7109375" style="847" customWidth="1"/>
    <col min="7176" max="7176" width="6.7109375" style="847" customWidth="1"/>
    <col min="7177" max="7177" width="7.7109375" style="847" customWidth="1"/>
    <col min="7178" max="7178" width="1.7109375" style="847" customWidth="1"/>
    <col min="7179" max="7179" width="6.7109375" style="847" customWidth="1"/>
    <col min="7180" max="7180" width="7.7109375" style="847" customWidth="1"/>
    <col min="7181" max="7181" width="1.7109375" style="847" customWidth="1"/>
    <col min="7182" max="7182" width="6.7109375" style="847" customWidth="1"/>
    <col min="7183" max="7183" width="7.7109375" style="847" customWidth="1"/>
    <col min="7184" max="7184" width="1.7109375" style="847" customWidth="1"/>
    <col min="7185" max="7185" width="6.7109375" style="847" customWidth="1"/>
    <col min="7186" max="7186" width="7.7109375" style="847" customWidth="1"/>
    <col min="7187" max="7187" width="1.7109375" style="847" customWidth="1"/>
    <col min="7188" max="7188" width="6.7109375" style="847" customWidth="1"/>
    <col min="7189" max="7189" width="9.140625" style="847" customWidth="1"/>
    <col min="7190" max="7190" width="1.85546875" style="847" customWidth="1"/>
    <col min="7191" max="7191" width="6.7109375" style="847" customWidth="1"/>
    <col min="7192" max="7192" width="9.140625" style="847" customWidth="1"/>
    <col min="7193" max="7193" width="1.7109375" style="847" customWidth="1"/>
    <col min="7194" max="7424" width="9.140625" style="847"/>
    <col min="7425" max="7425" width="10.85546875" style="847" customWidth="1"/>
    <col min="7426" max="7427" width="7.7109375" style="847" customWidth="1"/>
    <col min="7428" max="7428" width="1.7109375" style="847" customWidth="1"/>
    <col min="7429" max="7430" width="7.7109375" style="847" customWidth="1"/>
    <col min="7431" max="7431" width="1.7109375" style="847" customWidth="1"/>
    <col min="7432" max="7432" width="6.7109375" style="847" customWidth="1"/>
    <col min="7433" max="7433" width="7.7109375" style="847" customWidth="1"/>
    <col min="7434" max="7434" width="1.7109375" style="847" customWidth="1"/>
    <col min="7435" max="7435" width="6.7109375" style="847" customWidth="1"/>
    <col min="7436" max="7436" width="7.7109375" style="847" customWidth="1"/>
    <col min="7437" max="7437" width="1.7109375" style="847" customWidth="1"/>
    <col min="7438" max="7438" width="6.7109375" style="847" customWidth="1"/>
    <col min="7439" max="7439" width="7.7109375" style="847" customWidth="1"/>
    <col min="7440" max="7440" width="1.7109375" style="847" customWidth="1"/>
    <col min="7441" max="7441" width="6.7109375" style="847" customWidth="1"/>
    <col min="7442" max="7442" width="7.7109375" style="847" customWidth="1"/>
    <col min="7443" max="7443" width="1.7109375" style="847" customWidth="1"/>
    <col min="7444" max="7444" width="6.7109375" style="847" customWidth="1"/>
    <col min="7445" max="7445" width="9.140625" style="847" customWidth="1"/>
    <col min="7446" max="7446" width="1.85546875" style="847" customWidth="1"/>
    <col min="7447" max="7447" width="6.7109375" style="847" customWidth="1"/>
    <col min="7448" max="7448" width="9.140625" style="847" customWidth="1"/>
    <col min="7449" max="7449" width="1.7109375" style="847" customWidth="1"/>
    <col min="7450" max="7680" width="9.140625" style="847"/>
    <col min="7681" max="7681" width="10.85546875" style="847" customWidth="1"/>
    <col min="7682" max="7683" width="7.7109375" style="847" customWidth="1"/>
    <col min="7684" max="7684" width="1.7109375" style="847" customWidth="1"/>
    <col min="7685" max="7686" width="7.7109375" style="847" customWidth="1"/>
    <col min="7687" max="7687" width="1.7109375" style="847" customWidth="1"/>
    <col min="7688" max="7688" width="6.7109375" style="847" customWidth="1"/>
    <col min="7689" max="7689" width="7.7109375" style="847" customWidth="1"/>
    <col min="7690" max="7690" width="1.7109375" style="847" customWidth="1"/>
    <col min="7691" max="7691" width="6.7109375" style="847" customWidth="1"/>
    <col min="7692" max="7692" width="7.7109375" style="847" customWidth="1"/>
    <col min="7693" max="7693" width="1.7109375" style="847" customWidth="1"/>
    <col min="7694" max="7694" width="6.7109375" style="847" customWidth="1"/>
    <col min="7695" max="7695" width="7.7109375" style="847" customWidth="1"/>
    <col min="7696" max="7696" width="1.7109375" style="847" customWidth="1"/>
    <col min="7697" max="7697" width="6.7109375" style="847" customWidth="1"/>
    <col min="7698" max="7698" width="7.7109375" style="847" customWidth="1"/>
    <col min="7699" max="7699" width="1.7109375" style="847" customWidth="1"/>
    <col min="7700" max="7700" width="6.7109375" style="847" customWidth="1"/>
    <col min="7701" max="7701" width="9.140625" style="847" customWidth="1"/>
    <col min="7702" max="7702" width="1.85546875" style="847" customWidth="1"/>
    <col min="7703" max="7703" width="6.7109375" style="847" customWidth="1"/>
    <col min="7704" max="7704" width="9.140625" style="847" customWidth="1"/>
    <col min="7705" max="7705" width="1.7109375" style="847" customWidth="1"/>
    <col min="7706" max="7936" width="9.140625" style="847"/>
    <col min="7937" max="7937" width="10.85546875" style="847" customWidth="1"/>
    <col min="7938" max="7939" width="7.7109375" style="847" customWidth="1"/>
    <col min="7940" max="7940" width="1.7109375" style="847" customWidth="1"/>
    <col min="7941" max="7942" width="7.7109375" style="847" customWidth="1"/>
    <col min="7943" max="7943" width="1.7109375" style="847" customWidth="1"/>
    <col min="7944" max="7944" width="6.7109375" style="847" customWidth="1"/>
    <col min="7945" max="7945" width="7.7109375" style="847" customWidth="1"/>
    <col min="7946" max="7946" width="1.7109375" style="847" customWidth="1"/>
    <col min="7947" max="7947" width="6.7109375" style="847" customWidth="1"/>
    <col min="7948" max="7948" width="7.7109375" style="847" customWidth="1"/>
    <col min="7949" max="7949" width="1.7109375" style="847" customWidth="1"/>
    <col min="7950" max="7950" width="6.7109375" style="847" customWidth="1"/>
    <col min="7951" max="7951" width="7.7109375" style="847" customWidth="1"/>
    <col min="7952" max="7952" width="1.7109375" style="847" customWidth="1"/>
    <col min="7953" max="7953" width="6.7109375" style="847" customWidth="1"/>
    <col min="7954" max="7954" width="7.7109375" style="847" customWidth="1"/>
    <col min="7955" max="7955" width="1.7109375" style="847" customWidth="1"/>
    <col min="7956" max="7956" width="6.7109375" style="847" customWidth="1"/>
    <col min="7957" max="7957" width="9.140625" style="847" customWidth="1"/>
    <col min="7958" max="7958" width="1.85546875" style="847" customWidth="1"/>
    <col min="7959" max="7959" width="6.7109375" style="847" customWidth="1"/>
    <col min="7960" max="7960" width="9.140625" style="847" customWidth="1"/>
    <col min="7961" max="7961" width="1.7109375" style="847" customWidth="1"/>
    <col min="7962" max="8192" width="9.140625" style="847"/>
    <col min="8193" max="8193" width="10.85546875" style="847" customWidth="1"/>
    <col min="8194" max="8195" width="7.7109375" style="847" customWidth="1"/>
    <col min="8196" max="8196" width="1.7109375" style="847" customWidth="1"/>
    <col min="8197" max="8198" width="7.7109375" style="847" customWidth="1"/>
    <col min="8199" max="8199" width="1.7109375" style="847" customWidth="1"/>
    <col min="8200" max="8200" width="6.7109375" style="847" customWidth="1"/>
    <col min="8201" max="8201" width="7.7109375" style="847" customWidth="1"/>
    <col min="8202" max="8202" width="1.7109375" style="847" customWidth="1"/>
    <col min="8203" max="8203" width="6.7109375" style="847" customWidth="1"/>
    <col min="8204" max="8204" width="7.7109375" style="847" customWidth="1"/>
    <col min="8205" max="8205" width="1.7109375" style="847" customWidth="1"/>
    <col min="8206" max="8206" width="6.7109375" style="847" customWidth="1"/>
    <col min="8207" max="8207" width="7.7109375" style="847" customWidth="1"/>
    <col min="8208" max="8208" width="1.7109375" style="847" customWidth="1"/>
    <col min="8209" max="8209" width="6.7109375" style="847" customWidth="1"/>
    <col min="8210" max="8210" width="7.7109375" style="847" customWidth="1"/>
    <col min="8211" max="8211" width="1.7109375" style="847" customWidth="1"/>
    <col min="8212" max="8212" width="6.7109375" style="847" customWidth="1"/>
    <col min="8213" max="8213" width="9.140625" style="847" customWidth="1"/>
    <col min="8214" max="8214" width="1.85546875" style="847" customWidth="1"/>
    <col min="8215" max="8215" width="6.7109375" style="847" customWidth="1"/>
    <col min="8216" max="8216" width="9.140625" style="847" customWidth="1"/>
    <col min="8217" max="8217" width="1.7109375" style="847" customWidth="1"/>
    <col min="8218" max="8448" width="9.140625" style="847"/>
    <col min="8449" max="8449" width="10.85546875" style="847" customWidth="1"/>
    <col min="8450" max="8451" width="7.7109375" style="847" customWidth="1"/>
    <col min="8452" max="8452" width="1.7109375" style="847" customWidth="1"/>
    <col min="8453" max="8454" width="7.7109375" style="847" customWidth="1"/>
    <col min="8455" max="8455" width="1.7109375" style="847" customWidth="1"/>
    <col min="8456" max="8456" width="6.7109375" style="847" customWidth="1"/>
    <col min="8457" max="8457" width="7.7109375" style="847" customWidth="1"/>
    <col min="8458" max="8458" width="1.7109375" style="847" customWidth="1"/>
    <col min="8459" max="8459" width="6.7109375" style="847" customWidth="1"/>
    <col min="8460" max="8460" width="7.7109375" style="847" customWidth="1"/>
    <col min="8461" max="8461" width="1.7109375" style="847" customWidth="1"/>
    <col min="8462" max="8462" width="6.7109375" style="847" customWidth="1"/>
    <col min="8463" max="8463" width="7.7109375" style="847" customWidth="1"/>
    <col min="8464" max="8464" width="1.7109375" style="847" customWidth="1"/>
    <col min="8465" max="8465" width="6.7109375" style="847" customWidth="1"/>
    <col min="8466" max="8466" width="7.7109375" style="847" customWidth="1"/>
    <col min="8467" max="8467" width="1.7109375" style="847" customWidth="1"/>
    <col min="8468" max="8468" width="6.7109375" style="847" customWidth="1"/>
    <col min="8469" max="8469" width="9.140625" style="847" customWidth="1"/>
    <col min="8470" max="8470" width="1.85546875" style="847" customWidth="1"/>
    <col min="8471" max="8471" width="6.7109375" style="847" customWidth="1"/>
    <col min="8472" max="8472" width="9.140625" style="847" customWidth="1"/>
    <col min="8473" max="8473" width="1.7109375" style="847" customWidth="1"/>
    <col min="8474" max="8704" width="9.140625" style="847"/>
    <col min="8705" max="8705" width="10.85546875" style="847" customWidth="1"/>
    <col min="8706" max="8707" width="7.7109375" style="847" customWidth="1"/>
    <col min="8708" max="8708" width="1.7109375" style="847" customWidth="1"/>
    <col min="8709" max="8710" width="7.7109375" style="847" customWidth="1"/>
    <col min="8711" max="8711" width="1.7109375" style="847" customWidth="1"/>
    <col min="8712" max="8712" width="6.7109375" style="847" customWidth="1"/>
    <col min="8713" max="8713" width="7.7109375" style="847" customWidth="1"/>
    <col min="8714" max="8714" width="1.7109375" style="847" customWidth="1"/>
    <col min="8715" max="8715" width="6.7109375" style="847" customWidth="1"/>
    <col min="8716" max="8716" width="7.7109375" style="847" customWidth="1"/>
    <col min="8717" max="8717" width="1.7109375" style="847" customWidth="1"/>
    <col min="8718" max="8718" width="6.7109375" style="847" customWidth="1"/>
    <col min="8719" max="8719" width="7.7109375" style="847" customWidth="1"/>
    <col min="8720" max="8720" width="1.7109375" style="847" customWidth="1"/>
    <col min="8721" max="8721" width="6.7109375" style="847" customWidth="1"/>
    <col min="8722" max="8722" width="7.7109375" style="847" customWidth="1"/>
    <col min="8723" max="8723" width="1.7109375" style="847" customWidth="1"/>
    <col min="8724" max="8724" width="6.7109375" style="847" customWidth="1"/>
    <col min="8725" max="8725" width="9.140625" style="847" customWidth="1"/>
    <col min="8726" max="8726" width="1.85546875" style="847" customWidth="1"/>
    <col min="8727" max="8727" width="6.7109375" style="847" customWidth="1"/>
    <col min="8728" max="8728" width="9.140625" style="847" customWidth="1"/>
    <col min="8729" max="8729" width="1.7109375" style="847" customWidth="1"/>
    <col min="8730" max="8960" width="9.140625" style="847"/>
    <col min="8961" max="8961" width="10.85546875" style="847" customWidth="1"/>
    <col min="8962" max="8963" width="7.7109375" style="847" customWidth="1"/>
    <col min="8964" max="8964" width="1.7109375" style="847" customWidth="1"/>
    <col min="8965" max="8966" width="7.7109375" style="847" customWidth="1"/>
    <col min="8967" max="8967" width="1.7109375" style="847" customWidth="1"/>
    <col min="8968" max="8968" width="6.7109375" style="847" customWidth="1"/>
    <col min="8969" max="8969" width="7.7109375" style="847" customWidth="1"/>
    <col min="8970" max="8970" width="1.7109375" style="847" customWidth="1"/>
    <col min="8971" max="8971" width="6.7109375" style="847" customWidth="1"/>
    <col min="8972" max="8972" width="7.7109375" style="847" customWidth="1"/>
    <col min="8973" max="8973" width="1.7109375" style="847" customWidth="1"/>
    <col min="8974" max="8974" width="6.7109375" style="847" customWidth="1"/>
    <col min="8975" max="8975" width="7.7109375" style="847" customWidth="1"/>
    <col min="8976" max="8976" width="1.7109375" style="847" customWidth="1"/>
    <col min="8977" max="8977" width="6.7109375" style="847" customWidth="1"/>
    <col min="8978" max="8978" width="7.7109375" style="847" customWidth="1"/>
    <col min="8979" max="8979" width="1.7109375" style="847" customWidth="1"/>
    <col min="8980" max="8980" width="6.7109375" style="847" customWidth="1"/>
    <col min="8981" max="8981" width="9.140625" style="847" customWidth="1"/>
    <col min="8982" max="8982" width="1.85546875" style="847" customWidth="1"/>
    <col min="8983" max="8983" width="6.7109375" style="847" customWidth="1"/>
    <col min="8984" max="8984" width="9.140625" style="847" customWidth="1"/>
    <col min="8985" max="8985" width="1.7109375" style="847" customWidth="1"/>
    <col min="8986" max="9216" width="9.140625" style="847"/>
    <col min="9217" max="9217" width="10.85546875" style="847" customWidth="1"/>
    <col min="9218" max="9219" width="7.7109375" style="847" customWidth="1"/>
    <col min="9220" max="9220" width="1.7109375" style="847" customWidth="1"/>
    <col min="9221" max="9222" width="7.7109375" style="847" customWidth="1"/>
    <col min="9223" max="9223" width="1.7109375" style="847" customWidth="1"/>
    <col min="9224" max="9224" width="6.7109375" style="847" customWidth="1"/>
    <col min="9225" max="9225" width="7.7109375" style="847" customWidth="1"/>
    <col min="9226" max="9226" width="1.7109375" style="847" customWidth="1"/>
    <col min="9227" max="9227" width="6.7109375" style="847" customWidth="1"/>
    <col min="9228" max="9228" width="7.7109375" style="847" customWidth="1"/>
    <col min="9229" max="9229" width="1.7109375" style="847" customWidth="1"/>
    <col min="9230" max="9230" width="6.7109375" style="847" customWidth="1"/>
    <col min="9231" max="9231" width="7.7109375" style="847" customWidth="1"/>
    <col min="9232" max="9232" width="1.7109375" style="847" customWidth="1"/>
    <col min="9233" max="9233" width="6.7109375" style="847" customWidth="1"/>
    <col min="9234" max="9234" width="7.7109375" style="847" customWidth="1"/>
    <col min="9235" max="9235" width="1.7109375" style="847" customWidth="1"/>
    <col min="9236" max="9236" width="6.7109375" style="847" customWidth="1"/>
    <col min="9237" max="9237" width="9.140625" style="847" customWidth="1"/>
    <col min="9238" max="9238" width="1.85546875" style="847" customWidth="1"/>
    <col min="9239" max="9239" width="6.7109375" style="847" customWidth="1"/>
    <col min="9240" max="9240" width="9.140625" style="847" customWidth="1"/>
    <col min="9241" max="9241" width="1.7109375" style="847" customWidth="1"/>
    <col min="9242" max="9472" width="9.140625" style="847"/>
    <col min="9473" max="9473" width="10.85546875" style="847" customWidth="1"/>
    <col min="9474" max="9475" width="7.7109375" style="847" customWidth="1"/>
    <col min="9476" max="9476" width="1.7109375" style="847" customWidth="1"/>
    <col min="9477" max="9478" width="7.7109375" style="847" customWidth="1"/>
    <col min="9479" max="9479" width="1.7109375" style="847" customWidth="1"/>
    <col min="9480" max="9480" width="6.7109375" style="847" customWidth="1"/>
    <col min="9481" max="9481" width="7.7109375" style="847" customWidth="1"/>
    <col min="9482" max="9482" width="1.7109375" style="847" customWidth="1"/>
    <col min="9483" max="9483" width="6.7109375" style="847" customWidth="1"/>
    <col min="9484" max="9484" width="7.7109375" style="847" customWidth="1"/>
    <col min="9485" max="9485" width="1.7109375" style="847" customWidth="1"/>
    <col min="9486" max="9486" width="6.7109375" style="847" customWidth="1"/>
    <col min="9487" max="9487" width="7.7109375" style="847" customWidth="1"/>
    <col min="9488" max="9488" width="1.7109375" style="847" customWidth="1"/>
    <col min="9489" max="9489" width="6.7109375" style="847" customWidth="1"/>
    <col min="9490" max="9490" width="7.7109375" style="847" customWidth="1"/>
    <col min="9491" max="9491" width="1.7109375" style="847" customWidth="1"/>
    <col min="9492" max="9492" width="6.7109375" style="847" customWidth="1"/>
    <col min="9493" max="9493" width="9.140625" style="847" customWidth="1"/>
    <col min="9494" max="9494" width="1.85546875" style="847" customWidth="1"/>
    <col min="9495" max="9495" width="6.7109375" style="847" customWidth="1"/>
    <col min="9496" max="9496" width="9.140625" style="847" customWidth="1"/>
    <col min="9497" max="9497" width="1.7109375" style="847" customWidth="1"/>
    <col min="9498" max="9728" width="9.140625" style="847"/>
    <col min="9729" max="9729" width="10.85546875" style="847" customWidth="1"/>
    <col min="9730" max="9731" width="7.7109375" style="847" customWidth="1"/>
    <col min="9732" max="9732" width="1.7109375" style="847" customWidth="1"/>
    <col min="9733" max="9734" width="7.7109375" style="847" customWidth="1"/>
    <col min="9735" max="9735" width="1.7109375" style="847" customWidth="1"/>
    <col min="9736" max="9736" width="6.7109375" style="847" customWidth="1"/>
    <col min="9737" max="9737" width="7.7109375" style="847" customWidth="1"/>
    <col min="9738" max="9738" width="1.7109375" style="847" customWidth="1"/>
    <col min="9739" max="9739" width="6.7109375" style="847" customWidth="1"/>
    <col min="9740" max="9740" width="7.7109375" style="847" customWidth="1"/>
    <col min="9741" max="9741" width="1.7109375" style="847" customWidth="1"/>
    <col min="9742" max="9742" width="6.7109375" style="847" customWidth="1"/>
    <col min="9743" max="9743" width="7.7109375" style="847" customWidth="1"/>
    <col min="9744" max="9744" width="1.7109375" style="847" customWidth="1"/>
    <col min="9745" max="9745" width="6.7109375" style="847" customWidth="1"/>
    <col min="9746" max="9746" width="7.7109375" style="847" customWidth="1"/>
    <col min="9747" max="9747" width="1.7109375" style="847" customWidth="1"/>
    <col min="9748" max="9748" width="6.7109375" style="847" customWidth="1"/>
    <col min="9749" max="9749" width="9.140625" style="847" customWidth="1"/>
    <col min="9750" max="9750" width="1.85546875" style="847" customWidth="1"/>
    <col min="9751" max="9751" width="6.7109375" style="847" customWidth="1"/>
    <col min="9752" max="9752" width="9.140625" style="847" customWidth="1"/>
    <col min="9753" max="9753" width="1.7109375" style="847" customWidth="1"/>
    <col min="9754" max="9984" width="9.140625" style="847"/>
    <col min="9985" max="9985" width="10.85546875" style="847" customWidth="1"/>
    <col min="9986" max="9987" width="7.7109375" style="847" customWidth="1"/>
    <col min="9988" max="9988" width="1.7109375" style="847" customWidth="1"/>
    <col min="9989" max="9990" width="7.7109375" style="847" customWidth="1"/>
    <col min="9991" max="9991" width="1.7109375" style="847" customWidth="1"/>
    <col min="9992" max="9992" width="6.7109375" style="847" customWidth="1"/>
    <col min="9993" max="9993" width="7.7109375" style="847" customWidth="1"/>
    <col min="9994" max="9994" width="1.7109375" style="847" customWidth="1"/>
    <col min="9995" max="9995" width="6.7109375" style="847" customWidth="1"/>
    <col min="9996" max="9996" width="7.7109375" style="847" customWidth="1"/>
    <col min="9997" max="9997" width="1.7109375" style="847" customWidth="1"/>
    <col min="9998" max="9998" width="6.7109375" style="847" customWidth="1"/>
    <col min="9999" max="9999" width="7.7109375" style="847" customWidth="1"/>
    <col min="10000" max="10000" width="1.7109375" style="847" customWidth="1"/>
    <col min="10001" max="10001" width="6.7109375" style="847" customWidth="1"/>
    <col min="10002" max="10002" width="7.7109375" style="847" customWidth="1"/>
    <col min="10003" max="10003" width="1.7109375" style="847" customWidth="1"/>
    <col min="10004" max="10004" width="6.7109375" style="847" customWidth="1"/>
    <col min="10005" max="10005" width="9.140625" style="847" customWidth="1"/>
    <col min="10006" max="10006" width="1.85546875" style="847" customWidth="1"/>
    <col min="10007" max="10007" width="6.7109375" style="847" customWidth="1"/>
    <col min="10008" max="10008" width="9.140625" style="847" customWidth="1"/>
    <col min="10009" max="10009" width="1.7109375" style="847" customWidth="1"/>
    <col min="10010" max="10240" width="9.140625" style="847"/>
    <col min="10241" max="10241" width="10.85546875" style="847" customWidth="1"/>
    <col min="10242" max="10243" width="7.7109375" style="847" customWidth="1"/>
    <col min="10244" max="10244" width="1.7109375" style="847" customWidth="1"/>
    <col min="10245" max="10246" width="7.7109375" style="847" customWidth="1"/>
    <col min="10247" max="10247" width="1.7109375" style="847" customWidth="1"/>
    <col min="10248" max="10248" width="6.7109375" style="847" customWidth="1"/>
    <col min="10249" max="10249" width="7.7109375" style="847" customWidth="1"/>
    <col min="10250" max="10250" width="1.7109375" style="847" customWidth="1"/>
    <col min="10251" max="10251" width="6.7109375" style="847" customWidth="1"/>
    <col min="10252" max="10252" width="7.7109375" style="847" customWidth="1"/>
    <col min="10253" max="10253" width="1.7109375" style="847" customWidth="1"/>
    <col min="10254" max="10254" width="6.7109375" style="847" customWidth="1"/>
    <col min="10255" max="10255" width="7.7109375" style="847" customWidth="1"/>
    <col min="10256" max="10256" width="1.7109375" style="847" customWidth="1"/>
    <col min="10257" max="10257" width="6.7109375" style="847" customWidth="1"/>
    <col min="10258" max="10258" width="7.7109375" style="847" customWidth="1"/>
    <col min="10259" max="10259" width="1.7109375" style="847" customWidth="1"/>
    <col min="10260" max="10260" width="6.7109375" style="847" customWidth="1"/>
    <col min="10261" max="10261" width="9.140625" style="847" customWidth="1"/>
    <col min="10262" max="10262" width="1.85546875" style="847" customWidth="1"/>
    <col min="10263" max="10263" width="6.7109375" style="847" customWidth="1"/>
    <col min="10264" max="10264" width="9.140625" style="847" customWidth="1"/>
    <col min="10265" max="10265" width="1.7109375" style="847" customWidth="1"/>
    <col min="10266" max="10496" width="9.140625" style="847"/>
    <col min="10497" max="10497" width="10.85546875" style="847" customWidth="1"/>
    <col min="10498" max="10499" width="7.7109375" style="847" customWidth="1"/>
    <col min="10500" max="10500" width="1.7109375" style="847" customWidth="1"/>
    <col min="10501" max="10502" width="7.7109375" style="847" customWidth="1"/>
    <col min="10503" max="10503" width="1.7109375" style="847" customWidth="1"/>
    <col min="10504" max="10504" width="6.7109375" style="847" customWidth="1"/>
    <col min="10505" max="10505" width="7.7109375" style="847" customWidth="1"/>
    <col min="10506" max="10506" width="1.7109375" style="847" customWidth="1"/>
    <col min="10507" max="10507" width="6.7109375" style="847" customWidth="1"/>
    <col min="10508" max="10508" width="7.7109375" style="847" customWidth="1"/>
    <col min="10509" max="10509" width="1.7109375" style="847" customWidth="1"/>
    <col min="10510" max="10510" width="6.7109375" style="847" customWidth="1"/>
    <col min="10511" max="10511" width="7.7109375" style="847" customWidth="1"/>
    <col min="10512" max="10512" width="1.7109375" style="847" customWidth="1"/>
    <col min="10513" max="10513" width="6.7109375" style="847" customWidth="1"/>
    <col min="10514" max="10514" width="7.7109375" style="847" customWidth="1"/>
    <col min="10515" max="10515" width="1.7109375" style="847" customWidth="1"/>
    <col min="10516" max="10516" width="6.7109375" style="847" customWidth="1"/>
    <col min="10517" max="10517" width="9.140625" style="847" customWidth="1"/>
    <col min="10518" max="10518" width="1.85546875" style="847" customWidth="1"/>
    <col min="10519" max="10519" width="6.7109375" style="847" customWidth="1"/>
    <col min="10520" max="10520" width="9.140625" style="847" customWidth="1"/>
    <col min="10521" max="10521" width="1.7109375" style="847" customWidth="1"/>
    <col min="10522" max="10752" width="9.140625" style="847"/>
    <col min="10753" max="10753" width="10.85546875" style="847" customWidth="1"/>
    <col min="10754" max="10755" width="7.7109375" style="847" customWidth="1"/>
    <col min="10756" max="10756" width="1.7109375" style="847" customWidth="1"/>
    <col min="10757" max="10758" width="7.7109375" style="847" customWidth="1"/>
    <col min="10759" max="10759" width="1.7109375" style="847" customWidth="1"/>
    <col min="10760" max="10760" width="6.7109375" style="847" customWidth="1"/>
    <col min="10761" max="10761" width="7.7109375" style="847" customWidth="1"/>
    <col min="10762" max="10762" width="1.7109375" style="847" customWidth="1"/>
    <col min="10763" max="10763" width="6.7109375" style="847" customWidth="1"/>
    <col min="10764" max="10764" width="7.7109375" style="847" customWidth="1"/>
    <col min="10765" max="10765" width="1.7109375" style="847" customWidth="1"/>
    <col min="10766" max="10766" width="6.7109375" style="847" customWidth="1"/>
    <col min="10767" max="10767" width="7.7109375" style="847" customWidth="1"/>
    <col min="10768" max="10768" width="1.7109375" style="847" customWidth="1"/>
    <col min="10769" max="10769" width="6.7109375" style="847" customWidth="1"/>
    <col min="10770" max="10770" width="7.7109375" style="847" customWidth="1"/>
    <col min="10771" max="10771" width="1.7109375" style="847" customWidth="1"/>
    <col min="10772" max="10772" width="6.7109375" style="847" customWidth="1"/>
    <col min="10773" max="10773" width="9.140625" style="847" customWidth="1"/>
    <col min="10774" max="10774" width="1.85546875" style="847" customWidth="1"/>
    <col min="10775" max="10775" width="6.7109375" style="847" customWidth="1"/>
    <col min="10776" max="10776" width="9.140625" style="847" customWidth="1"/>
    <col min="10777" max="10777" width="1.7109375" style="847" customWidth="1"/>
    <col min="10778" max="11008" width="9.140625" style="847"/>
    <col min="11009" max="11009" width="10.85546875" style="847" customWidth="1"/>
    <col min="11010" max="11011" width="7.7109375" style="847" customWidth="1"/>
    <col min="11012" max="11012" width="1.7109375" style="847" customWidth="1"/>
    <col min="11013" max="11014" width="7.7109375" style="847" customWidth="1"/>
    <col min="11015" max="11015" width="1.7109375" style="847" customWidth="1"/>
    <col min="11016" max="11016" width="6.7109375" style="847" customWidth="1"/>
    <col min="11017" max="11017" width="7.7109375" style="847" customWidth="1"/>
    <col min="11018" max="11018" width="1.7109375" style="847" customWidth="1"/>
    <col min="11019" max="11019" width="6.7109375" style="847" customWidth="1"/>
    <col min="11020" max="11020" width="7.7109375" style="847" customWidth="1"/>
    <col min="11021" max="11021" width="1.7109375" style="847" customWidth="1"/>
    <col min="11022" max="11022" width="6.7109375" style="847" customWidth="1"/>
    <col min="11023" max="11023" width="7.7109375" style="847" customWidth="1"/>
    <col min="11024" max="11024" width="1.7109375" style="847" customWidth="1"/>
    <col min="11025" max="11025" width="6.7109375" style="847" customWidth="1"/>
    <col min="11026" max="11026" width="7.7109375" style="847" customWidth="1"/>
    <col min="11027" max="11027" width="1.7109375" style="847" customWidth="1"/>
    <col min="11028" max="11028" width="6.7109375" style="847" customWidth="1"/>
    <col min="11029" max="11029" width="9.140625" style="847" customWidth="1"/>
    <col min="11030" max="11030" width="1.85546875" style="847" customWidth="1"/>
    <col min="11031" max="11031" width="6.7109375" style="847" customWidth="1"/>
    <col min="11032" max="11032" width="9.140625" style="847" customWidth="1"/>
    <col min="11033" max="11033" width="1.7109375" style="847" customWidth="1"/>
    <col min="11034" max="11264" width="9.140625" style="847"/>
    <col min="11265" max="11265" width="10.85546875" style="847" customWidth="1"/>
    <col min="11266" max="11267" width="7.7109375" style="847" customWidth="1"/>
    <col min="11268" max="11268" width="1.7109375" style="847" customWidth="1"/>
    <col min="11269" max="11270" width="7.7109375" style="847" customWidth="1"/>
    <col min="11271" max="11271" width="1.7109375" style="847" customWidth="1"/>
    <col min="11272" max="11272" width="6.7109375" style="847" customWidth="1"/>
    <col min="11273" max="11273" width="7.7109375" style="847" customWidth="1"/>
    <col min="11274" max="11274" width="1.7109375" style="847" customWidth="1"/>
    <col min="11275" max="11275" width="6.7109375" style="847" customWidth="1"/>
    <col min="11276" max="11276" width="7.7109375" style="847" customWidth="1"/>
    <col min="11277" max="11277" width="1.7109375" style="847" customWidth="1"/>
    <col min="11278" max="11278" width="6.7109375" style="847" customWidth="1"/>
    <col min="11279" max="11279" width="7.7109375" style="847" customWidth="1"/>
    <col min="11280" max="11280" width="1.7109375" style="847" customWidth="1"/>
    <col min="11281" max="11281" width="6.7109375" style="847" customWidth="1"/>
    <col min="11282" max="11282" width="7.7109375" style="847" customWidth="1"/>
    <col min="11283" max="11283" width="1.7109375" style="847" customWidth="1"/>
    <col min="11284" max="11284" width="6.7109375" style="847" customWidth="1"/>
    <col min="11285" max="11285" width="9.140625" style="847" customWidth="1"/>
    <col min="11286" max="11286" width="1.85546875" style="847" customWidth="1"/>
    <col min="11287" max="11287" width="6.7109375" style="847" customWidth="1"/>
    <col min="11288" max="11288" width="9.140625" style="847" customWidth="1"/>
    <col min="11289" max="11289" width="1.7109375" style="847" customWidth="1"/>
    <col min="11290" max="11520" width="9.140625" style="847"/>
    <col min="11521" max="11521" width="10.85546875" style="847" customWidth="1"/>
    <col min="11522" max="11523" width="7.7109375" style="847" customWidth="1"/>
    <col min="11524" max="11524" width="1.7109375" style="847" customWidth="1"/>
    <col min="11525" max="11526" width="7.7109375" style="847" customWidth="1"/>
    <col min="11527" max="11527" width="1.7109375" style="847" customWidth="1"/>
    <col min="11528" max="11528" width="6.7109375" style="847" customWidth="1"/>
    <col min="11529" max="11529" width="7.7109375" style="847" customWidth="1"/>
    <col min="11530" max="11530" width="1.7109375" style="847" customWidth="1"/>
    <col min="11531" max="11531" width="6.7109375" style="847" customWidth="1"/>
    <col min="11532" max="11532" width="7.7109375" style="847" customWidth="1"/>
    <col min="11533" max="11533" width="1.7109375" style="847" customWidth="1"/>
    <col min="11534" max="11534" width="6.7109375" style="847" customWidth="1"/>
    <col min="11535" max="11535" width="7.7109375" style="847" customWidth="1"/>
    <col min="11536" max="11536" width="1.7109375" style="847" customWidth="1"/>
    <col min="11537" max="11537" width="6.7109375" style="847" customWidth="1"/>
    <col min="11538" max="11538" width="7.7109375" style="847" customWidth="1"/>
    <col min="11539" max="11539" width="1.7109375" style="847" customWidth="1"/>
    <col min="11540" max="11540" width="6.7109375" style="847" customWidth="1"/>
    <col min="11541" max="11541" width="9.140625" style="847" customWidth="1"/>
    <col min="11542" max="11542" width="1.85546875" style="847" customWidth="1"/>
    <col min="11543" max="11543" width="6.7109375" style="847" customWidth="1"/>
    <col min="11544" max="11544" width="9.140625" style="847" customWidth="1"/>
    <col min="11545" max="11545" width="1.7109375" style="847" customWidth="1"/>
    <col min="11546" max="11776" width="9.140625" style="847"/>
    <col min="11777" max="11777" width="10.85546875" style="847" customWidth="1"/>
    <col min="11778" max="11779" width="7.7109375" style="847" customWidth="1"/>
    <col min="11780" max="11780" width="1.7109375" style="847" customWidth="1"/>
    <col min="11781" max="11782" width="7.7109375" style="847" customWidth="1"/>
    <col min="11783" max="11783" width="1.7109375" style="847" customWidth="1"/>
    <col min="11784" max="11784" width="6.7109375" style="847" customWidth="1"/>
    <col min="11785" max="11785" width="7.7109375" style="847" customWidth="1"/>
    <col min="11786" max="11786" width="1.7109375" style="847" customWidth="1"/>
    <col min="11787" max="11787" width="6.7109375" style="847" customWidth="1"/>
    <col min="11788" max="11788" width="7.7109375" style="847" customWidth="1"/>
    <col min="11789" max="11789" width="1.7109375" style="847" customWidth="1"/>
    <col min="11790" max="11790" width="6.7109375" style="847" customWidth="1"/>
    <col min="11791" max="11791" width="7.7109375" style="847" customWidth="1"/>
    <col min="11792" max="11792" width="1.7109375" style="847" customWidth="1"/>
    <col min="11793" max="11793" width="6.7109375" style="847" customWidth="1"/>
    <col min="11794" max="11794" width="7.7109375" style="847" customWidth="1"/>
    <col min="11795" max="11795" width="1.7109375" style="847" customWidth="1"/>
    <col min="11796" max="11796" width="6.7109375" style="847" customWidth="1"/>
    <col min="11797" max="11797" width="9.140625" style="847" customWidth="1"/>
    <col min="11798" max="11798" width="1.85546875" style="847" customWidth="1"/>
    <col min="11799" max="11799" width="6.7109375" style="847" customWidth="1"/>
    <col min="11800" max="11800" width="9.140625" style="847" customWidth="1"/>
    <col min="11801" max="11801" width="1.7109375" style="847" customWidth="1"/>
    <col min="11802" max="12032" width="9.140625" style="847"/>
    <col min="12033" max="12033" width="10.85546875" style="847" customWidth="1"/>
    <col min="12034" max="12035" width="7.7109375" style="847" customWidth="1"/>
    <col min="12036" max="12036" width="1.7109375" style="847" customWidth="1"/>
    <col min="12037" max="12038" width="7.7109375" style="847" customWidth="1"/>
    <col min="12039" max="12039" width="1.7109375" style="847" customWidth="1"/>
    <col min="12040" max="12040" width="6.7109375" style="847" customWidth="1"/>
    <col min="12041" max="12041" width="7.7109375" style="847" customWidth="1"/>
    <col min="12042" max="12042" width="1.7109375" style="847" customWidth="1"/>
    <col min="12043" max="12043" width="6.7109375" style="847" customWidth="1"/>
    <col min="12044" max="12044" width="7.7109375" style="847" customWidth="1"/>
    <col min="12045" max="12045" width="1.7109375" style="847" customWidth="1"/>
    <col min="12046" max="12046" width="6.7109375" style="847" customWidth="1"/>
    <col min="12047" max="12047" width="7.7109375" style="847" customWidth="1"/>
    <col min="12048" max="12048" width="1.7109375" style="847" customWidth="1"/>
    <col min="12049" max="12049" width="6.7109375" style="847" customWidth="1"/>
    <col min="12050" max="12050" width="7.7109375" style="847" customWidth="1"/>
    <col min="12051" max="12051" width="1.7109375" style="847" customWidth="1"/>
    <col min="12052" max="12052" width="6.7109375" style="847" customWidth="1"/>
    <col min="12053" max="12053" width="9.140625" style="847" customWidth="1"/>
    <col min="12054" max="12054" width="1.85546875" style="847" customWidth="1"/>
    <col min="12055" max="12055" width="6.7109375" style="847" customWidth="1"/>
    <col min="12056" max="12056" width="9.140625" style="847" customWidth="1"/>
    <col min="12057" max="12057" width="1.7109375" style="847" customWidth="1"/>
    <col min="12058" max="12288" width="9.140625" style="847"/>
    <col min="12289" max="12289" width="10.85546875" style="847" customWidth="1"/>
    <col min="12290" max="12291" width="7.7109375" style="847" customWidth="1"/>
    <col min="12292" max="12292" width="1.7109375" style="847" customWidth="1"/>
    <col min="12293" max="12294" width="7.7109375" style="847" customWidth="1"/>
    <col min="12295" max="12295" width="1.7109375" style="847" customWidth="1"/>
    <col min="12296" max="12296" width="6.7109375" style="847" customWidth="1"/>
    <col min="12297" max="12297" width="7.7109375" style="847" customWidth="1"/>
    <col min="12298" max="12298" width="1.7109375" style="847" customWidth="1"/>
    <col min="12299" max="12299" width="6.7109375" style="847" customWidth="1"/>
    <col min="12300" max="12300" width="7.7109375" style="847" customWidth="1"/>
    <col min="12301" max="12301" width="1.7109375" style="847" customWidth="1"/>
    <col min="12302" max="12302" width="6.7109375" style="847" customWidth="1"/>
    <col min="12303" max="12303" width="7.7109375" style="847" customWidth="1"/>
    <col min="12304" max="12304" width="1.7109375" style="847" customWidth="1"/>
    <col min="12305" max="12305" width="6.7109375" style="847" customWidth="1"/>
    <col min="12306" max="12306" width="7.7109375" style="847" customWidth="1"/>
    <col min="12307" max="12307" width="1.7109375" style="847" customWidth="1"/>
    <col min="12308" max="12308" width="6.7109375" style="847" customWidth="1"/>
    <col min="12309" max="12309" width="9.140625" style="847" customWidth="1"/>
    <col min="12310" max="12310" width="1.85546875" style="847" customWidth="1"/>
    <col min="12311" max="12311" width="6.7109375" style="847" customWidth="1"/>
    <col min="12312" max="12312" width="9.140625" style="847" customWidth="1"/>
    <col min="12313" max="12313" width="1.7109375" style="847" customWidth="1"/>
    <col min="12314" max="12544" width="9.140625" style="847"/>
    <col min="12545" max="12545" width="10.85546875" style="847" customWidth="1"/>
    <col min="12546" max="12547" width="7.7109375" style="847" customWidth="1"/>
    <col min="12548" max="12548" width="1.7109375" style="847" customWidth="1"/>
    <col min="12549" max="12550" width="7.7109375" style="847" customWidth="1"/>
    <col min="12551" max="12551" width="1.7109375" style="847" customWidth="1"/>
    <col min="12552" max="12552" width="6.7109375" style="847" customWidth="1"/>
    <col min="12553" max="12553" width="7.7109375" style="847" customWidth="1"/>
    <col min="12554" max="12554" width="1.7109375" style="847" customWidth="1"/>
    <col min="12555" max="12555" width="6.7109375" style="847" customWidth="1"/>
    <col min="12556" max="12556" width="7.7109375" style="847" customWidth="1"/>
    <col min="12557" max="12557" width="1.7109375" style="847" customWidth="1"/>
    <col min="12558" max="12558" width="6.7109375" style="847" customWidth="1"/>
    <col min="12559" max="12559" width="7.7109375" style="847" customWidth="1"/>
    <col min="12560" max="12560" width="1.7109375" style="847" customWidth="1"/>
    <col min="12561" max="12561" width="6.7109375" style="847" customWidth="1"/>
    <col min="12562" max="12562" width="7.7109375" style="847" customWidth="1"/>
    <col min="12563" max="12563" width="1.7109375" style="847" customWidth="1"/>
    <col min="12564" max="12564" width="6.7109375" style="847" customWidth="1"/>
    <col min="12565" max="12565" width="9.140625" style="847" customWidth="1"/>
    <col min="12566" max="12566" width="1.85546875" style="847" customWidth="1"/>
    <col min="12567" max="12567" width="6.7109375" style="847" customWidth="1"/>
    <col min="12568" max="12568" width="9.140625" style="847" customWidth="1"/>
    <col min="12569" max="12569" width="1.7109375" style="847" customWidth="1"/>
    <col min="12570" max="12800" width="9.140625" style="847"/>
    <col min="12801" max="12801" width="10.85546875" style="847" customWidth="1"/>
    <col min="12802" max="12803" width="7.7109375" style="847" customWidth="1"/>
    <col min="12804" max="12804" width="1.7109375" style="847" customWidth="1"/>
    <col min="12805" max="12806" width="7.7109375" style="847" customWidth="1"/>
    <col min="12807" max="12807" width="1.7109375" style="847" customWidth="1"/>
    <col min="12808" max="12808" width="6.7109375" style="847" customWidth="1"/>
    <col min="12809" max="12809" width="7.7109375" style="847" customWidth="1"/>
    <col min="12810" max="12810" width="1.7109375" style="847" customWidth="1"/>
    <col min="12811" max="12811" width="6.7109375" style="847" customWidth="1"/>
    <col min="12812" max="12812" width="7.7109375" style="847" customWidth="1"/>
    <col min="12813" max="12813" width="1.7109375" style="847" customWidth="1"/>
    <col min="12814" max="12814" width="6.7109375" style="847" customWidth="1"/>
    <col min="12815" max="12815" width="7.7109375" style="847" customWidth="1"/>
    <col min="12816" max="12816" width="1.7109375" style="847" customWidth="1"/>
    <col min="12817" max="12817" width="6.7109375" style="847" customWidth="1"/>
    <col min="12818" max="12818" width="7.7109375" style="847" customWidth="1"/>
    <col min="12819" max="12819" width="1.7109375" style="847" customWidth="1"/>
    <col min="12820" max="12820" width="6.7109375" style="847" customWidth="1"/>
    <col min="12821" max="12821" width="9.140625" style="847" customWidth="1"/>
    <col min="12822" max="12822" width="1.85546875" style="847" customWidth="1"/>
    <col min="12823" max="12823" width="6.7109375" style="847" customWidth="1"/>
    <col min="12824" max="12824" width="9.140625" style="847" customWidth="1"/>
    <col min="12825" max="12825" width="1.7109375" style="847" customWidth="1"/>
    <col min="12826" max="13056" width="9.140625" style="847"/>
    <col min="13057" max="13057" width="10.85546875" style="847" customWidth="1"/>
    <col min="13058" max="13059" width="7.7109375" style="847" customWidth="1"/>
    <col min="13060" max="13060" width="1.7109375" style="847" customWidth="1"/>
    <col min="13061" max="13062" width="7.7109375" style="847" customWidth="1"/>
    <col min="13063" max="13063" width="1.7109375" style="847" customWidth="1"/>
    <col min="13064" max="13064" width="6.7109375" style="847" customWidth="1"/>
    <col min="13065" max="13065" width="7.7109375" style="847" customWidth="1"/>
    <col min="13066" max="13066" width="1.7109375" style="847" customWidth="1"/>
    <col min="13067" max="13067" width="6.7109375" style="847" customWidth="1"/>
    <col min="13068" max="13068" width="7.7109375" style="847" customWidth="1"/>
    <col min="13069" max="13069" width="1.7109375" style="847" customWidth="1"/>
    <col min="13070" max="13070" width="6.7109375" style="847" customWidth="1"/>
    <col min="13071" max="13071" width="7.7109375" style="847" customWidth="1"/>
    <col min="13072" max="13072" width="1.7109375" style="847" customWidth="1"/>
    <col min="13073" max="13073" width="6.7109375" style="847" customWidth="1"/>
    <col min="13074" max="13074" width="7.7109375" style="847" customWidth="1"/>
    <col min="13075" max="13075" width="1.7109375" style="847" customWidth="1"/>
    <col min="13076" max="13076" width="6.7109375" style="847" customWidth="1"/>
    <col min="13077" max="13077" width="9.140625" style="847" customWidth="1"/>
    <col min="13078" max="13078" width="1.85546875" style="847" customWidth="1"/>
    <col min="13079" max="13079" width="6.7109375" style="847" customWidth="1"/>
    <col min="13080" max="13080" width="9.140625" style="847" customWidth="1"/>
    <col min="13081" max="13081" width="1.7109375" style="847" customWidth="1"/>
    <col min="13082" max="13312" width="9.140625" style="847"/>
    <col min="13313" max="13313" width="10.85546875" style="847" customWidth="1"/>
    <col min="13314" max="13315" width="7.7109375" style="847" customWidth="1"/>
    <col min="13316" max="13316" width="1.7109375" style="847" customWidth="1"/>
    <col min="13317" max="13318" width="7.7109375" style="847" customWidth="1"/>
    <col min="13319" max="13319" width="1.7109375" style="847" customWidth="1"/>
    <col min="13320" max="13320" width="6.7109375" style="847" customWidth="1"/>
    <col min="13321" max="13321" width="7.7109375" style="847" customWidth="1"/>
    <col min="13322" max="13322" width="1.7109375" style="847" customWidth="1"/>
    <col min="13323" max="13323" width="6.7109375" style="847" customWidth="1"/>
    <col min="13324" max="13324" width="7.7109375" style="847" customWidth="1"/>
    <col min="13325" max="13325" width="1.7109375" style="847" customWidth="1"/>
    <col min="13326" max="13326" width="6.7109375" style="847" customWidth="1"/>
    <col min="13327" max="13327" width="7.7109375" style="847" customWidth="1"/>
    <col min="13328" max="13328" width="1.7109375" style="847" customWidth="1"/>
    <col min="13329" max="13329" width="6.7109375" style="847" customWidth="1"/>
    <col min="13330" max="13330" width="7.7109375" style="847" customWidth="1"/>
    <col min="13331" max="13331" width="1.7109375" style="847" customWidth="1"/>
    <col min="13332" max="13332" width="6.7109375" style="847" customWidth="1"/>
    <col min="13333" max="13333" width="9.140625" style="847" customWidth="1"/>
    <col min="13334" max="13334" width="1.85546875" style="847" customWidth="1"/>
    <col min="13335" max="13335" width="6.7109375" style="847" customWidth="1"/>
    <col min="13336" max="13336" width="9.140625" style="847" customWidth="1"/>
    <col min="13337" max="13337" width="1.7109375" style="847" customWidth="1"/>
    <col min="13338" max="13568" width="9.140625" style="847"/>
    <col min="13569" max="13569" width="10.85546875" style="847" customWidth="1"/>
    <col min="13570" max="13571" width="7.7109375" style="847" customWidth="1"/>
    <col min="13572" max="13572" width="1.7109375" style="847" customWidth="1"/>
    <col min="13573" max="13574" width="7.7109375" style="847" customWidth="1"/>
    <col min="13575" max="13575" width="1.7109375" style="847" customWidth="1"/>
    <col min="13576" max="13576" width="6.7109375" style="847" customWidth="1"/>
    <col min="13577" max="13577" width="7.7109375" style="847" customWidth="1"/>
    <col min="13578" max="13578" width="1.7109375" style="847" customWidth="1"/>
    <col min="13579" max="13579" width="6.7109375" style="847" customWidth="1"/>
    <col min="13580" max="13580" width="7.7109375" style="847" customWidth="1"/>
    <col min="13581" max="13581" width="1.7109375" style="847" customWidth="1"/>
    <col min="13582" max="13582" width="6.7109375" style="847" customWidth="1"/>
    <col min="13583" max="13583" width="7.7109375" style="847" customWidth="1"/>
    <col min="13584" max="13584" width="1.7109375" style="847" customWidth="1"/>
    <col min="13585" max="13585" width="6.7109375" style="847" customWidth="1"/>
    <col min="13586" max="13586" width="7.7109375" style="847" customWidth="1"/>
    <col min="13587" max="13587" width="1.7109375" style="847" customWidth="1"/>
    <col min="13588" max="13588" width="6.7109375" style="847" customWidth="1"/>
    <col min="13589" max="13589" width="9.140625" style="847" customWidth="1"/>
    <col min="13590" max="13590" width="1.85546875" style="847" customWidth="1"/>
    <col min="13591" max="13591" width="6.7109375" style="847" customWidth="1"/>
    <col min="13592" max="13592" width="9.140625" style="847" customWidth="1"/>
    <col min="13593" max="13593" width="1.7109375" style="847" customWidth="1"/>
    <col min="13594" max="13824" width="9.140625" style="847"/>
    <col min="13825" max="13825" width="10.85546875" style="847" customWidth="1"/>
    <col min="13826" max="13827" width="7.7109375" style="847" customWidth="1"/>
    <col min="13828" max="13828" width="1.7109375" style="847" customWidth="1"/>
    <col min="13829" max="13830" width="7.7109375" style="847" customWidth="1"/>
    <col min="13831" max="13831" width="1.7109375" style="847" customWidth="1"/>
    <col min="13832" max="13832" width="6.7109375" style="847" customWidth="1"/>
    <col min="13833" max="13833" width="7.7109375" style="847" customWidth="1"/>
    <col min="13834" max="13834" width="1.7109375" style="847" customWidth="1"/>
    <col min="13835" max="13835" width="6.7109375" style="847" customWidth="1"/>
    <col min="13836" max="13836" width="7.7109375" style="847" customWidth="1"/>
    <col min="13837" max="13837" width="1.7109375" style="847" customWidth="1"/>
    <col min="13838" max="13838" width="6.7109375" style="847" customWidth="1"/>
    <col min="13839" max="13839" width="7.7109375" style="847" customWidth="1"/>
    <col min="13840" max="13840" width="1.7109375" style="847" customWidth="1"/>
    <col min="13841" max="13841" width="6.7109375" style="847" customWidth="1"/>
    <col min="13842" max="13842" width="7.7109375" style="847" customWidth="1"/>
    <col min="13843" max="13843" width="1.7109375" style="847" customWidth="1"/>
    <col min="13844" max="13844" width="6.7109375" style="847" customWidth="1"/>
    <col min="13845" max="13845" width="9.140625" style="847" customWidth="1"/>
    <col min="13846" max="13846" width="1.85546875" style="847" customWidth="1"/>
    <col min="13847" max="13847" width="6.7109375" style="847" customWidth="1"/>
    <col min="13848" max="13848" width="9.140625" style="847" customWidth="1"/>
    <col min="13849" max="13849" width="1.7109375" style="847" customWidth="1"/>
    <col min="13850" max="14080" width="9.140625" style="847"/>
    <col min="14081" max="14081" width="10.85546875" style="847" customWidth="1"/>
    <col min="14082" max="14083" width="7.7109375" style="847" customWidth="1"/>
    <col min="14084" max="14084" width="1.7109375" style="847" customWidth="1"/>
    <col min="14085" max="14086" width="7.7109375" style="847" customWidth="1"/>
    <col min="14087" max="14087" width="1.7109375" style="847" customWidth="1"/>
    <col min="14088" max="14088" width="6.7109375" style="847" customWidth="1"/>
    <col min="14089" max="14089" width="7.7109375" style="847" customWidth="1"/>
    <col min="14090" max="14090" width="1.7109375" style="847" customWidth="1"/>
    <col min="14091" max="14091" width="6.7109375" style="847" customWidth="1"/>
    <col min="14092" max="14092" width="7.7109375" style="847" customWidth="1"/>
    <col min="14093" max="14093" width="1.7109375" style="847" customWidth="1"/>
    <col min="14094" max="14094" width="6.7109375" style="847" customWidth="1"/>
    <col min="14095" max="14095" width="7.7109375" style="847" customWidth="1"/>
    <col min="14096" max="14096" width="1.7109375" style="847" customWidth="1"/>
    <col min="14097" max="14097" width="6.7109375" style="847" customWidth="1"/>
    <col min="14098" max="14098" width="7.7109375" style="847" customWidth="1"/>
    <col min="14099" max="14099" width="1.7109375" style="847" customWidth="1"/>
    <col min="14100" max="14100" width="6.7109375" style="847" customWidth="1"/>
    <col min="14101" max="14101" width="9.140625" style="847" customWidth="1"/>
    <col min="14102" max="14102" width="1.85546875" style="847" customWidth="1"/>
    <col min="14103" max="14103" width="6.7109375" style="847" customWidth="1"/>
    <col min="14104" max="14104" width="9.140625" style="847" customWidth="1"/>
    <col min="14105" max="14105" width="1.7109375" style="847" customWidth="1"/>
    <col min="14106" max="14336" width="9.140625" style="847"/>
    <col min="14337" max="14337" width="10.85546875" style="847" customWidth="1"/>
    <col min="14338" max="14339" width="7.7109375" style="847" customWidth="1"/>
    <col min="14340" max="14340" width="1.7109375" style="847" customWidth="1"/>
    <col min="14341" max="14342" width="7.7109375" style="847" customWidth="1"/>
    <col min="14343" max="14343" width="1.7109375" style="847" customWidth="1"/>
    <col min="14344" max="14344" width="6.7109375" style="847" customWidth="1"/>
    <col min="14345" max="14345" width="7.7109375" style="847" customWidth="1"/>
    <col min="14346" max="14346" width="1.7109375" style="847" customWidth="1"/>
    <col min="14347" max="14347" width="6.7109375" style="847" customWidth="1"/>
    <col min="14348" max="14348" width="7.7109375" style="847" customWidth="1"/>
    <col min="14349" max="14349" width="1.7109375" style="847" customWidth="1"/>
    <col min="14350" max="14350" width="6.7109375" style="847" customWidth="1"/>
    <col min="14351" max="14351" width="7.7109375" style="847" customWidth="1"/>
    <col min="14352" max="14352" width="1.7109375" style="847" customWidth="1"/>
    <col min="14353" max="14353" width="6.7109375" style="847" customWidth="1"/>
    <col min="14354" max="14354" width="7.7109375" style="847" customWidth="1"/>
    <col min="14355" max="14355" width="1.7109375" style="847" customWidth="1"/>
    <col min="14356" max="14356" width="6.7109375" style="847" customWidth="1"/>
    <col min="14357" max="14357" width="9.140625" style="847" customWidth="1"/>
    <col min="14358" max="14358" width="1.85546875" style="847" customWidth="1"/>
    <col min="14359" max="14359" width="6.7109375" style="847" customWidth="1"/>
    <col min="14360" max="14360" width="9.140625" style="847" customWidth="1"/>
    <col min="14361" max="14361" width="1.7109375" style="847" customWidth="1"/>
    <col min="14362" max="14592" width="9.140625" style="847"/>
    <col min="14593" max="14593" width="10.85546875" style="847" customWidth="1"/>
    <col min="14594" max="14595" width="7.7109375" style="847" customWidth="1"/>
    <col min="14596" max="14596" width="1.7109375" style="847" customWidth="1"/>
    <col min="14597" max="14598" width="7.7109375" style="847" customWidth="1"/>
    <col min="14599" max="14599" width="1.7109375" style="847" customWidth="1"/>
    <col min="14600" max="14600" width="6.7109375" style="847" customWidth="1"/>
    <col min="14601" max="14601" width="7.7109375" style="847" customWidth="1"/>
    <col min="14602" max="14602" width="1.7109375" style="847" customWidth="1"/>
    <col min="14603" max="14603" width="6.7109375" style="847" customWidth="1"/>
    <col min="14604" max="14604" width="7.7109375" style="847" customWidth="1"/>
    <col min="14605" max="14605" width="1.7109375" style="847" customWidth="1"/>
    <col min="14606" max="14606" width="6.7109375" style="847" customWidth="1"/>
    <col min="14607" max="14607" width="7.7109375" style="847" customWidth="1"/>
    <col min="14608" max="14608" width="1.7109375" style="847" customWidth="1"/>
    <col min="14609" max="14609" width="6.7109375" style="847" customWidth="1"/>
    <col min="14610" max="14610" width="7.7109375" style="847" customWidth="1"/>
    <col min="14611" max="14611" width="1.7109375" style="847" customWidth="1"/>
    <col min="14612" max="14612" width="6.7109375" style="847" customWidth="1"/>
    <col min="14613" max="14613" width="9.140625" style="847" customWidth="1"/>
    <col min="14614" max="14614" width="1.85546875" style="847" customWidth="1"/>
    <col min="14615" max="14615" width="6.7109375" style="847" customWidth="1"/>
    <col min="14616" max="14616" width="9.140625" style="847" customWidth="1"/>
    <col min="14617" max="14617" width="1.7109375" style="847" customWidth="1"/>
    <col min="14618" max="14848" width="9.140625" style="847"/>
    <col min="14849" max="14849" width="10.85546875" style="847" customWidth="1"/>
    <col min="14850" max="14851" width="7.7109375" style="847" customWidth="1"/>
    <col min="14852" max="14852" width="1.7109375" style="847" customWidth="1"/>
    <col min="14853" max="14854" width="7.7109375" style="847" customWidth="1"/>
    <col min="14855" max="14855" width="1.7109375" style="847" customWidth="1"/>
    <col min="14856" max="14856" width="6.7109375" style="847" customWidth="1"/>
    <col min="14857" max="14857" width="7.7109375" style="847" customWidth="1"/>
    <col min="14858" max="14858" width="1.7109375" style="847" customWidth="1"/>
    <col min="14859" max="14859" width="6.7109375" style="847" customWidth="1"/>
    <col min="14860" max="14860" width="7.7109375" style="847" customWidth="1"/>
    <col min="14861" max="14861" width="1.7109375" style="847" customWidth="1"/>
    <col min="14862" max="14862" width="6.7109375" style="847" customWidth="1"/>
    <col min="14863" max="14863" width="7.7109375" style="847" customWidth="1"/>
    <col min="14864" max="14864" width="1.7109375" style="847" customWidth="1"/>
    <col min="14865" max="14865" width="6.7109375" style="847" customWidth="1"/>
    <col min="14866" max="14866" width="7.7109375" style="847" customWidth="1"/>
    <col min="14867" max="14867" width="1.7109375" style="847" customWidth="1"/>
    <col min="14868" max="14868" width="6.7109375" style="847" customWidth="1"/>
    <col min="14869" max="14869" width="9.140625" style="847" customWidth="1"/>
    <col min="14870" max="14870" width="1.85546875" style="847" customWidth="1"/>
    <col min="14871" max="14871" width="6.7109375" style="847" customWidth="1"/>
    <col min="14872" max="14872" width="9.140625" style="847" customWidth="1"/>
    <col min="14873" max="14873" width="1.7109375" style="847" customWidth="1"/>
    <col min="14874" max="15104" width="9.140625" style="847"/>
    <col min="15105" max="15105" width="10.85546875" style="847" customWidth="1"/>
    <col min="15106" max="15107" width="7.7109375" style="847" customWidth="1"/>
    <col min="15108" max="15108" width="1.7109375" style="847" customWidth="1"/>
    <col min="15109" max="15110" width="7.7109375" style="847" customWidth="1"/>
    <col min="15111" max="15111" width="1.7109375" style="847" customWidth="1"/>
    <col min="15112" max="15112" width="6.7109375" style="847" customWidth="1"/>
    <col min="15113" max="15113" width="7.7109375" style="847" customWidth="1"/>
    <col min="15114" max="15114" width="1.7109375" style="847" customWidth="1"/>
    <col min="15115" max="15115" width="6.7109375" style="847" customWidth="1"/>
    <col min="15116" max="15116" width="7.7109375" style="847" customWidth="1"/>
    <col min="15117" max="15117" width="1.7109375" style="847" customWidth="1"/>
    <col min="15118" max="15118" width="6.7109375" style="847" customWidth="1"/>
    <col min="15119" max="15119" width="7.7109375" style="847" customWidth="1"/>
    <col min="15120" max="15120" width="1.7109375" style="847" customWidth="1"/>
    <col min="15121" max="15121" width="6.7109375" style="847" customWidth="1"/>
    <col min="15122" max="15122" width="7.7109375" style="847" customWidth="1"/>
    <col min="15123" max="15123" width="1.7109375" style="847" customWidth="1"/>
    <col min="15124" max="15124" width="6.7109375" style="847" customWidth="1"/>
    <col min="15125" max="15125" width="9.140625" style="847" customWidth="1"/>
    <col min="15126" max="15126" width="1.85546875" style="847" customWidth="1"/>
    <col min="15127" max="15127" width="6.7109375" style="847" customWidth="1"/>
    <col min="15128" max="15128" width="9.140625" style="847" customWidth="1"/>
    <col min="15129" max="15129" width="1.7109375" style="847" customWidth="1"/>
    <col min="15130" max="15360" width="9.140625" style="847"/>
    <col min="15361" max="15361" width="10.85546875" style="847" customWidth="1"/>
    <col min="15362" max="15363" width="7.7109375" style="847" customWidth="1"/>
    <col min="15364" max="15364" width="1.7109375" style="847" customWidth="1"/>
    <col min="15365" max="15366" width="7.7109375" style="847" customWidth="1"/>
    <col min="15367" max="15367" width="1.7109375" style="847" customWidth="1"/>
    <col min="15368" max="15368" width="6.7109375" style="847" customWidth="1"/>
    <col min="15369" max="15369" width="7.7109375" style="847" customWidth="1"/>
    <col min="15370" max="15370" width="1.7109375" style="847" customWidth="1"/>
    <col min="15371" max="15371" width="6.7109375" style="847" customWidth="1"/>
    <col min="15372" max="15372" width="7.7109375" style="847" customWidth="1"/>
    <col min="15373" max="15373" width="1.7109375" style="847" customWidth="1"/>
    <col min="15374" max="15374" width="6.7109375" style="847" customWidth="1"/>
    <col min="15375" max="15375" width="7.7109375" style="847" customWidth="1"/>
    <col min="15376" max="15376" width="1.7109375" style="847" customWidth="1"/>
    <col min="15377" max="15377" width="6.7109375" style="847" customWidth="1"/>
    <col min="15378" max="15378" width="7.7109375" style="847" customWidth="1"/>
    <col min="15379" max="15379" width="1.7109375" style="847" customWidth="1"/>
    <col min="15380" max="15380" width="6.7109375" style="847" customWidth="1"/>
    <col min="15381" max="15381" width="9.140625" style="847" customWidth="1"/>
    <col min="15382" max="15382" width="1.85546875" style="847" customWidth="1"/>
    <col min="15383" max="15383" width="6.7109375" style="847" customWidth="1"/>
    <col min="15384" max="15384" width="9.140625" style="847" customWidth="1"/>
    <col min="15385" max="15385" width="1.7109375" style="847" customWidth="1"/>
    <col min="15386" max="15616" width="9.140625" style="847"/>
    <col min="15617" max="15617" width="10.85546875" style="847" customWidth="1"/>
    <col min="15618" max="15619" width="7.7109375" style="847" customWidth="1"/>
    <col min="15620" max="15620" width="1.7109375" style="847" customWidth="1"/>
    <col min="15621" max="15622" width="7.7109375" style="847" customWidth="1"/>
    <col min="15623" max="15623" width="1.7109375" style="847" customWidth="1"/>
    <col min="15624" max="15624" width="6.7109375" style="847" customWidth="1"/>
    <col min="15625" max="15625" width="7.7109375" style="847" customWidth="1"/>
    <col min="15626" max="15626" width="1.7109375" style="847" customWidth="1"/>
    <col min="15627" max="15627" width="6.7109375" style="847" customWidth="1"/>
    <col min="15628" max="15628" width="7.7109375" style="847" customWidth="1"/>
    <col min="15629" max="15629" width="1.7109375" style="847" customWidth="1"/>
    <col min="15630" max="15630" width="6.7109375" style="847" customWidth="1"/>
    <col min="15631" max="15631" width="7.7109375" style="847" customWidth="1"/>
    <col min="15632" max="15632" width="1.7109375" style="847" customWidth="1"/>
    <col min="15633" max="15633" width="6.7109375" style="847" customWidth="1"/>
    <col min="15634" max="15634" width="7.7109375" style="847" customWidth="1"/>
    <col min="15635" max="15635" width="1.7109375" style="847" customWidth="1"/>
    <col min="15636" max="15636" width="6.7109375" style="847" customWidth="1"/>
    <col min="15637" max="15637" width="9.140625" style="847" customWidth="1"/>
    <col min="15638" max="15638" width="1.85546875" style="847" customWidth="1"/>
    <col min="15639" max="15639" width="6.7109375" style="847" customWidth="1"/>
    <col min="15640" max="15640" width="9.140625" style="847" customWidth="1"/>
    <col min="15641" max="15641" width="1.7109375" style="847" customWidth="1"/>
    <col min="15642" max="15872" width="9.140625" style="847"/>
    <col min="15873" max="15873" width="10.85546875" style="847" customWidth="1"/>
    <col min="15874" max="15875" width="7.7109375" style="847" customWidth="1"/>
    <col min="15876" max="15876" width="1.7109375" style="847" customWidth="1"/>
    <col min="15877" max="15878" width="7.7109375" style="847" customWidth="1"/>
    <col min="15879" max="15879" width="1.7109375" style="847" customWidth="1"/>
    <col min="15880" max="15880" width="6.7109375" style="847" customWidth="1"/>
    <col min="15881" max="15881" width="7.7109375" style="847" customWidth="1"/>
    <col min="15882" max="15882" width="1.7109375" style="847" customWidth="1"/>
    <col min="15883" max="15883" width="6.7109375" style="847" customWidth="1"/>
    <col min="15884" max="15884" width="7.7109375" style="847" customWidth="1"/>
    <col min="15885" max="15885" width="1.7109375" style="847" customWidth="1"/>
    <col min="15886" max="15886" width="6.7109375" style="847" customWidth="1"/>
    <col min="15887" max="15887" width="7.7109375" style="847" customWidth="1"/>
    <col min="15888" max="15888" width="1.7109375" style="847" customWidth="1"/>
    <col min="15889" max="15889" width="6.7109375" style="847" customWidth="1"/>
    <col min="15890" max="15890" width="7.7109375" style="847" customWidth="1"/>
    <col min="15891" max="15891" width="1.7109375" style="847" customWidth="1"/>
    <col min="15892" max="15892" width="6.7109375" style="847" customWidth="1"/>
    <col min="15893" max="15893" width="9.140625" style="847" customWidth="1"/>
    <col min="15894" max="15894" width="1.85546875" style="847" customWidth="1"/>
    <col min="15895" max="15895" width="6.7109375" style="847" customWidth="1"/>
    <col min="15896" max="15896" width="9.140625" style="847" customWidth="1"/>
    <col min="15897" max="15897" width="1.7109375" style="847" customWidth="1"/>
    <col min="15898" max="16128" width="9.140625" style="847"/>
    <col min="16129" max="16129" width="10.85546875" style="847" customWidth="1"/>
    <col min="16130" max="16131" width="7.7109375" style="847" customWidth="1"/>
    <col min="16132" max="16132" width="1.7109375" style="847" customWidth="1"/>
    <col min="16133" max="16134" width="7.7109375" style="847" customWidth="1"/>
    <col min="16135" max="16135" width="1.7109375" style="847" customWidth="1"/>
    <col min="16136" max="16136" width="6.7109375" style="847" customWidth="1"/>
    <col min="16137" max="16137" width="7.7109375" style="847" customWidth="1"/>
    <col min="16138" max="16138" width="1.7109375" style="847" customWidth="1"/>
    <col min="16139" max="16139" width="6.7109375" style="847" customWidth="1"/>
    <col min="16140" max="16140" width="7.7109375" style="847" customWidth="1"/>
    <col min="16141" max="16141" width="1.7109375" style="847" customWidth="1"/>
    <col min="16142" max="16142" width="6.7109375" style="847" customWidth="1"/>
    <col min="16143" max="16143" width="7.7109375" style="847" customWidth="1"/>
    <col min="16144" max="16144" width="1.7109375" style="847" customWidth="1"/>
    <col min="16145" max="16145" width="6.7109375" style="847" customWidth="1"/>
    <col min="16146" max="16146" width="7.7109375" style="847" customWidth="1"/>
    <col min="16147" max="16147" width="1.7109375" style="847" customWidth="1"/>
    <col min="16148" max="16148" width="6.7109375" style="847" customWidth="1"/>
    <col min="16149" max="16149" width="9.140625" style="847" customWidth="1"/>
    <col min="16150" max="16150" width="1.85546875" style="847" customWidth="1"/>
    <col min="16151" max="16151" width="6.7109375" style="847" customWidth="1"/>
    <col min="16152" max="16152" width="9.140625" style="847" customWidth="1"/>
    <col min="16153" max="16153" width="1.7109375" style="847" customWidth="1"/>
    <col min="16154" max="16384" width="9.140625" style="847"/>
  </cols>
  <sheetData>
    <row r="1" spans="1:25">
      <c r="A1" s="847" t="s">
        <v>366</v>
      </c>
    </row>
    <row r="2" spans="1:25">
      <c r="A2" s="847" t="s">
        <v>380</v>
      </c>
      <c r="E2" s="1158"/>
      <c r="F2" s="1159"/>
    </row>
    <row r="3" spans="1:25" ht="10.5" customHeight="1"/>
    <row r="4" spans="1:25" ht="12.95" customHeight="1">
      <c r="A4" s="854" t="s">
        <v>1803</v>
      </c>
    </row>
    <row r="5" spans="1:25" ht="12.95" customHeight="1" thickBot="1">
      <c r="L5" s="943"/>
      <c r="O5" s="943"/>
      <c r="P5" s="943"/>
      <c r="R5" s="943"/>
      <c r="S5" s="943"/>
    </row>
    <row r="6" spans="1:25" ht="12.95" customHeight="1">
      <c r="A6" s="850"/>
      <c r="B6" s="992"/>
      <c r="C6" s="993"/>
      <c r="D6" s="850"/>
      <c r="E6" s="992"/>
      <c r="F6" s="993"/>
      <c r="G6" s="850"/>
      <c r="H6" s="992"/>
      <c r="I6" s="993"/>
      <c r="J6" s="993"/>
      <c r="K6" s="992"/>
      <c r="L6" s="993"/>
      <c r="M6" s="850"/>
      <c r="N6" s="992"/>
      <c r="O6" s="993"/>
      <c r="P6" s="993"/>
      <c r="Q6" s="992"/>
      <c r="R6" s="993"/>
      <c r="S6" s="993"/>
      <c r="T6" s="993"/>
      <c r="U6" s="993"/>
      <c r="V6" s="993"/>
      <c r="W6" s="993"/>
      <c r="X6" s="993"/>
      <c r="Y6" s="993"/>
    </row>
    <row r="7" spans="1:25" ht="12.95" customHeight="1">
      <c r="A7" s="849" t="s">
        <v>1789</v>
      </c>
      <c r="B7" s="1323" t="s">
        <v>1790</v>
      </c>
      <c r="C7" s="1323"/>
      <c r="D7" s="849"/>
      <c r="E7" s="1323" t="s">
        <v>1447</v>
      </c>
      <c r="F7" s="1323"/>
      <c r="G7" s="849"/>
      <c r="H7" s="1323" t="s">
        <v>1791</v>
      </c>
      <c r="I7" s="1323"/>
      <c r="J7" s="999"/>
      <c r="K7" s="1323" t="s">
        <v>1792</v>
      </c>
      <c r="L7" s="1323"/>
      <c r="M7" s="849"/>
      <c r="N7" s="1323" t="s">
        <v>1793</v>
      </c>
      <c r="O7" s="1323"/>
      <c r="Q7" s="1322" t="s">
        <v>1794</v>
      </c>
      <c r="R7" s="1323"/>
      <c r="T7" s="1323" t="s">
        <v>1795</v>
      </c>
      <c r="U7" s="1323"/>
      <c r="W7" s="1323" t="s">
        <v>1796</v>
      </c>
      <c r="X7" s="1323"/>
    </row>
    <row r="8" spans="1:25" ht="12.95" customHeight="1">
      <c r="A8" s="847" t="s">
        <v>1797</v>
      </c>
      <c r="B8" s="1160" t="s">
        <v>323</v>
      </c>
      <c r="C8" s="1029" t="s">
        <v>324</v>
      </c>
      <c r="D8" s="849"/>
      <c r="E8" s="1160" t="s">
        <v>323</v>
      </c>
      <c r="F8" s="1029" t="s">
        <v>324</v>
      </c>
      <c r="G8" s="849"/>
      <c r="H8" s="1160" t="s">
        <v>323</v>
      </c>
      <c r="I8" s="1029" t="s">
        <v>324</v>
      </c>
      <c r="J8" s="1029"/>
      <c r="K8" s="1160" t="s">
        <v>323</v>
      </c>
      <c r="L8" s="1029" t="s">
        <v>324</v>
      </c>
      <c r="M8" s="849"/>
      <c r="N8" s="1160" t="s">
        <v>323</v>
      </c>
      <c r="O8" s="1029" t="s">
        <v>324</v>
      </c>
      <c r="Q8" s="1160" t="s">
        <v>323</v>
      </c>
      <c r="R8" s="1029" t="s">
        <v>324</v>
      </c>
      <c r="T8" s="1160" t="s">
        <v>323</v>
      </c>
      <c r="U8" s="1029" t="s">
        <v>324</v>
      </c>
      <c r="W8" s="1160" t="s">
        <v>323</v>
      </c>
      <c r="X8" s="1029" t="s">
        <v>324</v>
      </c>
    </row>
    <row r="9" spans="1:25" ht="12.95" customHeight="1" thickBot="1">
      <c r="A9" s="848"/>
      <c r="B9" s="995"/>
      <c r="C9" s="996"/>
      <c r="D9" s="848"/>
      <c r="E9" s="995"/>
      <c r="F9" s="996"/>
      <c r="G9" s="848"/>
      <c r="H9" s="995"/>
      <c r="I9" s="996"/>
      <c r="J9" s="996"/>
      <c r="K9" s="995"/>
      <c r="L9" s="996"/>
      <c r="M9" s="848"/>
      <c r="N9" s="995"/>
      <c r="O9" s="996"/>
      <c r="P9" s="996"/>
      <c r="Q9" s="995"/>
      <c r="R9" s="996"/>
      <c r="S9" s="996"/>
      <c r="T9" s="996"/>
      <c r="U9" s="996"/>
      <c r="V9" s="996"/>
      <c r="W9" s="996"/>
      <c r="X9" s="996"/>
      <c r="Y9" s="996"/>
    </row>
    <row r="10" spans="1:25" ht="12.95" customHeight="1">
      <c r="A10" s="849"/>
      <c r="B10" s="997"/>
      <c r="C10" s="999"/>
      <c r="D10" s="849"/>
      <c r="E10" s="997"/>
      <c r="F10" s="999"/>
      <c r="G10" s="849"/>
      <c r="H10" s="997"/>
      <c r="I10" s="999"/>
      <c r="J10" s="999"/>
      <c r="K10" s="997"/>
      <c r="L10" s="999"/>
      <c r="M10" s="849"/>
      <c r="N10" s="997"/>
      <c r="O10" s="999"/>
      <c r="Q10" s="997"/>
      <c r="R10" s="999"/>
    </row>
    <row r="11" spans="1:25" ht="12.95" customHeight="1">
      <c r="A11" s="1099" t="s">
        <v>5</v>
      </c>
      <c r="B11" s="1162">
        <f>IF($A11&lt;&gt;0,SUM(B13:B21),"")</f>
        <v>22310</v>
      </c>
      <c r="C11" s="907">
        <f>IF($A11&lt;&gt;0,SUM(C13:C21),"")</f>
        <v>99.999999999999986</v>
      </c>
      <c r="D11" s="881"/>
      <c r="E11" s="1162">
        <f>IF($A11&lt;&gt;0,SUM(E13:E21),"")</f>
        <v>14332</v>
      </c>
      <c r="F11" s="907">
        <f>IF($A11&lt;&gt;0,SUM(F13:F21),"")</f>
        <v>100</v>
      </c>
      <c r="G11" s="881"/>
      <c r="H11" s="1162">
        <f>IF($A11&lt;&gt;0,SUM(H13:H21),"")</f>
        <v>2438</v>
      </c>
      <c r="I11" s="907">
        <f>IF($A11&lt;&gt;0,SUM(I13:I21),"")</f>
        <v>100</v>
      </c>
      <c r="J11" s="880"/>
      <c r="K11" s="1162">
        <f>IF($A11&lt;&gt;0,SUM(K13:K21),"")</f>
        <v>1555</v>
      </c>
      <c r="L11" s="907">
        <f>IF($A11&lt;&gt;0,SUM(L13:L21),"")</f>
        <v>100</v>
      </c>
      <c r="M11" s="881"/>
      <c r="N11" s="1162">
        <f>IF($A11&lt;&gt;0,SUM(N13:N21),"")</f>
        <v>1520</v>
      </c>
      <c r="O11" s="907">
        <f>IF($A11&lt;&gt;0,SUM(O13:O21),"")</f>
        <v>100</v>
      </c>
      <c r="P11" s="867"/>
      <c r="Q11" s="1162">
        <f>IF($A11&lt;&gt;0,SUM(Q13:Q21),"")</f>
        <v>1140</v>
      </c>
      <c r="R11" s="907">
        <f>IF($A11&lt;&gt;0,SUM(R13:R21),"")</f>
        <v>100</v>
      </c>
      <c r="S11" s="867"/>
      <c r="T11" s="1162">
        <f>IF($A11&lt;&gt;0,SUM(T13:T21),"")</f>
        <v>940</v>
      </c>
      <c r="U11" s="907">
        <f>IF($A11&lt;&gt;0,SUM(U13:U21),"")</f>
        <v>100</v>
      </c>
      <c r="V11" s="867"/>
      <c r="W11" s="1162">
        <f>IF($A11&lt;&gt;0,SUM(W13:W21),"")</f>
        <v>385</v>
      </c>
      <c r="X11" s="907">
        <f>IF($A11&lt;&gt;0,SUM(X13:X21),"")</f>
        <v>100</v>
      </c>
      <c r="Y11" s="867"/>
    </row>
    <row r="12" spans="1:25" ht="12.95" customHeight="1">
      <c r="A12" s="954"/>
      <c r="B12" s="1161" t="str">
        <f>IF(A12&lt;&gt;"",E12+H12+K12+N12+Q12+T12+W12,"")</f>
        <v/>
      </c>
      <c r="C12" s="999" t="str">
        <f>IF($A12&lt;&gt;0,B12/$B$11*100,"")</f>
        <v/>
      </c>
      <c r="D12" s="849"/>
      <c r="E12" s="1161"/>
      <c r="F12" s="997" t="str">
        <f>IF(E12&lt;&gt;0,I12+L12+O12+R12+U12,"")</f>
        <v/>
      </c>
      <c r="G12" s="849"/>
      <c r="H12" s="1161"/>
      <c r="I12" s="999" t="str">
        <f>IF(A12&lt;&gt;0,H12/B12*100,"")</f>
        <v/>
      </c>
      <c r="J12" s="999"/>
      <c r="K12" s="1161"/>
      <c r="L12" s="999" t="str">
        <f>IF(A12&lt;&gt;0,K12/B12*100,"")</f>
        <v/>
      </c>
      <c r="M12" s="849"/>
      <c r="N12" s="1161"/>
      <c r="O12" s="999" t="str">
        <f>IF(A12&lt;&gt;0,N12/B12*100,"")</f>
        <v/>
      </c>
      <c r="Q12" s="1161"/>
      <c r="R12" s="999" t="str">
        <f>IF(A12&lt;&gt;0,Q12/B12*100,"")</f>
        <v/>
      </c>
      <c r="T12" s="1001"/>
      <c r="W12" s="1001"/>
    </row>
    <row r="13" spans="1:25" ht="12.95" customHeight="1">
      <c r="A13" s="1163">
        <v>1</v>
      </c>
      <c r="B13" s="1161">
        <f>IF(A13&lt;&gt;"",E13+H13+K13+N13+Q13+T13+W13,"")</f>
        <v>897</v>
      </c>
      <c r="C13" s="999">
        <f t="shared" ref="C13:C21" si="0">IF($A13&lt;&gt;"",B13/$B$11*100,"")</f>
        <v>4.0206185567010309</v>
      </c>
      <c r="D13" s="849"/>
      <c r="E13" s="1171">
        <v>711</v>
      </c>
      <c r="F13" s="999">
        <f t="shared" ref="F13:F21" si="1">IF($A13&lt;&gt;"",E13/$E$11*100,"")</f>
        <v>4.960926597823053</v>
      </c>
      <c r="G13" s="849"/>
      <c r="H13" s="1171">
        <v>46</v>
      </c>
      <c r="I13" s="999">
        <f t="shared" ref="I13:I21" si="2">IF($A13&lt;&gt;"",H13/$H$11*100,"")</f>
        <v>1.8867924528301887</v>
      </c>
      <c r="J13" s="999"/>
      <c r="K13" s="1171">
        <v>34</v>
      </c>
      <c r="L13" s="999">
        <f t="shared" ref="L13:L21" si="3">IF($A13&lt;&gt;"",K13/$K$11*100,"")</f>
        <v>2.1864951768488745</v>
      </c>
      <c r="M13" s="849"/>
      <c r="N13" s="1171">
        <v>41</v>
      </c>
      <c r="O13" s="999">
        <f t="shared" ref="O13:O21" si="4">IF($A13&lt;&gt;"",N13/$N$11*100,"")</f>
        <v>2.6973684210526319</v>
      </c>
      <c r="Q13" s="1171">
        <v>21</v>
      </c>
      <c r="R13" s="999">
        <f t="shared" ref="R13:R21" si="5">IF($A13&lt;&gt;"",Q13/$Q$11*100,"")</f>
        <v>1.8421052631578945</v>
      </c>
      <c r="T13" s="1171">
        <v>29</v>
      </c>
      <c r="U13" s="999">
        <f t="shared" ref="U13:U21" si="6">IF($A13&lt;&gt;"",T13/$T$11*100,"")</f>
        <v>3.0851063829787235</v>
      </c>
      <c r="W13" s="1171">
        <v>15</v>
      </c>
      <c r="X13" s="999">
        <f>IF($A13&lt;&gt;"",W13/$W$11*100,"")</f>
        <v>3.8961038961038961</v>
      </c>
    </row>
    <row r="14" spans="1:25" ht="12.95" customHeight="1">
      <c r="A14" s="1163"/>
      <c r="B14" s="1161" t="str">
        <f t="shared" ref="B14:B21" si="7">IF(A14&lt;&gt;"",E14+H14+K14+N14+Q14+T14+W14,"")</f>
        <v/>
      </c>
      <c r="C14" s="999" t="str">
        <f t="shared" si="0"/>
        <v/>
      </c>
      <c r="D14" s="849"/>
      <c r="E14" s="1171"/>
      <c r="F14" s="999" t="str">
        <f t="shared" si="1"/>
        <v/>
      </c>
      <c r="G14" s="849"/>
      <c r="H14" s="1171"/>
      <c r="I14" s="999" t="str">
        <f t="shared" si="2"/>
        <v/>
      </c>
      <c r="J14" s="999"/>
      <c r="K14" s="1171"/>
      <c r="L14" s="999" t="str">
        <f t="shared" si="3"/>
        <v/>
      </c>
      <c r="M14" s="849"/>
      <c r="N14" s="1171"/>
      <c r="O14" s="999" t="str">
        <f t="shared" si="4"/>
        <v/>
      </c>
      <c r="Q14" s="1171"/>
      <c r="R14" s="999" t="str">
        <f t="shared" si="5"/>
        <v/>
      </c>
      <c r="T14" s="1171"/>
      <c r="U14" s="999" t="str">
        <f t="shared" si="6"/>
        <v/>
      </c>
      <c r="W14" s="1171"/>
      <c r="X14" s="999" t="str">
        <f>IF($A14&lt;&gt;"",W14/$T$11*100,"")</f>
        <v/>
      </c>
    </row>
    <row r="15" spans="1:25" ht="12.95" customHeight="1">
      <c r="A15" s="1163">
        <v>2</v>
      </c>
      <c r="B15" s="1161">
        <f t="shared" si="7"/>
        <v>1290</v>
      </c>
      <c r="C15" s="999">
        <f t="shared" si="0"/>
        <v>5.7821604661586736</v>
      </c>
      <c r="D15" s="849"/>
      <c r="E15" s="1171">
        <v>1010</v>
      </c>
      <c r="F15" s="999">
        <f t="shared" si="1"/>
        <v>7.0471671783421712</v>
      </c>
      <c r="G15" s="849"/>
      <c r="H15" s="1171">
        <v>90</v>
      </c>
      <c r="I15" s="999">
        <f t="shared" si="2"/>
        <v>3.6915504511894994</v>
      </c>
      <c r="J15" s="999"/>
      <c r="K15" s="1171">
        <v>37</v>
      </c>
      <c r="L15" s="999">
        <f t="shared" si="3"/>
        <v>2.3794212218649515</v>
      </c>
      <c r="M15" s="849"/>
      <c r="N15" s="1171">
        <v>64</v>
      </c>
      <c r="O15" s="999">
        <f t="shared" si="4"/>
        <v>4.2105263157894735</v>
      </c>
      <c r="Q15" s="1171">
        <v>32</v>
      </c>
      <c r="R15" s="999">
        <f t="shared" si="5"/>
        <v>2.807017543859649</v>
      </c>
      <c r="T15" s="1171">
        <v>31</v>
      </c>
      <c r="U15" s="999">
        <f t="shared" si="6"/>
        <v>3.2978723404255317</v>
      </c>
      <c r="W15" s="1171">
        <v>26</v>
      </c>
      <c r="X15" s="999">
        <f t="shared" ref="X15:X21" si="8">IF($A15&lt;&gt;"",W15/$W$11*100,"")</f>
        <v>6.7532467532467528</v>
      </c>
    </row>
    <row r="16" spans="1:25" ht="12.95" customHeight="1">
      <c r="A16" s="1163"/>
      <c r="B16" s="1161" t="str">
        <f t="shared" si="7"/>
        <v/>
      </c>
      <c r="C16" s="999" t="str">
        <f t="shared" si="0"/>
        <v/>
      </c>
      <c r="D16" s="849"/>
      <c r="E16" s="1171"/>
      <c r="F16" s="999" t="str">
        <f t="shared" si="1"/>
        <v/>
      </c>
      <c r="G16" s="849"/>
      <c r="H16" s="1171"/>
      <c r="I16" s="999" t="str">
        <f t="shared" si="2"/>
        <v/>
      </c>
      <c r="J16" s="999"/>
      <c r="K16" s="1171"/>
      <c r="L16" s="999" t="str">
        <f t="shared" si="3"/>
        <v/>
      </c>
      <c r="M16" s="849"/>
      <c r="N16" s="1171"/>
      <c r="O16" s="999" t="str">
        <f t="shared" si="4"/>
        <v/>
      </c>
      <c r="Q16" s="1171"/>
      <c r="R16" s="999" t="str">
        <f t="shared" si="5"/>
        <v/>
      </c>
      <c r="T16" s="1171"/>
      <c r="U16" s="999" t="str">
        <f t="shared" si="6"/>
        <v/>
      </c>
      <c r="W16" s="1171"/>
      <c r="X16" s="999" t="str">
        <f t="shared" si="8"/>
        <v/>
      </c>
    </row>
    <row r="17" spans="1:25" ht="12.95" customHeight="1">
      <c r="A17" s="1163">
        <v>3</v>
      </c>
      <c r="B17" s="1161">
        <f t="shared" si="7"/>
        <v>2308</v>
      </c>
      <c r="C17" s="999">
        <f t="shared" si="0"/>
        <v>10.345136709995517</v>
      </c>
      <c r="D17" s="849"/>
      <c r="E17" s="1171">
        <v>1785</v>
      </c>
      <c r="F17" s="999">
        <f t="shared" si="1"/>
        <v>12.454646943901757</v>
      </c>
      <c r="G17" s="1045"/>
      <c r="H17" s="1171">
        <v>171</v>
      </c>
      <c r="I17" s="999">
        <f t="shared" si="2"/>
        <v>7.0139458572600493</v>
      </c>
      <c r="J17" s="1044"/>
      <c r="K17" s="1171">
        <v>92</v>
      </c>
      <c r="L17" s="999">
        <f t="shared" si="3"/>
        <v>5.916398713826367</v>
      </c>
      <c r="M17" s="1045"/>
      <c r="N17" s="1171">
        <v>86</v>
      </c>
      <c r="O17" s="999">
        <f t="shared" si="4"/>
        <v>5.6578947368421053</v>
      </c>
      <c r="P17" s="1046"/>
      <c r="Q17" s="1171">
        <v>59</v>
      </c>
      <c r="R17" s="999">
        <f t="shared" si="5"/>
        <v>5.1754385964912286</v>
      </c>
      <c r="T17" s="1171">
        <v>62</v>
      </c>
      <c r="U17" s="999">
        <f t="shared" si="6"/>
        <v>6.5957446808510634</v>
      </c>
      <c r="W17" s="1171">
        <v>53</v>
      </c>
      <c r="X17" s="999">
        <f t="shared" si="8"/>
        <v>13.766233766233766</v>
      </c>
    </row>
    <row r="18" spans="1:25" ht="12.95" customHeight="1">
      <c r="A18" s="1163"/>
      <c r="B18" s="1161" t="str">
        <f t="shared" si="7"/>
        <v/>
      </c>
      <c r="C18" s="999" t="str">
        <f t="shared" si="0"/>
        <v/>
      </c>
      <c r="D18" s="849"/>
      <c r="E18" s="1171"/>
      <c r="F18" s="999" t="str">
        <f t="shared" si="1"/>
        <v/>
      </c>
      <c r="G18" s="1045"/>
      <c r="H18" s="1171"/>
      <c r="I18" s="999" t="str">
        <f t="shared" si="2"/>
        <v/>
      </c>
      <c r="J18" s="1044"/>
      <c r="K18" s="1171"/>
      <c r="L18" s="999" t="str">
        <f t="shared" si="3"/>
        <v/>
      </c>
      <c r="M18" s="1045"/>
      <c r="N18" s="1171"/>
      <c r="O18" s="999" t="str">
        <f t="shared" si="4"/>
        <v/>
      </c>
      <c r="P18" s="1046"/>
      <c r="Q18" s="1171"/>
      <c r="R18" s="999" t="str">
        <f t="shared" si="5"/>
        <v/>
      </c>
      <c r="T18" s="1171"/>
      <c r="U18" s="999" t="str">
        <f t="shared" si="6"/>
        <v/>
      </c>
      <c r="W18" s="1171"/>
      <c r="X18" s="999" t="str">
        <f t="shared" si="8"/>
        <v/>
      </c>
    </row>
    <row r="19" spans="1:25" ht="12.95" customHeight="1">
      <c r="A19" s="1163">
        <v>4</v>
      </c>
      <c r="B19" s="1161">
        <f t="shared" si="7"/>
        <v>2440</v>
      </c>
      <c r="C19" s="999">
        <f t="shared" si="0"/>
        <v>10.936799641416405</v>
      </c>
      <c r="D19" s="849"/>
      <c r="E19" s="1171">
        <v>1767</v>
      </c>
      <c r="F19" s="999">
        <f t="shared" si="1"/>
        <v>12.329053865475858</v>
      </c>
      <c r="G19" s="1045"/>
      <c r="H19" s="1171">
        <v>203</v>
      </c>
      <c r="I19" s="999">
        <f t="shared" si="2"/>
        <v>8.3264971287940934</v>
      </c>
      <c r="J19" s="1044"/>
      <c r="K19" s="1171">
        <v>127</v>
      </c>
      <c r="L19" s="999">
        <f t="shared" si="3"/>
        <v>8.1672025723472661</v>
      </c>
      <c r="M19" s="1045"/>
      <c r="N19" s="1171">
        <v>122</v>
      </c>
      <c r="O19" s="999">
        <f t="shared" si="4"/>
        <v>8.026315789473685</v>
      </c>
      <c r="P19" s="1046"/>
      <c r="Q19" s="1171">
        <v>88</v>
      </c>
      <c r="R19" s="999">
        <f t="shared" si="5"/>
        <v>7.7192982456140351</v>
      </c>
      <c r="T19" s="1171">
        <v>81</v>
      </c>
      <c r="U19" s="999">
        <f t="shared" si="6"/>
        <v>8.6170212765957448</v>
      </c>
      <c r="W19" s="1171">
        <v>52</v>
      </c>
      <c r="X19" s="999">
        <f t="shared" si="8"/>
        <v>13.506493506493506</v>
      </c>
    </row>
    <row r="20" spans="1:25" ht="12.95" customHeight="1">
      <c r="A20" s="1163"/>
      <c r="B20" s="1161" t="str">
        <f t="shared" si="7"/>
        <v/>
      </c>
      <c r="C20" s="999" t="str">
        <f t="shared" si="0"/>
        <v/>
      </c>
      <c r="D20" s="849"/>
      <c r="E20" s="1171"/>
      <c r="F20" s="999" t="str">
        <f t="shared" si="1"/>
        <v/>
      </c>
      <c r="G20" s="849"/>
      <c r="H20" s="1171"/>
      <c r="I20" s="999" t="str">
        <f t="shared" si="2"/>
        <v/>
      </c>
      <c r="J20" s="999"/>
      <c r="K20" s="1171"/>
      <c r="L20" s="999" t="str">
        <f t="shared" si="3"/>
        <v/>
      </c>
      <c r="M20" s="849"/>
      <c r="N20" s="1171"/>
      <c r="O20" s="999" t="str">
        <f t="shared" si="4"/>
        <v/>
      </c>
      <c r="Q20" s="1171"/>
      <c r="R20" s="999" t="str">
        <f t="shared" si="5"/>
        <v/>
      </c>
      <c r="T20" s="1171"/>
      <c r="U20" s="999" t="str">
        <f t="shared" si="6"/>
        <v/>
      </c>
      <c r="W20" s="1171"/>
      <c r="X20" s="999" t="str">
        <f t="shared" si="8"/>
        <v/>
      </c>
    </row>
    <row r="21" spans="1:25" ht="12.95" customHeight="1">
      <c r="A21" s="1163">
        <v>5</v>
      </c>
      <c r="B21" s="1161">
        <f t="shared" si="7"/>
        <v>15375</v>
      </c>
      <c r="C21" s="999">
        <f t="shared" si="0"/>
        <v>68.915284625728361</v>
      </c>
      <c r="D21" s="849"/>
      <c r="E21" s="1171">
        <v>9059</v>
      </c>
      <c r="F21" s="999">
        <f t="shared" si="1"/>
        <v>63.208205414457161</v>
      </c>
      <c r="G21" s="849"/>
      <c r="H21" s="1171">
        <v>1928</v>
      </c>
      <c r="I21" s="999">
        <f t="shared" si="2"/>
        <v>79.081214109926165</v>
      </c>
      <c r="J21" s="999"/>
      <c r="K21" s="1171">
        <v>1265</v>
      </c>
      <c r="L21" s="999">
        <f t="shared" si="3"/>
        <v>81.350482315112544</v>
      </c>
      <c r="M21" s="849"/>
      <c r="N21" s="1171">
        <v>1207</v>
      </c>
      <c r="O21" s="999">
        <f t="shared" si="4"/>
        <v>79.40789473684211</v>
      </c>
      <c r="Q21" s="1171">
        <v>940</v>
      </c>
      <c r="R21" s="999">
        <f t="shared" si="5"/>
        <v>82.456140350877192</v>
      </c>
      <c r="T21" s="1171">
        <v>737</v>
      </c>
      <c r="U21" s="999">
        <f t="shared" si="6"/>
        <v>78.404255319148945</v>
      </c>
      <c r="W21" s="1171">
        <v>239</v>
      </c>
      <c r="X21" s="999">
        <f t="shared" si="8"/>
        <v>62.077922077922075</v>
      </c>
    </row>
    <row r="22" spans="1:25" ht="12.95" customHeight="1">
      <c r="B22" s="942"/>
      <c r="E22" s="1161"/>
      <c r="F22" s="999"/>
      <c r="G22" s="849"/>
      <c r="H22" s="1161"/>
      <c r="K22" s="1161"/>
      <c r="N22" s="1161"/>
      <c r="Q22" s="1161"/>
      <c r="T22" s="1161"/>
      <c r="W22" s="1161"/>
    </row>
    <row r="23" spans="1:25" ht="12.95" customHeight="1">
      <c r="A23" s="1163" t="s">
        <v>1802</v>
      </c>
      <c r="B23" s="1167"/>
      <c r="C23" s="999">
        <f>F23+I23+L23+O23+R23+U23+X23</f>
        <v>100</v>
      </c>
      <c r="D23" s="849"/>
      <c r="E23" s="1161"/>
      <c r="F23" s="999">
        <f>E11/B11*100</f>
        <v>64.240251008516353</v>
      </c>
      <c r="G23" s="849"/>
      <c r="H23" s="1161"/>
      <c r="I23" s="999">
        <f>H11/B11*100</f>
        <v>10.927835051546392</v>
      </c>
      <c r="J23" s="999"/>
      <c r="K23" s="1161"/>
      <c r="L23" s="999">
        <f>K11/B11*100</f>
        <v>6.969968623935455</v>
      </c>
      <c r="M23" s="849"/>
      <c r="N23" s="1161"/>
      <c r="O23" s="999">
        <f>N11/B11*100</f>
        <v>6.8130883012102199</v>
      </c>
      <c r="Q23" s="1161"/>
      <c r="R23" s="999">
        <f>Q11/B11*100</f>
        <v>5.1098162259076645</v>
      </c>
      <c r="T23" s="1161"/>
      <c r="U23" s="999">
        <f>T11/B11*100</f>
        <v>4.2133572389063199</v>
      </c>
      <c r="W23" s="1161"/>
      <c r="X23" s="999">
        <f>W11/B11*100</f>
        <v>1.7256835499775884</v>
      </c>
    </row>
    <row r="24" spans="1:25" ht="12.95" customHeight="1">
      <c r="A24" s="1163"/>
      <c r="B24" s="1167"/>
      <c r="C24" s="999"/>
      <c r="D24" s="849"/>
      <c r="E24" s="1161"/>
      <c r="F24" s="999"/>
      <c r="G24" s="849"/>
      <c r="H24" s="1161"/>
      <c r="I24" s="999"/>
      <c r="J24" s="999"/>
      <c r="K24" s="1161"/>
      <c r="L24" s="999"/>
      <c r="M24" s="849"/>
      <c r="N24" s="1161"/>
      <c r="O24" s="999"/>
      <c r="Q24" s="1161"/>
      <c r="R24" s="999"/>
      <c r="T24" s="1161"/>
      <c r="U24" s="999"/>
      <c r="W24" s="1161"/>
      <c r="X24" s="999"/>
    </row>
    <row r="25" spans="1:25" ht="12.95" customHeight="1">
      <c r="A25" s="1163" t="s">
        <v>1804</v>
      </c>
      <c r="B25" s="1167"/>
      <c r="C25" s="999"/>
      <c r="D25" s="849"/>
      <c r="E25" s="1161"/>
      <c r="F25" s="999"/>
      <c r="G25" s="849"/>
      <c r="H25" s="1161"/>
      <c r="I25" s="999"/>
      <c r="J25" s="999"/>
      <c r="K25" s="1161"/>
      <c r="L25" s="999"/>
      <c r="M25" s="849"/>
      <c r="N25" s="1161"/>
      <c r="O25" s="999"/>
      <c r="Q25" s="1161"/>
      <c r="R25" s="999"/>
      <c r="T25" s="1161"/>
      <c r="U25" s="999"/>
      <c r="W25" s="1161"/>
      <c r="X25" s="999"/>
    </row>
    <row r="26" spans="1:25" ht="12.95" customHeight="1">
      <c r="A26" s="1163" t="s">
        <v>2151</v>
      </c>
      <c r="B26" s="1167">
        <f>IF(A26&lt;&gt;"",E26+H26+K26+N26+Q26+T26+W26,"")</f>
        <v>41793</v>
      </c>
      <c r="C26" s="1168">
        <f>B11/B26*100</f>
        <v>53.382145335343232</v>
      </c>
      <c r="D26" s="1169"/>
      <c r="E26" s="1172">
        <v>31667</v>
      </c>
      <c r="F26" s="1173">
        <f>E11/E26*100</f>
        <v>45.258470963463544</v>
      </c>
      <c r="G26" s="1173"/>
      <c r="H26" s="1172">
        <v>3122</v>
      </c>
      <c r="I26" s="1173">
        <f>H11/H26*100</f>
        <v>78.090967328635486</v>
      </c>
      <c r="J26" s="1174"/>
      <c r="K26" s="1172">
        <v>1890</v>
      </c>
      <c r="L26" s="1174">
        <f>K11/K26*100</f>
        <v>82.275132275132279</v>
      </c>
      <c r="M26" s="1174"/>
      <c r="N26" s="1172">
        <v>1947</v>
      </c>
      <c r="O26" s="1174">
        <f>N11/N26*100</f>
        <v>78.068823831535695</v>
      </c>
      <c r="P26" s="1174"/>
      <c r="Q26" s="1172">
        <v>1327</v>
      </c>
      <c r="R26" s="1174">
        <f>Q11/Q26*100</f>
        <v>85.908063300678222</v>
      </c>
      <c r="S26" s="1174"/>
      <c r="T26" s="1172">
        <v>1171</v>
      </c>
      <c r="U26" s="1174">
        <f>T11/T26*100</f>
        <v>80.273270708795891</v>
      </c>
      <c r="V26" s="1174"/>
      <c r="W26" s="1172">
        <v>669</v>
      </c>
      <c r="X26" s="999">
        <f>W11/W26*100</f>
        <v>57.548579970104626</v>
      </c>
    </row>
    <row r="27" spans="1:25" ht="9" customHeight="1" thickBot="1">
      <c r="C27" s="1159"/>
      <c r="D27" s="852"/>
      <c r="E27" s="1158"/>
      <c r="F27" s="1159"/>
      <c r="G27" s="852"/>
      <c r="H27" s="1158"/>
      <c r="I27" s="1159"/>
    </row>
    <row r="28" spans="1:25" ht="8.25" customHeight="1">
      <c r="A28" s="850"/>
      <c r="B28" s="1170"/>
      <c r="C28" s="993"/>
      <c r="D28" s="850"/>
      <c r="E28" s="992"/>
      <c r="F28" s="993"/>
      <c r="G28" s="850"/>
      <c r="H28" s="992"/>
      <c r="I28" s="993"/>
      <c r="J28" s="993"/>
      <c r="K28" s="992"/>
      <c r="L28" s="850"/>
      <c r="M28" s="850"/>
      <c r="N28" s="992"/>
      <c r="O28" s="850"/>
      <c r="P28" s="850"/>
      <c r="Q28" s="992"/>
      <c r="R28" s="850"/>
      <c r="S28" s="850"/>
      <c r="T28" s="850"/>
      <c r="U28" s="850"/>
      <c r="V28" s="850"/>
      <c r="W28" s="850"/>
      <c r="X28" s="850"/>
      <c r="Y28" s="850"/>
    </row>
    <row r="29" spans="1:25" ht="12.95" customHeight="1">
      <c r="A29" s="1124" t="s">
        <v>1805</v>
      </c>
      <c r="B29" s="1167"/>
      <c r="C29" s="1168"/>
      <c r="D29" s="1169"/>
      <c r="E29" s="1167"/>
      <c r="F29" s="1168"/>
      <c r="G29" s="1169"/>
      <c r="H29" s="1167"/>
      <c r="I29" s="1168"/>
      <c r="J29" s="1168"/>
      <c r="K29" s="1167"/>
      <c r="L29" s="1169"/>
      <c r="M29" s="849"/>
      <c r="N29" s="997"/>
      <c r="O29" s="849"/>
      <c r="P29" s="849"/>
      <c r="Q29" s="997"/>
      <c r="R29" s="849"/>
      <c r="S29" s="849"/>
      <c r="T29" s="849"/>
      <c r="U29" s="849"/>
      <c r="V29" s="849"/>
    </row>
    <row r="30" spans="1:25" ht="7.5" customHeight="1">
      <c r="B30" s="1167"/>
      <c r="C30" s="999"/>
      <c r="D30" s="849"/>
      <c r="E30" s="1161"/>
      <c r="F30" s="999"/>
      <c r="G30" s="849"/>
      <c r="H30" s="1161"/>
      <c r="I30" s="999"/>
      <c r="J30" s="999"/>
      <c r="K30" s="1161"/>
      <c r="L30" s="849"/>
      <c r="M30" s="849"/>
      <c r="N30" s="1161"/>
      <c r="O30" s="849"/>
      <c r="P30" s="849"/>
      <c r="Q30" s="1161"/>
      <c r="R30" s="849"/>
      <c r="S30" s="849"/>
      <c r="T30" s="1122"/>
      <c r="U30" s="849"/>
      <c r="V30" s="849"/>
    </row>
    <row r="31" spans="1:25" ht="12.95" customHeight="1">
      <c r="A31" s="847" t="s">
        <v>1743</v>
      </c>
    </row>
    <row r="32" spans="1:25" ht="12.95" customHeight="1">
      <c r="A32" s="847" t="s">
        <v>365</v>
      </c>
    </row>
    <row r="33" spans="2:17">
      <c r="B33" s="852"/>
      <c r="C33" s="847"/>
      <c r="E33" s="847"/>
      <c r="F33" s="847"/>
      <c r="H33" s="847"/>
      <c r="I33" s="847"/>
      <c r="J33" s="847"/>
      <c r="K33" s="847"/>
      <c r="N33" s="847"/>
      <c r="Q33" s="847"/>
    </row>
    <row r="35" spans="2:17">
      <c r="B35" s="1175"/>
      <c r="E35" s="1176"/>
      <c r="F35" s="1176"/>
      <c r="G35" s="1176"/>
      <c r="H35" s="1176"/>
      <c r="I35" s="1176"/>
      <c r="J35" s="1176"/>
      <c r="K35" s="1176"/>
      <c r="L35" s="849"/>
    </row>
    <row r="36" spans="2:17">
      <c r="E36" s="997"/>
      <c r="F36" s="999"/>
      <c r="G36" s="849"/>
      <c r="H36" s="997"/>
      <c r="I36" s="999"/>
      <c r="J36" s="999"/>
      <c r="K36" s="997"/>
      <c r="L36" s="849"/>
    </row>
  </sheetData>
  <mergeCells count="8">
    <mergeCell ref="T7:U7"/>
    <mergeCell ref="W7:X7"/>
    <mergeCell ref="B7:C7"/>
    <mergeCell ref="E7:F7"/>
    <mergeCell ref="H7:I7"/>
    <mergeCell ref="K7:L7"/>
    <mergeCell ref="N7:O7"/>
    <mergeCell ref="Q7:R7"/>
  </mergeCells>
  <printOptions horizontalCentered="1" verticalCentered="1"/>
  <pageMargins left="0.70866141732283472" right="0.70866141732283472" top="0.74803149606299213" bottom="0.74803149606299213" header="0.31496062992125984" footer="0.31496062992125984"/>
  <pageSetup paperSize="9" scale="90" orientation="landscape" r:id="rId1"/>
</worksheet>
</file>

<file path=xl/worksheets/sheet121.xml><?xml version="1.0" encoding="utf-8"?>
<worksheet xmlns="http://schemas.openxmlformats.org/spreadsheetml/2006/main" xmlns:r="http://schemas.openxmlformats.org/officeDocument/2006/relationships">
  <sheetPr>
    <tabColor theme="5" tint="0.59999389629810485"/>
  </sheetPr>
  <dimension ref="B1:L8"/>
  <sheetViews>
    <sheetView topLeftCell="A4" workbookViewId="0">
      <selection activeCell="L29" sqref="L29"/>
    </sheetView>
  </sheetViews>
  <sheetFormatPr baseColWidth="10" defaultRowHeight="15"/>
  <sheetData>
    <row r="1" spans="2:12">
      <c r="C1" s="42" t="s">
        <v>1945</v>
      </c>
      <c r="D1" s="42" t="s">
        <v>1946</v>
      </c>
    </row>
    <row r="2" spans="2:12">
      <c r="B2" t="s">
        <v>1796</v>
      </c>
      <c r="C2" s="268">
        <v>473</v>
      </c>
      <c r="D2" s="465">
        <v>385</v>
      </c>
      <c r="E2" s="268"/>
      <c r="G2" s="465"/>
    </row>
    <row r="3" spans="2:12">
      <c r="B3" s="42" t="s">
        <v>1835</v>
      </c>
      <c r="C3" s="268">
        <v>1119</v>
      </c>
      <c r="D3" s="465">
        <v>940</v>
      </c>
      <c r="E3" s="687"/>
      <c r="G3" s="465"/>
    </row>
    <row r="4" spans="2:12">
      <c r="B4" s="42" t="s">
        <v>1794</v>
      </c>
      <c r="C4" s="268">
        <v>1330</v>
      </c>
      <c r="D4" s="465">
        <v>1140</v>
      </c>
      <c r="E4" s="687"/>
      <c r="F4" s="42"/>
      <c r="G4" s="465"/>
      <c r="L4" s="687"/>
    </row>
    <row r="5" spans="2:12">
      <c r="B5" s="42" t="s">
        <v>1793</v>
      </c>
      <c r="C5" s="268">
        <v>1738</v>
      </c>
      <c r="D5" s="465">
        <v>1520</v>
      </c>
      <c r="E5" s="687"/>
      <c r="F5" s="42"/>
      <c r="G5" s="465"/>
    </row>
    <row r="6" spans="2:12">
      <c r="B6" s="42" t="s">
        <v>1792</v>
      </c>
      <c r="C6" s="268">
        <v>1877</v>
      </c>
      <c r="D6" s="465">
        <v>1555</v>
      </c>
      <c r="E6" s="687"/>
      <c r="F6" s="42"/>
      <c r="G6" s="465"/>
    </row>
    <row r="7" spans="2:12">
      <c r="B7" s="42" t="s">
        <v>1791</v>
      </c>
      <c r="C7" s="268">
        <v>2866</v>
      </c>
      <c r="D7" s="465">
        <v>2438</v>
      </c>
      <c r="E7" s="687"/>
      <c r="F7" s="42"/>
      <c r="G7" s="465"/>
      <c r="I7" s="268"/>
    </row>
    <row r="8" spans="2:12">
      <c r="B8" s="42" t="s">
        <v>1944</v>
      </c>
      <c r="C8" s="268">
        <v>18781</v>
      </c>
      <c r="D8" s="465">
        <v>14332</v>
      </c>
      <c r="E8" s="687"/>
      <c r="F8" s="42"/>
      <c r="G8" s="465"/>
      <c r="I8" s="268"/>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dimension ref="A1:Y19"/>
  <sheetViews>
    <sheetView workbookViewId="0">
      <selection activeCell="M21" sqref="M21"/>
    </sheetView>
  </sheetViews>
  <sheetFormatPr baseColWidth="10" defaultColWidth="9.140625" defaultRowHeight="12.75"/>
  <cols>
    <col min="1" max="1" width="12.42578125" style="434" customWidth="1"/>
    <col min="2" max="2" width="7.7109375" style="435" customWidth="1"/>
    <col min="3" max="3" width="7.7109375" style="436" customWidth="1"/>
    <col min="4" max="4" width="1.7109375" style="434" customWidth="1"/>
    <col min="5" max="5" width="7.28515625" style="435" customWidth="1"/>
    <col min="6" max="6" width="7.7109375" style="436" customWidth="1"/>
    <col min="7" max="7" width="1.7109375" style="434" customWidth="1"/>
    <col min="8" max="8" width="6.140625" style="435" customWidth="1"/>
    <col min="9" max="9" width="7.7109375" style="436" customWidth="1"/>
    <col min="10" max="10" width="1.7109375" style="436" customWidth="1"/>
    <col min="11" max="11" width="5.7109375" style="435" customWidth="1"/>
    <col min="12" max="12" width="7.7109375" style="434" customWidth="1"/>
    <col min="13" max="13" width="1.7109375" style="434" customWidth="1"/>
    <col min="14" max="14" width="5.85546875" style="435" customWidth="1"/>
    <col min="15" max="15" width="6.28515625" style="434" customWidth="1"/>
    <col min="16" max="16" width="1.7109375" style="434" customWidth="1"/>
    <col min="17" max="17" width="6.140625" style="435" customWidth="1"/>
    <col min="18" max="18" width="7.28515625" style="434" customWidth="1"/>
    <col min="19" max="19" width="1.7109375" style="434" customWidth="1"/>
    <col min="20" max="21" width="6.42578125" style="434" customWidth="1"/>
    <col min="22" max="22" width="1.85546875" style="434" customWidth="1"/>
    <col min="23" max="24" width="6.42578125" style="434" customWidth="1"/>
    <col min="25" max="25" width="1.7109375" style="434" customWidth="1"/>
    <col min="26" max="256" width="9.140625" style="434"/>
    <col min="257" max="257" width="12.42578125" style="434" customWidth="1"/>
    <col min="258" max="259" width="7.7109375" style="434" customWidth="1"/>
    <col min="260" max="260" width="1.7109375" style="434" customWidth="1"/>
    <col min="261" max="262" width="7.7109375" style="434" customWidth="1"/>
    <col min="263" max="263" width="1.7109375" style="434" customWidth="1"/>
    <col min="264" max="264" width="6.7109375" style="434" customWidth="1"/>
    <col min="265" max="265" width="7.7109375" style="434" customWidth="1"/>
    <col min="266" max="266" width="1.7109375" style="434" customWidth="1"/>
    <col min="267" max="267" width="6.7109375" style="434" customWidth="1"/>
    <col min="268" max="268" width="7.7109375" style="434" customWidth="1"/>
    <col min="269" max="269" width="1.7109375" style="434" customWidth="1"/>
    <col min="270" max="270" width="6.7109375" style="434" customWidth="1"/>
    <col min="271" max="271" width="7.7109375" style="434" customWidth="1"/>
    <col min="272" max="272" width="1.7109375" style="434" customWidth="1"/>
    <col min="273" max="273" width="6.7109375" style="434" customWidth="1"/>
    <col min="274" max="274" width="7.7109375" style="434" customWidth="1"/>
    <col min="275" max="275" width="1.7109375" style="434" customWidth="1"/>
    <col min="276" max="276" width="6.7109375" style="434" customWidth="1"/>
    <col min="277" max="277" width="7.7109375" style="434" customWidth="1"/>
    <col min="278" max="278" width="1.85546875" style="434" customWidth="1"/>
    <col min="279" max="279" width="6.7109375" style="434" customWidth="1"/>
    <col min="280" max="280" width="7.7109375" style="434" customWidth="1"/>
    <col min="281" max="281" width="1.7109375" style="434" customWidth="1"/>
    <col min="282" max="512" width="9.140625" style="434"/>
    <col min="513" max="513" width="12.42578125" style="434" customWidth="1"/>
    <col min="514" max="515" width="7.7109375" style="434" customWidth="1"/>
    <col min="516" max="516" width="1.7109375" style="434" customWidth="1"/>
    <col min="517" max="518" width="7.7109375" style="434" customWidth="1"/>
    <col min="519" max="519" width="1.7109375" style="434" customWidth="1"/>
    <col min="520" max="520" width="6.7109375" style="434" customWidth="1"/>
    <col min="521" max="521" width="7.7109375" style="434" customWidth="1"/>
    <col min="522" max="522" width="1.7109375" style="434" customWidth="1"/>
    <col min="523" max="523" width="6.7109375" style="434" customWidth="1"/>
    <col min="524" max="524" width="7.7109375" style="434" customWidth="1"/>
    <col min="525" max="525" width="1.7109375" style="434" customWidth="1"/>
    <col min="526" max="526" width="6.7109375" style="434" customWidth="1"/>
    <col min="527" max="527" width="7.7109375" style="434" customWidth="1"/>
    <col min="528" max="528" width="1.7109375" style="434" customWidth="1"/>
    <col min="529" max="529" width="6.7109375" style="434" customWidth="1"/>
    <col min="530" max="530" width="7.7109375" style="434" customWidth="1"/>
    <col min="531" max="531" width="1.7109375" style="434" customWidth="1"/>
    <col min="532" max="532" width="6.7109375" style="434" customWidth="1"/>
    <col min="533" max="533" width="7.7109375" style="434" customWidth="1"/>
    <col min="534" max="534" width="1.85546875" style="434" customWidth="1"/>
    <col min="535" max="535" width="6.7109375" style="434" customWidth="1"/>
    <col min="536" max="536" width="7.7109375" style="434" customWidth="1"/>
    <col min="537" max="537" width="1.7109375" style="434" customWidth="1"/>
    <col min="538" max="768" width="9.140625" style="434"/>
    <col min="769" max="769" width="12.42578125" style="434" customWidth="1"/>
    <col min="770" max="771" width="7.7109375" style="434" customWidth="1"/>
    <col min="772" max="772" width="1.7109375" style="434" customWidth="1"/>
    <col min="773" max="774" width="7.7109375" style="434" customWidth="1"/>
    <col min="775" max="775" width="1.7109375" style="434" customWidth="1"/>
    <col min="776" max="776" width="6.7109375" style="434" customWidth="1"/>
    <col min="777" max="777" width="7.7109375" style="434" customWidth="1"/>
    <col min="778" max="778" width="1.7109375" style="434" customWidth="1"/>
    <col min="779" max="779" width="6.7109375" style="434" customWidth="1"/>
    <col min="780" max="780" width="7.7109375" style="434" customWidth="1"/>
    <col min="781" max="781" width="1.7109375" style="434" customWidth="1"/>
    <col min="782" max="782" width="6.7109375" style="434" customWidth="1"/>
    <col min="783" max="783" width="7.7109375" style="434" customWidth="1"/>
    <col min="784" max="784" width="1.7109375" style="434" customWidth="1"/>
    <col min="785" max="785" width="6.7109375" style="434" customWidth="1"/>
    <col min="786" max="786" width="7.7109375" style="434" customWidth="1"/>
    <col min="787" max="787" width="1.7109375" style="434" customWidth="1"/>
    <col min="788" max="788" width="6.7109375" style="434" customWidth="1"/>
    <col min="789" max="789" width="7.7109375" style="434" customWidth="1"/>
    <col min="790" max="790" width="1.85546875" style="434" customWidth="1"/>
    <col min="791" max="791" width="6.7109375" style="434" customWidth="1"/>
    <col min="792" max="792" width="7.7109375" style="434" customWidth="1"/>
    <col min="793" max="793" width="1.7109375" style="434" customWidth="1"/>
    <col min="794" max="1024" width="9.140625" style="434"/>
    <col min="1025" max="1025" width="12.42578125" style="434" customWidth="1"/>
    <col min="1026" max="1027" width="7.7109375" style="434" customWidth="1"/>
    <col min="1028" max="1028" width="1.7109375" style="434" customWidth="1"/>
    <col min="1029" max="1030" width="7.7109375" style="434" customWidth="1"/>
    <col min="1031" max="1031" width="1.7109375" style="434" customWidth="1"/>
    <col min="1032" max="1032" width="6.7109375" style="434" customWidth="1"/>
    <col min="1033" max="1033" width="7.7109375" style="434" customWidth="1"/>
    <col min="1034" max="1034" width="1.7109375" style="434" customWidth="1"/>
    <col min="1035" max="1035" width="6.7109375" style="434" customWidth="1"/>
    <col min="1036" max="1036" width="7.7109375" style="434" customWidth="1"/>
    <col min="1037" max="1037" width="1.7109375" style="434" customWidth="1"/>
    <col min="1038" max="1038" width="6.7109375" style="434" customWidth="1"/>
    <col min="1039" max="1039" width="7.7109375" style="434" customWidth="1"/>
    <col min="1040" max="1040" width="1.7109375" style="434" customWidth="1"/>
    <col min="1041" max="1041" width="6.7109375" style="434" customWidth="1"/>
    <col min="1042" max="1042" width="7.7109375" style="434" customWidth="1"/>
    <col min="1043" max="1043" width="1.7109375" style="434" customWidth="1"/>
    <col min="1044" max="1044" width="6.7109375" style="434" customWidth="1"/>
    <col min="1045" max="1045" width="7.7109375" style="434" customWidth="1"/>
    <col min="1046" max="1046" width="1.85546875" style="434" customWidth="1"/>
    <col min="1047" max="1047" width="6.7109375" style="434" customWidth="1"/>
    <col min="1048" max="1048" width="7.7109375" style="434" customWidth="1"/>
    <col min="1049" max="1049" width="1.7109375" style="434" customWidth="1"/>
    <col min="1050" max="1280" width="9.140625" style="434"/>
    <col min="1281" max="1281" width="12.42578125" style="434" customWidth="1"/>
    <col min="1282" max="1283" width="7.7109375" style="434" customWidth="1"/>
    <col min="1284" max="1284" width="1.7109375" style="434" customWidth="1"/>
    <col min="1285" max="1286" width="7.7109375" style="434" customWidth="1"/>
    <col min="1287" max="1287" width="1.7109375" style="434" customWidth="1"/>
    <col min="1288" max="1288" width="6.7109375" style="434" customWidth="1"/>
    <col min="1289" max="1289" width="7.7109375" style="434" customWidth="1"/>
    <col min="1290" max="1290" width="1.7109375" style="434" customWidth="1"/>
    <col min="1291" max="1291" width="6.7109375" style="434" customWidth="1"/>
    <col min="1292" max="1292" width="7.7109375" style="434" customWidth="1"/>
    <col min="1293" max="1293" width="1.7109375" style="434" customWidth="1"/>
    <col min="1294" max="1294" width="6.7109375" style="434" customWidth="1"/>
    <col min="1295" max="1295" width="7.7109375" style="434" customWidth="1"/>
    <col min="1296" max="1296" width="1.7109375" style="434" customWidth="1"/>
    <col min="1297" max="1297" width="6.7109375" style="434" customWidth="1"/>
    <col min="1298" max="1298" width="7.7109375" style="434" customWidth="1"/>
    <col min="1299" max="1299" width="1.7109375" style="434" customWidth="1"/>
    <col min="1300" max="1300" width="6.7109375" style="434" customWidth="1"/>
    <col min="1301" max="1301" width="7.7109375" style="434" customWidth="1"/>
    <col min="1302" max="1302" width="1.85546875" style="434" customWidth="1"/>
    <col min="1303" max="1303" width="6.7109375" style="434" customWidth="1"/>
    <col min="1304" max="1304" width="7.7109375" style="434" customWidth="1"/>
    <col min="1305" max="1305" width="1.7109375" style="434" customWidth="1"/>
    <col min="1306" max="1536" width="9.140625" style="434"/>
    <col min="1537" max="1537" width="12.42578125" style="434" customWidth="1"/>
    <col min="1538" max="1539" width="7.7109375" style="434" customWidth="1"/>
    <col min="1540" max="1540" width="1.7109375" style="434" customWidth="1"/>
    <col min="1541" max="1542" width="7.7109375" style="434" customWidth="1"/>
    <col min="1543" max="1543" width="1.7109375" style="434" customWidth="1"/>
    <col min="1544" max="1544" width="6.7109375" style="434" customWidth="1"/>
    <col min="1545" max="1545" width="7.7109375" style="434" customWidth="1"/>
    <col min="1546" max="1546" width="1.7109375" style="434" customWidth="1"/>
    <col min="1547" max="1547" width="6.7109375" style="434" customWidth="1"/>
    <col min="1548" max="1548" width="7.7109375" style="434" customWidth="1"/>
    <col min="1549" max="1549" width="1.7109375" style="434" customWidth="1"/>
    <col min="1550" max="1550" width="6.7109375" style="434" customWidth="1"/>
    <col min="1551" max="1551" width="7.7109375" style="434" customWidth="1"/>
    <col min="1552" max="1552" width="1.7109375" style="434" customWidth="1"/>
    <col min="1553" max="1553" width="6.7109375" style="434" customWidth="1"/>
    <col min="1554" max="1554" width="7.7109375" style="434" customWidth="1"/>
    <col min="1555" max="1555" width="1.7109375" style="434" customWidth="1"/>
    <col min="1556" max="1556" width="6.7109375" style="434" customWidth="1"/>
    <col min="1557" max="1557" width="7.7109375" style="434" customWidth="1"/>
    <col min="1558" max="1558" width="1.85546875" style="434" customWidth="1"/>
    <col min="1559" max="1559" width="6.7109375" style="434" customWidth="1"/>
    <col min="1560" max="1560" width="7.7109375" style="434" customWidth="1"/>
    <col min="1561" max="1561" width="1.7109375" style="434" customWidth="1"/>
    <col min="1562" max="1792" width="9.140625" style="434"/>
    <col min="1793" max="1793" width="12.42578125" style="434" customWidth="1"/>
    <col min="1794" max="1795" width="7.7109375" style="434" customWidth="1"/>
    <col min="1796" max="1796" width="1.7109375" style="434" customWidth="1"/>
    <col min="1797" max="1798" width="7.7109375" style="434" customWidth="1"/>
    <col min="1799" max="1799" width="1.7109375" style="434" customWidth="1"/>
    <col min="1800" max="1800" width="6.7109375" style="434" customWidth="1"/>
    <col min="1801" max="1801" width="7.7109375" style="434" customWidth="1"/>
    <col min="1802" max="1802" width="1.7109375" style="434" customWidth="1"/>
    <col min="1803" max="1803" width="6.7109375" style="434" customWidth="1"/>
    <col min="1804" max="1804" width="7.7109375" style="434" customWidth="1"/>
    <col min="1805" max="1805" width="1.7109375" style="434" customWidth="1"/>
    <col min="1806" max="1806" width="6.7109375" style="434" customWidth="1"/>
    <col min="1807" max="1807" width="7.7109375" style="434" customWidth="1"/>
    <col min="1808" max="1808" width="1.7109375" style="434" customWidth="1"/>
    <col min="1809" max="1809" width="6.7109375" style="434" customWidth="1"/>
    <col min="1810" max="1810" width="7.7109375" style="434" customWidth="1"/>
    <col min="1811" max="1811" width="1.7109375" style="434" customWidth="1"/>
    <col min="1812" max="1812" width="6.7109375" style="434" customWidth="1"/>
    <col min="1813" max="1813" width="7.7109375" style="434" customWidth="1"/>
    <col min="1814" max="1814" width="1.85546875" style="434" customWidth="1"/>
    <col min="1815" max="1815" width="6.7109375" style="434" customWidth="1"/>
    <col min="1816" max="1816" width="7.7109375" style="434" customWidth="1"/>
    <col min="1817" max="1817" width="1.7109375" style="434" customWidth="1"/>
    <col min="1818" max="2048" width="9.140625" style="434"/>
    <col min="2049" max="2049" width="12.42578125" style="434" customWidth="1"/>
    <col min="2050" max="2051" width="7.7109375" style="434" customWidth="1"/>
    <col min="2052" max="2052" width="1.7109375" style="434" customWidth="1"/>
    <col min="2053" max="2054" width="7.7109375" style="434" customWidth="1"/>
    <col min="2055" max="2055" width="1.7109375" style="434" customWidth="1"/>
    <col min="2056" max="2056" width="6.7109375" style="434" customWidth="1"/>
    <col min="2057" max="2057" width="7.7109375" style="434" customWidth="1"/>
    <col min="2058" max="2058" width="1.7109375" style="434" customWidth="1"/>
    <col min="2059" max="2059" width="6.7109375" style="434" customWidth="1"/>
    <col min="2060" max="2060" width="7.7109375" style="434" customWidth="1"/>
    <col min="2061" max="2061" width="1.7109375" style="434" customWidth="1"/>
    <col min="2062" max="2062" width="6.7109375" style="434" customWidth="1"/>
    <col min="2063" max="2063" width="7.7109375" style="434" customWidth="1"/>
    <col min="2064" max="2064" width="1.7109375" style="434" customWidth="1"/>
    <col min="2065" max="2065" width="6.7109375" style="434" customWidth="1"/>
    <col min="2066" max="2066" width="7.7109375" style="434" customWidth="1"/>
    <col min="2067" max="2067" width="1.7109375" style="434" customWidth="1"/>
    <col min="2068" max="2068" width="6.7109375" style="434" customWidth="1"/>
    <col min="2069" max="2069" width="7.7109375" style="434" customWidth="1"/>
    <col min="2070" max="2070" width="1.85546875" style="434" customWidth="1"/>
    <col min="2071" max="2071" width="6.7109375" style="434" customWidth="1"/>
    <col min="2072" max="2072" width="7.7109375" style="434" customWidth="1"/>
    <col min="2073" max="2073" width="1.7109375" style="434" customWidth="1"/>
    <col min="2074" max="2304" width="9.140625" style="434"/>
    <col min="2305" max="2305" width="12.42578125" style="434" customWidth="1"/>
    <col min="2306" max="2307" width="7.7109375" style="434" customWidth="1"/>
    <col min="2308" max="2308" width="1.7109375" style="434" customWidth="1"/>
    <col min="2309" max="2310" width="7.7109375" style="434" customWidth="1"/>
    <col min="2311" max="2311" width="1.7109375" style="434" customWidth="1"/>
    <col min="2312" max="2312" width="6.7109375" style="434" customWidth="1"/>
    <col min="2313" max="2313" width="7.7109375" style="434" customWidth="1"/>
    <col min="2314" max="2314" width="1.7109375" style="434" customWidth="1"/>
    <col min="2315" max="2315" width="6.7109375" style="434" customWidth="1"/>
    <col min="2316" max="2316" width="7.7109375" style="434" customWidth="1"/>
    <col min="2317" max="2317" width="1.7109375" style="434" customWidth="1"/>
    <col min="2318" max="2318" width="6.7109375" style="434" customWidth="1"/>
    <col min="2319" max="2319" width="7.7109375" style="434" customWidth="1"/>
    <col min="2320" max="2320" width="1.7109375" style="434" customWidth="1"/>
    <col min="2321" max="2321" width="6.7109375" style="434" customWidth="1"/>
    <col min="2322" max="2322" width="7.7109375" style="434" customWidth="1"/>
    <col min="2323" max="2323" width="1.7109375" style="434" customWidth="1"/>
    <col min="2324" max="2324" width="6.7109375" style="434" customWidth="1"/>
    <col min="2325" max="2325" width="7.7109375" style="434" customWidth="1"/>
    <col min="2326" max="2326" width="1.85546875" style="434" customWidth="1"/>
    <col min="2327" max="2327" width="6.7109375" style="434" customWidth="1"/>
    <col min="2328" max="2328" width="7.7109375" style="434" customWidth="1"/>
    <col min="2329" max="2329" width="1.7109375" style="434" customWidth="1"/>
    <col min="2330" max="2560" width="9.140625" style="434"/>
    <col min="2561" max="2561" width="12.42578125" style="434" customWidth="1"/>
    <col min="2562" max="2563" width="7.7109375" style="434" customWidth="1"/>
    <col min="2564" max="2564" width="1.7109375" style="434" customWidth="1"/>
    <col min="2565" max="2566" width="7.7109375" style="434" customWidth="1"/>
    <col min="2567" max="2567" width="1.7109375" style="434" customWidth="1"/>
    <col min="2568" max="2568" width="6.7109375" style="434" customWidth="1"/>
    <col min="2569" max="2569" width="7.7109375" style="434" customWidth="1"/>
    <col min="2570" max="2570" width="1.7109375" style="434" customWidth="1"/>
    <col min="2571" max="2571" width="6.7109375" style="434" customWidth="1"/>
    <col min="2572" max="2572" width="7.7109375" style="434" customWidth="1"/>
    <col min="2573" max="2573" width="1.7109375" style="434" customWidth="1"/>
    <col min="2574" max="2574" width="6.7109375" style="434" customWidth="1"/>
    <col min="2575" max="2575" width="7.7109375" style="434" customWidth="1"/>
    <col min="2576" max="2576" width="1.7109375" style="434" customWidth="1"/>
    <col min="2577" max="2577" width="6.7109375" style="434" customWidth="1"/>
    <col min="2578" max="2578" width="7.7109375" style="434" customWidth="1"/>
    <col min="2579" max="2579" width="1.7109375" style="434" customWidth="1"/>
    <col min="2580" max="2580" width="6.7109375" style="434" customWidth="1"/>
    <col min="2581" max="2581" width="7.7109375" style="434" customWidth="1"/>
    <col min="2582" max="2582" width="1.85546875" style="434" customWidth="1"/>
    <col min="2583" max="2583" width="6.7109375" style="434" customWidth="1"/>
    <col min="2584" max="2584" width="7.7109375" style="434" customWidth="1"/>
    <col min="2585" max="2585" width="1.7109375" style="434" customWidth="1"/>
    <col min="2586" max="2816" width="9.140625" style="434"/>
    <col min="2817" max="2817" width="12.42578125" style="434" customWidth="1"/>
    <col min="2818" max="2819" width="7.7109375" style="434" customWidth="1"/>
    <col min="2820" max="2820" width="1.7109375" style="434" customWidth="1"/>
    <col min="2821" max="2822" width="7.7109375" style="434" customWidth="1"/>
    <col min="2823" max="2823" width="1.7109375" style="434" customWidth="1"/>
    <col min="2824" max="2824" width="6.7109375" style="434" customWidth="1"/>
    <col min="2825" max="2825" width="7.7109375" style="434" customWidth="1"/>
    <col min="2826" max="2826" width="1.7109375" style="434" customWidth="1"/>
    <col min="2827" max="2827" width="6.7109375" style="434" customWidth="1"/>
    <col min="2828" max="2828" width="7.7109375" style="434" customWidth="1"/>
    <col min="2829" max="2829" width="1.7109375" style="434" customWidth="1"/>
    <col min="2830" max="2830" width="6.7109375" style="434" customWidth="1"/>
    <col min="2831" max="2831" width="7.7109375" style="434" customWidth="1"/>
    <col min="2832" max="2832" width="1.7109375" style="434" customWidth="1"/>
    <col min="2833" max="2833" width="6.7109375" style="434" customWidth="1"/>
    <col min="2834" max="2834" width="7.7109375" style="434" customWidth="1"/>
    <col min="2835" max="2835" width="1.7109375" style="434" customWidth="1"/>
    <col min="2836" max="2836" width="6.7109375" style="434" customWidth="1"/>
    <col min="2837" max="2837" width="7.7109375" style="434" customWidth="1"/>
    <col min="2838" max="2838" width="1.85546875" style="434" customWidth="1"/>
    <col min="2839" max="2839" width="6.7109375" style="434" customWidth="1"/>
    <col min="2840" max="2840" width="7.7109375" style="434" customWidth="1"/>
    <col min="2841" max="2841" width="1.7109375" style="434" customWidth="1"/>
    <col min="2842" max="3072" width="9.140625" style="434"/>
    <col min="3073" max="3073" width="12.42578125" style="434" customWidth="1"/>
    <col min="3074" max="3075" width="7.7109375" style="434" customWidth="1"/>
    <col min="3076" max="3076" width="1.7109375" style="434" customWidth="1"/>
    <col min="3077" max="3078" width="7.7109375" style="434" customWidth="1"/>
    <col min="3079" max="3079" width="1.7109375" style="434" customWidth="1"/>
    <col min="3080" max="3080" width="6.7109375" style="434" customWidth="1"/>
    <col min="3081" max="3081" width="7.7109375" style="434" customWidth="1"/>
    <col min="3082" max="3082" width="1.7109375" style="434" customWidth="1"/>
    <col min="3083" max="3083" width="6.7109375" style="434" customWidth="1"/>
    <col min="3084" max="3084" width="7.7109375" style="434" customWidth="1"/>
    <col min="3085" max="3085" width="1.7109375" style="434" customWidth="1"/>
    <col min="3086" max="3086" width="6.7109375" style="434" customWidth="1"/>
    <col min="3087" max="3087" width="7.7109375" style="434" customWidth="1"/>
    <col min="3088" max="3088" width="1.7109375" style="434" customWidth="1"/>
    <col min="3089" max="3089" width="6.7109375" style="434" customWidth="1"/>
    <col min="3090" max="3090" width="7.7109375" style="434" customWidth="1"/>
    <col min="3091" max="3091" width="1.7109375" style="434" customWidth="1"/>
    <col min="3092" max="3092" width="6.7109375" style="434" customWidth="1"/>
    <col min="3093" max="3093" width="7.7109375" style="434" customWidth="1"/>
    <col min="3094" max="3094" width="1.85546875" style="434" customWidth="1"/>
    <col min="3095" max="3095" width="6.7109375" style="434" customWidth="1"/>
    <col min="3096" max="3096" width="7.7109375" style="434" customWidth="1"/>
    <col min="3097" max="3097" width="1.7109375" style="434" customWidth="1"/>
    <col min="3098" max="3328" width="9.140625" style="434"/>
    <col min="3329" max="3329" width="12.42578125" style="434" customWidth="1"/>
    <col min="3330" max="3331" width="7.7109375" style="434" customWidth="1"/>
    <col min="3332" max="3332" width="1.7109375" style="434" customWidth="1"/>
    <col min="3333" max="3334" width="7.7109375" style="434" customWidth="1"/>
    <col min="3335" max="3335" width="1.7109375" style="434" customWidth="1"/>
    <col min="3336" max="3336" width="6.7109375" style="434" customWidth="1"/>
    <col min="3337" max="3337" width="7.7109375" style="434" customWidth="1"/>
    <col min="3338" max="3338" width="1.7109375" style="434" customWidth="1"/>
    <col min="3339" max="3339" width="6.7109375" style="434" customWidth="1"/>
    <col min="3340" max="3340" width="7.7109375" style="434" customWidth="1"/>
    <col min="3341" max="3341" width="1.7109375" style="434" customWidth="1"/>
    <col min="3342" max="3342" width="6.7109375" style="434" customWidth="1"/>
    <col min="3343" max="3343" width="7.7109375" style="434" customWidth="1"/>
    <col min="3344" max="3344" width="1.7109375" style="434" customWidth="1"/>
    <col min="3345" max="3345" width="6.7109375" style="434" customWidth="1"/>
    <col min="3346" max="3346" width="7.7109375" style="434" customWidth="1"/>
    <col min="3347" max="3347" width="1.7109375" style="434" customWidth="1"/>
    <col min="3348" max="3348" width="6.7109375" style="434" customWidth="1"/>
    <col min="3349" max="3349" width="7.7109375" style="434" customWidth="1"/>
    <col min="3350" max="3350" width="1.85546875" style="434" customWidth="1"/>
    <col min="3351" max="3351" width="6.7109375" style="434" customWidth="1"/>
    <col min="3352" max="3352" width="7.7109375" style="434" customWidth="1"/>
    <col min="3353" max="3353" width="1.7109375" style="434" customWidth="1"/>
    <col min="3354" max="3584" width="9.140625" style="434"/>
    <col min="3585" max="3585" width="12.42578125" style="434" customWidth="1"/>
    <col min="3586" max="3587" width="7.7109375" style="434" customWidth="1"/>
    <col min="3588" max="3588" width="1.7109375" style="434" customWidth="1"/>
    <col min="3589" max="3590" width="7.7109375" style="434" customWidth="1"/>
    <col min="3591" max="3591" width="1.7109375" style="434" customWidth="1"/>
    <col min="3592" max="3592" width="6.7109375" style="434" customWidth="1"/>
    <col min="3593" max="3593" width="7.7109375" style="434" customWidth="1"/>
    <col min="3594" max="3594" width="1.7109375" style="434" customWidth="1"/>
    <col min="3595" max="3595" width="6.7109375" style="434" customWidth="1"/>
    <col min="3596" max="3596" width="7.7109375" style="434" customWidth="1"/>
    <col min="3597" max="3597" width="1.7109375" style="434" customWidth="1"/>
    <col min="3598" max="3598" width="6.7109375" style="434" customWidth="1"/>
    <col min="3599" max="3599" width="7.7109375" style="434" customWidth="1"/>
    <col min="3600" max="3600" width="1.7109375" style="434" customWidth="1"/>
    <col min="3601" max="3601" width="6.7109375" style="434" customWidth="1"/>
    <col min="3602" max="3602" width="7.7109375" style="434" customWidth="1"/>
    <col min="3603" max="3603" width="1.7109375" style="434" customWidth="1"/>
    <col min="3604" max="3604" width="6.7109375" style="434" customWidth="1"/>
    <col min="3605" max="3605" width="7.7109375" style="434" customWidth="1"/>
    <col min="3606" max="3606" width="1.85546875" style="434" customWidth="1"/>
    <col min="3607" max="3607" width="6.7109375" style="434" customWidth="1"/>
    <col min="3608" max="3608" width="7.7109375" style="434" customWidth="1"/>
    <col min="3609" max="3609" width="1.7109375" style="434" customWidth="1"/>
    <col min="3610" max="3840" width="9.140625" style="434"/>
    <col min="3841" max="3841" width="12.42578125" style="434" customWidth="1"/>
    <col min="3842" max="3843" width="7.7109375" style="434" customWidth="1"/>
    <col min="3844" max="3844" width="1.7109375" style="434" customWidth="1"/>
    <col min="3845" max="3846" width="7.7109375" style="434" customWidth="1"/>
    <col min="3847" max="3847" width="1.7109375" style="434" customWidth="1"/>
    <col min="3848" max="3848" width="6.7109375" style="434" customWidth="1"/>
    <col min="3849" max="3849" width="7.7109375" style="434" customWidth="1"/>
    <col min="3850" max="3850" width="1.7109375" style="434" customWidth="1"/>
    <col min="3851" max="3851" width="6.7109375" style="434" customWidth="1"/>
    <col min="3852" max="3852" width="7.7109375" style="434" customWidth="1"/>
    <col min="3853" max="3853" width="1.7109375" style="434" customWidth="1"/>
    <col min="3854" max="3854" width="6.7109375" style="434" customWidth="1"/>
    <col min="3855" max="3855" width="7.7109375" style="434" customWidth="1"/>
    <col min="3856" max="3856" width="1.7109375" style="434" customWidth="1"/>
    <col min="3857" max="3857" width="6.7109375" style="434" customWidth="1"/>
    <col min="3858" max="3858" width="7.7109375" style="434" customWidth="1"/>
    <col min="3859" max="3859" width="1.7109375" style="434" customWidth="1"/>
    <col min="3860" max="3860" width="6.7109375" style="434" customWidth="1"/>
    <col min="3861" max="3861" width="7.7109375" style="434" customWidth="1"/>
    <col min="3862" max="3862" width="1.85546875" style="434" customWidth="1"/>
    <col min="3863" max="3863" width="6.7109375" style="434" customWidth="1"/>
    <col min="3864" max="3864" width="7.7109375" style="434" customWidth="1"/>
    <col min="3865" max="3865" width="1.7109375" style="434" customWidth="1"/>
    <col min="3866" max="4096" width="9.140625" style="434"/>
    <col min="4097" max="4097" width="12.42578125" style="434" customWidth="1"/>
    <col min="4098" max="4099" width="7.7109375" style="434" customWidth="1"/>
    <col min="4100" max="4100" width="1.7109375" style="434" customWidth="1"/>
    <col min="4101" max="4102" width="7.7109375" style="434" customWidth="1"/>
    <col min="4103" max="4103" width="1.7109375" style="434" customWidth="1"/>
    <col min="4104" max="4104" width="6.7109375" style="434" customWidth="1"/>
    <col min="4105" max="4105" width="7.7109375" style="434" customWidth="1"/>
    <col min="4106" max="4106" width="1.7109375" style="434" customWidth="1"/>
    <col min="4107" max="4107" width="6.7109375" style="434" customWidth="1"/>
    <col min="4108" max="4108" width="7.7109375" style="434" customWidth="1"/>
    <col min="4109" max="4109" width="1.7109375" style="434" customWidth="1"/>
    <col min="4110" max="4110" width="6.7109375" style="434" customWidth="1"/>
    <col min="4111" max="4111" width="7.7109375" style="434" customWidth="1"/>
    <col min="4112" max="4112" width="1.7109375" style="434" customWidth="1"/>
    <col min="4113" max="4113" width="6.7109375" style="434" customWidth="1"/>
    <col min="4114" max="4114" width="7.7109375" style="434" customWidth="1"/>
    <col min="4115" max="4115" width="1.7109375" style="434" customWidth="1"/>
    <col min="4116" max="4116" width="6.7109375" style="434" customWidth="1"/>
    <col min="4117" max="4117" width="7.7109375" style="434" customWidth="1"/>
    <col min="4118" max="4118" width="1.85546875" style="434" customWidth="1"/>
    <col min="4119" max="4119" width="6.7109375" style="434" customWidth="1"/>
    <col min="4120" max="4120" width="7.7109375" style="434" customWidth="1"/>
    <col min="4121" max="4121" width="1.7109375" style="434" customWidth="1"/>
    <col min="4122" max="4352" width="9.140625" style="434"/>
    <col min="4353" max="4353" width="12.42578125" style="434" customWidth="1"/>
    <col min="4354" max="4355" width="7.7109375" style="434" customWidth="1"/>
    <col min="4356" max="4356" width="1.7109375" style="434" customWidth="1"/>
    <col min="4357" max="4358" width="7.7109375" style="434" customWidth="1"/>
    <col min="4359" max="4359" width="1.7109375" style="434" customWidth="1"/>
    <col min="4360" max="4360" width="6.7109375" style="434" customWidth="1"/>
    <col min="4361" max="4361" width="7.7109375" style="434" customWidth="1"/>
    <col min="4362" max="4362" width="1.7109375" style="434" customWidth="1"/>
    <col min="4363" max="4363" width="6.7109375" style="434" customWidth="1"/>
    <col min="4364" max="4364" width="7.7109375" style="434" customWidth="1"/>
    <col min="4365" max="4365" width="1.7109375" style="434" customWidth="1"/>
    <col min="4366" max="4366" width="6.7109375" style="434" customWidth="1"/>
    <col min="4367" max="4367" width="7.7109375" style="434" customWidth="1"/>
    <col min="4368" max="4368" width="1.7109375" style="434" customWidth="1"/>
    <col min="4369" max="4369" width="6.7109375" style="434" customWidth="1"/>
    <col min="4370" max="4370" width="7.7109375" style="434" customWidth="1"/>
    <col min="4371" max="4371" width="1.7109375" style="434" customWidth="1"/>
    <col min="4372" max="4372" width="6.7109375" style="434" customWidth="1"/>
    <col min="4373" max="4373" width="7.7109375" style="434" customWidth="1"/>
    <col min="4374" max="4374" width="1.85546875" style="434" customWidth="1"/>
    <col min="4375" max="4375" width="6.7109375" style="434" customWidth="1"/>
    <col min="4376" max="4376" width="7.7109375" style="434" customWidth="1"/>
    <col min="4377" max="4377" width="1.7109375" style="434" customWidth="1"/>
    <col min="4378" max="4608" width="9.140625" style="434"/>
    <col min="4609" max="4609" width="12.42578125" style="434" customWidth="1"/>
    <col min="4610" max="4611" width="7.7109375" style="434" customWidth="1"/>
    <col min="4612" max="4612" width="1.7109375" style="434" customWidth="1"/>
    <col min="4613" max="4614" width="7.7109375" style="434" customWidth="1"/>
    <col min="4615" max="4615" width="1.7109375" style="434" customWidth="1"/>
    <col min="4616" max="4616" width="6.7109375" style="434" customWidth="1"/>
    <col min="4617" max="4617" width="7.7109375" style="434" customWidth="1"/>
    <col min="4618" max="4618" width="1.7109375" style="434" customWidth="1"/>
    <col min="4619" max="4619" width="6.7109375" style="434" customWidth="1"/>
    <col min="4620" max="4620" width="7.7109375" style="434" customWidth="1"/>
    <col min="4621" max="4621" width="1.7109375" style="434" customWidth="1"/>
    <col min="4622" max="4622" width="6.7109375" style="434" customWidth="1"/>
    <col min="4623" max="4623" width="7.7109375" style="434" customWidth="1"/>
    <col min="4624" max="4624" width="1.7109375" style="434" customWidth="1"/>
    <col min="4625" max="4625" width="6.7109375" style="434" customWidth="1"/>
    <col min="4626" max="4626" width="7.7109375" style="434" customWidth="1"/>
    <col min="4627" max="4627" width="1.7109375" style="434" customWidth="1"/>
    <col min="4628" max="4628" width="6.7109375" style="434" customWidth="1"/>
    <col min="4629" max="4629" width="7.7109375" style="434" customWidth="1"/>
    <col min="4630" max="4630" width="1.85546875" style="434" customWidth="1"/>
    <col min="4631" max="4631" width="6.7109375" style="434" customWidth="1"/>
    <col min="4632" max="4632" width="7.7109375" style="434" customWidth="1"/>
    <col min="4633" max="4633" width="1.7109375" style="434" customWidth="1"/>
    <col min="4634" max="4864" width="9.140625" style="434"/>
    <col min="4865" max="4865" width="12.42578125" style="434" customWidth="1"/>
    <col min="4866" max="4867" width="7.7109375" style="434" customWidth="1"/>
    <col min="4868" max="4868" width="1.7109375" style="434" customWidth="1"/>
    <col min="4869" max="4870" width="7.7109375" style="434" customWidth="1"/>
    <col min="4871" max="4871" width="1.7109375" style="434" customWidth="1"/>
    <col min="4872" max="4872" width="6.7109375" style="434" customWidth="1"/>
    <col min="4873" max="4873" width="7.7109375" style="434" customWidth="1"/>
    <col min="4874" max="4874" width="1.7109375" style="434" customWidth="1"/>
    <col min="4875" max="4875" width="6.7109375" style="434" customWidth="1"/>
    <col min="4876" max="4876" width="7.7109375" style="434" customWidth="1"/>
    <col min="4877" max="4877" width="1.7109375" style="434" customWidth="1"/>
    <col min="4878" max="4878" width="6.7109375" style="434" customWidth="1"/>
    <col min="4879" max="4879" width="7.7109375" style="434" customWidth="1"/>
    <col min="4880" max="4880" width="1.7109375" style="434" customWidth="1"/>
    <col min="4881" max="4881" width="6.7109375" style="434" customWidth="1"/>
    <col min="4882" max="4882" width="7.7109375" style="434" customWidth="1"/>
    <col min="4883" max="4883" width="1.7109375" style="434" customWidth="1"/>
    <col min="4884" max="4884" width="6.7109375" style="434" customWidth="1"/>
    <col min="4885" max="4885" width="7.7109375" style="434" customWidth="1"/>
    <col min="4886" max="4886" width="1.85546875" style="434" customWidth="1"/>
    <col min="4887" max="4887" width="6.7109375" style="434" customWidth="1"/>
    <col min="4888" max="4888" width="7.7109375" style="434" customWidth="1"/>
    <col min="4889" max="4889" width="1.7109375" style="434" customWidth="1"/>
    <col min="4890" max="5120" width="9.140625" style="434"/>
    <col min="5121" max="5121" width="12.42578125" style="434" customWidth="1"/>
    <col min="5122" max="5123" width="7.7109375" style="434" customWidth="1"/>
    <col min="5124" max="5124" width="1.7109375" style="434" customWidth="1"/>
    <col min="5125" max="5126" width="7.7109375" style="434" customWidth="1"/>
    <col min="5127" max="5127" width="1.7109375" style="434" customWidth="1"/>
    <col min="5128" max="5128" width="6.7109375" style="434" customWidth="1"/>
    <col min="5129" max="5129" width="7.7109375" style="434" customWidth="1"/>
    <col min="5130" max="5130" width="1.7109375" style="434" customWidth="1"/>
    <col min="5131" max="5131" width="6.7109375" style="434" customWidth="1"/>
    <col min="5132" max="5132" width="7.7109375" style="434" customWidth="1"/>
    <col min="5133" max="5133" width="1.7109375" style="434" customWidth="1"/>
    <col min="5134" max="5134" width="6.7109375" style="434" customWidth="1"/>
    <col min="5135" max="5135" width="7.7109375" style="434" customWidth="1"/>
    <col min="5136" max="5136" width="1.7109375" style="434" customWidth="1"/>
    <col min="5137" max="5137" width="6.7109375" style="434" customWidth="1"/>
    <col min="5138" max="5138" width="7.7109375" style="434" customWidth="1"/>
    <col min="5139" max="5139" width="1.7109375" style="434" customWidth="1"/>
    <col min="5140" max="5140" width="6.7109375" style="434" customWidth="1"/>
    <col min="5141" max="5141" width="7.7109375" style="434" customWidth="1"/>
    <col min="5142" max="5142" width="1.85546875" style="434" customWidth="1"/>
    <col min="5143" max="5143" width="6.7109375" style="434" customWidth="1"/>
    <col min="5144" max="5144" width="7.7109375" style="434" customWidth="1"/>
    <col min="5145" max="5145" width="1.7109375" style="434" customWidth="1"/>
    <col min="5146" max="5376" width="9.140625" style="434"/>
    <col min="5377" max="5377" width="12.42578125" style="434" customWidth="1"/>
    <col min="5378" max="5379" width="7.7109375" style="434" customWidth="1"/>
    <col min="5380" max="5380" width="1.7109375" style="434" customWidth="1"/>
    <col min="5381" max="5382" width="7.7109375" style="434" customWidth="1"/>
    <col min="5383" max="5383" width="1.7109375" style="434" customWidth="1"/>
    <col min="5384" max="5384" width="6.7109375" style="434" customWidth="1"/>
    <col min="5385" max="5385" width="7.7109375" style="434" customWidth="1"/>
    <col min="5386" max="5386" width="1.7109375" style="434" customWidth="1"/>
    <col min="5387" max="5387" width="6.7109375" style="434" customWidth="1"/>
    <col min="5388" max="5388" width="7.7109375" style="434" customWidth="1"/>
    <col min="5389" max="5389" width="1.7109375" style="434" customWidth="1"/>
    <col min="5390" max="5390" width="6.7109375" style="434" customWidth="1"/>
    <col min="5391" max="5391" width="7.7109375" style="434" customWidth="1"/>
    <col min="5392" max="5392" width="1.7109375" style="434" customWidth="1"/>
    <col min="5393" max="5393" width="6.7109375" style="434" customWidth="1"/>
    <col min="5394" max="5394" width="7.7109375" style="434" customWidth="1"/>
    <col min="5395" max="5395" width="1.7109375" style="434" customWidth="1"/>
    <col min="5396" max="5396" width="6.7109375" style="434" customWidth="1"/>
    <col min="5397" max="5397" width="7.7109375" style="434" customWidth="1"/>
    <col min="5398" max="5398" width="1.85546875" style="434" customWidth="1"/>
    <col min="5399" max="5399" width="6.7109375" style="434" customWidth="1"/>
    <col min="5400" max="5400" width="7.7109375" style="434" customWidth="1"/>
    <col min="5401" max="5401" width="1.7109375" style="434" customWidth="1"/>
    <col min="5402" max="5632" width="9.140625" style="434"/>
    <col min="5633" max="5633" width="12.42578125" style="434" customWidth="1"/>
    <col min="5634" max="5635" width="7.7109375" style="434" customWidth="1"/>
    <col min="5636" max="5636" width="1.7109375" style="434" customWidth="1"/>
    <col min="5637" max="5638" width="7.7109375" style="434" customWidth="1"/>
    <col min="5639" max="5639" width="1.7109375" style="434" customWidth="1"/>
    <col min="5640" max="5640" width="6.7109375" style="434" customWidth="1"/>
    <col min="5641" max="5641" width="7.7109375" style="434" customWidth="1"/>
    <col min="5642" max="5642" width="1.7109375" style="434" customWidth="1"/>
    <col min="5643" max="5643" width="6.7109375" style="434" customWidth="1"/>
    <col min="5644" max="5644" width="7.7109375" style="434" customWidth="1"/>
    <col min="5645" max="5645" width="1.7109375" style="434" customWidth="1"/>
    <col min="5646" max="5646" width="6.7109375" style="434" customWidth="1"/>
    <col min="5647" max="5647" width="7.7109375" style="434" customWidth="1"/>
    <col min="5648" max="5648" width="1.7109375" style="434" customWidth="1"/>
    <col min="5649" max="5649" width="6.7109375" style="434" customWidth="1"/>
    <col min="5650" max="5650" width="7.7109375" style="434" customWidth="1"/>
    <col min="5651" max="5651" width="1.7109375" style="434" customWidth="1"/>
    <col min="5652" max="5652" width="6.7109375" style="434" customWidth="1"/>
    <col min="5653" max="5653" width="7.7109375" style="434" customWidth="1"/>
    <col min="5654" max="5654" width="1.85546875" style="434" customWidth="1"/>
    <col min="5655" max="5655" width="6.7109375" style="434" customWidth="1"/>
    <col min="5656" max="5656" width="7.7109375" style="434" customWidth="1"/>
    <col min="5657" max="5657" width="1.7109375" style="434" customWidth="1"/>
    <col min="5658" max="5888" width="9.140625" style="434"/>
    <col min="5889" max="5889" width="12.42578125" style="434" customWidth="1"/>
    <col min="5890" max="5891" width="7.7109375" style="434" customWidth="1"/>
    <col min="5892" max="5892" width="1.7109375" style="434" customWidth="1"/>
    <col min="5893" max="5894" width="7.7109375" style="434" customWidth="1"/>
    <col min="5895" max="5895" width="1.7109375" style="434" customWidth="1"/>
    <col min="5896" max="5896" width="6.7109375" style="434" customWidth="1"/>
    <col min="5897" max="5897" width="7.7109375" style="434" customWidth="1"/>
    <col min="5898" max="5898" width="1.7109375" style="434" customWidth="1"/>
    <col min="5899" max="5899" width="6.7109375" style="434" customWidth="1"/>
    <col min="5900" max="5900" width="7.7109375" style="434" customWidth="1"/>
    <col min="5901" max="5901" width="1.7109375" style="434" customWidth="1"/>
    <col min="5902" max="5902" width="6.7109375" style="434" customWidth="1"/>
    <col min="5903" max="5903" width="7.7109375" style="434" customWidth="1"/>
    <col min="5904" max="5904" width="1.7109375" style="434" customWidth="1"/>
    <col min="5905" max="5905" width="6.7109375" style="434" customWidth="1"/>
    <col min="5906" max="5906" width="7.7109375" style="434" customWidth="1"/>
    <col min="5907" max="5907" width="1.7109375" style="434" customWidth="1"/>
    <col min="5908" max="5908" width="6.7109375" style="434" customWidth="1"/>
    <col min="5909" max="5909" width="7.7109375" style="434" customWidth="1"/>
    <col min="5910" max="5910" width="1.85546875" style="434" customWidth="1"/>
    <col min="5911" max="5911" width="6.7109375" style="434" customWidth="1"/>
    <col min="5912" max="5912" width="7.7109375" style="434" customWidth="1"/>
    <col min="5913" max="5913" width="1.7109375" style="434" customWidth="1"/>
    <col min="5914" max="6144" width="9.140625" style="434"/>
    <col min="6145" max="6145" width="12.42578125" style="434" customWidth="1"/>
    <col min="6146" max="6147" width="7.7109375" style="434" customWidth="1"/>
    <col min="6148" max="6148" width="1.7109375" style="434" customWidth="1"/>
    <col min="6149" max="6150" width="7.7109375" style="434" customWidth="1"/>
    <col min="6151" max="6151" width="1.7109375" style="434" customWidth="1"/>
    <col min="6152" max="6152" width="6.7109375" style="434" customWidth="1"/>
    <col min="6153" max="6153" width="7.7109375" style="434" customWidth="1"/>
    <col min="6154" max="6154" width="1.7109375" style="434" customWidth="1"/>
    <col min="6155" max="6155" width="6.7109375" style="434" customWidth="1"/>
    <col min="6156" max="6156" width="7.7109375" style="434" customWidth="1"/>
    <col min="6157" max="6157" width="1.7109375" style="434" customWidth="1"/>
    <col min="6158" max="6158" width="6.7109375" style="434" customWidth="1"/>
    <col min="6159" max="6159" width="7.7109375" style="434" customWidth="1"/>
    <col min="6160" max="6160" width="1.7109375" style="434" customWidth="1"/>
    <col min="6161" max="6161" width="6.7109375" style="434" customWidth="1"/>
    <col min="6162" max="6162" width="7.7109375" style="434" customWidth="1"/>
    <col min="6163" max="6163" width="1.7109375" style="434" customWidth="1"/>
    <col min="6164" max="6164" width="6.7109375" style="434" customWidth="1"/>
    <col min="6165" max="6165" width="7.7109375" style="434" customWidth="1"/>
    <col min="6166" max="6166" width="1.85546875" style="434" customWidth="1"/>
    <col min="6167" max="6167" width="6.7109375" style="434" customWidth="1"/>
    <col min="6168" max="6168" width="7.7109375" style="434" customWidth="1"/>
    <col min="6169" max="6169" width="1.7109375" style="434" customWidth="1"/>
    <col min="6170" max="6400" width="9.140625" style="434"/>
    <col min="6401" max="6401" width="12.42578125" style="434" customWidth="1"/>
    <col min="6402" max="6403" width="7.7109375" style="434" customWidth="1"/>
    <col min="6404" max="6404" width="1.7109375" style="434" customWidth="1"/>
    <col min="6405" max="6406" width="7.7109375" style="434" customWidth="1"/>
    <col min="6407" max="6407" width="1.7109375" style="434" customWidth="1"/>
    <col min="6408" max="6408" width="6.7109375" style="434" customWidth="1"/>
    <col min="6409" max="6409" width="7.7109375" style="434" customWidth="1"/>
    <col min="6410" max="6410" width="1.7109375" style="434" customWidth="1"/>
    <col min="6411" max="6411" width="6.7109375" style="434" customWidth="1"/>
    <col min="6412" max="6412" width="7.7109375" style="434" customWidth="1"/>
    <col min="6413" max="6413" width="1.7109375" style="434" customWidth="1"/>
    <col min="6414" max="6414" width="6.7109375" style="434" customWidth="1"/>
    <col min="6415" max="6415" width="7.7109375" style="434" customWidth="1"/>
    <col min="6416" max="6416" width="1.7109375" style="434" customWidth="1"/>
    <col min="6417" max="6417" width="6.7109375" style="434" customWidth="1"/>
    <col min="6418" max="6418" width="7.7109375" style="434" customWidth="1"/>
    <col min="6419" max="6419" width="1.7109375" style="434" customWidth="1"/>
    <col min="6420" max="6420" width="6.7109375" style="434" customWidth="1"/>
    <col min="6421" max="6421" width="7.7109375" style="434" customWidth="1"/>
    <col min="6422" max="6422" width="1.85546875" style="434" customWidth="1"/>
    <col min="6423" max="6423" width="6.7109375" style="434" customWidth="1"/>
    <col min="6424" max="6424" width="7.7109375" style="434" customWidth="1"/>
    <col min="6425" max="6425" width="1.7109375" style="434" customWidth="1"/>
    <col min="6426" max="6656" width="9.140625" style="434"/>
    <col min="6657" max="6657" width="12.42578125" style="434" customWidth="1"/>
    <col min="6658" max="6659" width="7.7109375" style="434" customWidth="1"/>
    <col min="6660" max="6660" width="1.7109375" style="434" customWidth="1"/>
    <col min="6661" max="6662" width="7.7109375" style="434" customWidth="1"/>
    <col min="6663" max="6663" width="1.7109375" style="434" customWidth="1"/>
    <col min="6664" max="6664" width="6.7109375" style="434" customWidth="1"/>
    <col min="6665" max="6665" width="7.7109375" style="434" customWidth="1"/>
    <col min="6666" max="6666" width="1.7109375" style="434" customWidth="1"/>
    <col min="6667" max="6667" width="6.7109375" style="434" customWidth="1"/>
    <col min="6668" max="6668" width="7.7109375" style="434" customWidth="1"/>
    <col min="6669" max="6669" width="1.7109375" style="434" customWidth="1"/>
    <col min="6670" max="6670" width="6.7109375" style="434" customWidth="1"/>
    <col min="6671" max="6671" width="7.7109375" style="434" customWidth="1"/>
    <col min="6672" max="6672" width="1.7109375" style="434" customWidth="1"/>
    <col min="6673" max="6673" width="6.7109375" style="434" customWidth="1"/>
    <col min="6674" max="6674" width="7.7109375" style="434" customWidth="1"/>
    <col min="6675" max="6675" width="1.7109375" style="434" customWidth="1"/>
    <col min="6676" max="6676" width="6.7109375" style="434" customWidth="1"/>
    <col min="6677" max="6677" width="7.7109375" style="434" customWidth="1"/>
    <col min="6678" max="6678" width="1.85546875" style="434" customWidth="1"/>
    <col min="6679" max="6679" width="6.7109375" style="434" customWidth="1"/>
    <col min="6680" max="6680" width="7.7109375" style="434" customWidth="1"/>
    <col min="6681" max="6681" width="1.7109375" style="434" customWidth="1"/>
    <col min="6682" max="6912" width="9.140625" style="434"/>
    <col min="6913" max="6913" width="12.42578125" style="434" customWidth="1"/>
    <col min="6914" max="6915" width="7.7109375" style="434" customWidth="1"/>
    <col min="6916" max="6916" width="1.7109375" style="434" customWidth="1"/>
    <col min="6917" max="6918" width="7.7109375" style="434" customWidth="1"/>
    <col min="6919" max="6919" width="1.7109375" style="434" customWidth="1"/>
    <col min="6920" max="6920" width="6.7109375" style="434" customWidth="1"/>
    <col min="6921" max="6921" width="7.7109375" style="434" customWidth="1"/>
    <col min="6922" max="6922" width="1.7109375" style="434" customWidth="1"/>
    <col min="6923" max="6923" width="6.7109375" style="434" customWidth="1"/>
    <col min="6924" max="6924" width="7.7109375" style="434" customWidth="1"/>
    <col min="6925" max="6925" width="1.7109375" style="434" customWidth="1"/>
    <col min="6926" max="6926" width="6.7109375" style="434" customWidth="1"/>
    <col min="6927" max="6927" width="7.7109375" style="434" customWidth="1"/>
    <col min="6928" max="6928" width="1.7109375" style="434" customWidth="1"/>
    <col min="6929" max="6929" width="6.7109375" style="434" customWidth="1"/>
    <col min="6930" max="6930" width="7.7109375" style="434" customWidth="1"/>
    <col min="6931" max="6931" width="1.7109375" style="434" customWidth="1"/>
    <col min="6932" max="6932" width="6.7109375" style="434" customWidth="1"/>
    <col min="6933" max="6933" width="7.7109375" style="434" customWidth="1"/>
    <col min="6934" max="6934" width="1.85546875" style="434" customWidth="1"/>
    <col min="6935" max="6935" width="6.7109375" style="434" customWidth="1"/>
    <col min="6936" max="6936" width="7.7109375" style="434" customWidth="1"/>
    <col min="6937" max="6937" width="1.7109375" style="434" customWidth="1"/>
    <col min="6938" max="7168" width="9.140625" style="434"/>
    <col min="7169" max="7169" width="12.42578125" style="434" customWidth="1"/>
    <col min="7170" max="7171" width="7.7109375" style="434" customWidth="1"/>
    <col min="7172" max="7172" width="1.7109375" style="434" customWidth="1"/>
    <col min="7173" max="7174" width="7.7109375" style="434" customWidth="1"/>
    <col min="7175" max="7175" width="1.7109375" style="434" customWidth="1"/>
    <col min="7176" max="7176" width="6.7109375" style="434" customWidth="1"/>
    <col min="7177" max="7177" width="7.7109375" style="434" customWidth="1"/>
    <col min="7178" max="7178" width="1.7109375" style="434" customWidth="1"/>
    <col min="7179" max="7179" width="6.7109375" style="434" customWidth="1"/>
    <col min="7180" max="7180" width="7.7109375" style="434" customWidth="1"/>
    <col min="7181" max="7181" width="1.7109375" style="434" customWidth="1"/>
    <col min="7182" max="7182" width="6.7109375" style="434" customWidth="1"/>
    <col min="7183" max="7183" width="7.7109375" style="434" customWidth="1"/>
    <col min="7184" max="7184" width="1.7109375" style="434" customWidth="1"/>
    <col min="7185" max="7185" width="6.7109375" style="434" customWidth="1"/>
    <col min="7186" max="7186" width="7.7109375" style="434" customWidth="1"/>
    <col min="7187" max="7187" width="1.7109375" style="434" customWidth="1"/>
    <col min="7188" max="7188" width="6.7109375" style="434" customWidth="1"/>
    <col min="7189" max="7189" width="7.7109375" style="434" customWidth="1"/>
    <col min="7190" max="7190" width="1.85546875" style="434" customWidth="1"/>
    <col min="7191" max="7191" width="6.7109375" style="434" customWidth="1"/>
    <col min="7192" max="7192" width="7.7109375" style="434" customWidth="1"/>
    <col min="7193" max="7193" width="1.7109375" style="434" customWidth="1"/>
    <col min="7194" max="7424" width="9.140625" style="434"/>
    <col min="7425" max="7425" width="12.42578125" style="434" customWidth="1"/>
    <col min="7426" max="7427" width="7.7109375" style="434" customWidth="1"/>
    <col min="7428" max="7428" width="1.7109375" style="434" customWidth="1"/>
    <col min="7429" max="7430" width="7.7109375" style="434" customWidth="1"/>
    <col min="7431" max="7431" width="1.7109375" style="434" customWidth="1"/>
    <col min="7432" max="7432" width="6.7109375" style="434" customWidth="1"/>
    <col min="7433" max="7433" width="7.7109375" style="434" customWidth="1"/>
    <col min="7434" max="7434" width="1.7109375" style="434" customWidth="1"/>
    <col min="7435" max="7435" width="6.7109375" style="434" customWidth="1"/>
    <col min="7436" max="7436" width="7.7109375" style="434" customWidth="1"/>
    <col min="7437" max="7437" width="1.7109375" style="434" customWidth="1"/>
    <col min="7438" max="7438" width="6.7109375" style="434" customWidth="1"/>
    <col min="7439" max="7439" width="7.7109375" style="434" customWidth="1"/>
    <col min="7440" max="7440" width="1.7109375" style="434" customWidth="1"/>
    <col min="7441" max="7441" width="6.7109375" style="434" customWidth="1"/>
    <col min="7442" max="7442" width="7.7109375" style="434" customWidth="1"/>
    <col min="7443" max="7443" width="1.7109375" style="434" customWidth="1"/>
    <col min="7444" max="7444" width="6.7109375" style="434" customWidth="1"/>
    <col min="7445" max="7445" width="7.7109375" style="434" customWidth="1"/>
    <col min="7446" max="7446" width="1.85546875" style="434" customWidth="1"/>
    <col min="7447" max="7447" width="6.7109375" style="434" customWidth="1"/>
    <col min="7448" max="7448" width="7.7109375" style="434" customWidth="1"/>
    <col min="7449" max="7449" width="1.7109375" style="434" customWidth="1"/>
    <col min="7450" max="7680" width="9.140625" style="434"/>
    <col min="7681" max="7681" width="12.42578125" style="434" customWidth="1"/>
    <col min="7682" max="7683" width="7.7109375" style="434" customWidth="1"/>
    <col min="7684" max="7684" width="1.7109375" style="434" customWidth="1"/>
    <col min="7685" max="7686" width="7.7109375" style="434" customWidth="1"/>
    <col min="7687" max="7687" width="1.7109375" style="434" customWidth="1"/>
    <col min="7688" max="7688" width="6.7109375" style="434" customWidth="1"/>
    <col min="7689" max="7689" width="7.7109375" style="434" customWidth="1"/>
    <col min="7690" max="7690" width="1.7109375" style="434" customWidth="1"/>
    <col min="7691" max="7691" width="6.7109375" style="434" customWidth="1"/>
    <col min="7692" max="7692" width="7.7109375" style="434" customWidth="1"/>
    <col min="7693" max="7693" width="1.7109375" style="434" customWidth="1"/>
    <col min="7694" max="7694" width="6.7109375" style="434" customWidth="1"/>
    <col min="7695" max="7695" width="7.7109375" style="434" customWidth="1"/>
    <col min="7696" max="7696" width="1.7109375" style="434" customWidth="1"/>
    <col min="7697" max="7697" width="6.7109375" style="434" customWidth="1"/>
    <col min="7698" max="7698" width="7.7109375" style="434" customWidth="1"/>
    <col min="7699" max="7699" width="1.7109375" style="434" customWidth="1"/>
    <col min="7700" max="7700" width="6.7109375" style="434" customWidth="1"/>
    <col min="7701" max="7701" width="7.7109375" style="434" customWidth="1"/>
    <col min="7702" max="7702" width="1.85546875" style="434" customWidth="1"/>
    <col min="7703" max="7703" width="6.7109375" style="434" customWidth="1"/>
    <col min="7704" max="7704" width="7.7109375" style="434" customWidth="1"/>
    <col min="7705" max="7705" width="1.7109375" style="434" customWidth="1"/>
    <col min="7706" max="7936" width="9.140625" style="434"/>
    <col min="7937" max="7937" width="12.42578125" style="434" customWidth="1"/>
    <col min="7938" max="7939" width="7.7109375" style="434" customWidth="1"/>
    <col min="7940" max="7940" width="1.7109375" style="434" customWidth="1"/>
    <col min="7941" max="7942" width="7.7109375" style="434" customWidth="1"/>
    <col min="7943" max="7943" width="1.7109375" style="434" customWidth="1"/>
    <col min="7944" max="7944" width="6.7109375" style="434" customWidth="1"/>
    <col min="7945" max="7945" width="7.7109375" style="434" customWidth="1"/>
    <col min="7946" max="7946" width="1.7109375" style="434" customWidth="1"/>
    <col min="7947" max="7947" width="6.7109375" style="434" customWidth="1"/>
    <col min="7948" max="7948" width="7.7109375" style="434" customWidth="1"/>
    <col min="7949" max="7949" width="1.7109375" style="434" customWidth="1"/>
    <col min="7950" max="7950" width="6.7109375" style="434" customWidth="1"/>
    <col min="7951" max="7951" width="7.7109375" style="434" customWidth="1"/>
    <col min="7952" max="7952" width="1.7109375" style="434" customWidth="1"/>
    <col min="7953" max="7953" width="6.7109375" style="434" customWidth="1"/>
    <col min="7954" max="7954" width="7.7109375" style="434" customWidth="1"/>
    <col min="7955" max="7955" width="1.7109375" style="434" customWidth="1"/>
    <col min="7956" max="7956" width="6.7109375" style="434" customWidth="1"/>
    <col min="7957" max="7957" width="7.7109375" style="434" customWidth="1"/>
    <col min="7958" max="7958" width="1.85546875" style="434" customWidth="1"/>
    <col min="7959" max="7959" width="6.7109375" style="434" customWidth="1"/>
    <col min="7960" max="7960" width="7.7109375" style="434" customWidth="1"/>
    <col min="7961" max="7961" width="1.7109375" style="434" customWidth="1"/>
    <col min="7962" max="8192" width="9.140625" style="434"/>
    <col min="8193" max="8193" width="12.42578125" style="434" customWidth="1"/>
    <col min="8194" max="8195" width="7.7109375" style="434" customWidth="1"/>
    <col min="8196" max="8196" width="1.7109375" style="434" customWidth="1"/>
    <col min="8197" max="8198" width="7.7109375" style="434" customWidth="1"/>
    <col min="8199" max="8199" width="1.7109375" style="434" customWidth="1"/>
    <col min="8200" max="8200" width="6.7109375" style="434" customWidth="1"/>
    <col min="8201" max="8201" width="7.7109375" style="434" customWidth="1"/>
    <col min="8202" max="8202" width="1.7109375" style="434" customWidth="1"/>
    <col min="8203" max="8203" width="6.7109375" style="434" customWidth="1"/>
    <col min="8204" max="8204" width="7.7109375" style="434" customWidth="1"/>
    <col min="8205" max="8205" width="1.7109375" style="434" customWidth="1"/>
    <col min="8206" max="8206" width="6.7109375" style="434" customWidth="1"/>
    <col min="8207" max="8207" width="7.7109375" style="434" customWidth="1"/>
    <col min="8208" max="8208" width="1.7109375" style="434" customWidth="1"/>
    <col min="8209" max="8209" width="6.7109375" style="434" customWidth="1"/>
    <col min="8210" max="8210" width="7.7109375" style="434" customWidth="1"/>
    <col min="8211" max="8211" width="1.7109375" style="434" customWidth="1"/>
    <col min="8212" max="8212" width="6.7109375" style="434" customWidth="1"/>
    <col min="8213" max="8213" width="7.7109375" style="434" customWidth="1"/>
    <col min="8214" max="8214" width="1.85546875" style="434" customWidth="1"/>
    <col min="8215" max="8215" width="6.7109375" style="434" customWidth="1"/>
    <col min="8216" max="8216" width="7.7109375" style="434" customWidth="1"/>
    <col min="8217" max="8217" width="1.7109375" style="434" customWidth="1"/>
    <col min="8218" max="8448" width="9.140625" style="434"/>
    <col min="8449" max="8449" width="12.42578125" style="434" customWidth="1"/>
    <col min="8450" max="8451" width="7.7109375" style="434" customWidth="1"/>
    <col min="8452" max="8452" width="1.7109375" style="434" customWidth="1"/>
    <col min="8453" max="8454" width="7.7109375" style="434" customWidth="1"/>
    <col min="8455" max="8455" width="1.7109375" style="434" customWidth="1"/>
    <col min="8456" max="8456" width="6.7109375" style="434" customWidth="1"/>
    <col min="8457" max="8457" width="7.7109375" style="434" customWidth="1"/>
    <col min="8458" max="8458" width="1.7109375" style="434" customWidth="1"/>
    <col min="8459" max="8459" width="6.7109375" style="434" customWidth="1"/>
    <col min="8460" max="8460" width="7.7109375" style="434" customWidth="1"/>
    <col min="8461" max="8461" width="1.7109375" style="434" customWidth="1"/>
    <col min="8462" max="8462" width="6.7109375" style="434" customWidth="1"/>
    <col min="8463" max="8463" width="7.7109375" style="434" customWidth="1"/>
    <col min="8464" max="8464" width="1.7109375" style="434" customWidth="1"/>
    <col min="8465" max="8465" width="6.7109375" style="434" customWidth="1"/>
    <col min="8466" max="8466" width="7.7109375" style="434" customWidth="1"/>
    <col min="8467" max="8467" width="1.7109375" style="434" customWidth="1"/>
    <col min="8468" max="8468" width="6.7109375" style="434" customWidth="1"/>
    <col min="8469" max="8469" width="7.7109375" style="434" customWidth="1"/>
    <col min="8470" max="8470" width="1.85546875" style="434" customWidth="1"/>
    <col min="8471" max="8471" width="6.7109375" style="434" customWidth="1"/>
    <col min="8472" max="8472" width="7.7109375" style="434" customWidth="1"/>
    <col min="8473" max="8473" width="1.7109375" style="434" customWidth="1"/>
    <col min="8474" max="8704" width="9.140625" style="434"/>
    <col min="8705" max="8705" width="12.42578125" style="434" customWidth="1"/>
    <col min="8706" max="8707" width="7.7109375" style="434" customWidth="1"/>
    <col min="8708" max="8708" width="1.7109375" style="434" customWidth="1"/>
    <col min="8709" max="8710" width="7.7109375" style="434" customWidth="1"/>
    <col min="8711" max="8711" width="1.7109375" style="434" customWidth="1"/>
    <col min="8712" max="8712" width="6.7109375" style="434" customWidth="1"/>
    <col min="8713" max="8713" width="7.7109375" style="434" customWidth="1"/>
    <col min="8714" max="8714" width="1.7109375" style="434" customWidth="1"/>
    <col min="8715" max="8715" width="6.7109375" style="434" customWidth="1"/>
    <col min="8716" max="8716" width="7.7109375" style="434" customWidth="1"/>
    <col min="8717" max="8717" width="1.7109375" style="434" customWidth="1"/>
    <col min="8718" max="8718" width="6.7109375" style="434" customWidth="1"/>
    <col min="8719" max="8719" width="7.7109375" style="434" customWidth="1"/>
    <col min="8720" max="8720" width="1.7109375" style="434" customWidth="1"/>
    <col min="8721" max="8721" width="6.7109375" style="434" customWidth="1"/>
    <col min="8722" max="8722" width="7.7109375" style="434" customWidth="1"/>
    <col min="8723" max="8723" width="1.7109375" style="434" customWidth="1"/>
    <col min="8724" max="8724" width="6.7109375" style="434" customWidth="1"/>
    <col min="8725" max="8725" width="7.7109375" style="434" customWidth="1"/>
    <col min="8726" max="8726" width="1.85546875" style="434" customWidth="1"/>
    <col min="8727" max="8727" width="6.7109375" style="434" customWidth="1"/>
    <col min="8728" max="8728" width="7.7109375" style="434" customWidth="1"/>
    <col min="8729" max="8729" width="1.7109375" style="434" customWidth="1"/>
    <col min="8730" max="8960" width="9.140625" style="434"/>
    <col min="8961" max="8961" width="12.42578125" style="434" customWidth="1"/>
    <col min="8962" max="8963" width="7.7109375" style="434" customWidth="1"/>
    <col min="8964" max="8964" width="1.7109375" style="434" customWidth="1"/>
    <col min="8965" max="8966" width="7.7109375" style="434" customWidth="1"/>
    <col min="8967" max="8967" width="1.7109375" style="434" customWidth="1"/>
    <col min="8968" max="8968" width="6.7109375" style="434" customWidth="1"/>
    <col min="8969" max="8969" width="7.7109375" style="434" customWidth="1"/>
    <col min="8970" max="8970" width="1.7109375" style="434" customWidth="1"/>
    <col min="8971" max="8971" width="6.7109375" style="434" customWidth="1"/>
    <col min="8972" max="8972" width="7.7109375" style="434" customWidth="1"/>
    <col min="8973" max="8973" width="1.7109375" style="434" customWidth="1"/>
    <col min="8974" max="8974" width="6.7109375" style="434" customWidth="1"/>
    <col min="8975" max="8975" width="7.7109375" style="434" customWidth="1"/>
    <col min="8976" max="8976" width="1.7109375" style="434" customWidth="1"/>
    <col min="8977" max="8977" width="6.7109375" style="434" customWidth="1"/>
    <col min="8978" max="8978" width="7.7109375" style="434" customWidth="1"/>
    <col min="8979" max="8979" width="1.7109375" style="434" customWidth="1"/>
    <col min="8980" max="8980" width="6.7109375" style="434" customWidth="1"/>
    <col min="8981" max="8981" width="7.7109375" style="434" customWidth="1"/>
    <col min="8982" max="8982" width="1.85546875" style="434" customWidth="1"/>
    <col min="8983" max="8983" width="6.7109375" style="434" customWidth="1"/>
    <col min="8984" max="8984" width="7.7109375" style="434" customWidth="1"/>
    <col min="8985" max="8985" width="1.7109375" style="434" customWidth="1"/>
    <col min="8986" max="9216" width="9.140625" style="434"/>
    <col min="9217" max="9217" width="12.42578125" style="434" customWidth="1"/>
    <col min="9218" max="9219" width="7.7109375" style="434" customWidth="1"/>
    <col min="9220" max="9220" width="1.7109375" style="434" customWidth="1"/>
    <col min="9221" max="9222" width="7.7109375" style="434" customWidth="1"/>
    <col min="9223" max="9223" width="1.7109375" style="434" customWidth="1"/>
    <col min="9224" max="9224" width="6.7109375" style="434" customWidth="1"/>
    <col min="9225" max="9225" width="7.7109375" style="434" customWidth="1"/>
    <col min="9226" max="9226" width="1.7109375" style="434" customWidth="1"/>
    <col min="9227" max="9227" width="6.7109375" style="434" customWidth="1"/>
    <col min="9228" max="9228" width="7.7109375" style="434" customWidth="1"/>
    <col min="9229" max="9229" width="1.7109375" style="434" customWidth="1"/>
    <col min="9230" max="9230" width="6.7109375" style="434" customWidth="1"/>
    <col min="9231" max="9231" width="7.7109375" style="434" customWidth="1"/>
    <col min="9232" max="9232" width="1.7109375" style="434" customWidth="1"/>
    <col min="9233" max="9233" width="6.7109375" style="434" customWidth="1"/>
    <col min="9234" max="9234" width="7.7109375" style="434" customWidth="1"/>
    <col min="9235" max="9235" width="1.7109375" style="434" customWidth="1"/>
    <col min="9236" max="9236" width="6.7109375" style="434" customWidth="1"/>
    <col min="9237" max="9237" width="7.7109375" style="434" customWidth="1"/>
    <col min="9238" max="9238" width="1.85546875" style="434" customWidth="1"/>
    <col min="9239" max="9239" width="6.7109375" style="434" customWidth="1"/>
    <col min="9240" max="9240" width="7.7109375" style="434" customWidth="1"/>
    <col min="9241" max="9241" width="1.7109375" style="434" customWidth="1"/>
    <col min="9242" max="9472" width="9.140625" style="434"/>
    <col min="9473" max="9473" width="12.42578125" style="434" customWidth="1"/>
    <col min="9474" max="9475" width="7.7109375" style="434" customWidth="1"/>
    <col min="9476" max="9476" width="1.7109375" style="434" customWidth="1"/>
    <col min="9477" max="9478" width="7.7109375" style="434" customWidth="1"/>
    <col min="9479" max="9479" width="1.7109375" style="434" customWidth="1"/>
    <col min="9480" max="9480" width="6.7109375" style="434" customWidth="1"/>
    <col min="9481" max="9481" width="7.7109375" style="434" customWidth="1"/>
    <col min="9482" max="9482" width="1.7109375" style="434" customWidth="1"/>
    <col min="9483" max="9483" width="6.7109375" style="434" customWidth="1"/>
    <col min="9484" max="9484" width="7.7109375" style="434" customWidth="1"/>
    <col min="9485" max="9485" width="1.7109375" style="434" customWidth="1"/>
    <col min="9486" max="9486" width="6.7109375" style="434" customWidth="1"/>
    <col min="9487" max="9487" width="7.7109375" style="434" customWidth="1"/>
    <col min="9488" max="9488" width="1.7109375" style="434" customWidth="1"/>
    <col min="9489" max="9489" width="6.7109375" style="434" customWidth="1"/>
    <col min="9490" max="9490" width="7.7109375" style="434" customWidth="1"/>
    <col min="9491" max="9491" width="1.7109375" style="434" customWidth="1"/>
    <col min="9492" max="9492" width="6.7109375" style="434" customWidth="1"/>
    <col min="9493" max="9493" width="7.7109375" style="434" customWidth="1"/>
    <col min="9494" max="9494" width="1.85546875" style="434" customWidth="1"/>
    <col min="9495" max="9495" width="6.7109375" style="434" customWidth="1"/>
    <col min="9496" max="9496" width="7.7109375" style="434" customWidth="1"/>
    <col min="9497" max="9497" width="1.7109375" style="434" customWidth="1"/>
    <col min="9498" max="9728" width="9.140625" style="434"/>
    <col min="9729" max="9729" width="12.42578125" style="434" customWidth="1"/>
    <col min="9730" max="9731" width="7.7109375" style="434" customWidth="1"/>
    <col min="9732" max="9732" width="1.7109375" style="434" customWidth="1"/>
    <col min="9733" max="9734" width="7.7109375" style="434" customWidth="1"/>
    <col min="9735" max="9735" width="1.7109375" style="434" customWidth="1"/>
    <col min="9736" max="9736" width="6.7109375" style="434" customWidth="1"/>
    <col min="9737" max="9737" width="7.7109375" style="434" customWidth="1"/>
    <col min="9738" max="9738" width="1.7109375" style="434" customWidth="1"/>
    <col min="9739" max="9739" width="6.7109375" style="434" customWidth="1"/>
    <col min="9740" max="9740" width="7.7109375" style="434" customWidth="1"/>
    <col min="9741" max="9741" width="1.7109375" style="434" customWidth="1"/>
    <col min="9742" max="9742" width="6.7109375" style="434" customWidth="1"/>
    <col min="9743" max="9743" width="7.7109375" style="434" customWidth="1"/>
    <col min="9744" max="9744" width="1.7109375" style="434" customWidth="1"/>
    <col min="9745" max="9745" width="6.7109375" style="434" customWidth="1"/>
    <col min="9746" max="9746" width="7.7109375" style="434" customWidth="1"/>
    <col min="9747" max="9747" width="1.7109375" style="434" customWidth="1"/>
    <col min="9748" max="9748" width="6.7109375" style="434" customWidth="1"/>
    <col min="9749" max="9749" width="7.7109375" style="434" customWidth="1"/>
    <col min="9750" max="9750" width="1.85546875" style="434" customWidth="1"/>
    <col min="9751" max="9751" width="6.7109375" style="434" customWidth="1"/>
    <col min="9752" max="9752" width="7.7109375" style="434" customWidth="1"/>
    <col min="9753" max="9753" width="1.7109375" style="434" customWidth="1"/>
    <col min="9754" max="9984" width="9.140625" style="434"/>
    <col min="9985" max="9985" width="12.42578125" style="434" customWidth="1"/>
    <col min="9986" max="9987" width="7.7109375" style="434" customWidth="1"/>
    <col min="9988" max="9988" width="1.7109375" style="434" customWidth="1"/>
    <col min="9989" max="9990" width="7.7109375" style="434" customWidth="1"/>
    <col min="9991" max="9991" width="1.7109375" style="434" customWidth="1"/>
    <col min="9992" max="9992" width="6.7109375" style="434" customWidth="1"/>
    <col min="9993" max="9993" width="7.7109375" style="434" customWidth="1"/>
    <col min="9994" max="9994" width="1.7109375" style="434" customWidth="1"/>
    <col min="9995" max="9995" width="6.7109375" style="434" customWidth="1"/>
    <col min="9996" max="9996" width="7.7109375" style="434" customWidth="1"/>
    <col min="9997" max="9997" width="1.7109375" style="434" customWidth="1"/>
    <col min="9998" max="9998" width="6.7109375" style="434" customWidth="1"/>
    <col min="9999" max="9999" width="7.7109375" style="434" customWidth="1"/>
    <col min="10000" max="10000" width="1.7109375" style="434" customWidth="1"/>
    <col min="10001" max="10001" width="6.7109375" style="434" customWidth="1"/>
    <col min="10002" max="10002" width="7.7109375" style="434" customWidth="1"/>
    <col min="10003" max="10003" width="1.7109375" style="434" customWidth="1"/>
    <col min="10004" max="10004" width="6.7109375" style="434" customWidth="1"/>
    <col min="10005" max="10005" width="7.7109375" style="434" customWidth="1"/>
    <col min="10006" max="10006" width="1.85546875" style="434" customWidth="1"/>
    <col min="10007" max="10007" width="6.7109375" style="434" customWidth="1"/>
    <col min="10008" max="10008" width="7.7109375" style="434" customWidth="1"/>
    <col min="10009" max="10009" width="1.7109375" style="434" customWidth="1"/>
    <col min="10010" max="10240" width="9.140625" style="434"/>
    <col min="10241" max="10241" width="12.42578125" style="434" customWidth="1"/>
    <col min="10242" max="10243" width="7.7109375" style="434" customWidth="1"/>
    <col min="10244" max="10244" width="1.7109375" style="434" customWidth="1"/>
    <col min="10245" max="10246" width="7.7109375" style="434" customWidth="1"/>
    <col min="10247" max="10247" width="1.7109375" style="434" customWidth="1"/>
    <col min="10248" max="10248" width="6.7109375" style="434" customWidth="1"/>
    <col min="10249" max="10249" width="7.7109375" style="434" customWidth="1"/>
    <col min="10250" max="10250" width="1.7109375" style="434" customWidth="1"/>
    <col min="10251" max="10251" width="6.7109375" style="434" customWidth="1"/>
    <col min="10252" max="10252" width="7.7109375" style="434" customWidth="1"/>
    <col min="10253" max="10253" width="1.7109375" style="434" customWidth="1"/>
    <col min="10254" max="10254" width="6.7109375" style="434" customWidth="1"/>
    <col min="10255" max="10255" width="7.7109375" style="434" customWidth="1"/>
    <col min="10256" max="10256" width="1.7109375" style="434" customWidth="1"/>
    <col min="10257" max="10257" width="6.7109375" style="434" customWidth="1"/>
    <col min="10258" max="10258" width="7.7109375" style="434" customWidth="1"/>
    <col min="10259" max="10259" width="1.7109375" style="434" customWidth="1"/>
    <col min="10260" max="10260" width="6.7109375" style="434" customWidth="1"/>
    <col min="10261" max="10261" width="7.7109375" style="434" customWidth="1"/>
    <col min="10262" max="10262" width="1.85546875" style="434" customWidth="1"/>
    <col min="10263" max="10263" width="6.7109375" style="434" customWidth="1"/>
    <col min="10264" max="10264" width="7.7109375" style="434" customWidth="1"/>
    <col min="10265" max="10265" width="1.7109375" style="434" customWidth="1"/>
    <col min="10266" max="10496" width="9.140625" style="434"/>
    <col min="10497" max="10497" width="12.42578125" style="434" customWidth="1"/>
    <col min="10498" max="10499" width="7.7109375" style="434" customWidth="1"/>
    <col min="10500" max="10500" width="1.7109375" style="434" customWidth="1"/>
    <col min="10501" max="10502" width="7.7109375" style="434" customWidth="1"/>
    <col min="10503" max="10503" width="1.7109375" style="434" customWidth="1"/>
    <col min="10504" max="10504" width="6.7109375" style="434" customWidth="1"/>
    <col min="10505" max="10505" width="7.7109375" style="434" customWidth="1"/>
    <col min="10506" max="10506" width="1.7109375" style="434" customWidth="1"/>
    <col min="10507" max="10507" width="6.7109375" style="434" customWidth="1"/>
    <col min="10508" max="10508" width="7.7109375" style="434" customWidth="1"/>
    <col min="10509" max="10509" width="1.7109375" style="434" customWidth="1"/>
    <col min="10510" max="10510" width="6.7109375" style="434" customWidth="1"/>
    <col min="10511" max="10511" width="7.7109375" style="434" customWidth="1"/>
    <col min="10512" max="10512" width="1.7109375" style="434" customWidth="1"/>
    <col min="10513" max="10513" width="6.7109375" style="434" customWidth="1"/>
    <col min="10514" max="10514" width="7.7109375" style="434" customWidth="1"/>
    <col min="10515" max="10515" width="1.7109375" style="434" customWidth="1"/>
    <col min="10516" max="10516" width="6.7109375" style="434" customWidth="1"/>
    <col min="10517" max="10517" width="7.7109375" style="434" customWidth="1"/>
    <col min="10518" max="10518" width="1.85546875" style="434" customWidth="1"/>
    <col min="10519" max="10519" width="6.7109375" style="434" customWidth="1"/>
    <col min="10520" max="10520" width="7.7109375" style="434" customWidth="1"/>
    <col min="10521" max="10521" width="1.7109375" style="434" customWidth="1"/>
    <col min="10522" max="10752" width="9.140625" style="434"/>
    <col min="10753" max="10753" width="12.42578125" style="434" customWidth="1"/>
    <col min="10754" max="10755" width="7.7109375" style="434" customWidth="1"/>
    <col min="10756" max="10756" width="1.7109375" style="434" customWidth="1"/>
    <col min="10757" max="10758" width="7.7109375" style="434" customWidth="1"/>
    <col min="10759" max="10759" width="1.7109375" style="434" customWidth="1"/>
    <col min="10760" max="10760" width="6.7109375" style="434" customWidth="1"/>
    <col min="10761" max="10761" width="7.7109375" style="434" customWidth="1"/>
    <col min="10762" max="10762" width="1.7109375" style="434" customWidth="1"/>
    <col min="10763" max="10763" width="6.7109375" style="434" customWidth="1"/>
    <col min="10764" max="10764" width="7.7109375" style="434" customWidth="1"/>
    <col min="10765" max="10765" width="1.7109375" style="434" customWidth="1"/>
    <col min="10766" max="10766" width="6.7109375" style="434" customWidth="1"/>
    <col min="10767" max="10767" width="7.7109375" style="434" customWidth="1"/>
    <col min="10768" max="10768" width="1.7109375" style="434" customWidth="1"/>
    <col min="10769" max="10769" width="6.7109375" style="434" customWidth="1"/>
    <col min="10770" max="10770" width="7.7109375" style="434" customWidth="1"/>
    <col min="10771" max="10771" width="1.7109375" style="434" customWidth="1"/>
    <col min="10772" max="10772" width="6.7109375" style="434" customWidth="1"/>
    <col min="10773" max="10773" width="7.7109375" style="434" customWidth="1"/>
    <col min="10774" max="10774" width="1.85546875" style="434" customWidth="1"/>
    <col min="10775" max="10775" width="6.7109375" style="434" customWidth="1"/>
    <col min="10776" max="10776" width="7.7109375" style="434" customWidth="1"/>
    <col min="10777" max="10777" width="1.7109375" style="434" customWidth="1"/>
    <col min="10778" max="11008" width="9.140625" style="434"/>
    <col min="11009" max="11009" width="12.42578125" style="434" customWidth="1"/>
    <col min="11010" max="11011" width="7.7109375" style="434" customWidth="1"/>
    <col min="11012" max="11012" width="1.7109375" style="434" customWidth="1"/>
    <col min="11013" max="11014" width="7.7109375" style="434" customWidth="1"/>
    <col min="11015" max="11015" width="1.7109375" style="434" customWidth="1"/>
    <col min="11016" max="11016" width="6.7109375" style="434" customWidth="1"/>
    <col min="11017" max="11017" width="7.7109375" style="434" customWidth="1"/>
    <col min="11018" max="11018" width="1.7109375" style="434" customWidth="1"/>
    <col min="11019" max="11019" width="6.7109375" style="434" customWidth="1"/>
    <col min="11020" max="11020" width="7.7109375" style="434" customWidth="1"/>
    <col min="11021" max="11021" width="1.7109375" style="434" customWidth="1"/>
    <col min="11022" max="11022" width="6.7109375" style="434" customWidth="1"/>
    <col min="11023" max="11023" width="7.7109375" style="434" customWidth="1"/>
    <col min="11024" max="11024" width="1.7109375" style="434" customWidth="1"/>
    <col min="11025" max="11025" width="6.7109375" style="434" customWidth="1"/>
    <col min="11026" max="11026" width="7.7109375" style="434" customWidth="1"/>
    <col min="11027" max="11027" width="1.7109375" style="434" customWidth="1"/>
    <col min="11028" max="11028" width="6.7109375" style="434" customWidth="1"/>
    <col min="11029" max="11029" width="7.7109375" style="434" customWidth="1"/>
    <col min="11030" max="11030" width="1.85546875" style="434" customWidth="1"/>
    <col min="11031" max="11031" width="6.7109375" style="434" customWidth="1"/>
    <col min="11032" max="11032" width="7.7109375" style="434" customWidth="1"/>
    <col min="11033" max="11033" width="1.7109375" style="434" customWidth="1"/>
    <col min="11034" max="11264" width="9.140625" style="434"/>
    <col min="11265" max="11265" width="12.42578125" style="434" customWidth="1"/>
    <col min="11266" max="11267" width="7.7109375" style="434" customWidth="1"/>
    <col min="11268" max="11268" width="1.7109375" style="434" customWidth="1"/>
    <col min="11269" max="11270" width="7.7109375" style="434" customWidth="1"/>
    <col min="11271" max="11271" width="1.7109375" style="434" customWidth="1"/>
    <col min="11272" max="11272" width="6.7109375" style="434" customWidth="1"/>
    <col min="11273" max="11273" width="7.7109375" style="434" customWidth="1"/>
    <col min="11274" max="11274" width="1.7109375" style="434" customWidth="1"/>
    <col min="11275" max="11275" width="6.7109375" style="434" customWidth="1"/>
    <col min="11276" max="11276" width="7.7109375" style="434" customWidth="1"/>
    <col min="11277" max="11277" width="1.7109375" style="434" customWidth="1"/>
    <col min="11278" max="11278" width="6.7109375" style="434" customWidth="1"/>
    <col min="11279" max="11279" width="7.7109375" style="434" customWidth="1"/>
    <col min="11280" max="11280" width="1.7109375" style="434" customWidth="1"/>
    <col min="11281" max="11281" width="6.7109375" style="434" customWidth="1"/>
    <col min="11282" max="11282" width="7.7109375" style="434" customWidth="1"/>
    <col min="11283" max="11283" width="1.7109375" style="434" customWidth="1"/>
    <col min="11284" max="11284" width="6.7109375" style="434" customWidth="1"/>
    <col min="11285" max="11285" width="7.7109375" style="434" customWidth="1"/>
    <col min="11286" max="11286" width="1.85546875" style="434" customWidth="1"/>
    <col min="11287" max="11287" width="6.7109375" style="434" customWidth="1"/>
    <col min="11288" max="11288" width="7.7109375" style="434" customWidth="1"/>
    <col min="11289" max="11289" width="1.7109375" style="434" customWidth="1"/>
    <col min="11290" max="11520" width="9.140625" style="434"/>
    <col min="11521" max="11521" width="12.42578125" style="434" customWidth="1"/>
    <col min="11522" max="11523" width="7.7109375" style="434" customWidth="1"/>
    <col min="11524" max="11524" width="1.7109375" style="434" customWidth="1"/>
    <col min="11525" max="11526" width="7.7109375" style="434" customWidth="1"/>
    <col min="11527" max="11527" width="1.7109375" style="434" customWidth="1"/>
    <col min="11528" max="11528" width="6.7109375" style="434" customWidth="1"/>
    <col min="11529" max="11529" width="7.7109375" style="434" customWidth="1"/>
    <col min="11530" max="11530" width="1.7109375" style="434" customWidth="1"/>
    <col min="11531" max="11531" width="6.7109375" style="434" customWidth="1"/>
    <col min="11532" max="11532" width="7.7109375" style="434" customWidth="1"/>
    <col min="11533" max="11533" width="1.7109375" style="434" customWidth="1"/>
    <col min="11534" max="11534" width="6.7109375" style="434" customWidth="1"/>
    <col min="11535" max="11535" width="7.7109375" style="434" customWidth="1"/>
    <col min="11536" max="11536" width="1.7109375" style="434" customWidth="1"/>
    <col min="11537" max="11537" width="6.7109375" style="434" customWidth="1"/>
    <col min="11538" max="11538" width="7.7109375" style="434" customWidth="1"/>
    <col min="11539" max="11539" width="1.7109375" style="434" customWidth="1"/>
    <col min="11540" max="11540" width="6.7109375" style="434" customWidth="1"/>
    <col min="11541" max="11541" width="7.7109375" style="434" customWidth="1"/>
    <col min="11542" max="11542" width="1.85546875" style="434" customWidth="1"/>
    <col min="11543" max="11543" width="6.7109375" style="434" customWidth="1"/>
    <col min="11544" max="11544" width="7.7109375" style="434" customWidth="1"/>
    <col min="11545" max="11545" width="1.7109375" style="434" customWidth="1"/>
    <col min="11546" max="11776" width="9.140625" style="434"/>
    <col min="11777" max="11777" width="12.42578125" style="434" customWidth="1"/>
    <col min="11778" max="11779" width="7.7109375" style="434" customWidth="1"/>
    <col min="11780" max="11780" width="1.7109375" style="434" customWidth="1"/>
    <col min="11781" max="11782" width="7.7109375" style="434" customWidth="1"/>
    <col min="11783" max="11783" width="1.7109375" style="434" customWidth="1"/>
    <col min="11784" max="11784" width="6.7109375" style="434" customWidth="1"/>
    <col min="11785" max="11785" width="7.7109375" style="434" customWidth="1"/>
    <col min="11786" max="11786" width="1.7109375" style="434" customWidth="1"/>
    <col min="11787" max="11787" width="6.7109375" style="434" customWidth="1"/>
    <col min="11788" max="11788" width="7.7109375" style="434" customWidth="1"/>
    <col min="11789" max="11789" width="1.7109375" style="434" customWidth="1"/>
    <col min="11790" max="11790" width="6.7109375" style="434" customWidth="1"/>
    <col min="11791" max="11791" width="7.7109375" style="434" customWidth="1"/>
    <col min="11792" max="11792" width="1.7109375" style="434" customWidth="1"/>
    <col min="11793" max="11793" width="6.7109375" style="434" customWidth="1"/>
    <col min="11794" max="11794" width="7.7109375" style="434" customWidth="1"/>
    <col min="11795" max="11795" width="1.7109375" style="434" customWidth="1"/>
    <col min="11796" max="11796" width="6.7109375" style="434" customWidth="1"/>
    <col min="11797" max="11797" width="7.7109375" style="434" customWidth="1"/>
    <col min="11798" max="11798" width="1.85546875" style="434" customWidth="1"/>
    <col min="11799" max="11799" width="6.7109375" style="434" customWidth="1"/>
    <col min="11800" max="11800" width="7.7109375" style="434" customWidth="1"/>
    <col min="11801" max="11801" width="1.7109375" style="434" customWidth="1"/>
    <col min="11802" max="12032" width="9.140625" style="434"/>
    <col min="12033" max="12033" width="12.42578125" style="434" customWidth="1"/>
    <col min="12034" max="12035" width="7.7109375" style="434" customWidth="1"/>
    <col min="12036" max="12036" width="1.7109375" style="434" customWidth="1"/>
    <col min="12037" max="12038" width="7.7109375" style="434" customWidth="1"/>
    <col min="12039" max="12039" width="1.7109375" style="434" customWidth="1"/>
    <col min="12040" max="12040" width="6.7109375" style="434" customWidth="1"/>
    <col min="12041" max="12041" width="7.7109375" style="434" customWidth="1"/>
    <col min="12042" max="12042" width="1.7109375" style="434" customWidth="1"/>
    <col min="12043" max="12043" width="6.7109375" style="434" customWidth="1"/>
    <col min="12044" max="12044" width="7.7109375" style="434" customWidth="1"/>
    <col min="12045" max="12045" width="1.7109375" style="434" customWidth="1"/>
    <col min="12046" max="12046" width="6.7109375" style="434" customWidth="1"/>
    <col min="12047" max="12047" width="7.7109375" style="434" customWidth="1"/>
    <col min="12048" max="12048" width="1.7109375" style="434" customWidth="1"/>
    <col min="12049" max="12049" width="6.7109375" style="434" customWidth="1"/>
    <col min="12050" max="12050" width="7.7109375" style="434" customWidth="1"/>
    <col min="12051" max="12051" width="1.7109375" style="434" customWidth="1"/>
    <col min="12052" max="12052" width="6.7109375" style="434" customWidth="1"/>
    <col min="12053" max="12053" width="7.7109375" style="434" customWidth="1"/>
    <col min="12054" max="12054" width="1.85546875" style="434" customWidth="1"/>
    <col min="12055" max="12055" width="6.7109375" style="434" customWidth="1"/>
    <col min="12056" max="12056" width="7.7109375" style="434" customWidth="1"/>
    <col min="12057" max="12057" width="1.7109375" style="434" customWidth="1"/>
    <col min="12058" max="12288" width="9.140625" style="434"/>
    <col min="12289" max="12289" width="12.42578125" style="434" customWidth="1"/>
    <col min="12290" max="12291" width="7.7109375" style="434" customWidth="1"/>
    <col min="12292" max="12292" width="1.7109375" style="434" customWidth="1"/>
    <col min="12293" max="12294" width="7.7109375" style="434" customWidth="1"/>
    <col min="12295" max="12295" width="1.7109375" style="434" customWidth="1"/>
    <col min="12296" max="12296" width="6.7109375" style="434" customWidth="1"/>
    <col min="12297" max="12297" width="7.7109375" style="434" customWidth="1"/>
    <col min="12298" max="12298" width="1.7109375" style="434" customWidth="1"/>
    <col min="12299" max="12299" width="6.7109375" style="434" customWidth="1"/>
    <col min="12300" max="12300" width="7.7109375" style="434" customWidth="1"/>
    <col min="12301" max="12301" width="1.7109375" style="434" customWidth="1"/>
    <col min="12302" max="12302" width="6.7109375" style="434" customWidth="1"/>
    <col min="12303" max="12303" width="7.7109375" style="434" customWidth="1"/>
    <col min="12304" max="12304" width="1.7109375" style="434" customWidth="1"/>
    <col min="12305" max="12305" width="6.7109375" style="434" customWidth="1"/>
    <col min="12306" max="12306" width="7.7109375" style="434" customWidth="1"/>
    <col min="12307" max="12307" width="1.7109375" style="434" customWidth="1"/>
    <col min="12308" max="12308" width="6.7109375" style="434" customWidth="1"/>
    <col min="12309" max="12309" width="7.7109375" style="434" customWidth="1"/>
    <col min="12310" max="12310" width="1.85546875" style="434" customWidth="1"/>
    <col min="12311" max="12311" width="6.7109375" style="434" customWidth="1"/>
    <col min="12312" max="12312" width="7.7109375" style="434" customWidth="1"/>
    <col min="12313" max="12313" width="1.7109375" style="434" customWidth="1"/>
    <col min="12314" max="12544" width="9.140625" style="434"/>
    <col min="12545" max="12545" width="12.42578125" style="434" customWidth="1"/>
    <col min="12546" max="12547" width="7.7109375" style="434" customWidth="1"/>
    <col min="12548" max="12548" width="1.7109375" style="434" customWidth="1"/>
    <col min="12549" max="12550" width="7.7109375" style="434" customWidth="1"/>
    <col min="12551" max="12551" width="1.7109375" style="434" customWidth="1"/>
    <col min="12552" max="12552" width="6.7109375" style="434" customWidth="1"/>
    <col min="12553" max="12553" width="7.7109375" style="434" customWidth="1"/>
    <col min="12554" max="12554" width="1.7109375" style="434" customWidth="1"/>
    <col min="12555" max="12555" width="6.7109375" style="434" customWidth="1"/>
    <col min="12556" max="12556" width="7.7109375" style="434" customWidth="1"/>
    <col min="12557" max="12557" width="1.7109375" style="434" customWidth="1"/>
    <col min="12558" max="12558" width="6.7109375" style="434" customWidth="1"/>
    <col min="12559" max="12559" width="7.7109375" style="434" customWidth="1"/>
    <col min="12560" max="12560" width="1.7109375" style="434" customWidth="1"/>
    <col min="12561" max="12561" width="6.7109375" style="434" customWidth="1"/>
    <col min="12562" max="12562" width="7.7109375" style="434" customWidth="1"/>
    <col min="12563" max="12563" width="1.7109375" style="434" customWidth="1"/>
    <col min="12564" max="12564" width="6.7109375" style="434" customWidth="1"/>
    <col min="12565" max="12565" width="7.7109375" style="434" customWidth="1"/>
    <col min="12566" max="12566" width="1.85546875" style="434" customWidth="1"/>
    <col min="12567" max="12567" width="6.7109375" style="434" customWidth="1"/>
    <col min="12568" max="12568" width="7.7109375" style="434" customWidth="1"/>
    <col min="12569" max="12569" width="1.7109375" style="434" customWidth="1"/>
    <col min="12570" max="12800" width="9.140625" style="434"/>
    <col min="12801" max="12801" width="12.42578125" style="434" customWidth="1"/>
    <col min="12802" max="12803" width="7.7109375" style="434" customWidth="1"/>
    <col min="12804" max="12804" width="1.7109375" style="434" customWidth="1"/>
    <col min="12805" max="12806" width="7.7109375" style="434" customWidth="1"/>
    <col min="12807" max="12807" width="1.7109375" style="434" customWidth="1"/>
    <col min="12808" max="12808" width="6.7109375" style="434" customWidth="1"/>
    <col min="12809" max="12809" width="7.7109375" style="434" customWidth="1"/>
    <col min="12810" max="12810" width="1.7109375" style="434" customWidth="1"/>
    <col min="12811" max="12811" width="6.7109375" style="434" customWidth="1"/>
    <col min="12812" max="12812" width="7.7109375" style="434" customWidth="1"/>
    <col min="12813" max="12813" width="1.7109375" style="434" customWidth="1"/>
    <col min="12814" max="12814" width="6.7109375" style="434" customWidth="1"/>
    <col min="12815" max="12815" width="7.7109375" style="434" customWidth="1"/>
    <col min="12816" max="12816" width="1.7109375" style="434" customWidth="1"/>
    <col min="12817" max="12817" width="6.7109375" style="434" customWidth="1"/>
    <col min="12818" max="12818" width="7.7109375" style="434" customWidth="1"/>
    <col min="12819" max="12819" width="1.7109375" style="434" customWidth="1"/>
    <col min="12820" max="12820" width="6.7109375" style="434" customWidth="1"/>
    <col min="12821" max="12821" width="7.7109375" style="434" customWidth="1"/>
    <col min="12822" max="12822" width="1.85546875" style="434" customWidth="1"/>
    <col min="12823" max="12823" width="6.7109375" style="434" customWidth="1"/>
    <col min="12824" max="12824" width="7.7109375" style="434" customWidth="1"/>
    <col min="12825" max="12825" width="1.7109375" style="434" customWidth="1"/>
    <col min="12826" max="13056" width="9.140625" style="434"/>
    <col min="13057" max="13057" width="12.42578125" style="434" customWidth="1"/>
    <col min="13058" max="13059" width="7.7109375" style="434" customWidth="1"/>
    <col min="13060" max="13060" width="1.7109375" style="434" customWidth="1"/>
    <col min="13061" max="13062" width="7.7109375" style="434" customWidth="1"/>
    <col min="13063" max="13063" width="1.7109375" style="434" customWidth="1"/>
    <col min="13064" max="13064" width="6.7109375" style="434" customWidth="1"/>
    <col min="13065" max="13065" width="7.7109375" style="434" customWidth="1"/>
    <col min="13066" max="13066" width="1.7109375" style="434" customWidth="1"/>
    <col min="13067" max="13067" width="6.7109375" style="434" customWidth="1"/>
    <col min="13068" max="13068" width="7.7109375" style="434" customWidth="1"/>
    <col min="13069" max="13069" width="1.7109375" style="434" customWidth="1"/>
    <col min="13070" max="13070" width="6.7109375" style="434" customWidth="1"/>
    <col min="13071" max="13071" width="7.7109375" style="434" customWidth="1"/>
    <col min="13072" max="13072" width="1.7109375" style="434" customWidth="1"/>
    <col min="13073" max="13073" width="6.7109375" style="434" customWidth="1"/>
    <col min="13074" max="13074" width="7.7109375" style="434" customWidth="1"/>
    <col min="13075" max="13075" width="1.7109375" style="434" customWidth="1"/>
    <col min="13076" max="13076" width="6.7109375" style="434" customWidth="1"/>
    <col min="13077" max="13077" width="7.7109375" style="434" customWidth="1"/>
    <col min="13078" max="13078" width="1.85546875" style="434" customWidth="1"/>
    <col min="13079" max="13079" width="6.7109375" style="434" customWidth="1"/>
    <col min="13080" max="13080" width="7.7109375" style="434" customWidth="1"/>
    <col min="13081" max="13081" width="1.7109375" style="434" customWidth="1"/>
    <col min="13082" max="13312" width="9.140625" style="434"/>
    <col min="13313" max="13313" width="12.42578125" style="434" customWidth="1"/>
    <col min="13314" max="13315" width="7.7109375" style="434" customWidth="1"/>
    <col min="13316" max="13316" width="1.7109375" style="434" customWidth="1"/>
    <col min="13317" max="13318" width="7.7109375" style="434" customWidth="1"/>
    <col min="13319" max="13319" width="1.7109375" style="434" customWidth="1"/>
    <col min="13320" max="13320" width="6.7109375" style="434" customWidth="1"/>
    <col min="13321" max="13321" width="7.7109375" style="434" customWidth="1"/>
    <col min="13322" max="13322" width="1.7109375" style="434" customWidth="1"/>
    <col min="13323" max="13323" width="6.7109375" style="434" customWidth="1"/>
    <col min="13324" max="13324" width="7.7109375" style="434" customWidth="1"/>
    <col min="13325" max="13325" width="1.7109375" style="434" customWidth="1"/>
    <col min="13326" max="13326" width="6.7109375" style="434" customWidth="1"/>
    <col min="13327" max="13327" width="7.7109375" style="434" customWidth="1"/>
    <col min="13328" max="13328" width="1.7109375" style="434" customWidth="1"/>
    <col min="13329" max="13329" width="6.7109375" style="434" customWidth="1"/>
    <col min="13330" max="13330" width="7.7109375" style="434" customWidth="1"/>
    <col min="13331" max="13331" width="1.7109375" style="434" customWidth="1"/>
    <col min="13332" max="13332" width="6.7109375" style="434" customWidth="1"/>
    <col min="13333" max="13333" width="7.7109375" style="434" customWidth="1"/>
    <col min="13334" max="13334" width="1.85546875" style="434" customWidth="1"/>
    <col min="13335" max="13335" width="6.7109375" style="434" customWidth="1"/>
    <col min="13336" max="13336" width="7.7109375" style="434" customWidth="1"/>
    <col min="13337" max="13337" width="1.7109375" style="434" customWidth="1"/>
    <col min="13338" max="13568" width="9.140625" style="434"/>
    <col min="13569" max="13569" width="12.42578125" style="434" customWidth="1"/>
    <col min="13570" max="13571" width="7.7109375" style="434" customWidth="1"/>
    <col min="13572" max="13572" width="1.7109375" style="434" customWidth="1"/>
    <col min="13573" max="13574" width="7.7109375" style="434" customWidth="1"/>
    <col min="13575" max="13575" width="1.7109375" style="434" customWidth="1"/>
    <col min="13576" max="13576" width="6.7109375" style="434" customWidth="1"/>
    <col min="13577" max="13577" width="7.7109375" style="434" customWidth="1"/>
    <col min="13578" max="13578" width="1.7109375" style="434" customWidth="1"/>
    <col min="13579" max="13579" width="6.7109375" style="434" customWidth="1"/>
    <col min="13580" max="13580" width="7.7109375" style="434" customWidth="1"/>
    <col min="13581" max="13581" width="1.7109375" style="434" customWidth="1"/>
    <col min="13582" max="13582" width="6.7109375" style="434" customWidth="1"/>
    <col min="13583" max="13583" width="7.7109375" style="434" customWidth="1"/>
    <col min="13584" max="13584" width="1.7109375" style="434" customWidth="1"/>
    <col min="13585" max="13585" width="6.7109375" style="434" customWidth="1"/>
    <col min="13586" max="13586" width="7.7109375" style="434" customWidth="1"/>
    <col min="13587" max="13587" width="1.7109375" style="434" customWidth="1"/>
    <col min="13588" max="13588" width="6.7109375" style="434" customWidth="1"/>
    <col min="13589" max="13589" width="7.7109375" style="434" customWidth="1"/>
    <col min="13590" max="13590" width="1.85546875" style="434" customWidth="1"/>
    <col min="13591" max="13591" width="6.7109375" style="434" customWidth="1"/>
    <col min="13592" max="13592" width="7.7109375" style="434" customWidth="1"/>
    <col min="13593" max="13593" width="1.7109375" style="434" customWidth="1"/>
    <col min="13594" max="13824" width="9.140625" style="434"/>
    <col min="13825" max="13825" width="12.42578125" style="434" customWidth="1"/>
    <col min="13826" max="13827" width="7.7109375" style="434" customWidth="1"/>
    <col min="13828" max="13828" width="1.7109375" style="434" customWidth="1"/>
    <col min="13829" max="13830" width="7.7109375" style="434" customWidth="1"/>
    <col min="13831" max="13831" width="1.7109375" style="434" customWidth="1"/>
    <col min="13832" max="13832" width="6.7109375" style="434" customWidth="1"/>
    <col min="13833" max="13833" width="7.7109375" style="434" customWidth="1"/>
    <col min="13834" max="13834" width="1.7109375" style="434" customWidth="1"/>
    <col min="13835" max="13835" width="6.7109375" style="434" customWidth="1"/>
    <col min="13836" max="13836" width="7.7109375" style="434" customWidth="1"/>
    <col min="13837" max="13837" width="1.7109375" style="434" customWidth="1"/>
    <col min="13838" max="13838" width="6.7109375" style="434" customWidth="1"/>
    <col min="13839" max="13839" width="7.7109375" style="434" customWidth="1"/>
    <col min="13840" max="13840" width="1.7109375" style="434" customWidth="1"/>
    <col min="13841" max="13841" width="6.7109375" style="434" customWidth="1"/>
    <col min="13842" max="13842" width="7.7109375" style="434" customWidth="1"/>
    <col min="13843" max="13843" width="1.7109375" style="434" customWidth="1"/>
    <col min="13844" max="13844" width="6.7109375" style="434" customWidth="1"/>
    <col min="13845" max="13845" width="7.7109375" style="434" customWidth="1"/>
    <col min="13846" max="13846" width="1.85546875" style="434" customWidth="1"/>
    <col min="13847" max="13847" width="6.7109375" style="434" customWidth="1"/>
    <col min="13848" max="13848" width="7.7109375" style="434" customWidth="1"/>
    <col min="13849" max="13849" width="1.7109375" style="434" customWidth="1"/>
    <col min="13850" max="14080" width="9.140625" style="434"/>
    <col min="14081" max="14081" width="12.42578125" style="434" customWidth="1"/>
    <col min="14082" max="14083" width="7.7109375" style="434" customWidth="1"/>
    <col min="14084" max="14084" width="1.7109375" style="434" customWidth="1"/>
    <col min="14085" max="14086" width="7.7109375" style="434" customWidth="1"/>
    <col min="14087" max="14087" width="1.7109375" style="434" customWidth="1"/>
    <col min="14088" max="14088" width="6.7109375" style="434" customWidth="1"/>
    <col min="14089" max="14089" width="7.7109375" style="434" customWidth="1"/>
    <col min="14090" max="14090" width="1.7109375" style="434" customWidth="1"/>
    <col min="14091" max="14091" width="6.7109375" style="434" customWidth="1"/>
    <col min="14092" max="14092" width="7.7109375" style="434" customWidth="1"/>
    <col min="14093" max="14093" width="1.7109375" style="434" customWidth="1"/>
    <col min="14094" max="14094" width="6.7109375" style="434" customWidth="1"/>
    <col min="14095" max="14095" width="7.7109375" style="434" customWidth="1"/>
    <col min="14096" max="14096" width="1.7109375" style="434" customWidth="1"/>
    <col min="14097" max="14097" width="6.7109375" style="434" customWidth="1"/>
    <col min="14098" max="14098" width="7.7109375" style="434" customWidth="1"/>
    <col min="14099" max="14099" width="1.7109375" style="434" customWidth="1"/>
    <col min="14100" max="14100" width="6.7109375" style="434" customWidth="1"/>
    <col min="14101" max="14101" width="7.7109375" style="434" customWidth="1"/>
    <col min="14102" max="14102" width="1.85546875" style="434" customWidth="1"/>
    <col min="14103" max="14103" width="6.7109375" style="434" customWidth="1"/>
    <col min="14104" max="14104" width="7.7109375" style="434" customWidth="1"/>
    <col min="14105" max="14105" width="1.7109375" style="434" customWidth="1"/>
    <col min="14106" max="14336" width="9.140625" style="434"/>
    <col min="14337" max="14337" width="12.42578125" style="434" customWidth="1"/>
    <col min="14338" max="14339" width="7.7109375" style="434" customWidth="1"/>
    <col min="14340" max="14340" width="1.7109375" style="434" customWidth="1"/>
    <col min="14341" max="14342" width="7.7109375" style="434" customWidth="1"/>
    <col min="14343" max="14343" width="1.7109375" style="434" customWidth="1"/>
    <col min="14344" max="14344" width="6.7109375" style="434" customWidth="1"/>
    <col min="14345" max="14345" width="7.7109375" style="434" customWidth="1"/>
    <col min="14346" max="14346" width="1.7109375" style="434" customWidth="1"/>
    <col min="14347" max="14347" width="6.7109375" style="434" customWidth="1"/>
    <col min="14348" max="14348" width="7.7109375" style="434" customWidth="1"/>
    <col min="14349" max="14349" width="1.7109375" style="434" customWidth="1"/>
    <col min="14350" max="14350" width="6.7109375" style="434" customWidth="1"/>
    <col min="14351" max="14351" width="7.7109375" style="434" customWidth="1"/>
    <col min="14352" max="14352" width="1.7109375" style="434" customWidth="1"/>
    <col min="14353" max="14353" width="6.7109375" style="434" customWidth="1"/>
    <col min="14354" max="14354" width="7.7109375" style="434" customWidth="1"/>
    <col min="14355" max="14355" width="1.7109375" style="434" customWidth="1"/>
    <col min="14356" max="14356" width="6.7109375" style="434" customWidth="1"/>
    <col min="14357" max="14357" width="7.7109375" style="434" customWidth="1"/>
    <col min="14358" max="14358" width="1.85546875" style="434" customWidth="1"/>
    <col min="14359" max="14359" width="6.7109375" style="434" customWidth="1"/>
    <col min="14360" max="14360" width="7.7109375" style="434" customWidth="1"/>
    <col min="14361" max="14361" width="1.7109375" style="434" customWidth="1"/>
    <col min="14362" max="14592" width="9.140625" style="434"/>
    <col min="14593" max="14593" width="12.42578125" style="434" customWidth="1"/>
    <col min="14594" max="14595" width="7.7109375" style="434" customWidth="1"/>
    <col min="14596" max="14596" width="1.7109375" style="434" customWidth="1"/>
    <col min="14597" max="14598" width="7.7109375" style="434" customWidth="1"/>
    <col min="14599" max="14599" width="1.7109375" style="434" customWidth="1"/>
    <col min="14600" max="14600" width="6.7109375" style="434" customWidth="1"/>
    <col min="14601" max="14601" width="7.7109375" style="434" customWidth="1"/>
    <col min="14602" max="14602" width="1.7109375" style="434" customWidth="1"/>
    <col min="14603" max="14603" width="6.7109375" style="434" customWidth="1"/>
    <col min="14604" max="14604" width="7.7109375" style="434" customWidth="1"/>
    <col min="14605" max="14605" width="1.7109375" style="434" customWidth="1"/>
    <col min="14606" max="14606" width="6.7109375" style="434" customWidth="1"/>
    <col min="14607" max="14607" width="7.7109375" style="434" customWidth="1"/>
    <col min="14608" max="14608" width="1.7109375" style="434" customWidth="1"/>
    <col min="14609" max="14609" width="6.7109375" style="434" customWidth="1"/>
    <col min="14610" max="14610" width="7.7109375" style="434" customWidth="1"/>
    <col min="14611" max="14611" width="1.7109375" style="434" customWidth="1"/>
    <col min="14612" max="14612" width="6.7109375" style="434" customWidth="1"/>
    <col min="14613" max="14613" width="7.7109375" style="434" customWidth="1"/>
    <col min="14614" max="14614" width="1.85546875" style="434" customWidth="1"/>
    <col min="14615" max="14615" width="6.7109375" style="434" customWidth="1"/>
    <col min="14616" max="14616" width="7.7109375" style="434" customWidth="1"/>
    <col min="14617" max="14617" width="1.7109375" style="434" customWidth="1"/>
    <col min="14618" max="14848" width="9.140625" style="434"/>
    <col min="14849" max="14849" width="12.42578125" style="434" customWidth="1"/>
    <col min="14850" max="14851" width="7.7109375" style="434" customWidth="1"/>
    <col min="14852" max="14852" width="1.7109375" style="434" customWidth="1"/>
    <col min="14853" max="14854" width="7.7109375" style="434" customWidth="1"/>
    <col min="14855" max="14855" width="1.7109375" style="434" customWidth="1"/>
    <col min="14856" max="14856" width="6.7109375" style="434" customWidth="1"/>
    <col min="14857" max="14857" width="7.7109375" style="434" customWidth="1"/>
    <col min="14858" max="14858" width="1.7109375" style="434" customWidth="1"/>
    <col min="14859" max="14859" width="6.7109375" style="434" customWidth="1"/>
    <col min="14860" max="14860" width="7.7109375" style="434" customWidth="1"/>
    <col min="14861" max="14861" width="1.7109375" style="434" customWidth="1"/>
    <col min="14862" max="14862" width="6.7109375" style="434" customWidth="1"/>
    <col min="14863" max="14863" width="7.7109375" style="434" customWidth="1"/>
    <col min="14864" max="14864" width="1.7109375" style="434" customWidth="1"/>
    <col min="14865" max="14865" width="6.7109375" style="434" customWidth="1"/>
    <col min="14866" max="14866" width="7.7109375" style="434" customWidth="1"/>
    <col min="14867" max="14867" width="1.7109375" style="434" customWidth="1"/>
    <col min="14868" max="14868" width="6.7109375" style="434" customWidth="1"/>
    <col min="14869" max="14869" width="7.7109375" style="434" customWidth="1"/>
    <col min="14870" max="14870" width="1.85546875" style="434" customWidth="1"/>
    <col min="14871" max="14871" width="6.7109375" style="434" customWidth="1"/>
    <col min="14872" max="14872" width="7.7109375" style="434" customWidth="1"/>
    <col min="14873" max="14873" width="1.7109375" style="434" customWidth="1"/>
    <col min="14874" max="15104" width="9.140625" style="434"/>
    <col min="15105" max="15105" width="12.42578125" style="434" customWidth="1"/>
    <col min="15106" max="15107" width="7.7109375" style="434" customWidth="1"/>
    <col min="15108" max="15108" width="1.7109375" style="434" customWidth="1"/>
    <col min="15109" max="15110" width="7.7109375" style="434" customWidth="1"/>
    <col min="15111" max="15111" width="1.7109375" style="434" customWidth="1"/>
    <col min="15112" max="15112" width="6.7109375" style="434" customWidth="1"/>
    <col min="15113" max="15113" width="7.7109375" style="434" customWidth="1"/>
    <col min="15114" max="15114" width="1.7109375" style="434" customWidth="1"/>
    <col min="15115" max="15115" width="6.7109375" style="434" customWidth="1"/>
    <col min="15116" max="15116" width="7.7109375" style="434" customWidth="1"/>
    <col min="15117" max="15117" width="1.7109375" style="434" customWidth="1"/>
    <col min="15118" max="15118" width="6.7109375" style="434" customWidth="1"/>
    <col min="15119" max="15119" width="7.7109375" style="434" customWidth="1"/>
    <col min="15120" max="15120" width="1.7109375" style="434" customWidth="1"/>
    <col min="15121" max="15121" width="6.7109375" style="434" customWidth="1"/>
    <col min="15122" max="15122" width="7.7109375" style="434" customWidth="1"/>
    <col min="15123" max="15123" width="1.7109375" style="434" customWidth="1"/>
    <col min="15124" max="15124" width="6.7109375" style="434" customWidth="1"/>
    <col min="15125" max="15125" width="7.7109375" style="434" customWidth="1"/>
    <col min="15126" max="15126" width="1.85546875" style="434" customWidth="1"/>
    <col min="15127" max="15127" width="6.7109375" style="434" customWidth="1"/>
    <col min="15128" max="15128" width="7.7109375" style="434" customWidth="1"/>
    <col min="15129" max="15129" width="1.7109375" style="434" customWidth="1"/>
    <col min="15130" max="15360" width="9.140625" style="434"/>
    <col min="15361" max="15361" width="12.42578125" style="434" customWidth="1"/>
    <col min="15362" max="15363" width="7.7109375" style="434" customWidth="1"/>
    <col min="15364" max="15364" width="1.7109375" style="434" customWidth="1"/>
    <col min="15365" max="15366" width="7.7109375" style="434" customWidth="1"/>
    <col min="15367" max="15367" width="1.7109375" style="434" customWidth="1"/>
    <col min="15368" max="15368" width="6.7109375" style="434" customWidth="1"/>
    <col min="15369" max="15369" width="7.7109375" style="434" customWidth="1"/>
    <col min="15370" max="15370" width="1.7109375" style="434" customWidth="1"/>
    <col min="15371" max="15371" width="6.7109375" style="434" customWidth="1"/>
    <col min="15372" max="15372" width="7.7109375" style="434" customWidth="1"/>
    <col min="15373" max="15373" width="1.7109375" style="434" customWidth="1"/>
    <col min="15374" max="15374" width="6.7109375" style="434" customWidth="1"/>
    <col min="15375" max="15375" width="7.7109375" style="434" customWidth="1"/>
    <col min="15376" max="15376" width="1.7109375" style="434" customWidth="1"/>
    <col min="15377" max="15377" width="6.7109375" style="434" customWidth="1"/>
    <col min="15378" max="15378" width="7.7109375" style="434" customWidth="1"/>
    <col min="15379" max="15379" width="1.7109375" style="434" customWidth="1"/>
    <col min="15380" max="15380" width="6.7109375" style="434" customWidth="1"/>
    <col min="15381" max="15381" width="7.7109375" style="434" customWidth="1"/>
    <col min="15382" max="15382" width="1.85546875" style="434" customWidth="1"/>
    <col min="15383" max="15383" width="6.7109375" style="434" customWidth="1"/>
    <col min="15384" max="15384" width="7.7109375" style="434" customWidth="1"/>
    <col min="15385" max="15385" width="1.7109375" style="434" customWidth="1"/>
    <col min="15386" max="15616" width="9.140625" style="434"/>
    <col min="15617" max="15617" width="12.42578125" style="434" customWidth="1"/>
    <col min="15618" max="15619" width="7.7109375" style="434" customWidth="1"/>
    <col min="15620" max="15620" width="1.7109375" style="434" customWidth="1"/>
    <col min="15621" max="15622" width="7.7109375" style="434" customWidth="1"/>
    <col min="15623" max="15623" width="1.7109375" style="434" customWidth="1"/>
    <col min="15624" max="15624" width="6.7109375" style="434" customWidth="1"/>
    <col min="15625" max="15625" width="7.7109375" style="434" customWidth="1"/>
    <col min="15626" max="15626" width="1.7109375" style="434" customWidth="1"/>
    <col min="15627" max="15627" width="6.7109375" style="434" customWidth="1"/>
    <col min="15628" max="15628" width="7.7109375" style="434" customWidth="1"/>
    <col min="15629" max="15629" width="1.7109375" style="434" customWidth="1"/>
    <col min="15630" max="15630" width="6.7109375" style="434" customWidth="1"/>
    <col min="15631" max="15631" width="7.7109375" style="434" customWidth="1"/>
    <col min="15632" max="15632" width="1.7109375" style="434" customWidth="1"/>
    <col min="15633" max="15633" width="6.7109375" style="434" customWidth="1"/>
    <col min="15634" max="15634" width="7.7109375" style="434" customWidth="1"/>
    <col min="15635" max="15635" width="1.7109375" style="434" customWidth="1"/>
    <col min="15636" max="15636" width="6.7109375" style="434" customWidth="1"/>
    <col min="15637" max="15637" width="7.7109375" style="434" customWidth="1"/>
    <col min="15638" max="15638" width="1.85546875" style="434" customWidth="1"/>
    <col min="15639" max="15639" width="6.7109375" style="434" customWidth="1"/>
    <col min="15640" max="15640" width="7.7109375" style="434" customWidth="1"/>
    <col min="15641" max="15641" width="1.7109375" style="434" customWidth="1"/>
    <col min="15642" max="15872" width="9.140625" style="434"/>
    <col min="15873" max="15873" width="12.42578125" style="434" customWidth="1"/>
    <col min="15874" max="15875" width="7.7109375" style="434" customWidth="1"/>
    <col min="15876" max="15876" width="1.7109375" style="434" customWidth="1"/>
    <col min="15877" max="15878" width="7.7109375" style="434" customWidth="1"/>
    <col min="15879" max="15879" width="1.7109375" style="434" customWidth="1"/>
    <col min="15880" max="15880" width="6.7109375" style="434" customWidth="1"/>
    <col min="15881" max="15881" width="7.7109375" style="434" customWidth="1"/>
    <col min="15882" max="15882" width="1.7109375" style="434" customWidth="1"/>
    <col min="15883" max="15883" width="6.7109375" style="434" customWidth="1"/>
    <col min="15884" max="15884" width="7.7109375" style="434" customWidth="1"/>
    <col min="15885" max="15885" width="1.7109375" style="434" customWidth="1"/>
    <col min="15886" max="15886" width="6.7109375" style="434" customWidth="1"/>
    <col min="15887" max="15887" width="7.7109375" style="434" customWidth="1"/>
    <col min="15888" max="15888" width="1.7109375" style="434" customWidth="1"/>
    <col min="15889" max="15889" width="6.7109375" style="434" customWidth="1"/>
    <col min="15890" max="15890" width="7.7109375" style="434" customWidth="1"/>
    <col min="15891" max="15891" width="1.7109375" style="434" customWidth="1"/>
    <col min="15892" max="15892" width="6.7109375" style="434" customWidth="1"/>
    <col min="15893" max="15893" width="7.7109375" style="434" customWidth="1"/>
    <col min="15894" max="15894" width="1.85546875" style="434" customWidth="1"/>
    <col min="15895" max="15895" width="6.7109375" style="434" customWidth="1"/>
    <col min="15896" max="15896" width="7.7109375" style="434" customWidth="1"/>
    <col min="15897" max="15897" width="1.7109375" style="434" customWidth="1"/>
    <col min="15898" max="16128" width="9.140625" style="434"/>
    <col min="16129" max="16129" width="12.42578125" style="434" customWidth="1"/>
    <col min="16130" max="16131" width="7.7109375" style="434" customWidth="1"/>
    <col min="16132" max="16132" width="1.7109375" style="434" customWidth="1"/>
    <col min="16133" max="16134" width="7.7109375" style="434" customWidth="1"/>
    <col min="16135" max="16135" width="1.7109375" style="434" customWidth="1"/>
    <col min="16136" max="16136" width="6.7109375" style="434" customWidth="1"/>
    <col min="16137" max="16137" width="7.7109375" style="434" customWidth="1"/>
    <col min="16138" max="16138" width="1.7109375" style="434" customWidth="1"/>
    <col min="16139" max="16139" width="6.7109375" style="434" customWidth="1"/>
    <col min="16140" max="16140" width="7.7109375" style="434" customWidth="1"/>
    <col min="16141" max="16141" width="1.7109375" style="434" customWidth="1"/>
    <col min="16142" max="16142" width="6.7109375" style="434" customWidth="1"/>
    <col min="16143" max="16143" width="7.7109375" style="434" customWidth="1"/>
    <col min="16144" max="16144" width="1.7109375" style="434" customWidth="1"/>
    <col min="16145" max="16145" width="6.7109375" style="434" customWidth="1"/>
    <col min="16146" max="16146" width="7.7109375" style="434" customWidth="1"/>
    <col min="16147" max="16147" width="1.7109375" style="434" customWidth="1"/>
    <col min="16148" max="16148" width="6.7109375" style="434" customWidth="1"/>
    <col min="16149" max="16149" width="7.7109375" style="434" customWidth="1"/>
    <col min="16150" max="16150" width="1.85546875" style="434" customWidth="1"/>
    <col min="16151" max="16151" width="6.7109375" style="434" customWidth="1"/>
    <col min="16152" max="16152" width="7.7109375" style="434" customWidth="1"/>
    <col min="16153" max="16153" width="1.7109375" style="434" customWidth="1"/>
    <col min="16154" max="16384" width="9.140625" style="434"/>
  </cols>
  <sheetData>
    <row r="1" spans="1:25">
      <c r="A1" s="434" t="s">
        <v>379</v>
      </c>
    </row>
    <row r="2" spans="1:25">
      <c r="A2" s="434" t="s">
        <v>380</v>
      </c>
      <c r="E2" s="449"/>
      <c r="F2" s="454"/>
    </row>
    <row r="3" spans="1:25" ht="10.5" customHeight="1"/>
    <row r="4" spans="1:25" ht="12.95" customHeight="1">
      <c r="A4" s="42" t="s">
        <v>1806</v>
      </c>
    </row>
    <row r="5" spans="1:25" ht="12.95" customHeight="1" thickBot="1">
      <c r="L5" s="436"/>
      <c r="O5" s="436"/>
      <c r="P5" s="436"/>
      <c r="R5" s="436"/>
      <c r="S5" s="436"/>
    </row>
    <row r="6" spans="1:25" ht="12.95" customHeight="1">
      <c r="A6" s="437"/>
      <c r="B6" s="438"/>
      <c r="C6" s="439"/>
      <c r="D6" s="437"/>
      <c r="E6" s="438"/>
      <c r="F6" s="439"/>
      <c r="G6" s="437"/>
      <c r="H6" s="438"/>
      <c r="I6" s="439"/>
      <c r="J6" s="439"/>
      <c r="K6" s="438"/>
      <c r="L6" s="439"/>
      <c r="M6" s="437"/>
      <c r="N6" s="438"/>
      <c r="O6" s="439"/>
      <c r="P6" s="439"/>
      <c r="Q6" s="438"/>
      <c r="R6" s="439"/>
      <c r="S6" s="439"/>
      <c r="T6" s="439"/>
      <c r="U6" s="439"/>
      <c r="V6" s="439"/>
      <c r="W6" s="439"/>
      <c r="X6" s="439"/>
      <c r="Y6" s="439"/>
    </row>
    <row r="7" spans="1:25" ht="12.95" customHeight="1">
      <c r="A7" s="440" t="s">
        <v>1789</v>
      </c>
      <c r="B7" s="1266" t="s">
        <v>1790</v>
      </c>
      <c r="C7" s="1266"/>
      <c r="D7" s="440"/>
      <c r="E7" s="1266" t="s">
        <v>1447</v>
      </c>
      <c r="F7" s="1266"/>
      <c r="G7" s="440"/>
      <c r="H7" s="1266" t="s">
        <v>1791</v>
      </c>
      <c r="I7" s="1266"/>
      <c r="J7" s="442"/>
      <c r="K7" s="1266" t="s">
        <v>1792</v>
      </c>
      <c r="L7" s="1266"/>
      <c r="M7" s="440"/>
      <c r="N7" s="1266" t="s">
        <v>1793</v>
      </c>
      <c r="O7" s="1266"/>
      <c r="Q7" s="1268" t="s">
        <v>1794</v>
      </c>
      <c r="R7" s="1266"/>
      <c r="T7" s="1266" t="s">
        <v>1795</v>
      </c>
      <c r="U7" s="1266"/>
      <c r="W7" s="1266" t="s">
        <v>1796</v>
      </c>
      <c r="X7" s="1266"/>
    </row>
    <row r="8" spans="1:25" ht="12.95" customHeight="1">
      <c r="A8" s="434" t="s">
        <v>1797</v>
      </c>
      <c r="B8" s="443" t="s">
        <v>323</v>
      </c>
      <c r="C8" s="444" t="s">
        <v>324</v>
      </c>
      <c r="D8" s="440"/>
      <c r="E8" s="443" t="s">
        <v>323</v>
      </c>
      <c r="F8" s="444" t="s">
        <v>324</v>
      </c>
      <c r="G8" s="440"/>
      <c r="H8" s="443" t="s">
        <v>323</v>
      </c>
      <c r="I8" s="444" t="s">
        <v>324</v>
      </c>
      <c r="J8" s="444"/>
      <c r="K8" s="443" t="s">
        <v>323</v>
      </c>
      <c r="L8" s="444" t="s">
        <v>324</v>
      </c>
      <c r="M8" s="440"/>
      <c r="N8" s="443" t="s">
        <v>323</v>
      </c>
      <c r="O8" s="444" t="s">
        <v>324</v>
      </c>
      <c r="Q8" s="443" t="s">
        <v>323</v>
      </c>
      <c r="R8" s="444" t="s">
        <v>324</v>
      </c>
      <c r="T8" s="443" t="s">
        <v>323</v>
      </c>
      <c r="U8" s="444" t="s">
        <v>324</v>
      </c>
      <c r="W8" s="443" t="s">
        <v>323</v>
      </c>
      <c r="X8" s="444" t="s">
        <v>324</v>
      </c>
    </row>
    <row r="9" spans="1:25" ht="12.95" customHeight="1" thickBot="1">
      <c r="A9" s="445"/>
      <c r="B9" s="446"/>
      <c r="C9" s="447"/>
      <c r="D9" s="445"/>
      <c r="E9" s="446"/>
      <c r="F9" s="447"/>
      <c r="G9" s="445"/>
      <c r="H9" s="446"/>
      <c r="I9" s="447"/>
      <c r="J9" s="447"/>
      <c r="K9" s="446"/>
      <c r="L9" s="447"/>
      <c r="M9" s="445"/>
      <c r="N9" s="446"/>
      <c r="O9" s="447"/>
      <c r="P9" s="447"/>
      <c r="Q9" s="446"/>
      <c r="R9" s="447"/>
      <c r="S9" s="447"/>
      <c r="T9" s="447"/>
      <c r="U9" s="447"/>
      <c r="V9" s="447"/>
      <c r="W9" s="447"/>
      <c r="X9" s="447"/>
      <c r="Y9" s="447"/>
    </row>
    <row r="10" spans="1:25" ht="12.95" customHeight="1">
      <c r="A10" s="440"/>
      <c r="B10" s="441"/>
      <c r="C10" s="442"/>
      <c r="D10" s="440"/>
      <c r="E10" s="441"/>
      <c r="F10" s="442"/>
      <c r="G10" s="440"/>
      <c r="H10" s="441"/>
      <c r="I10" s="442"/>
      <c r="J10" s="442"/>
      <c r="K10" s="441"/>
      <c r="L10" s="442"/>
      <c r="M10" s="440"/>
      <c r="N10" s="441"/>
      <c r="O10" s="442"/>
      <c r="Q10" s="441"/>
      <c r="R10" s="442"/>
    </row>
    <row r="11" spans="1:25" ht="12.95" customHeight="1">
      <c r="A11" s="690" t="s">
        <v>5</v>
      </c>
      <c r="B11" s="441">
        <f>IF($A11&lt;&gt;0,SUM(B13:B13),"")</f>
        <v>6098</v>
      </c>
      <c r="C11" s="785">
        <f>IF($A11&lt;&gt;0,SUM(C13:C13),"")</f>
        <v>100</v>
      </c>
      <c r="D11" s="440"/>
      <c r="E11" s="441">
        <f>IF($A11&lt;&gt;0,SUM(E13:E13),"")</f>
        <v>5018</v>
      </c>
      <c r="F11" s="785">
        <f>IF($A11&lt;&gt;0,SUM(F13:F13),"")</f>
        <v>100</v>
      </c>
      <c r="G11" s="440"/>
      <c r="H11" s="441">
        <f>IF($A11&lt;&gt;0,SUM(H13:H13),"")</f>
        <v>409</v>
      </c>
      <c r="I11" s="785">
        <f>IF($A11&lt;&gt;0,SUM(I13:I13),"")</f>
        <v>100</v>
      </c>
      <c r="J11" s="442"/>
      <c r="K11" s="441">
        <f>IF($A11&lt;&gt;0,SUM(K13:K13),"")</f>
        <v>194</v>
      </c>
      <c r="L11" s="785">
        <f>IF($A11&lt;&gt;0,SUM(L13:L13),"")</f>
        <v>100</v>
      </c>
      <c r="M11" s="440"/>
      <c r="N11" s="441">
        <f>IF($A11&lt;&gt;0,SUM(N13:N13),"")</f>
        <v>151</v>
      </c>
      <c r="O11" s="785">
        <f>IF($A11&lt;&gt;0,SUM(O13:O13),"")</f>
        <v>100</v>
      </c>
      <c r="Q11" s="441">
        <f>IF($A11&lt;&gt;0,SUM(Q13:Q13),"")</f>
        <v>134</v>
      </c>
      <c r="R11" s="785">
        <f>IF($A11&lt;&gt;0,SUM(R13:R13),"")</f>
        <v>100</v>
      </c>
      <c r="T11" s="441">
        <f>IF($A11&lt;&gt;0,SUM(T13:T13),"")</f>
        <v>98</v>
      </c>
      <c r="U11" s="785">
        <f>IF($A11&lt;&gt;0,SUM(U13:U13),"")</f>
        <v>100</v>
      </c>
      <c r="W11" s="441">
        <f>IF($A11&lt;&gt;0,SUM(W13:W13),"")</f>
        <v>94</v>
      </c>
      <c r="X11" s="785">
        <f>IF($A11&lt;&gt;0,SUM(X13:X13),"")</f>
        <v>100</v>
      </c>
    </row>
    <row r="12" spans="1:25" ht="12.95" customHeight="1">
      <c r="A12" s="1057"/>
      <c r="B12" s="441" t="str">
        <f>IF(A12&lt;&gt;0,E12+H12+K12+N12+Q12+T12,"")</f>
        <v/>
      </c>
      <c r="C12" s="442" t="str">
        <f>IF($A12&lt;&gt;0,B12/$B$11*100,"")</f>
        <v/>
      </c>
      <c r="D12" s="440"/>
      <c r="E12" s="441"/>
      <c r="F12" s="441" t="str">
        <f>IF(E12&lt;&gt;0,I12+L12+O12+R12+U12,"")</f>
        <v/>
      </c>
      <c r="G12" s="440"/>
      <c r="H12" s="441"/>
      <c r="I12" s="785" t="str">
        <f>IF(A12&lt;&gt;0,H12/B12*100,"")</f>
        <v/>
      </c>
      <c r="J12" s="442"/>
      <c r="K12" s="441"/>
      <c r="L12" s="785" t="str">
        <f>IF(A12&lt;&gt;0,K12/B12*100,"")</f>
        <v/>
      </c>
      <c r="M12" s="440"/>
      <c r="N12" s="441"/>
      <c r="O12" s="785" t="str">
        <f>IF(A12&lt;&gt;0,N12/B12*100,"")</f>
        <v/>
      </c>
      <c r="Q12" s="441"/>
      <c r="R12" s="785" t="str">
        <f>IF(A12&lt;&gt;0,Q12/B12*100,"")</f>
        <v/>
      </c>
      <c r="T12" s="435"/>
      <c r="W12" s="435"/>
    </row>
    <row r="13" spans="1:25" ht="12.95" customHeight="1">
      <c r="A13" s="39">
        <v>4</v>
      </c>
      <c r="B13" s="441">
        <f>IF(A13&lt;&gt;"",E13+H13+K13+N13+Q13+T13+W13,"")</f>
        <v>6098</v>
      </c>
      <c r="C13" s="442">
        <f>IF($A13&lt;&gt;"",B13/$B$11*100,"")</f>
        <v>100</v>
      </c>
      <c r="D13" s="440"/>
      <c r="E13" s="435">
        <v>5018</v>
      </c>
      <c r="F13" s="442">
        <f>IF($A13&lt;&gt;"",E13/$E$11*100,"")</f>
        <v>100</v>
      </c>
      <c r="G13" s="312"/>
      <c r="H13" s="435">
        <v>409</v>
      </c>
      <c r="I13" s="785">
        <f>IF($A13&lt;&gt;"",H13/$H$11*100,"")</f>
        <v>100</v>
      </c>
      <c r="J13" s="633"/>
      <c r="K13" s="435">
        <v>194</v>
      </c>
      <c r="L13" s="785">
        <f>IF($A13&lt;&gt;"",K13/$K$11*100,"")</f>
        <v>100</v>
      </c>
      <c r="M13" s="312"/>
      <c r="N13" s="435">
        <v>151</v>
      </c>
      <c r="O13" s="785">
        <f>IF($A13&lt;&gt;"",N13/$N$11*100,"")</f>
        <v>100</v>
      </c>
      <c r="P13" s="44"/>
      <c r="Q13" s="435">
        <v>134</v>
      </c>
      <c r="R13" s="785">
        <f>IF($A13&lt;&gt;"",Q13/$Q$11*100,"")</f>
        <v>100</v>
      </c>
      <c r="T13" s="435">
        <v>98</v>
      </c>
      <c r="U13" s="442">
        <f>IF($A13&lt;&gt;"",T13/$T$11*100,"")</f>
        <v>100</v>
      </c>
      <c r="W13" s="435">
        <v>94</v>
      </c>
      <c r="X13" s="442">
        <f>IF($A13&lt;&gt;"",W13/$W$11*100,"")</f>
        <v>100</v>
      </c>
    </row>
    <row r="14" spans="1:25" ht="12.95" customHeight="1">
      <c r="A14" s="39"/>
      <c r="B14" s="441"/>
      <c r="C14" s="442"/>
      <c r="D14" s="440"/>
      <c r="E14" s="441"/>
      <c r="F14" s="442"/>
      <c r="G14" s="440"/>
      <c r="H14" s="441"/>
      <c r="I14" s="785"/>
      <c r="J14" s="442"/>
      <c r="K14" s="441"/>
      <c r="L14" s="442"/>
      <c r="M14" s="440"/>
      <c r="N14" s="441"/>
      <c r="O14" s="442"/>
      <c r="Q14" s="441"/>
      <c r="R14" s="442"/>
      <c r="U14" s="442" t="str">
        <f>IF($A14&lt;&gt;"",T14/$T$11*100,"")</f>
        <v/>
      </c>
      <c r="X14" s="442" t="str">
        <f>IF($A14&lt;&gt;"",W14/$T$11*100,"")</f>
        <v/>
      </c>
    </row>
    <row r="15" spans="1:25" ht="12.95" customHeight="1">
      <c r="A15" s="39" t="s">
        <v>1802</v>
      </c>
      <c r="B15" s="441"/>
      <c r="C15" s="442">
        <f>F15+I15+L15+O15+R15+U15+X15</f>
        <v>100</v>
      </c>
      <c r="D15" s="440"/>
      <c r="E15" s="441"/>
      <c r="F15" s="442">
        <f>E11/B11*100</f>
        <v>82.289275172187601</v>
      </c>
      <c r="G15" s="440"/>
      <c r="H15" s="441"/>
      <c r="I15" s="785">
        <f>H11/B11*100</f>
        <v>6.7071170875696948</v>
      </c>
      <c r="J15" s="442"/>
      <c r="K15" s="441"/>
      <c r="L15" s="442">
        <f>K11/B11*100</f>
        <v>3.1813709412922266</v>
      </c>
      <c r="M15" s="440"/>
      <c r="N15" s="441"/>
      <c r="O15" s="442">
        <f>N11/B11*100</f>
        <v>2.4762217120367334</v>
      </c>
      <c r="Q15" s="441"/>
      <c r="R15" s="442">
        <f>Q11/B11*100</f>
        <v>2.1974417841915379</v>
      </c>
      <c r="U15" s="442">
        <f>T11/B11*100</f>
        <v>1.6070842899311248</v>
      </c>
      <c r="X15" s="442">
        <f>W11/B11*100</f>
        <v>1.541489012791079</v>
      </c>
    </row>
    <row r="16" spans="1:25" ht="12.95" customHeight="1" thickBot="1"/>
    <row r="17" spans="1:25" ht="12.95" customHeight="1">
      <c r="A17" s="437"/>
      <c r="B17" s="438"/>
      <c r="C17" s="439"/>
      <c r="D17" s="437"/>
      <c r="E17" s="438"/>
      <c r="F17" s="439"/>
      <c r="G17" s="437"/>
      <c r="H17" s="438"/>
      <c r="I17" s="439"/>
      <c r="J17" s="439"/>
      <c r="K17" s="438"/>
      <c r="L17" s="437"/>
      <c r="M17" s="437"/>
      <c r="N17" s="438"/>
      <c r="O17" s="437"/>
      <c r="P17" s="437"/>
      <c r="Q17" s="438"/>
      <c r="R17" s="437"/>
      <c r="S17" s="437"/>
      <c r="T17" s="437"/>
      <c r="U17" s="437"/>
      <c r="V17" s="437"/>
      <c r="W17" s="437"/>
      <c r="X17" s="437"/>
      <c r="Y17" s="437"/>
    </row>
    <row r="18" spans="1:25" ht="12.95" customHeight="1">
      <c r="A18" s="434" t="s">
        <v>1743</v>
      </c>
    </row>
    <row r="19" spans="1:25" ht="12.95" customHeight="1">
      <c r="A19" s="434" t="s">
        <v>365</v>
      </c>
    </row>
  </sheetData>
  <mergeCells count="8">
    <mergeCell ref="T7:U7"/>
    <mergeCell ref="W7:X7"/>
    <mergeCell ref="B7:C7"/>
    <mergeCell ref="E7:F7"/>
    <mergeCell ref="H7:I7"/>
    <mergeCell ref="K7:L7"/>
    <mergeCell ref="N7:O7"/>
    <mergeCell ref="Q7:R7"/>
  </mergeCell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123.xml><?xml version="1.0" encoding="utf-8"?>
<worksheet xmlns="http://schemas.openxmlformats.org/spreadsheetml/2006/main" xmlns:r="http://schemas.openxmlformats.org/officeDocument/2006/relationships">
  <dimension ref="A1:HV35"/>
  <sheetViews>
    <sheetView workbookViewId="0">
      <selection sqref="A1:XFD1048576"/>
    </sheetView>
  </sheetViews>
  <sheetFormatPr baseColWidth="10" defaultColWidth="9.140625" defaultRowHeight="15"/>
  <cols>
    <col min="1" max="1" width="11.85546875" style="847" customWidth="1"/>
    <col min="2" max="2" width="7.7109375" style="1158" customWidth="1"/>
    <col min="3" max="3" width="7.7109375" style="943" customWidth="1"/>
    <col min="4" max="4" width="1.7109375" style="847" customWidth="1"/>
    <col min="5" max="5" width="7.7109375" style="942" customWidth="1"/>
    <col min="6" max="6" width="7.7109375" style="943" customWidth="1"/>
    <col min="7" max="7" width="1.7109375" style="847" customWidth="1"/>
    <col min="8" max="8" width="6.7109375" style="942" customWidth="1"/>
    <col min="9" max="9" width="7.7109375" style="943" customWidth="1"/>
    <col min="10" max="10" width="1.7109375" style="943" customWidth="1"/>
    <col min="11" max="11" width="6.7109375" style="942" customWidth="1"/>
    <col min="12" max="12" width="7.7109375" style="847" customWidth="1"/>
    <col min="13" max="13" width="1.7109375" style="847" customWidth="1"/>
    <col min="14" max="14" width="6.7109375" style="942" customWidth="1"/>
    <col min="15" max="15" width="7.7109375" style="847" customWidth="1"/>
    <col min="16" max="16" width="1.7109375" style="847" customWidth="1"/>
    <col min="17" max="17" width="6.7109375" style="942" customWidth="1"/>
    <col min="18" max="18" width="7.7109375" style="847" customWidth="1"/>
    <col min="19" max="19" width="1.7109375" style="847" customWidth="1"/>
    <col min="20" max="20" width="6.7109375" style="847" customWidth="1"/>
    <col min="21" max="21" width="7.7109375" style="847" customWidth="1"/>
    <col min="22" max="22" width="1.85546875" style="847" customWidth="1"/>
    <col min="23" max="23" width="6.7109375" style="847" customWidth="1"/>
    <col min="24" max="24" width="7.7109375" style="847" customWidth="1"/>
    <col min="25" max="25" width="1.7109375" style="847" customWidth="1"/>
    <col min="26" max="256" width="9.140625" style="847"/>
    <col min="257" max="257" width="11.85546875" style="847" customWidth="1"/>
    <col min="258" max="259" width="7.7109375" style="847" customWidth="1"/>
    <col min="260" max="260" width="1.7109375" style="847" customWidth="1"/>
    <col min="261" max="262" width="7.7109375" style="847" customWidth="1"/>
    <col min="263" max="263" width="1.7109375" style="847" customWidth="1"/>
    <col min="264" max="264" width="6.7109375" style="847" customWidth="1"/>
    <col min="265" max="265" width="7.7109375" style="847" customWidth="1"/>
    <col min="266" max="266" width="1.7109375" style="847" customWidth="1"/>
    <col min="267" max="267" width="6.7109375" style="847" customWidth="1"/>
    <col min="268" max="268" width="7.7109375" style="847" customWidth="1"/>
    <col min="269" max="269" width="1.7109375" style="847" customWidth="1"/>
    <col min="270" max="270" width="6.7109375" style="847" customWidth="1"/>
    <col min="271" max="271" width="7.7109375" style="847" customWidth="1"/>
    <col min="272" max="272" width="1.7109375" style="847" customWidth="1"/>
    <col min="273" max="273" width="6.7109375" style="847" customWidth="1"/>
    <col min="274" max="274" width="7.7109375" style="847" customWidth="1"/>
    <col min="275" max="275" width="1.7109375" style="847" customWidth="1"/>
    <col min="276" max="276" width="6.7109375" style="847" customWidth="1"/>
    <col min="277" max="277" width="7.7109375" style="847" customWidth="1"/>
    <col min="278" max="278" width="1.85546875" style="847" customWidth="1"/>
    <col min="279" max="279" width="6.7109375" style="847" customWidth="1"/>
    <col min="280" max="280" width="7.7109375" style="847" customWidth="1"/>
    <col min="281" max="281" width="1.7109375" style="847" customWidth="1"/>
    <col min="282" max="512" width="9.140625" style="847"/>
    <col min="513" max="513" width="11.85546875" style="847" customWidth="1"/>
    <col min="514" max="515" width="7.7109375" style="847" customWidth="1"/>
    <col min="516" max="516" width="1.7109375" style="847" customWidth="1"/>
    <col min="517" max="518" width="7.7109375" style="847" customWidth="1"/>
    <col min="519" max="519" width="1.7109375" style="847" customWidth="1"/>
    <col min="520" max="520" width="6.7109375" style="847" customWidth="1"/>
    <col min="521" max="521" width="7.7109375" style="847" customWidth="1"/>
    <col min="522" max="522" width="1.7109375" style="847" customWidth="1"/>
    <col min="523" max="523" width="6.7109375" style="847" customWidth="1"/>
    <col min="524" max="524" width="7.7109375" style="847" customWidth="1"/>
    <col min="525" max="525" width="1.7109375" style="847" customWidth="1"/>
    <col min="526" max="526" width="6.7109375" style="847" customWidth="1"/>
    <col min="527" max="527" width="7.7109375" style="847" customWidth="1"/>
    <col min="528" max="528" width="1.7109375" style="847" customWidth="1"/>
    <col min="529" max="529" width="6.7109375" style="847" customWidth="1"/>
    <col min="530" max="530" width="7.7109375" style="847" customWidth="1"/>
    <col min="531" max="531" width="1.7109375" style="847" customWidth="1"/>
    <col min="532" max="532" width="6.7109375" style="847" customWidth="1"/>
    <col min="533" max="533" width="7.7109375" style="847" customWidth="1"/>
    <col min="534" max="534" width="1.85546875" style="847" customWidth="1"/>
    <col min="535" max="535" width="6.7109375" style="847" customWidth="1"/>
    <col min="536" max="536" width="7.7109375" style="847" customWidth="1"/>
    <col min="537" max="537" width="1.7109375" style="847" customWidth="1"/>
    <col min="538" max="768" width="9.140625" style="847"/>
    <col min="769" max="769" width="11.85546875" style="847" customWidth="1"/>
    <col min="770" max="771" width="7.7109375" style="847" customWidth="1"/>
    <col min="772" max="772" width="1.7109375" style="847" customWidth="1"/>
    <col min="773" max="774" width="7.7109375" style="847" customWidth="1"/>
    <col min="775" max="775" width="1.7109375" style="847" customWidth="1"/>
    <col min="776" max="776" width="6.7109375" style="847" customWidth="1"/>
    <col min="777" max="777" width="7.7109375" style="847" customWidth="1"/>
    <col min="778" max="778" width="1.7109375" style="847" customWidth="1"/>
    <col min="779" max="779" width="6.7109375" style="847" customWidth="1"/>
    <col min="780" max="780" width="7.7109375" style="847" customWidth="1"/>
    <col min="781" max="781" width="1.7109375" style="847" customWidth="1"/>
    <col min="782" max="782" width="6.7109375" style="847" customWidth="1"/>
    <col min="783" max="783" width="7.7109375" style="847" customWidth="1"/>
    <col min="784" max="784" width="1.7109375" style="847" customWidth="1"/>
    <col min="785" max="785" width="6.7109375" style="847" customWidth="1"/>
    <col min="786" max="786" width="7.7109375" style="847" customWidth="1"/>
    <col min="787" max="787" width="1.7109375" style="847" customWidth="1"/>
    <col min="788" max="788" width="6.7109375" style="847" customWidth="1"/>
    <col min="789" max="789" width="7.7109375" style="847" customWidth="1"/>
    <col min="790" max="790" width="1.85546875" style="847" customWidth="1"/>
    <col min="791" max="791" width="6.7109375" style="847" customWidth="1"/>
    <col min="792" max="792" width="7.7109375" style="847" customWidth="1"/>
    <col min="793" max="793" width="1.7109375" style="847" customWidth="1"/>
    <col min="794" max="1024" width="9.140625" style="847"/>
    <col min="1025" max="1025" width="11.85546875" style="847" customWidth="1"/>
    <col min="1026" max="1027" width="7.7109375" style="847" customWidth="1"/>
    <col min="1028" max="1028" width="1.7109375" style="847" customWidth="1"/>
    <col min="1029" max="1030" width="7.7109375" style="847" customWidth="1"/>
    <col min="1031" max="1031" width="1.7109375" style="847" customWidth="1"/>
    <col min="1032" max="1032" width="6.7109375" style="847" customWidth="1"/>
    <col min="1033" max="1033" width="7.7109375" style="847" customWidth="1"/>
    <col min="1034" max="1034" width="1.7109375" style="847" customWidth="1"/>
    <col min="1035" max="1035" width="6.7109375" style="847" customWidth="1"/>
    <col min="1036" max="1036" width="7.7109375" style="847" customWidth="1"/>
    <col min="1037" max="1037" width="1.7109375" style="847" customWidth="1"/>
    <col min="1038" max="1038" width="6.7109375" style="847" customWidth="1"/>
    <col min="1039" max="1039" width="7.7109375" style="847" customWidth="1"/>
    <col min="1040" max="1040" width="1.7109375" style="847" customWidth="1"/>
    <col min="1041" max="1041" width="6.7109375" style="847" customWidth="1"/>
    <col min="1042" max="1042" width="7.7109375" style="847" customWidth="1"/>
    <col min="1043" max="1043" width="1.7109375" style="847" customWidth="1"/>
    <col min="1044" max="1044" width="6.7109375" style="847" customWidth="1"/>
    <col min="1045" max="1045" width="7.7109375" style="847" customWidth="1"/>
    <col min="1046" max="1046" width="1.85546875" style="847" customWidth="1"/>
    <col min="1047" max="1047" width="6.7109375" style="847" customWidth="1"/>
    <col min="1048" max="1048" width="7.7109375" style="847" customWidth="1"/>
    <col min="1049" max="1049" width="1.7109375" style="847" customWidth="1"/>
    <col min="1050" max="1280" width="9.140625" style="847"/>
    <col min="1281" max="1281" width="11.85546875" style="847" customWidth="1"/>
    <col min="1282" max="1283" width="7.7109375" style="847" customWidth="1"/>
    <col min="1284" max="1284" width="1.7109375" style="847" customWidth="1"/>
    <col min="1285" max="1286" width="7.7109375" style="847" customWidth="1"/>
    <col min="1287" max="1287" width="1.7109375" style="847" customWidth="1"/>
    <col min="1288" max="1288" width="6.7109375" style="847" customWidth="1"/>
    <col min="1289" max="1289" width="7.7109375" style="847" customWidth="1"/>
    <col min="1290" max="1290" width="1.7109375" style="847" customWidth="1"/>
    <col min="1291" max="1291" width="6.7109375" style="847" customWidth="1"/>
    <col min="1292" max="1292" width="7.7109375" style="847" customWidth="1"/>
    <col min="1293" max="1293" width="1.7109375" style="847" customWidth="1"/>
    <col min="1294" max="1294" width="6.7109375" style="847" customWidth="1"/>
    <col min="1295" max="1295" width="7.7109375" style="847" customWidth="1"/>
    <col min="1296" max="1296" width="1.7109375" style="847" customWidth="1"/>
    <col min="1297" max="1297" width="6.7109375" style="847" customWidth="1"/>
    <col min="1298" max="1298" width="7.7109375" style="847" customWidth="1"/>
    <col min="1299" max="1299" width="1.7109375" style="847" customWidth="1"/>
    <col min="1300" max="1300" width="6.7109375" style="847" customWidth="1"/>
    <col min="1301" max="1301" width="7.7109375" style="847" customWidth="1"/>
    <col min="1302" max="1302" width="1.85546875" style="847" customWidth="1"/>
    <col min="1303" max="1303" width="6.7109375" style="847" customWidth="1"/>
    <col min="1304" max="1304" width="7.7109375" style="847" customWidth="1"/>
    <col min="1305" max="1305" width="1.7109375" style="847" customWidth="1"/>
    <col min="1306" max="1536" width="9.140625" style="847"/>
    <col min="1537" max="1537" width="11.85546875" style="847" customWidth="1"/>
    <col min="1538" max="1539" width="7.7109375" style="847" customWidth="1"/>
    <col min="1540" max="1540" width="1.7109375" style="847" customWidth="1"/>
    <col min="1541" max="1542" width="7.7109375" style="847" customWidth="1"/>
    <col min="1543" max="1543" width="1.7109375" style="847" customWidth="1"/>
    <col min="1544" max="1544" width="6.7109375" style="847" customWidth="1"/>
    <col min="1545" max="1545" width="7.7109375" style="847" customWidth="1"/>
    <col min="1546" max="1546" width="1.7109375" style="847" customWidth="1"/>
    <col min="1547" max="1547" width="6.7109375" style="847" customWidth="1"/>
    <col min="1548" max="1548" width="7.7109375" style="847" customWidth="1"/>
    <col min="1549" max="1549" width="1.7109375" style="847" customWidth="1"/>
    <col min="1550" max="1550" width="6.7109375" style="847" customWidth="1"/>
    <col min="1551" max="1551" width="7.7109375" style="847" customWidth="1"/>
    <col min="1552" max="1552" width="1.7109375" style="847" customWidth="1"/>
    <col min="1553" max="1553" width="6.7109375" style="847" customWidth="1"/>
    <col min="1554" max="1554" width="7.7109375" style="847" customWidth="1"/>
    <col min="1555" max="1555" width="1.7109375" style="847" customWidth="1"/>
    <col min="1556" max="1556" width="6.7109375" style="847" customWidth="1"/>
    <col min="1557" max="1557" width="7.7109375" style="847" customWidth="1"/>
    <col min="1558" max="1558" width="1.85546875" style="847" customWidth="1"/>
    <col min="1559" max="1559" width="6.7109375" style="847" customWidth="1"/>
    <col min="1560" max="1560" width="7.7109375" style="847" customWidth="1"/>
    <col min="1561" max="1561" width="1.7109375" style="847" customWidth="1"/>
    <col min="1562" max="1792" width="9.140625" style="847"/>
    <col min="1793" max="1793" width="11.85546875" style="847" customWidth="1"/>
    <col min="1794" max="1795" width="7.7109375" style="847" customWidth="1"/>
    <col min="1796" max="1796" width="1.7109375" style="847" customWidth="1"/>
    <col min="1797" max="1798" width="7.7109375" style="847" customWidth="1"/>
    <col min="1799" max="1799" width="1.7109375" style="847" customWidth="1"/>
    <col min="1800" max="1800" width="6.7109375" style="847" customWidth="1"/>
    <col min="1801" max="1801" width="7.7109375" style="847" customWidth="1"/>
    <col min="1802" max="1802" width="1.7109375" style="847" customWidth="1"/>
    <col min="1803" max="1803" width="6.7109375" style="847" customWidth="1"/>
    <col min="1804" max="1804" width="7.7109375" style="847" customWidth="1"/>
    <col min="1805" max="1805" width="1.7109375" style="847" customWidth="1"/>
    <col min="1806" max="1806" width="6.7109375" style="847" customWidth="1"/>
    <col min="1807" max="1807" width="7.7109375" style="847" customWidth="1"/>
    <col min="1808" max="1808" width="1.7109375" style="847" customWidth="1"/>
    <col min="1809" max="1809" width="6.7109375" style="847" customWidth="1"/>
    <col min="1810" max="1810" width="7.7109375" style="847" customWidth="1"/>
    <col min="1811" max="1811" width="1.7109375" style="847" customWidth="1"/>
    <col min="1812" max="1812" width="6.7109375" style="847" customWidth="1"/>
    <col min="1813" max="1813" width="7.7109375" style="847" customWidth="1"/>
    <col min="1814" max="1814" width="1.85546875" style="847" customWidth="1"/>
    <col min="1815" max="1815" width="6.7109375" style="847" customWidth="1"/>
    <col min="1816" max="1816" width="7.7109375" style="847" customWidth="1"/>
    <col min="1817" max="1817" width="1.7109375" style="847" customWidth="1"/>
    <col min="1818" max="2048" width="9.140625" style="847"/>
    <col min="2049" max="2049" width="11.85546875" style="847" customWidth="1"/>
    <col min="2050" max="2051" width="7.7109375" style="847" customWidth="1"/>
    <col min="2052" max="2052" width="1.7109375" style="847" customWidth="1"/>
    <col min="2053" max="2054" width="7.7109375" style="847" customWidth="1"/>
    <col min="2055" max="2055" width="1.7109375" style="847" customWidth="1"/>
    <col min="2056" max="2056" width="6.7109375" style="847" customWidth="1"/>
    <col min="2057" max="2057" width="7.7109375" style="847" customWidth="1"/>
    <col min="2058" max="2058" width="1.7109375" style="847" customWidth="1"/>
    <col min="2059" max="2059" width="6.7109375" style="847" customWidth="1"/>
    <col min="2060" max="2060" width="7.7109375" style="847" customWidth="1"/>
    <col min="2061" max="2061" width="1.7109375" style="847" customWidth="1"/>
    <col min="2062" max="2062" width="6.7109375" style="847" customWidth="1"/>
    <col min="2063" max="2063" width="7.7109375" style="847" customWidth="1"/>
    <col min="2064" max="2064" width="1.7109375" style="847" customWidth="1"/>
    <col min="2065" max="2065" width="6.7109375" style="847" customWidth="1"/>
    <col min="2066" max="2066" width="7.7109375" style="847" customWidth="1"/>
    <col min="2067" max="2067" width="1.7109375" style="847" customWidth="1"/>
    <col min="2068" max="2068" width="6.7109375" style="847" customWidth="1"/>
    <col min="2069" max="2069" width="7.7109375" style="847" customWidth="1"/>
    <col min="2070" max="2070" width="1.85546875" style="847" customWidth="1"/>
    <col min="2071" max="2071" width="6.7109375" style="847" customWidth="1"/>
    <col min="2072" max="2072" width="7.7109375" style="847" customWidth="1"/>
    <col min="2073" max="2073" width="1.7109375" style="847" customWidth="1"/>
    <col min="2074" max="2304" width="9.140625" style="847"/>
    <col min="2305" max="2305" width="11.85546875" style="847" customWidth="1"/>
    <col min="2306" max="2307" width="7.7109375" style="847" customWidth="1"/>
    <col min="2308" max="2308" width="1.7109375" style="847" customWidth="1"/>
    <col min="2309" max="2310" width="7.7109375" style="847" customWidth="1"/>
    <col min="2311" max="2311" width="1.7109375" style="847" customWidth="1"/>
    <col min="2312" max="2312" width="6.7109375" style="847" customWidth="1"/>
    <col min="2313" max="2313" width="7.7109375" style="847" customWidth="1"/>
    <col min="2314" max="2314" width="1.7109375" style="847" customWidth="1"/>
    <col min="2315" max="2315" width="6.7109375" style="847" customWidth="1"/>
    <col min="2316" max="2316" width="7.7109375" style="847" customWidth="1"/>
    <col min="2317" max="2317" width="1.7109375" style="847" customWidth="1"/>
    <col min="2318" max="2318" width="6.7109375" style="847" customWidth="1"/>
    <col min="2319" max="2319" width="7.7109375" style="847" customWidth="1"/>
    <col min="2320" max="2320" width="1.7109375" style="847" customWidth="1"/>
    <col min="2321" max="2321" width="6.7109375" style="847" customWidth="1"/>
    <col min="2322" max="2322" width="7.7109375" style="847" customWidth="1"/>
    <col min="2323" max="2323" width="1.7109375" style="847" customWidth="1"/>
    <col min="2324" max="2324" width="6.7109375" style="847" customWidth="1"/>
    <col min="2325" max="2325" width="7.7109375" style="847" customWidth="1"/>
    <col min="2326" max="2326" width="1.85546875" style="847" customWidth="1"/>
    <col min="2327" max="2327" width="6.7109375" style="847" customWidth="1"/>
    <col min="2328" max="2328" width="7.7109375" style="847" customWidth="1"/>
    <col min="2329" max="2329" width="1.7109375" style="847" customWidth="1"/>
    <col min="2330" max="2560" width="9.140625" style="847"/>
    <col min="2561" max="2561" width="11.85546875" style="847" customWidth="1"/>
    <col min="2562" max="2563" width="7.7109375" style="847" customWidth="1"/>
    <col min="2564" max="2564" width="1.7109375" style="847" customWidth="1"/>
    <col min="2565" max="2566" width="7.7109375" style="847" customWidth="1"/>
    <col min="2567" max="2567" width="1.7109375" style="847" customWidth="1"/>
    <col min="2568" max="2568" width="6.7109375" style="847" customWidth="1"/>
    <col min="2569" max="2569" width="7.7109375" style="847" customWidth="1"/>
    <col min="2570" max="2570" width="1.7109375" style="847" customWidth="1"/>
    <col min="2571" max="2571" width="6.7109375" style="847" customWidth="1"/>
    <col min="2572" max="2572" width="7.7109375" style="847" customWidth="1"/>
    <col min="2573" max="2573" width="1.7109375" style="847" customWidth="1"/>
    <col min="2574" max="2574" width="6.7109375" style="847" customWidth="1"/>
    <col min="2575" max="2575" width="7.7109375" style="847" customWidth="1"/>
    <col min="2576" max="2576" width="1.7109375" style="847" customWidth="1"/>
    <col min="2577" max="2577" width="6.7109375" style="847" customWidth="1"/>
    <col min="2578" max="2578" width="7.7109375" style="847" customWidth="1"/>
    <col min="2579" max="2579" width="1.7109375" style="847" customWidth="1"/>
    <col min="2580" max="2580" width="6.7109375" style="847" customWidth="1"/>
    <col min="2581" max="2581" width="7.7109375" style="847" customWidth="1"/>
    <col min="2582" max="2582" width="1.85546875" style="847" customWidth="1"/>
    <col min="2583" max="2583" width="6.7109375" style="847" customWidth="1"/>
    <col min="2584" max="2584" width="7.7109375" style="847" customWidth="1"/>
    <col min="2585" max="2585" width="1.7109375" style="847" customWidth="1"/>
    <col min="2586" max="2816" width="9.140625" style="847"/>
    <col min="2817" max="2817" width="11.85546875" style="847" customWidth="1"/>
    <col min="2818" max="2819" width="7.7109375" style="847" customWidth="1"/>
    <col min="2820" max="2820" width="1.7109375" style="847" customWidth="1"/>
    <col min="2821" max="2822" width="7.7109375" style="847" customWidth="1"/>
    <col min="2823" max="2823" width="1.7109375" style="847" customWidth="1"/>
    <col min="2824" max="2824" width="6.7109375" style="847" customWidth="1"/>
    <col min="2825" max="2825" width="7.7109375" style="847" customWidth="1"/>
    <col min="2826" max="2826" width="1.7109375" style="847" customWidth="1"/>
    <col min="2827" max="2827" width="6.7109375" style="847" customWidth="1"/>
    <col min="2828" max="2828" width="7.7109375" style="847" customWidth="1"/>
    <col min="2829" max="2829" width="1.7109375" style="847" customWidth="1"/>
    <col min="2830" max="2830" width="6.7109375" style="847" customWidth="1"/>
    <col min="2831" max="2831" width="7.7109375" style="847" customWidth="1"/>
    <col min="2832" max="2832" width="1.7109375" style="847" customWidth="1"/>
    <col min="2833" max="2833" width="6.7109375" style="847" customWidth="1"/>
    <col min="2834" max="2834" width="7.7109375" style="847" customWidth="1"/>
    <col min="2835" max="2835" width="1.7109375" style="847" customWidth="1"/>
    <col min="2836" max="2836" width="6.7109375" style="847" customWidth="1"/>
    <col min="2837" max="2837" width="7.7109375" style="847" customWidth="1"/>
    <col min="2838" max="2838" width="1.85546875" style="847" customWidth="1"/>
    <col min="2839" max="2839" width="6.7109375" style="847" customWidth="1"/>
    <col min="2840" max="2840" width="7.7109375" style="847" customWidth="1"/>
    <col min="2841" max="2841" width="1.7109375" style="847" customWidth="1"/>
    <col min="2842" max="3072" width="9.140625" style="847"/>
    <col min="3073" max="3073" width="11.85546875" style="847" customWidth="1"/>
    <col min="3074" max="3075" width="7.7109375" style="847" customWidth="1"/>
    <col min="3076" max="3076" width="1.7109375" style="847" customWidth="1"/>
    <col min="3077" max="3078" width="7.7109375" style="847" customWidth="1"/>
    <col min="3079" max="3079" width="1.7109375" style="847" customWidth="1"/>
    <col min="3080" max="3080" width="6.7109375" style="847" customWidth="1"/>
    <col min="3081" max="3081" width="7.7109375" style="847" customWidth="1"/>
    <col min="3082" max="3082" width="1.7109375" style="847" customWidth="1"/>
    <col min="3083" max="3083" width="6.7109375" style="847" customWidth="1"/>
    <col min="3084" max="3084" width="7.7109375" style="847" customWidth="1"/>
    <col min="3085" max="3085" width="1.7109375" style="847" customWidth="1"/>
    <col min="3086" max="3086" width="6.7109375" style="847" customWidth="1"/>
    <col min="3087" max="3087" width="7.7109375" style="847" customWidth="1"/>
    <col min="3088" max="3088" width="1.7109375" style="847" customWidth="1"/>
    <col min="3089" max="3089" width="6.7109375" style="847" customWidth="1"/>
    <col min="3090" max="3090" width="7.7109375" style="847" customWidth="1"/>
    <col min="3091" max="3091" width="1.7109375" style="847" customWidth="1"/>
    <col min="3092" max="3092" width="6.7109375" style="847" customWidth="1"/>
    <col min="3093" max="3093" width="7.7109375" style="847" customWidth="1"/>
    <col min="3094" max="3094" width="1.85546875" style="847" customWidth="1"/>
    <col min="3095" max="3095" width="6.7109375" style="847" customWidth="1"/>
    <col min="3096" max="3096" width="7.7109375" style="847" customWidth="1"/>
    <col min="3097" max="3097" width="1.7109375" style="847" customWidth="1"/>
    <col min="3098" max="3328" width="9.140625" style="847"/>
    <col min="3329" max="3329" width="11.85546875" style="847" customWidth="1"/>
    <col min="3330" max="3331" width="7.7109375" style="847" customWidth="1"/>
    <col min="3332" max="3332" width="1.7109375" style="847" customWidth="1"/>
    <col min="3333" max="3334" width="7.7109375" style="847" customWidth="1"/>
    <col min="3335" max="3335" width="1.7109375" style="847" customWidth="1"/>
    <col min="3336" max="3336" width="6.7109375" style="847" customWidth="1"/>
    <col min="3337" max="3337" width="7.7109375" style="847" customWidth="1"/>
    <col min="3338" max="3338" width="1.7109375" style="847" customWidth="1"/>
    <col min="3339" max="3339" width="6.7109375" style="847" customWidth="1"/>
    <col min="3340" max="3340" width="7.7109375" style="847" customWidth="1"/>
    <col min="3341" max="3341" width="1.7109375" style="847" customWidth="1"/>
    <col min="3342" max="3342" width="6.7109375" style="847" customWidth="1"/>
    <col min="3343" max="3343" width="7.7109375" style="847" customWidth="1"/>
    <col min="3344" max="3344" width="1.7109375" style="847" customWidth="1"/>
    <col min="3345" max="3345" width="6.7109375" style="847" customWidth="1"/>
    <col min="3346" max="3346" width="7.7109375" style="847" customWidth="1"/>
    <col min="3347" max="3347" width="1.7109375" style="847" customWidth="1"/>
    <col min="3348" max="3348" width="6.7109375" style="847" customWidth="1"/>
    <col min="3349" max="3349" width="7.7109375" style="847" customWidth="1"/>
    <col min="3350" max="3350" width="1.85546875" style="847" customWidth="1"/>
    <col min="3351" max="3351" width="6.7109375" style="847" customWidth="1"/>
    <col min="3352" max="3352" width="7.7109375" style="847" customWidth="1"/>
    <col min="3353" max="3353" width="1.7109375" style="847" customWidth="1"/>
    <col min="3354" max="3584" width="9.140625" style="847"/>
    <col min="3585" max="3585" width="11.85546875" style="847" customWidth="1"/>
    <col min="3586" max="3587" width="7.7109375" style="847" customWidth="1"/>
    <col min="3588" max="3588" width="1.7109375" style="847" customWidth="1"/>
    <col min="3589" max="3590" width="7.7109375" style="847" customWidth="1"/>
    <col min="3591" max="3591" width="1.7109375" style="847" customWidth="1"/>
    <col min="3592" max="3592" width="6.7109375" style="847" customWidth="1"/>
    <col min="3593" max="3593" width="7.7109375" style="847" customWidth="1"/>
    <col min="3594" max="3594" width="1.7109375" style="847" customWidth="1"/>
    <col min="3595" max="3595" width="6.7109375" style="847" customWidth="1"/>
    <col min="3596" max="3596" width="7.7109375" style="847" customWidth="1"/>
    <col min="3597" max="3597" width="1.7109375" style="847" customWidth="1"/>
    <col min="3598" max="3598" width="6.7109375" style="847" customWidth="1"/>
    <col min="3599" max="3599" width="7.7109375" style="847" customWidth="1"/>
    <col min="3600" max="3600" width="1.7109375" style="847" customWidth="1"/>
    <col min="3601" max="3601" width="6.7109375" style="847" customWidth="1"/>
    <col min="3602" max="3602" width="7.7109375" style="847" customWidth="1"/>
    <col min="3603" max="3603" width="1.7109375" style="847" customWidth="1"/>
    <col min="3604" max="3604" width="6.7109375" style="847" customWidth="1"/>
    <col min="3605" max="3605" width="7.7109375" style="847" customWidth="1"/>
    <col min="3606" max="3606" width="1.85546875" style="847" customWidth="1"/>
    <col min="3607" max="3607" width="6.7109375" style="847" customWidth="1"/>
    <col min="3608" max="3608" width="7.7109375" style="847" customWidth="1"/>
    <col min="3609" max="3609" width="1.7109375" style="847" customWidth="1"/>
    <col min="3610" max="3840" width="9.140625" style="847"/>
    <col min="3841" max="3841" width="11.85546875" style="847" customWidth="1"/>
    <col min="3842" max="3843" width="7.7109375" style="847" customWidth="1"/>
    <col min="3844" max="3844" width="1.7109375" style="847" customWidth="1"/>
    <col min="3845" max="3846" width="7.7109375" style="847" customWidth="1"/>
    <col min="3847" max="3847" width="1.7109375" style="847" customWidth="1"/>
    <col min="3848" max="3848" width="6.7109375" style="847" customWidth="1"/>
    <col min="3849" max="3849" width="7.7109375" style="847" customWidth="1"/>
    <col min="3850" max="3850" width="1.7109375" style="847" customWidth="1"/>
    <col min="3851" max="3851" width="6.7109375" style="847" customWidth="1"/>
    <col min="3852" max="3852" width="7.7109375" style="847" customWidth="1"/>
    <col min="3853" max="3853" width="1.7109375" style="847" customWidth="1"/>
    <col min="3854" max="3854" width="6.7109375" style="847" customWidth="1"/>
    <col min="3855" max="3855" width="7.7109375" style="847" customWidth="1"/>
    <col min="3856" max="3856" width="1.7109375" style="847" customWidth="1"/>
    <col min="3857" max="3857" width="6.7109375" style="847" customWidth="1"/>
    <col min="3858" max="3858" width="7.7109375" style="847" customWidth="1"/>
    <col min="3859" max="3859" width="1.7109375" style="847" customWidth="1"/>
    <col min="3860" max="3860" width="6.7109375" style="847" customWidth="1"/>
    <col min="3861" max="3861" width="7.7109375" style="847" customWidth="1"/>
    <col min="3862" max="3862" width="1.85546875" style="847" customWidth="1"/>
    <col min="3863" max="3863" width="6.7109375" style="847" customWidth="1"/>
    <col min="3864" max="3864" width="7.7109375" style="847" customWidth="1"/>
    <col min="3865" max="3865" width="1.7109375" style="847" customWidth="1"/>
    <col min="3866" max="4096" width="9.140625" style="847"/>
    <col min="4097" max="4097" width="11.85546875" style="847" customWidth="1"/>
    <col min="4098" max="4099" width="7.7109375" style="847" customWidth="1"/>
    <col min="4100" max="4100" width="1.7109375" style="847" customWidth="1"/>
    <col min="4101" max="4102" width="7.7109375" style="847" customWidth="1"/>
    <col min="4103" max="4103" width="1.7109375" style="847" customWidth="1"/>
    <col min="4104" max="4104" width="6.7109375" style="847" customWidth="1"/>
    <col min="4105" max="4105" width="7.7109375" style="847" customWidth="1"/>
    <col min="4106" max="4106" width="1.7109375" style="847" customWidth="1"/>
    <col min="4107" max="4107" width="6.7109375" style="847" customWidth="1"/>
    <col min="4108" max="4108" width="7.7109375" style="847" customWidth="1"/>
    <col min="4109" max="4109" width="1.7109375" style="847" customWidth="1"/>
    <col min="4110" max="4110" width="6.7109375" style="847" customWidth="1"/>
    <col min="4111" max="4111" width="7.7109375" style="847" customWidth="1"/>
    <col min="4112" max="4112" width="1.7109375" style="847" customWidth="1"/>
    <col min="4113" max="4113" width="6.7109375" style="847" customWidth="1"/>
    <col min="4114" max="4114" width="7.7109375" style="847" customWidth="1"/>
    <col min="4115" max="4115" width="1.7109375" style="847" customWidth="1"/>
    <col min="4116" max="4116" width="6.7109375" style="847" customWidth="1"/>
    <col min="4117" max="4117" width="7.7109375" style="847" customWidth="1"/>
    <col min="4118" max="4118" width="1.85546875" style="847" customWidth="1"/>
    <col min="4119" max="4119" width="6.7109375" style="847" customWidth="1"/>
    <col min="4120" max="4120" width="7.7109375" style="847" customWidth="1"/>
    <col min="4121" max="4121" width="1.7109375" style="847" customWidth="1"/>
    <col min="4122" max="4352" width="9.140625" style="847"/>
    <col min="4353" max="4353" width="11.85546875" style="847" customWidth="1"/>
    <col min="4354" max="4355" width="7.7109375" style="847" customWidth="1"/>
    <col min="4356" max="4356" width="1.7109375" style="847" customWidth="1"/>
    <col min="4357" max="4358" width="7.7109375" style="847" customWidth="1"/>
    <col min="4359" max="4359" width="1.7109375" style="847" customWidth="1"/>
    <col min="4360" max="4360" width="6.7109375" style="847" customWidth="1"/>
    <col min="4361" max="4361" width="7.7109375" style="847" customWidth="1"/>
    <col min="4362" max="4362" width="1.7109375" style="847" customWidth="1"/>
    <col min="4363" max="4363" width="6.7109375" style="847" customWidth="1"/>
    <col min="4364" max="4364" width="7.7109375" style="847" customWidth="1"/>
    <col min="4365" max="4365" width="1.7109375" style="847" customWidth="1"/>
    <col min="4366" max="4366" width="6.7109375" style="847" customWidth="1"/>
    <col min="4367" max="4367" width="7.7109375" style="847" customWidth="1"/>
    <col min="4368" max="4368" width="1.7109375" style="847" customWidth="1"/>
    <col min="4369" max="4369" width="6.7109375" style="847" customWidth="1"/>
    <col min="4370" max="4370" width="7.7109375" style="847" customWidth="1"/>
    <col min="4371" max="4371" width="1.7109375" style="847" customWidth="1"/>
    <col min="4372" max="4372" width="6.7109375" style="847" customWidth="1"/>
    <col min="4373" max="4373" width="7.7109375" style="847" customWidth="1"/>
    <col min="4374" max="4374" width="1.85546875" style="847" customWidth="1"/>
    <col min="4375" max="4375" width="6.7109375" style="847" customWidth="1"/>
    <col min="4376" max="4376" width="7.7109375" style="847" customWidth="1"/>
    <col min="4377" max="4377" width="1.7109375" style="847" customWidth="1"/>
    <col min="4378" max="4608" width="9.140625" style="847"/>
    <col min="4609" max="4609" width="11.85546875" style="847" customWidth="1"/>
    <col min="4610" max="4611" width="7.7109375" style="847" customWidth="1"/>
    <col min="4612" max="4612" width="1.7109375" style="847" customWidth="1"/>
    <col min="4613" max="4614" width="7.7109375" style="847" customWidth="1"/>
    <col min="4615" max="4615" width="1.7109375" style="847" customWidth="1"/>
    <col min="4616" max="4616" width="6.7109375" style="847" customWidth="1"/>
    <col min="4617" max="4617" width="7.7109375" style="847" customWidth="1"/>
    <col min="4618" max="4618" width="1.7109375" style="847" customWidth="1"/>
    <col min="4619" max="4619" width="6.7109375" style="847" customWidth="1"/>
    <col min="4620" max="4620" width="7.7109375" style="847" customWidth="1"/>
    <col min="4621" max="4621" width="1.7109375" style="847" customWidth="1"/>
    <col min="4622" max="4622" width="6.7109375" style="847" customWidth="1"/>
    <col min="4623" max="4623" width="7.7109375" style="847" customWidth="1"/>
    <col min="4624" max="4624" width="1.7109375" style="847" customWidth="1"/>
    <col min="4625" max="4625" width="6.7109375" style="847" customWidth="1"/>
    <col min="4626" max="4626" width="7.7109375" style="847" customWidth="1"/>
    <col min="4627" max="4627" width="1.7109375" style="847" customWidth="1"/>
    <col min="4628" max="4628" width="6.7109375" style="847" customWidth="1"/>
    <col min="4629" max="4629" width="7.7109375" style="847" customWidth="1"/>
    <col min="4630" max="4630" width="1.85546875" style="847" customWidth="1"/>
    <col min="4631" max="4631" width="6.7109375" style="847" customWidth="1"/>
    <col min="4632" max="4632" width="7.7109375" style="847" customWidth="1"/>
    <col min="4633" max="4633" width="1.7109375" style="847" customWidth="1"/>
    <col min="4634" max="4864" width="9.140625" style="847"/>
    <col min="4865" max="4865" width="11.85546875" style="847" customWidth="1"/>
    <col min="4866" max="4867" width="7.7109375" style="847" customWidth="1"/>
    <col min="4868" max="4868" width="1.7109375" style="847" customWidth="1"/>
    <col min="4869" max="4870" width="7.7109375" style="847" customWidth="1"/>
    <col min="4871" max="4871" width="1.7109375" style="847" customWidth="1"/>
    <col min="4872" max="4872" width="6.7109375" style="847" customWidth="1"/>
    <col min="4873" max="4873" width="7.7109375" style="847" customWidth="1"/>
    <col min="4874" max="4874" width="1.7109375" style="847" customWidth="1"/>
    <col min="4875" max="4875" width="6.7109375" style="847" customWidth="1"/>
    <col min="4876" max="4876" width="7.7109375" style="847" customWidth="1"/>
    <col min="4877" max="4877" width="1.7109375" style="847" customWidth="1"/>
    <col min="4878" max="4878" width="6.7109375" style="847" customWidth="1"/>
    <col min="4879" max="4879" width="7.7109375" style="847" customWidth="1"/>
    <col min="4880" max="4880" width="1.7109375" style="847" customWidth="1"/>
    <col min="4881" max="4881" width="6.7109375" style="847" customWidth="1"/>
    <col min="4882" max="4882" width="7.7109375" style="847" customWidth="1"/>
    <col min="4883" max="4883" width="1.7109375" style="847" customWidth="1"/>
    <col min="4884" max="4884" width="6.7109375" style="847" customWidth="1"/>
    <col min="4885" max="4885" width="7.7109375" style="847" customWidth="1"/>
    <col min="4886" max="4886" width="1.85546875" style="847" customWidth="1"/>
    <col min="4887" max="4887" width="6.7109375" style="847" customWidth="1"/>
    <col min="4888" max="4888" width="7.7109375" style="847" customWidth="1"/>
    <col min="4889" max="4889" width="1.7109375" style="847" customWidth="1"/>
    <col min="4890" max="5120" width="9.140625" style="847"/>
    <col min="5121" max="5121" width="11.85546875" style="847" customWidth="1"/>
    <col min="5122" max="5123" width="7.7109375" style="847" customWidth="1"/>
    <col min="5124" max="5124" width="1.7109375" style="847" customWidth="1"/>
    <col min="5125" max="5126" width="7.7109375" style="847" customWidth="1"/>
    <col min="5127" max="5127" width="1.7109375" style="847" customWidth="1"/>
    <col min="5128" max="5128" width="6.7109375" style="847" customWidth="1"/>
    <col min="5129" max="5129" width="7.7109375" style="847" customWidth="1"/>
    <col min="5130" max="5130" width="1.7109375" style="847" customWidth="1"/>
    <col min="5131" max="5131" width="6.7109375" style="847" customWidth="1"/>
    <col min="5132" max="5132" width="7.7109375" style="847" customWidth="1"/>
    <col min="5133" max="5133" width="1.7109375" style="847" customWidth="1"/>
    <col min="5134" max="5134" width="6.7109375" style="847" customWidth="1"/>
    <col min="5135" max="5135" width="7.7109375" style="847" customWidth="1"/>
    <col min="5136" max="5136" width="1.7109375" style="847" customWidth="1"/>
    <col min="5137" max="5137" width="6.7109375" style="847" customWidth="1"/>
    <col min="5138" max="5138" width="7.7109375" style="847" customWidth="1"/>
    <col min="5139" max="5139" width="1.7109375" style="847" customWidth="1"/>
    <col min="5140" max="5140" width="6.7109375" style="847" customWidth="1"/>
    <col min="5141" max="5141" width="7.7109375" style="847" customWidth="1"/>
    <col min="5142" max="5142" width="1.85546875" style="847" customWidth="1"/>
    <col min="5143" max="5143" width="6.7109375" style="847" customWidth="1"/>
    <col min="5144" max="5144" width="7.7109375" style="847" customWidth="1"/>
    <col min="5145" max="5145" width="1.7109375" style="847" customWidth="1"/>
    <col min="5146" max="5376" width="9.140625" style="847"/>
    <col min="5377" max="5377" width="11.85546875" style="847" customWidth="1"/>
    <col min="5378" max="5379" width="7.7109375" style="847" customWidth="1"/>
    <col min="5380" max="5380" width="1.7109375" style="847" customWidth="1"/>
    <col min="5381" max="5382" width="7.7109375" style="847" customWidth="1"/>
    <col min="5383" max="5383" width="1.7109375" style="847" customWidth="1"/>
    <col min="5384" max="5384" width="6.7109375" style="847" customWidth="1"/>
    <col min="5385" max="5385" width="7.7109375" style="847" customWidth="1"/>
    <col min="5386" max="5386" width="1.7109375" style="847" customWidth="1"/>
    <col min="5387" max="5387" width="6.7109375" style="847" customWidth="1"/>
    <col min="5388" max="5388" width="7.7109375" style="847" customWidth="1"/>
    <col min="5389" max="5389" width="1.7109375" style="847" customWidth="1"/>
    <col min="5390" max="5390" width="6.7109375" style="847" customWidth="1"/>
    <col min="5391" max="5391" width="7.7109375" style="847" customWidth="1"/>
    <col min="5392" max="5392" width="1.7109375" style="847" customWidth="1"/>
    <col min="5393" max="5393" width="6.7109375" style="847" customWidth="1"/>
    <col min="5394" max="5394" width="7.7109375" style="847" customWidth="1"/>
    <col min="5395" max="5395" width="1.7109375" style="847" customWidth="1"/>
    <col min="5396" max="5396" width="6.7109375" style="847" customWidth="1"/>
    <col min="5397" max="5397" width="7.7109375" style="847" customWidth="1"/>
    <col min="5398" max="5398" width="1.85546875" style="847" customWidth="1"/>
    <col min="5399" max="5399" width="6.7109375" style="847" customWidth="1"/>
    <col min="5400" max="5400" width="7.7109375" style="847" customWidth="1"/>
    <col min="5401" max="5401" width="1.7109375" style="847" customWidth="1"/>
    <col min="5402" max="5632" width="9.140625" style="847"/>
    <col min="5633" max="5633" width="11.85546875" style="847" customWidth="1"/>
    <col min="5634" max="5635" width="7.7109375" style="847" customWidth="1"/>
    <col min="5636" max="5636" width="1.7109375" style="847" customWidth="1"/>
    <col min="5637" max="5638" width="7.7109375" style="847" customWidth="1"/>
    <col min="5639" max="5639" width="1.7109375" style="847" customWidth="1"/>
    <col min="5640" max="5640" width="6.7109375" style="847" customWidth="1"/>
    <col min="5641" max="5641" width="7.7109375" style="847" customWidth="1"/>
    <col min="5642" max="5642" width="1.7109375" style="847" customWidth="1"/>
    <col min="5643" max="5643" width="6.7109375" style="847" customWidth="1"/>
    <col min="5644" max="5644" width="7.7109375" style="847" customWidth="1"/>
    <col min="5645" max="5645" width="1.7109375" style="847" customWidth="1"/>
    <col min="5646" max="5646" width="6.7109375" style="847" customWidth="1"/>
    <col min="5647" max="5647" width="7.7109375" style="847" customWidth="1"/>
    <col min="5648" max="5648" width="1.7109375" style="847" customWidth="1"/>
    <col min="5649" max="5649" width="6.7109375" style="847" customWidth="1"/>
    <col min="5650" max="5650" width="7.7109375" style="847" customWidth="1"/>
    <col min="5651" max="5651" width="1.7109375" style="847" customWidth="1"/>
    <col min="5652" max="5652" width="6.7109375" style="847" customWidth="1"/>
    <col min="5653" max="5653" width="7.7109375" style="847" customWidth="1"/>
    <col min="5654" max="5654" width="1.85546875" style="847" customWidth="1"/>
    <col min="5655" max="5655" width="6.7109375" style="847" customWidth="1"/>
    <col min="5656" max="5656" width="7.7109375" style="847" customWidth="1"/>
    <col min="5657" max="5657" width="1.7109375" style="847" customWidth="1"/>
    <col min="5658" max="5888" width="9.140625" style="847"/>
    <col min="5889" max="5889" width="11.85546875" style="847" customWidth="1"/>
    <col min="5890" max="5891" width="7.7109375" style="847" customWidth="1"/>
    <col min="5892" max="5892" width="1.7109375" style="847" customWidth="1"/>
    <col min="5893" max="5894" width="7.7109375" style="847" customWidth="1"/>
    <col min="5895" max="5895" width="1.7109375" style="847" customWidth="1"/>
    <col min="5896" max="5896" width="6.7109375" style="847" customWidth="1"/>
    <col min="5897" max="5897" width="7.7109375" style="847" customWidth="1"/>
    <col min="5898" max="5898" width="1.7109375" style="847" customWidth="1"/>
    <col min="5899" max="5899" width="6.7109375" style="847" customWidth="1"/>
    <col min="5900" max="5900" width="7.7109375" style="847" customWidth="1"/>
    <col min="5901" max="5901" width="1.7109375" style="847" customWidth="1"/>
    <col min="5902" max="5902" width="6.7109375" style="847" customWidth="1"/>
    <col min="5903" max="5903" width="7.7109375" style="847" customWidth="1"/>
    <col min="5904" max="5904" width="1.7109375" style="847" customWidth="1"/>
    <col min="5905" max="5905" width="6.7109375" style="847" customWidth="1"/>
    <col min="5906" max="5906" width="7.7109375" style="847" customWidth="1"/>
    <col min="5907" max="5907" width="1.7109375" style="847" customWidth="1"/>
    <col min="5908" max="5908" width="6.7109375" style="847" customWidth="1"/>
    <col min="5909" max="5909" width="7.7109375" style="847" customWidth="1"/>
    <col min="5910" max="5910" width="1.85546875" style="847" customWidth="1"/>
    <col min="5911" max="5911" width="6.7109375" style="847" customWidth="1"/>
    <col min="5912" max="5912" width="7.7109375" style="847" customWidth="1"/>
    <col min="5913" max="5913" width="1.7109375" style="847" customWidth="1"/>
    <col min="5914" max="6144" width="9.140625" style="847"/>
    <col min="6145" max="6145" width="11.85546875" style="847" customWidth="1"/>
    <col min="6146" max="6147" width="7.7109375" style="847" customWidth="1"/>
    <col min="6148" max="6148" width="1.7109375" style="847" customWidth="1"/>
    <col min="6149" max="6150" width="7.7109375" style="847" customWidth="1"/>
    <col min="6151" max="6151" width="1.7109375" style="847" customWidth="1"/>
    <col min="6152" max="6152" width="6.7109375" style="847" customWidth="1"/>
    <col min="6153" max="6153" width="7.7109375" style="847" customWidth="1"/>
    <col min="6154" max="6154" width="1.7109375" style="847" customWidth="1"/>
    <col min="6155" max="6155" width="6.7109375" style="847" customWidth="1"/>
    <col min="6156" max="6156" width="7.7109375" style="847" customWidth="1"/>
    <col min="6157" max="6157" width="1.7109375" style="847" customWidth="1"/>
    <col min="6158" max="6158" width="6.7109375" style="847" customWidth="1"/>
    <col min="6159" max="6159" width="7.7109375" style="847" customWidth="1"/>
    <col min="6160" max="6160" width="1.7109375" style="847" customWidth="1"/>
    <col min="6161" max="6161" width="6.7109375" style="847" customWidth="1"/>
    <col min="6162" max="6162" width="7.7109375" style="847" customWidth="1"/>
    <col min="6163" max="6163" width="1.7109375" style="847" customWidth="1"/>
    <col min="6164" max="6164" width="6.7109375" style="847" customWidth="1"/>
    <col min="6165" max="6165" width="7.7109375" style="847" customWidth="1"/>
    <col min="6166" max="6166" width="1.85546875" style="847" customWidth="1"/>
    <col min="6167" max="6167" width="6.7109375" style="847" customWidth="1"/>
    <col min="6168" max="6168" width="7.7109375" style="847" customWidth="1"/>
    <col min="6169" max="6169" width="1.7109375" style="847" customWidth="1"/>
    <col min="6170" max="6400" width="9.140625" style="847"/>
    <col min="6401" max="6401" width="11.85546875" style="847" customWidth="1"/>
    <col min="6402" max="6403" width="7.7109375" style="847" customWidth="1"/>
    <col min="6404" max="6404" width="1.7109375" style="847" customWidth="1"/>
    <col min="6405" max="6406" width="7.7109375" style="847" customWidth="1"/>
    <col min="6407" max="6407" width="1.7109375" style="847" customWidth="1"/>
    <col min="6408" max="6408" width="6.7109375" style="847" customWidth="1"/>
    <col min="6409" max="6409" width="7.7109375" style="847" customWidth="1"/>
    <col min="6410" max="6410" width="1.7109375" style="847" customWidth="1"/>
    <col min="6411" max="6411" width="6.7109375" style="847" customWidth="1"/>
    <col min="6412" max="6412" width="7.7109375" style="847" customWidth="1"/>
    <col min="6413" max="6413" width="1.7109375" style="847" customWidth="1"/>
    <col min="6414" max="6414" width="6.7109375" style="847" customWidth="1"/>
    <col min="6415" max="6415" width="7.7109375" style="847" customWidth="1"/>
    <col min="6416" max="6416" width="1.7109375" style="847" customWidth="1"/>
    <col min="6417" max="6417" width="6.7109375" style="847" customWidth="1"/>
    <col min="6418" max="6418" width="7.7109375" style="847" customWidth="1"/>
    <col min="6419" max="6419" width="1.7109375" style="847" customWidth="1"/>
    <col min="6420" max="6420" width="6.7109375" style="847" customWidth="1"/>
    <col min="6421" max="6421" width="7.7109375" style="847" customWidth="1"/>
    <col min="6422" max="6422" width="1.85546875" style="847" customWidth="1"/>
    <col min="6423" max="6423" width="6.7109375" style="847" customWidth="1"/>
    <col min="6424" max="6424" width="7.7109375" style="847" customWidth="1"/>
    <col min="6425" max="6425" width="1.7109375" style="847" customWidth="1"/>
    <col min="6426" max="6656" width="9.140625" style="847"/>
    <col min="6657" max="6657" width="11.85546875" style="847" customWidth="1"/>
    <col min="6658" max="6659" width="7.7109375" style="847" customWidth="1"/>
    <col min="6660" max="6660" width="1.7109375" style="847" customWidth="1"/>
    <col min="6661" max="6662" width="7.7109375" style="847" customWidth="1"/>
    <col min="6663" max="6663" width="1.7109375" style="847" customWidth="1"/>
    <col min="6664" max="6664" width="6.7109375" style="847" customWidth="1"/>
    <col min="6665" max="6665" width="7.7109375" style="847" customWidth="1"/>
    <col min="6666" max="6666" width="1.7109375" style="847" customWidth="1"/>
    <col min="6667" max="6667" width="6.7109375" style="847" customWidth="1"/>
    <col min="6668" max="6668" width="7.7109375" style="847" customWidth="1"/>
    <col min="6669" max="6669" width="1.7109375" style="847" customWidth="1"/>
    <col min="6670" max="6670" width="6.7109375" style="847" customWidth="1"/>
    <col min="6671" max="6671" width="7.7109375" style="847" customWidth="1"/>
    <col min="6672" max="6672" width="1.7109375" style="847" customWidth="1"/>
    <col min="6673" max="6673" width="6.7109375" style="847" customWidth="1"/>
    <col min="6674" max="6674" width="7.7109375" style="847" customWidth="1"/>
    <col min="6675" max="6675" width="1.7109375" style="847" customWidth="1"/>
    <col min="6676" max="6676" width="6.7109375" style="847" customWidth="1"/>
    <col min="6677" max="6677" width="7.7109375" style="847" customWidth="1"/>
    <col min="6678" max="6678" width="1.85546875" style="847" customWidth="1"/>
    <col min="6679" max="6679" width="6.7109375" style="847" customWidth="1"/>
    <col min="6680" max="6680" width="7.7109375" style="847" customWidth="1"/>
    <col min="6681" max="6681" width="1.7109375" style="847" customWidth="1"/>
    <col min="6682" max="6912" width="9.140625" style="847"/>
    <col min="6913" max="6913" width="11.85546875" style="847" customWidth="1"/>
    <col min="6914" max="6915" width="7.7109375" style="847" customWidth="1"/>
    <col min="6916" max="6916" width="1.7109375" style="847" customWidth="1"/>
    <col min="6917" max="6918" width="7.7109375" style="847" customWidth="1"/>
    <col min="6919" max="6919" width="1.7109375" style="847" customWidth="1"/>
    <col min="6920" max="6920" width="6.7109375" style="847" customWidth="1"/>
    <col min="6921" max="6921" width="7.7109375" style="847" customWidth="1"/>
    <col min="6922" max="6922" width="1.7109375" style="847" customWidth="1"/>
    <col min="6923" max="6923" width="6.7109375" style="847" customWidth="1"/>
    <col min="6924" max="6924" width="7.7109375" style="847" customWidth="1"/>
    <col min="6925" max="6925" width="1.7109375" style="847" customWidth="1"/>
    <col min="6926" max="6926" width="6.7109375" style="847" customWidth="1"/>
    <col min="6927" max="6927" width="7.7109375" style="847" customWidth="1"/>
    <col min="6928" max="6928" width="1.7109375" style="847" customWidth="1"/>
    <col min="6929" max="6929" width="6.7109375" style="847" customWidth="1"/>
    <col min="6930" max="6930" width="7.7109375" style="847" customWidth="1"/>
    <col min="6931" max="6931" width="1.7109375" style="847" customWidth="1"/>
    <col min="6932" max="6932" width="6.7109375" style="847" customWidth="1"/>
    <col min="6933" max="6933" width="7.7109375" style="847" customWidth="1"/>
    <col min="6934" max="6934" width="1.85546875" style="847" customWidth="1"/>
    <col min="6935" max="6935" width="6.7109375" style="847" customWidth="1"/>
    <col min="6936" max="6936" width="7.7109375" style="847" customWidth="1"/>
    <col min="6937" max="6937" width="1.7109375" style="847" customWidth="1"/>
    <col min="6938" max="7168" width="9.140625" style="847"/>
    <col min="7169" max="7169" width="11.85546875" style="847" customWidth="1"/>
    <col min="7170" max="7171" width="7.7109375" style="847" customWidth="1"/>
    <col min="7172" max="7172" width="1.7109375" style="847" customWidth="1"/>
    <col min="7173" max="7174" width="7.7109375" style="847" customWidth="1"/>
    <col min="7175" max="7175" width="1.7109375" style="847" customWidth="1"/>
    <col min="7176" max="7176" width="6.7109375" style="847" customWidth="1"/>
    <col min="7177" max="7177" width="7.7109375" style="847" customWidth="1"/>
    <col min="7178" max="7178" width="1.7109375" style="847" customWidth="1"/>
    <col min="7179" max="7179" width="6.7109375" style="847" customWidth="1"/>
    <col min="7180" max="7180" width="7.7109375" style="847" customWidth="1"/>
    <col min="7181" max="7181" width="1.7109375" style="847" customWidth="1"/>
    <col min="7182" max="7182" width="6.7109375" style="847" customWidth="1"/>
    <col min="7183" max="7183" width="7.7109375" style="847" customWidth="1"/>
    <col min="7184" max="7184" width="1.7109375" style="847" customWidth="1"/>
    <col min="7185" max="7185" width="6.7109375" style="847" customWidth="1"/>
    <col min="7186" max="7186" width="7.7109375" style="847" customWidth="1"/>
    <col min="7187" max="7187" width="1.7109375" style="847" customWidth="1"/>
    <col min="7188" max="7188" width="6.7109375" style="847" customWidth="1"/>
    <col min="7189" max="7189" width="7.7109375" style="847" customWidth="1"/>
    <col min="7190" max="7190" width="1.85546875" style="847" customWidth="1"/>
    <col min="7191" max="7191" width="6.7109375" style="847" customWidth="1"/>
    <col min="7192" max="7192" width="7.7109375" style="847" customWidth="1"/>
    <col min="7193" max="7193" width="1.7109375" style="847" customWidth="1"/>
    <col min="7194" max="7424" width="9.140625" style="847"/>
    <col min="7425" max="7425" width="11.85546875" style="847" customWidth="1"/>
    <col min="7426" max="7427" width="7.7109375" style="847" customWidth="1"/>
    <col min="7428" max="7428" width="1.7109375" style="847" customWidth="1"/>
    <col min="7429" max="7430" width="7.7109375" style="847" customWidth="1"/>
    <col min="7431" max="7431" width="1.7109375" style="847" customWidth="1"/>
    <col min="7432" max="7432" width="6.7109375" style="847" customWidth="1"/>
    <col min="7433" max="7433" width="7.7109375" style="847" customWidth="1"/>
    <col min="7434" max="7434" width="1.7109375" style="847" customWidth="1"/>
    <col min="7435" max="7435" width="6.7109375" style="847" customWidth="1"/>
    <col min="7436" max="7436" width="7.7109375" style="847" customWidth="1"/>
    <col min="7437" max="7437" width="1.7109375" style="847" customWidth="1"/>
    <col min="7438" max="7438" width="6.7109375" style="847" customWidth="1"/>
    <col min="7439" max="7439" width="7.7109375" style="847" customWidth="1"/>
    <col min="7440" max="7440" width="1.7109375" style="847" customWidth="1"/>
    <col min="7441" max="7441" width="6.7109375" style="847" customWidth="1"/>
    <col min="7442" max="7442" width="7.7109375" style="847" customWidth="1"/>
    <col min="7443" max="7443" width="1.7109375" style="847" customWidth="1"/>
    <col min="7444" max="7444" width="6.7109375" style="847" customWidth="1"/>
    <col min="7445" max="7445" width="7.7109375" style="847" customWidth="1"/>
    <col min="7446" max="7446" width="1.85546875" style="847" customWidth="1"/>
    <col min="7447" max="7447" width="6.7109375" style="847" customWidth="1"/>
    <col min="7448" max="7448" width="7.7109375" style="847" customWidth="1"/>
    <col min="7449" max="7449" width="1.7109375" style="847" customWidth="1"/>
    <col min="7450" max="7680" width="9.140625" style="847"/>
    <col min="7681" max="7681" width="11.85546875" style="847" customWidth="1"/>
    <col min="7682" max="7683" width="7.7109375" style="847" customWidth="1"/>
    <col min="7684" max="7684" width="1.7109375" style="847" customWidth="1"/>
    <col min="7685" max="7686" width="7.7109375" style="847" customWidth="1"/>
    <col min="7687" max="7687" width="1.7109375" style="847" customWidth="1"/>
    <col min="7688" max="7688" width="6.7109375" style="847" customWidth="1"/>
    <col min="7689" max="7689" width="7.7109375" style="847" customWidth="1"/>
    <col min="7690" max="7690" width="1.7109375" style="847" customWidth="1"/>
    <col min="7691" max="7691" width="6.7109375" style="847" customWidth="1"/>
    <col min="7692" max="7692" width="7.7109375" style="847" customWidth="1"/>
    <col min="7693" max="7693" width="1.7109375" style="847" customWidth="1"/>
    <col min="7694" max="7694" width="6.7109375" style="847" customWidth="1"/>
    <col min="7695" max="7695" width="7.7109375" style="847" customWidth="1"/>
    <col min="7696" max="7696" width="1.7109375" style="847" customWidth="1"/>
    <col min="7697" max="7697" width="6.7109375" style="847" customWidth="1"/>
    <col min="7698" max="7698" width="7.7109375" style="847" customWidth="1"/>
    <col min="7699" max="7699" width="1.7109375" style="847" customWidth="1"/>
    <col min="7700" max="7700" width="6.7109375" style="847" customWidth="1"/>
    <col min="7701" max="7701" width="7.7109375" style="847" customWidth="1"/>
    <col min="7702" max="7702" width="1.85546875" style="847" customWidth="1"/>
    <col min="7703" max="7703" width="6.7109375" style="847" customWidth="1"/>
    <col min="7704" max="7704" width="7.7109375" style="847" customWidth="1"/>
    <col min="7705" max="7705" width="1.7109375" style="847" customWidth="1"/>
    <col min="7706" max="7936" width="9.140625" style="847"/>
    <col min="7937" max="7937" width="11.85546875" style="847" customWidth="1"/>
    <col min="7938" max="7939" width="7.7109375" style="847" customWidth="1"/>
    <col min="7940" max="7940" width="1.7109375" style="847" customWidth="1"/>
    <col min="7941" max="7942" width="7.7109375" style="847" customWidth="1"/>
    <col min="7943" max="7943" width="1.7109375" style="847" customWidth="1"/>
    <col min="7944" max="7944" width="6.7109375" style="847" customWidth="1"/>
    <col min="7945" max="7945" width="7.7109375" style="847" customWidth="1"/>
    <col min="7946" max="7946" width="1.7109375" style="847" customWidth="1"/>
    <col min="7947" max="7947" width="6.7109375" style="847" customWidth="1"/>
    <col min="7948" max="7948" width="7.7109375" style="847" customWidth="1"/>
    <col min="7949" max="7949" width="1.7109375" style="847" customWidth="1"/>
    <col min="7950" max="7950" width="6.7109375" style="847" customWidth="1"/>
    <col min="7951" max="7951" width="7.7109375" style="847" customWidth="1"/>
    <col min="7952" max="7952" width="1.7109375" style="847" customWidth="1"/>
    <col min="7953" max="7953" width="6.7109375" style="847" customWidth="1"/>
    <col min="7954" max="7954" width="7.7109375" style="847" customWidth="1"/>
    <col min="7955" max="7955" width="1.7109375" style="847" customWidth="1"/>
    <col min="7956" max="7956" width="6.7109375" style="847" customWidth="1"/>
    <col min="7957" max="7957" width="7.7109375" style="847" customWidth="1"/>
    <col min="7958" max="7958" width="1.85546875" style="847" customWidth="1"/>
    <col min="7959" max="7959" width="6.7109375" style="847" customWidth="1"/>
    <col min="7960" max="7960" width="7.7109375" style="847" customWidth="1"/>
    <col min="7961" max="7961" width="1.7109375" style="847" customWidth="1"/>
    <col min="7962" max="8192" width="9.140625" style="847"/>
    <col min="8193" max="8193" width="11.85546875" style="847" customWidth="1"/>
    <col min="8194" max="8195" width="7.7109375" style="847" customWidth="1"/>
    <col min="8196" max="8196" width="1.7109375" style="847" customWidth="1"/>
    <col min="8197" max="8198" width="7.7109375" style="847" customWidth="1"/>
    <col min="8199" max="8199" width="1.7109375" style="847" customWidth="1"/>
    <col min="8200" max="8200" width="6.7109375" style="847" customWidth="1"/>
    <col min="8201" max="8201" width="7.7109375" style="847" customWidth="1"/>
    <col min="8202" max="8202" width="1.7109375" style="847" customWidth="1"/>
    <col min="8203" max="8203" width="6.7109375" style="847" customWidth="1"/>
    <col min="8204" max="8204" width="7.7109375" style="847" customWidth="1"/>
    <col min="8205" max="8205" width="1.7109375" style="847" customWidth="1"/>
    <col min="8206" max="8206" width="6.7109375" style="847" customWidth="1"/>
    <col min="8207" max="8207" width="7.7109375" style="847" customWidth="1"/>
    <col min="8208" max="8208" width="1.7109375" style="847" customWidth="1"/>
    <col min="8209" max="8209" width="6.7109375" style="847" customWidth="1"/>
    <col min="8210" max="8210" width="7.7109375" style="847" customWidth="1"/>
    <col min="8211" max="8211" width="1.7109375" style="847" customWidth="1"/>
    <col min="8212" max="8212" width="6.7109375" style="847" customWidth="1"/>
    <col min="8213" max="8213" width="7.7109375" style="847" customWidth="1"/>
    <col min="8214" max="8214" width="1.85546875" style="847" customWidth="1"/>
    <col min="8215" max="8215" width="6.7109375" style="847" customWidth="1"/>
    <col min="8216" max="8216" width="7.7109375" style="847" customWidth="1"/>
    <col min="8217" max="8217" width="1.7109375" style="847" customWidth="1"/>
    <col min="8218" max="8448" width="9.140625" style="847"/>
    <col min="8449" max="8449" width="11.85546875" style="847" customWidth="1"/>
    <col min="8450" max="8451" width="7.7109375" style="847" customWidth="1"/>
    <col min="8452" max="8452" width="1.7109375" style="847" customWidth="1"/>
    <col min="8453" max="8454" width="7.7109375" style="847" customWidth="1"/>
    <col min="8455" max="8455" width="1.7109375" style="847" customWidth="1"/>
    <col min="8456" max="8456" width="6.7109375" style="847" customWidth="1"/>
    <col min="8457" max="8457" width="7.7109375" style="847" customWidth="1"/>
    <col min="8458" max="8458" width="1.7109375" style="847" customWidth="1"/>
    <col min="8459" max="8459" width="6.7109375" style="847" customWidth="1"/>
    <col min="8460" max="8460" width="7.7109375" style="847" customWidth="1"/>
    <col min="8461" max="8461" width="1.7109375" style="847" customWidth="1"/>
    <col min="8462" max="8462" width="6.7109375" style="847" customWidth="1"/>
    <col min="8463" max="8463" width="7.7109375" style="847" customWidth="1"/>
    <col min="8464" max="8464" width="1.7109375" style="847" customWidth="1"/>
    <col min="8465" max="8465" width="6.7109375" style="847" customWidth="1"/>
    <col min="8466" max="8466" width="7.7109375" style="847" customWidth="1"/>
    <col min="8467" max="8467" width="1.7109375" style="847" customWidth="1"/>
    <col min="8468" max="8468" width="6.7109375" style="847" customWidth="1"/>
    <col min="8469" max="8469" width="7.7109375" style="847" customWidth="1"/>
    <col min="8470" max="8470" width="1.85546875" style="847" customWidth="1"/>
    <col min="8471" max="8471" width="6.7109375" style="847" customWidth="1"/>
    <col min="8472" max="8472" width="7.7109375" style="847" customWidth="1"/>
    <col min="8473" max="8473" width="1.7109375" style="847" customWidth="1"/>
    <col min="8474" max="8704" width="9.140625" style="847"/>
    <col min="8705" max="8705" width="11.85546875" style="847" customWidth="1"/>
    <col min="8706" max="8707" width="7.7109375" style="847" customWidth="1"/>
    <col min="8708" max="8708" width="1.7109375" style="847" customWidth="1"/>
    <col min="8709" max="8710" width="7.7109375" style="847" customWidth="1"/>
    <col min="8711" max="8711" width="1.7109375" style="847" customWidth="1"/>
    <col min="8712" max="8712" width="6.7109375" style="847" customWidth="1"/>
    <col min="8713" max="8713" width="7.7109375" style="847" customWidth="1"/>
    <col min="8714" max="8714" width="1.7109375" style="847" customWidth="1"/>
    <col min="8715" max="8715" width="6.7109375" style="847" customWidth="1"/>
    <col min="8716" max="8716" width="7.7109375" style="847" customWidth="1"/>
    <col min="8717" max="8717" width="1.7109375" style="847" customWidth="1"/>
    <col min="8718" max="8718" width="6.7109375" style="847" customWidth="1"/>
    <col min="8719" max="8719" width="7.7109375" style="847" customWidth="1"/>
    <col min="8720" max="8720" width="1.7109375" style="847" customWidth="1"/>
    <col min="8721" max="8721" width="6.7109375" style="847" customWidth="1"/>
    <col min="8722" max="8722" width="7.7109375" style="847" customWidth="1"/>
    <col min="8723" max="8723" width="1.7109375" style="847" customWidth="1"/>
    <col min="8724" max="8724" width="6.7109375" style="847" customWidth="1"/>
    <col min="8725" max="8725" width="7.7109375" style="847" customWidth="1"/>
    <col min="8726" max="8726" width="1.85546875" style="847" customWidth="1"/>
    <col min="8727" max="8727" width="6.7109375" style="847" customWidth="1"/>
    <col min="8728" max="8728" width="7.7109375" style="847" customWidth="1"/>
    <col min="8729" max="8729" width="1.7109375" style="847" customWidth="1"/>
    <col min="8730" max="8960" width="9.140625" style="847"/>
    <col min="8961" max="8961" width="11.85546875" style="847" customWidth="1"/>
    <col min="8962" max="8963" width="7.7109375" style="847" customWidth="1"/>
    <col min="8964" max="8964" width="1.7109375" style="847" customWidth="1"/>
    <col min="8965" max="8966" width="7.7109375" style="847" customWidth="1"/>
    <col min="8967" max="8967" width="1.7109375" style="847" customWidth="1"/>
    <col min="8968" max="8968" width="6.7109375" style="847" customWidth="1"/>
    <col min="8969" max="8969" width="7.7109375" style="847" customWidth="1"/>
    <col min="8970" max="8970" width="1.7109375" style="847" customWidth="1"/>
    <col min="8971" max="8971" width="6.7109375" style="847" customWidth="1"/>
    <col min="8972" max="8972" width="7.7109375" style="847" customWidth="1"/>
    <col min="8973" max="8973" width="1.7109375" style="847" customWidth="1"/>
    <col min="8974" max="8974" width="6.7109375" style="847" customWidth="1"/>
    <col min="8975" max="8975" width="7.7109375" style="847" customWidth="1"/>
    <col min="8976" max="8976" width="1.7109375" style="847" customWidth="1"/>
    <col min="8977" max="8977" width="6.7109375" style="847" customWidth="1"/>
    <col min="8978" max="8978" width="7.7109375" style="847" customWidth="1"/>
    <col min="8979" max="8979" width="1.7109375" style="847" customWidth="1"/>
    <col min="8980" max="8980" width="6.7109375" style="847" customWidth="1"/>
    <col min="8981" max="8981" width="7.7109375" style="847" customWidth="1"/>
    <col min="8982" max="8982" width="1.85546875" style="847" customWidth="1"/>
    <col min="8983" max="8983" width="6.7109375" style="847" customWidth="1"/>
    <col min="8984" max="8984" width="7.7109375" style="847" customWidth="1"/>
    <col min="8985" max="8985" width="1.7109375" style="847" customWidth="1"/>
    <col min="8986" max="9216" width="9.140625" style="847"/>
    <col min="9217" max="9217" width="11.85546875" style="847" customWidth="1"/>
    <col min="9218" max="9219" width="7.7109375" style="847" customWidth="1"/>
    <col min="9220" max="9220" width="1.7109375" style="847" customWidth="1"/>
    <col min="9221" max="9222" width="7.7109375" style="847" customWidth="1"/>
    <col min="9223" max="9223" width="1.7109375" style="847" customWidth="1"/>
    <col min="9224" max="9224" width="6.7109375" style="847" customWidth="1"/>
    <col min="9225" max="9225" width="7.7109375" style="847" customWidth="1"/>
    <col min="9226" max="9226" width="1.7109375" style="847" customWidth="1"/>
    <col min="9227" max="9227" width="6.7109375" style="847" customWidth="1"/>
    <col min="9228" max="9228" width="7.7109375" style="847" customWidth="1"/>
    <col min="9229" max="9229" width="1.7109375" style="847" customWidth="1"/>
    <col min="9230" max="9230" width="6.7109375" style="847" customWidth="1"/>
    <col min="9231" max="9231" width="7.7109375" style="847" customWidth="1"/>
    <col min="9232" max="9232" width="1.7109375" style="847" customWidth="1"/>
    <col min="9233" max="9233" width="6.7109375" style="847" customWidth="1"/>
    <col min="9234" max="9234" width="7.7109375" style="847" customWidth="1"/>
    <col min="9235" max="9235" width="1.7109375" style="847" customWidth="1"/>
    <col min="9236" max="9236" width="6.7109375" style="847" customWidth="1"/>
    <col min="9237" max="9237" width="7.7109375" style="847" customWidth="1"/>
    <col min="9238" max="9238" width="1.85546875" style="847" customWidth="1"/>
    <col min="9239" max="9239" width="6.7109375" style="847" customWidth="1"/>
    <col min="9240" max="9240" width="7.7109375" style="847" customWidth="1"/>
    <col min="9241" max="9241" width="1.7109375" style="847" customWidth="1"/>
    <col min="9242" max="9472" width="9.140625" style="847"/>
    <col min="9473" max="9473" width="11.85546875" style="847" customWidth="1"/>
    <col min="9474" max="9475" width="7.7109375" style="847" customWidth="1"/>
    <col min="9476" max="9476" width="1.7109375" style="847" customWidth="1"/>
    <col min="9477" max="9478" width="7.7109375" style="847" customWidth="1"/>
    <col min="9479" max="9479" width="1.7109375" style="847" customWidth="1"/>
    <col min="9480" max="9480" width="6.7109375" style="847" customWidth="1"/>
    <col min="9481" max="9481" width="7.7109375" style="847" customWidth="1"/>
    <col min="9482" max="9482" width="1.7109375" style="847" customWidth="1"/>
    <col min="9483" max="9483" width="6.7109375" style="847" customWidth="1"/>
    <col min="9484" max="9484" width="7.7109375" style="847" customWidth="1"/>
    <col min="9485" max="9485" width="1.7109375" style="847" customWidth="1"/>
    <col min="9486" max="9486" width="6.7109375" style="847" customWidth="1"/>
    <col min="9487" max="9487" width="7.7109375" style="847" customWidth="1"/>
    <col min="9488" max="9488" width="1.7109375" style="847" customWidth="1"/>
    <col min="9489" max="9489" width="6.7109375" style="847" customWidth="1"/>
    <col min="9490" max="9490" width="7.7109375" style="847" customWidth="1"/>
    <col min="9491" max="9491" width="1.7109375" style="847" customWidth="1"/>
    <col min="9492" max="9492" width="6.7109375" style="847" customWidth="1"/>
    <col min="9493" max="9493" width="7.7109375" style="847" customWidth="1"/>
    <col min="9494" max="9494" width="1.85546875" style="847" customWidth="1"/>
    <col min="9495" max="9495" width="6.7109375" style="847" customWidth="1"/>
    <col min="9496" max="9496" width="7.7109375" style="847" customWidth="1"/>
    <col min="9497" max="9497" width="1.7109375" style="847" customWidth="1"/>
    <col min="9498" max="9728" width="9.140625" style="847"/>
    <col min="9729" max="9729" width="11.85546875" style="847" customWidth="1"/>
    <col min="9730" max="9731" width="7.7109375" style="847" customWidth="1"/>
    <col min="9732" max="9732" width="1.7109375" style="847" customWidth="1"/>
    <col min="9733" max="9734" width="7.7109375" style="847" customWidth="1"/>
    <col min="9735" max="9735" width="1.7109375" style="847" customWidth="1"/>
    <col min="9736" max="9736" width="6.7109375" style="847" customWidth="1"/>
    <col min="9737" max="9737" width="7.7109375" style="847" customWidth="1"/>
    <col min="9738" max="9738" width="1.7109375" style="847" customWidth="1"/>
    <col min="9739" max="9739" width="6.7109375" style="847" customWidth="1"/>
    <col min="9740" max="9740" width="7.7109375" style="847" customWidth="1"/>
    <col min="9741" max="9741" width="1.7109375" style="847" customWidth="1"/>
    <col min="9742" max="9742" width="6.7109375" style="847" customWidth="1"/>
    <col min="9743" max="9743" width="7.7109375" style="847" customWidth="1"/>
    <col min="9744" max="9744" width="1.7109375" style="847" customWidth="1"/>
    <col min="9745" max="9745" width="6.7109375" style="847" customWidth="1"/>
    <col min="9746" max="9746" width="7.7109375" style="847" customWidth="1"/>
    <col min="9747" max="9747" width="1.7109375" style="847" customWidth="1"/>
    <col min="9748" max="9748" width="6.7109375" style="847" customWidth="1"/>
    <col min="9749" max="9749" width="7.7109375" style="847" customWidth="1"/>
    <col min="9750" max="9750" width="1.85546875" style="847" customWidth="1"/>
    <col min="9751" max="9751" width="6.7109375" style="847" customWidth="1"/>
    <col min="9752" max="9752" width="7.7109375" style="847" customWidth="1"/>
    <col min="9753" max="9753" width="1.7109375" style="847" customWidth="1"/>
    <col min="9754" max="9984" width="9.140625" style="847"/>
    <col min="9985" max="9985" width="11.85546875" style="847" customWidth="1"/>
    <col min="9986" max="9987" width="7.7109375" style="847" customWidth="1"/>
    <col min="9988" max="9988" width="1.7109375" style="847" customWidth="1"/>
    <col min="9989" max="9990" width="7.7109375" style="847" customWidth="1"/>
    <col min="9991" max="9991" width="1.7109375" style="847" customWidth="1"/>
    <col min="9992" max="9992" width="6.7109375" style="847" customWidth="1"/>
    <col min="9993" max="9993" width="7.7109375" style="847" customWidth="1"/>
    <col min="9994" max="9994" width="1.7109375" style="847" customWidth="1"/>
    <col min="9995" max="9995" width="6.7109375" style="847" customWidth="1"/>
    <col min="9996" max="9996" width="7.7109375" style="847" customWidth="1"/>
    <col min="9997" max="9997" width="1.7109375" style="847" customWidth="1"/>
    <col min="9998" max="9998" width="6.7109375" style="847" customWidth="1"/>
    <col min="9999" max="9999" width="7.7109375" style="847" customWidth="1"/>
    <col min="10000" max="10000" width="1.7109375" style="847" customWidth="1"/>
    <col min="10001" max="10001" width="6.7109375" style="847" customWidth="1"/>
    <col min="10002" max="10002" width="7.7109375" style="847" customWidth="1"/>
    <col min="10003" max="10003" width="1.7109375" style="847" customWidth="1"/>
    <col min="10004" max="10004" width="6.7109375" style="847" customWidth="1"/>
    <col min="10005" max="10005" width="7.7109375" style="847" customWidth="1"/>
    <col min="10006" max="10006" width="1.85546875" style="847" customWidth="1"/>
    <col min="10007" max="10007" width="6.7109375" style="847" customWidth="1"/>
    <col min="10008" max="10008" width="7.7109375" style="847" customWidth="1"/>
    <col min="10009" max="10009" width="1.7109375" style="847" customWidth="1"/>
    <col min="10010" max="10240" width="9.140625" style="847"/>
    <col min="10241" max="10241" width="11.85546875" style="847" customWidth="1"/>
    <col min="10242" max="10243" width="7.7109375" style="847" customWidth="1"/>
    <col min="10244" max="10244" width="1.7109375" style="847" customWidth="1"/>
    <col min="10245" max="10246" width="7.7109375" style="847" customWidth="1"/>
    <col min="10247" max="10247" width="1.7109375" style="847" customWidth="1"/>
    <col min="10248" max="10248" width="6.7109375" style="847" customWidth="1"/>
    <col min="10249" max="10249" width="7.7109375" style="847" customWidth="1"/>
    <col min="10250" max="10250" width="1.7109375" style="847" customWidth="1"/>
    <col min="10251" max="10251" width="6.7109375" style="847" customWidth="1"/>
    <col min="10252" max="10252" width="7.7109375" style="847" customWidth="1"/>
    <col min="10253" max="10253" width="1.7109375" style="847" customWidth="1"/>
    <col min="10254" max="10254" width="6.7109375" style="847" customWidth="1"/>
    <col min="10255" max="10255" width="7.7109375" style="847" customWidth="1"/>
    <col min="10256" max="10256" width="1.7109375" style="847" customWidth="1"/>
    <col min="10257" max="10257" width="6.7109375" style="847" customWidth="1"/>
    <col min="10258" max="10258" width="7.7109375" style="847" customWidth="1"/>
    <col min="10259" max="10259" width="1.7109375" style="847" customWidth="1"/>
    <col min="10260" max="10260" width="6.7109375" style="847" customWidth="1"/>
    <col min="10261" max="10261" width="7.7109375" style="847" customWidth="1"/>
    <col min="10262" max="10262" width="1.85546875" style="847" customWidth="1"/>
    <col min="10263" max="10263" width="6.7109375" style="847" customWidth="1"/>
    <col min="10264" max="10264" width="7.7109375" style="847" customWidth="1"/>
    <col min="10265" max="10265" width="1.7109375" style="847" customWidth="1"/>
    <col min="10266" max="10496" width="9.140625" style="847"/>
    <col min="10497" max="10497" width="11.85546875" style="847" customWidth="1"/>
    <col min="10498" max="10499" width="7.7109375" style="847" customWidth="1"/>
    <col min="10500" max="10500" width="1.7109375" style="847" customWidth="1"/>
    <col min="10501" max="10502" width="7.7109375" style="847" customWidth="1"/>
    <col min="10503" max="10503" width="1.7109375" style="847" customWidth="1"/>
    <col min="10504" max="10504" width="6.7109375" style="847" customWidth="1"/>
    <col min="10505" max="10505" width="7.7109375" style="847" customWidth="1"/>
    <col min="10506" max="10506" width="1.7109375" style="847" customWidth="1"/>
    <col min="10507" max="10507" width="6.7109375" style="847" customWidth="1"/>
    <col min="10508" max="10508" width="7.7109375" style="847" customWidth="1"/>
    <col min="10509" max="10509" width="1.7109375" style="847" customWidth="1"/>
    <col min="10510" max="10510" width="6.7109375" style="847" customWidth="1"/>
    <col min="10511" max="10511" width="7.7109375" style="847" customWidth="1"/>
    <col min="10512" max="10512" width="1.7109375" style="847" customWidth="1"/>
    <col min="10513" max="10513" width="6.7109375" style="847" customWidth="1"/>
    <col min="10514" max="10514" width="7.7109375" style="847" customWidth="1"/>
    <col min="10515" max="10515" width="1.7109375" style="847" customWidth="1"/>
    <col min="10516" max="10516" width="6.7109375" style="847" customWidth="1"/>
    <col min="10517" max="10517" width="7.7109375" style="847" customWidth="1"/>
    <col min="10518" max="10518" width="1.85546875" style="847" customWidth="1"/>
    <col min="10519" max="10519" width="6.7109375" style="847" customWidth="1"/>
    <col min="10520" max="10520" width="7.7109375" style="847" customWidth="1"/>
    <col min="10521" max="10521" width="1.7109375" style="847" customWidth="1"/>
    <col min="10522" max="10752" width="9.140625" style="847"/>
    <col min="10753" max="10753" width="11.85546875" style="847" customWidth="1"/>
    <col min="10754" max="10755" width="7.7109375" style="847" customWidth="1"/>
    <col min="10756" max="10756" width="1.7109375" style="847" customWidth="1"/>
    <col min="10757" max="10758" width="7.7109375" style="847" customWidth="1"/>
    <col min="10759" max="10759" width="1.7109375" style="847" customWidth="1"/>
    <col min="10760" max="10760" width="6.7109375" style="847" customWidth="1"/>
    <col min="10761" max="10761" width="7.7109375" style="847" customWidth="1"/>
    <col min="10762" max="10762" width="1.7109375" style="847" customWidth="1"/>
    <col min="10763" max="10763" width="6.7109375" style="847" customWidth="1"/>
    <col min="10764" max="10764" width="7.7109375" style="847" customWidth="1"/>
    <col min="10765" max="10765" width="1.7109375" style="847" customWidth="1"/>
    <col min="10766" max="10766" width="6.7109375" style="847" customWidth="1"/>
    <col min="10767" max="10767" width="7.7109375" style="847" customWidth="1"/>
    <col min="10768" max="10768" width="1.7109375" style="847" customWidth="1"/>
    <col min="10769" max="10769" width="6.7109375" style="847" customWidth="1"/>
    <col min="10770" max="10770" width="7.7109375" style="847" customWidth="1"/>
    <col min="10771" max="10771" width="1.7109375" style="847" customWidth="1"/>
    <col min="10772" max="10772" width="6.7109375" style="847" customWidth="1"/>
    <col min="10773" max="10773" width="7.7109375" style="847" customWidth="1"/>
    <col min="10774" max="10774" width="1.85546875" style="847" customWidth="1"/>
    <col min="10775" max="10775" width="6.7109375" style="847" customWidth="1"/>
    <col min="10776" max="10776" width="7.7109375" style="847" customWidth="1"/>
    <col min="10777" max="10777" width="1.7109375" style="847" customWidth="1"/>
    <col min="10778" max="11008" width="9.140625" style="847"/>
    <col min="11009" max="11009" width="11.85546875" style="847" customWidth="1"/>
    <col min="11010" max="11011" width="7.7109375" style="847" customWidth="1"/>
    <col min="11012" max="11012" width="1.7109375" style="847" customWidth="1"/>
    <col min="11013" max="11014" width="7.7109375" style="847" customWidth="1"/>
    <col min="11015" max="11015" width="1.7109375" style="847" customWidth="1"/>
    <col min="11016" max="11016" width="6.7109375" style="847" customWidth="1"/>
    <col min="11017" max="11017" width="7.7109375" style="847" customWidth="1"/>
    <col min="11018" max="11018" width="1.7109375" style="847" customWidth="1"/>
    <col min="11019" max="11019" width="6.7109375" style="847" customWidth="1"/>
    <col min="11020" max="11020" width="7.7109375" style="847" customWidth="1"/>
    <col min="11021" max="11021" width="1.7109375" style="847" customWidth="1"/>
    <col min="11022" max="11022" width="6.7109375" style="847" customWidth="1"/>
    <col min="11023" max="11023" width="7.7109375" style="847" customWidth="1"/>
    <col min="11024" max="11024" width="1.7109375" style="847" customWidth="1"/>
    <col min="11025" max="11025" width="6.7109375" style="847" customWidth="1"/>
    <col min="11026" max="11026" width="7.7109375" style="847" customWidth="1"/>
    <col min="11027" max="11027" width="1.7109375" style="847" customWidth="1"/>
    <col min="11028" max="11028" width="6.7109375" style="847" customWidth="1"/>
    <col min="11029" max="11029" width="7.7109375" style="847" customWidth="1"/>
    <col min="11030" max="11030" width="1.85546875" style="847" customWidth="1"/>
    <col min="11031" max="11031" width="6.7109375" style="847" customWidth="1"/>
    <col min="11032" max="11032" width="7.7109375" style="847" customWidth="1"/>
    <col min="11033" max="11033" width="1.7109375" style="847" customWidth="1"/>
    <col min="11034" max="11264" width="9.140625" style="847"/>
    <col min="11265" max="11265" width="11.85546875" style="847" customWidth="1"/>
    <col min="11266" max="11267" width="7.7109375" style="847" customWidth="1"/>
    <col min="11268" max="11268" width="1.7109375" style="847" customWidth="1"/>
    <col min="11269" max="11270" width="7.7109375" style="847" customWidth="1"/>
    <col min="11271" max="11271" width="1.7109375" style="847" customWidth="1"/>
    <col min="11272" max="11272" width="6.7109375" style="847" customWidth="1"/>
    <col min="11273" max="11273" width="7.7109375" style="847" customWidth="1"/>
    <col min="11274" max="11274" width="1.7109375" style="847" customWidth="1"/>
    <col min="11275" max="11275" width="6.7109375" style="847" customWidth="1"/>
    <col min="11276" max="11276" width="7.7109375" style="847" customWidth="1"/>
    <col min="11277" max="11277" width="1.7109375" style="847" customWidth="1"/>
    <col min="11278" max="11278" width="6.7109375" style="847" customWidth="1"/>
    <col min="11279" max="11279" width="7.7109375" style="847" customWidth="1"/>
    <col min="11280" max="11280" width="1.7109375" style="847" customWidth="1"/>
    <col min="11281" max="11281" width="6.7109375" style="847" customWidth="1"/>
    <col min="11282" max="11282" width="7.7109375" style="847" customWidth="1"/>
    <col min="11283" max="11283" width="1.7109375" style="847" customWidth="1"/>
    <col min="11284" max="11284" width="6.7109375" style="847" customWidth="1"/>
    <col min="11285" max="11285" width="7.7109375" style="847" customWidth="1"/>
    <col min="11286" max="11286" width="1.85546875" style="847" customWidth="1"/>
    <col min="11287" max="11287" width="6.7109375" style="847" customWidth="1"/>
    <col min="11288" max="11288" width="7.7109375" style="847" customWidth="1"/>
    <col min="11289" max="11289" width="1.7109375" style="847" customWidth="1"/>
    <col min="11290" max="11520" width="9.140625" style="847"/>
    <col min="11521" max="11521" width="11.85546875" style="847" customWidth="1"/>
    <col min="11522" max="11523" width="7.7109375" style="847" customWidth="1"/>
    <col min="11524" max="11524" width="1.7109375" style="847" customWidth="1"/>
    <col min="11525" max="11526" width="7.7109375" style="847" customWidth="1"/>
    <col min="11527" max="11527" width="1.7109375" style="847" customWidth="1"/>
    <col min="11528" max="11528" width="6.7109375" style="847" customWidth="1"/>
    <col min="11529" max="11529" width="7.7109375" style="847" customWidth="1"/>
    <col min="11530" max="11530" width="1.7109375" style="847" customWidth="1"/>
    <col min="11531" max="11531" width="6.7109375" style="847" customWidth="1"/>
    <col min="11532" max="11532" width="7.7109375" style="847" customWidth="1"/>
    <col min="11533" max="11533" width="1.7109375" style="847" customWidth="1"/>
    <col min="11534" max="11534" width="6.7109375" style="847" customWidth="1"/>
    <col min="11535" max="11535" width="7.7109375" style="847" customWidth="1"/>
    <col min="11536" max="11536" width="1.7109375" style="847" customWidth="1"/>
    <col min="11537" max="11537" width="6.7109375" style="847" customWidth="1"/>
    <col min="11538" max="11538" width="7.7109375" style="847" customWidth="1"/>
    <col min="11539" max="11539" width="1.7109375" style="847" customWidth="1"/>
    <col min="11540" max="11540" width="6.7109375" style="847" customWidth="1"/>
    <col min="11541" max="11541" width="7.7109375" style="847" customWidth="1"/>
    <col min="11542" max="11542" width="1.85546875" style="847" customWidth="1"/>
    <col min="11543" max="11543" width="6.7109375" style="847" customWidth="1"/>
    <col min="11544" max="11544" width="7.7109375" style="847" customWidth="1"/>
    <col min="11545" max="11545" width="1.7109375" style="847" customWidth="1"/>
    <col min="11546" max="11776" width="9.140625" style="847"/>
    <col min="11777" max="11777" width="11.85546875" style="847" customWidth="1"/>
    <col min="11778" max="11779" width="7.7109375" style="847" customWidth="1"/>
    <col min="11780" max="11780" width="1.7109375" style="847" customWidth="1"/>
    <col min="11781" max="11782" width="7.7109375" style="847" customWidth="1"/>
    <col min="11783" max="11783" width="1.7109375" style="847" customWidth="1"/>
    <col min="11784" max="11784" width="6.7109375" style="847" customWidth="1"/>
    <col min="11785" max="11785" width="7.7109375" style="847" customWidth="1"/>
    <col min="11786" max="11786" width="1.7109375" style="847" customWidth="1"/>
    <col min="11787" max="11787" width="6.7109375" style="847" customWidth="1"/>
    <col min="11788" max="11788" width="7.7109375" style="847" customWidth="1"/>
    <col min="11789" max="11789" width="1.7109375" style="847" customWidth="1"/>
    <col min="11790" max="11790" width="6.7109375" style="847" customWidth="1"/>
    <col min="11791" max="11791" width="7.7109375" style="847" customWidth="1"/>
    <col min="11792" max="11792" width="1.7109375" style="847" customWidth="1"/>
    <col min="11793" max="11793" width="6.7109375" style="847" customWidth="1"/>
    <col min="11794" max="11794" width="7.7109375" style="847" customWidth="1"/>
    <col min="11795" max="11795" width="1.7109375" style="847" customWidth="1"/>
    <col min="11796" max="11796" width="6.7109375" style="847" customWidth="1"/>
    <col min="11797" max="11797" width="7.7109375" style="847" customWidth="1"/>
    <col min="11798" max="11798" width="1.85546875" style="847" customWidth="1"/>
    <col min="11799" max="11799" width="6.7109375" style="847" customWidth="1"/>
    <col min="11800" max="11800" width="7.7109375" style="847" customWidth="1"/>
    <col min="11801" max="11801" width="1.7109375" style="847" customWidth="1"/>
    <col min="11802" max="12032" width="9.140625" style="847"/>
    <col min="12033" max="12033" width="11.85546875" style="847" customWidth="1"/>
    <col min="12034" max="12035" width="7.7109375" style="847" customWidth="1"/>
    <col min="12036" max="12036" width="1.7109375" style="847" customWidth="1"/>
    <col min="12037" max="12038" width="7.7109375" style="847" customWidth="1"/>
    <col min="12039" max="12039" width="1.7109375" style="847" customWidth="1"/>
    <col min="12040" max="12040" width="6.7109375" style="847" customWidth="1"/>
    <col min="12041" max="12041" width="7.7109375" style="847" customWidth="1"/>
    <col min="12042" max="12042" width="1.7109375" style="847" customWidth="1"/>
    <col min="12043" max="12043" width="6.7109375" style="847" customWidth="1"/>
    <col min="12044" max="12044" width="7.7109375" style="847" customWidth="1"/>
    <col min="12045" max="12045" width="1.7109375" style="847" customWidth="1"/>
    <col min="12046" max="12046" width="6.7109375" style="847" customWidth="1"/>
    <col min="12047" max="12047" width="7.7109375" style="847" customWidth="1"/>
    <col min="12048" max="12048" width="1.7109375" style="847" customWidth="1"/>
    <col min="12049" max="12049" width="6.7109375" style="847" customWidth="1"/>
    <col min="12050" max="12050" width="7.7109375" style="847" customWidth="1"/>
    <col min="12051" max="12051" width="1.7109375" style="847" customWidth="1"/>
    <col min="12052" max="12052" width="6.7109375" style="847" customWidth="1"/>
    <col min="12053" max="12053" width="7.7109375" style="847" customWidth="1"/>
    <col min="12054" max="12054" width="1.85546875" style="847" customWidth="1"/>
    <col min="12055" max="12055" width="6.7109375" style="847" customWidth="1"/>
    <col min="12056" max="12056" width="7.7109375" style="847" customWidth="1"/>
    <col min="12057" max="12057" width="1.7109375" style="847" customWidth="1"/>
    <col min="12058" max="12288" width="9.140625" style="847"/>
    <col min="12289" max="12289" width="11.85546875" style="847" customWidth="1"/>
    <col min="12290" max="12291" width="7.7109375" style="847" customWidth="1"/>
    <col min="12292" max="12292" width="1.7109375" style="847" customWidth="1"/>
    <col min="12293" max="12294" width="7.7109375" style="847" customWidth="1"/>
    <col min="12295" max="12295" width="1.7109375" style="847" customWidth="1"/>
    <col min="12296" max="12296" width="6.7109375" style="847" customWidth="1"/>
    <col min="12297" max="12297" width="7.7109375" style="847" customWidth="1"/>
    <col min="12298" max="12298" width="1.7109375" style="847" customWidth="1"/>
    <col min="12299" max="12299" width="6.7109375" style="847" customWidth="1"/>
    <col min="12300" max="12300" width="7.7109375" style="847" customWidth="1"/>
    <col min="12301" max="12301" width="1.7109375" style="847" customWidth="1"/>
    <col min="12302" max="12302" width="6.7109375" style="847" customWidth="1"/>
    <col min="12303" max="12303" width="7.7109375" style="847" customWidth="1"/>
    <col min="12304" max="12304" width="1.7109375" style="847" customWidth="1"/>
    <col min="12305" max="12305" width="6.7109375" style="847" customWidth="1"/>
    <col min="12306" max="12306" width="7.7109375" style="847" customWidth="1"/>
    <col min="12307" max="12307" width="1.7109375" style="847" customWidth="1"/>
    <col min="12308" max="12308" width="6.7109375" style="847" customWidth="1"/>
    <col min="12309" max="12309" width="7.7109375" style="847" customWidth="1"/>
    <col min="12310" max="12310" width="1.85546875" style="847" customWidth="1"/>
    <col min="12311" max="12311" width="6.7109375" style="847" customWidth="1"/>
    <col min="12312" max="12312" width="7.7109375" style="847" customWidth="1"/>
    <col min="12313" max="12313" width="1.7109375" style="847" customWidth="1"/>
    <col min="12314" max="12544" width="9.140625" style="847"/>
    <col min="12545" max="12545" width="11.85546875" style="847" customWidth="1"/>
    <col min="12546" max="12547" width="7.7109375" style="847" customWidth="1"/>
    <col min="12548" max="12548" width="1.7109375" style="847" customWidth="1"/>
    <col min="12549" max="12550" width="7.7109375" style="847" customWidth="1"/>
    <col min="12551" max="12551" width="1.7109375" style="847" customWidth="1"/>
    <col min="12552" max="12552" width="6.7109375" style="847" customWidth="1"/>
    <col min="12553" max="12553" width="7.7109375" style="847" customWidth="1"/>
    <col min="12554" max="12554" width="1.7109375" style="847" customWidth="1"/>
    <col min="12555" max="12555" width="6.7109375" style="847" customWidth="1"/>
    <col min="12556" max="12556" width="7.7109375" style="847" customWidth="1"/>
    <col min="12557" max="12557" width="1.7109375" style="847" customWidth="1"/>
    <col min="12558" max="12558" width="6.7109375" style="847" customWidth="1"/>
    <col min="12559" max="12559" width="7.7109375" style="847" customWidth="1"/>
    <col min="12560" max="12560" width="1.7109375" style="847" customWidth="1"/>
    <col min="12561" max="12561" width="6.7109375" style="847" customWidth="1"/>
    <col min="12562" max="12562" width="7.7109375" style="847" customWidth="1"/>
    <col min="12563" max="12563" width="1.7109375" style="847" customWidth="1"/>
    <col min="12564" max="12564" width="6.7109375" style="847" customWidth="1"/>
    <col min="12565" max="12565" width="7.7109375" style="847" customWidth="1"/>
    <col min="12566" max="12566" width="1.85546875" style="847" customWidth="1"/>
    <col min="12567" max="12567" width="6.7109375" style="847" customWidth="1"/>
    <col min="12568" max="12568" width="7.7109375" style="847" customWidth="1"/>
    <col min="12569" max="12569" width="1.7109375" style="847" customWidth="1"/>
    <col min="12570" max="12800" width="9.140625" style="847"/>
    <col min="12801" max="12801" width="11.85546875" style="847" customWidth="1"/>
    <col min="12802" max="12803" width="7.7109375" style="847" customWidth="1"/>
    <col min="12804" max="12804" width="1.7109375" style="847" customWidth="1"/>
    <col min="12805" max="12806" width="7.7109375" style="847" customWidth="1"/>
    <col min="12807" max="12807" width="1.7109375" style="847" customWidth="1"/>
    <col min="12808" max="12808" width="6.7109375" style="847" customWidth="1"/>
    <col min="12809" max="12809" width="7.7109375" style="847" customWidth="1"/>
    <col min="12810" max="12810" width="1.7109375" style="847" customWidth="1"/>
    <col min="12811" max="12811" width="6.7109375" style="847" customWidth="1"/>
    <col min="12812" max="12812" width="7.7109375" style="847" customWidth="1"/>
    <col min="12813" max="12813" width="1.7109375" style="847" customWidth="1"/>
    <col min="12814" max="12814" width="6.7109375" style="847" customWidth="1"/>
    <col min="12815" max="12815" width="7.7109375" style="847" customWidth="1"/>
    <col min="12816" max="12816" width="1.7109375" style="847" customWidth="1"/>
    <col min="12817" max="12817" width="6.7109375" style="847" customWidth="1"/>
    <col min="12818" max="12818" width="7.7109375" style="847" customWidth="1"/>
    <col min="12819" max="12819" width="1.7109375" style="847" customWidth="1"/>
    <col min="12820" max="12820" width="6.7109375" style="847" customWidth="1"/>
    <col min="12821" max="12821" width="7.7109375" style="847" customWidth="1"/>
    <col min="12822" max="12822" width="1.85546875" style="847" customWidth="1"/>
    <col min="12823" max="12823" width="6.7109375" style="847" customWidth="1"/>
    <col min="12824" max="12824" width="7.7109375" style="847" customWidth="1"/>
    <col min="12825" max="12825" width="1.7109375" style="847" customWidth="1"/>
    <col min="12826" max="13056" width="9.140625" style="847"/>
    <col min="13057" max="13057" width="11.85546875" style="847" customWidth="1"/>
    <col min="13058" max="13059" width="7.7109375" style="847" customWidth="1"/>
    <col min="13060" max="13060" width="1.7109375" style="847" customWidth="1"/>
    <col min="13061" max="13062" width="7.7109375" style="847" customWidth="1"/>
    <col min="13063" max="13063" width="1.7109375" style="847" customWidth="1"/>
    <col min="13064" max="13064" width="6.7109375" style="847" customWidth="1"/>
    <col min="13065" max="13065" width="7.7109375" style="847" customWidth="1"/>
    <col min="13066" max="13066" width="1.7109375" style="847" customWidth="1"/>
    <col min="13067" max="13067" width="6.7109375" style="847" customWidth="1"/>
    <col min="13068" max="13068" width="7.7109375" style="847" customWidth="1"/>
    <col min="13069" max="13069" width="1.7109375" style="847" customWidth="1"/>
    <col min="13070" max="13070" width="6.7109375" style="847" customWidth="1"/>
    <col min="13071" max="13071" width="7.7109375" style="847" customWidth="1"/>
    <col min="13072" max="13072" width="1.7109375" style="847" customWidth="1"/>
    <col min="13073" max="13073" width="6.7109375" style="847" customWidth="1"/>
    <col min="13074" max="13074" width="7.7109375" style="847" customWidth="1"/>
    <col min="13075" max="13075" width="1.7109375" style="847" customWidth="1"/>
    <col min="13076" max="13076" width="6.7109375" style="847" customWidth="1"/>
    <col min="13077" max="13077" width="7.7109375" style="847" customWidth="1"/>
    <col min="13078" max="13078" width="1.85546875" style="847" customWidth="1"/>
    <col min="13079" max="13079" width="6.7109375" style="847" customWidth="1"/>
    <col min="13080" max="13080" width="7.7109375" style="847" customWidth="1"/>
    <col min="13081" max="13081" width="1.7109375" style="847" customWidth="1"/>
    <col min="13082" max="13312" width="9.140625" style="847"/>
    <col min="13313" max="13313" width="11.85546875" style="847" customWidth="1"/>
    <col min="13314" max="13315" width="7.7109375" style="847" customWidth="1"/>
    <col min="13316" max="13316" width="1.7109375" style="847" customWidth="1"/>
    <col min="13317" max="13318" width="7.7109375" style="847" customWidth="1"/>
    <col min="13319" max="13319" width="1.7109375" style="847" customWidth="1"/>
    <col min="13320" max="13320" width="6.7109375" style="847" customWidth="1"/>
    <col min="13321" max="13321" width="7.7109375" style="847" customWidth="1"/>
    <col min="13322" max="13322" width="1.7109375" style="847" customWidth="1"/>
    <col min="13323" max="13323" width="6.7109375" style="847" customWidth="1"/>
    <col min="13324" max="13324" width="7.7109375" style="847" customWidth="1"/>
    <col min="13325" max="13325" width="1.7109375" style="847" customWidth="1"/>
    <col min="13326" max="13326" width="6.7109375" style="847" customWidth="1"/>
    <col min="13327" max="13327" width="7.7109375" style="847" customWidth="1"/>
    <col min="13328" max="13328" width="1.7109375" style="847" customWidth="1"/>
    <col min="13329" max="13329" width="6.7109375" style="847" customWidth="1"/>
    <col min="13330" max="13330" width="7.7109375" style="847" customWidth="1"/>
    <col min="13331" max="13331" width="1.7109375" style="847" customWidth="1"/>
    <col min="13332" max="13332" width="6.7109375" style="847" customWidth="1"/>
    <col min="13333" max="13333" width="7.7109375" style="847" customWidth="1"/>
    <col min="13334" max="13334" width="1.85546875" style="847" customWidth="1"/>
    <col min="13335" max="13335" width="6.7109375" style="847" customWidth="1"/>
    <col min="13336" max="13336" width="7.7109375" style="847" customWidth="1"/>
    <col min="13337" max="13337" width="1.7109375" style="847" customWidth="1"/>
    <col min="13338" max="13568" width="9.140625" style="847"/>
    <col min="13569" max="13569" width="11.85546875" style="847" customWidth="1"/>
    <col min="13570" max="13571" width="7.7109375" style="847" customWidth="1"/>
    <col min="13572" max="13572" width="1.7109375" style="847" customWidth="1"/>
    <col min="13573" max="13574" width="7.7109375" style="847" customWidth="1"/>
    <col min="13575" max="13575" width="1.7109375" style="847" customWidth="1"/>
    <col min="13576" max="13576" width="6.7109375" style="847" customWidth="1"/>
    <col min="13577" max="13577" width="7.7109375" style="847" customWidth="1"/>
    <col min="13578" max="13578" width="1.7109375" style="847" customWidth="1"/>
    <col min="13579" max="13579" width="6.7109375" style="847" customWidth="1"/>
    <col min="13580" max="13580" width="7.7109375" style="847" customWidth="1"/>
    <col min="13581" max="13581" width="1.7109375" style="847" customWidth="1"/>
    <col min="13582" max="13582" width="6.7109375" style="847" customWidth="1"/>
    <col min="13583" max="13583" width="7.7109375" style="847" customWidth="1"/>
    <col min="13584" max="13584" width="1.7109375" style="847" customWidth="1"/>
    <col min="13585" max="13585" width="6.7109375" style="847" customWidth="1"/>
    <col min="13586" max="13586" width="7.7109375" style="847" customWidth="1"/>
    <col min="13587" max="13587" width="1.7109375" style="847" customWidth="1"/>
    <col min="13588" max="13588" width="6.7109375" style="847" customWidth="1"/>
    <col min="13589" max="13589" width="7.7109375" style="847" customWidth="1"/>
    <col min="13590" max="13590" width="1.85546875" style="847" customWidth="1"/>
    <col min="13591" max="13591" width="6.7109375" style="847" customWidth="1"/>
    <col min="13592" max="13592" width="7.7109375" style="847" customWidth="1"/>
    <col min="13593" max="13593" width="1.7109375" style="847" customWidth="1"/>
    <col min="13594" max="13824" width="9.140625" style="847"/>
    <col min="13825" max="13825" width="11.85546875" style="847" customWidth="1"/>
    <col min="13826" max="13827" width="7.7109375" style="847" customWidth="1"/>
    <col min="13828" max="13828" width="1.7109375" style="847" customWidth="1"/>
    <col min="13829" max="13830" width="7.7109375" style="847" customWidth="1"/>
    <col min="13831" max="13831" width="1.7109375" style="847" customWidth="1"/>
    <col min="13832" max="13832" width="6.7109375" style="847" customWidth="1"/>
    <col min="13833" max="13833" width="7.7109375" style="847" customWidth="1"/>
    <col min="13834" max="13834" width="1.7109375" style="847" customWidth="1"/>
    <col min="13835" max="13835" width="6.7109375" style="847" customWidth="1"/>
    <col min="13836" max="13836" width="7.7109375" style="847" customWidth="1"/>
    <col min="13837" max="13837" width="1.7109375" style="847" customWidth="1"/>
    <col min="13838" max="13838" width="6.7109375" style="847" customWidth="1"/>
    <col min="13839" max="13839" width="7.7109375" style="847" customWidth="1"/>
    <col min="13840" max="13840" width="1.7109375" style="847" customWidth="1"/>
    <col min="13841" max="13841" width="6.7109375" style="847" customWidth="1"/>
    <col min="13842" max="13842" width="7.7109375" style="847" customWidth="1"/>
    <col min="13843" max="13843" width="1.7109375" style="847" customWidth="1"/>
    <col min="13844" max="13844" width="6.7109375" style="847" customWidth="1"/>
    <col min="13845" max="13845" width="7.7109375" style="847" customWidth="1"/>
    <col min="13846" max="13846" width="1.85546875" style="847" customWidth="1"/>
    <col min="13847" max="13847" width="6.7109375" style="847" customWidth="1"/>
    <col min="13848" max="13848" width="7.7109375" style="847" customWidth="1"/>
    <col min="13849" max="13849" width="1.7109375" style="847" customWidth="1"/>
    <col min="13850" max="14080" width="9.140625" style="847"/>
    <col min="14081" max="14081" width="11.85546875" style="847" customWidth="1"/>
    <col min="14082" max="14083" width="7.7109375" style="847" customWidth="1"/>
    <col min="14084" max="14084" width="1.7109375" style="847" customWidth="1"/>
    <col min="14085" max="14086" width="7.7109375" style="847" customWidth="1"/>
    <col min="14087" max="14087" width="1.7109375" style="847" customWidth="1"/>
    <col min="14088" max="14088" width="6.7109375" style="847" customWidth="1"/>
    <col min="14089" max="14089" width="7.7109375" style="847" customWidth="1"/>
    <col min="14090" max="14090" width="1.7109375" style="847" customWidth="1"/>
    <col min="14091" max="14091" width="6.7109375" style="847" customWidth="1"/>
    <col min="14092" max="14092" width="7.7109375" style="847" customWidth="1"/>
    <col min="14093" max="14093" width="1.7109375" style="847" customWidth="1"/>
    <col min="14094" max="14094" width="6.7109375" style="847" customWidth="1"/>
    <col min="14095" max="14095" width="7.7109375" style="847" customWidth="1"/>
    <col min="14096" max="14096" width="1.7109375" style="847" customWidth="1"/>
    <col min="14097" max="14097" width="6.7109375" style="847" customWidth="1"/>
    <col min="14098" max="14098" width="7.7109375" style="847" customWidth="1"/>
    <col min="14099" max="14099" width="1.7109375" style="847" customWidth="1"/>
    <col min="14100" max="14100" width="6.7109375" style="847" customWidth="1"/>
    <col min="14101" max="14101" width="7.7109375" style="847" customWidth="1"/>
    <col min="14102" max="14102" width="1.85546875" style="847" customWidth="1"/>
    <col min="14103" max="14103" width="6.7109375" style="847" customWidth="1"/>
    <col min="14104" max="14104" width="7.7109375" style="847" customWidth="1"/>
    <col min="14105" max="14105" width="1.7109375" style="847" customWidth="1"/>
    <col min="14106" max="14336" width="9.140625" style="847"/>
    <col min="14337" max="14337" width="11.85546875" style="847" customWidth="1"/>
    <col min="14338" max="14339" width="7.7109375" style="847" customWidth="1"/>
    <col min="14340" max="14340" width="1.7109375" style="847" customWidth="1"/>
    <col min="14341" max="14342" width="7.7109375" style="847" customWidth="1"/>
    <col min="14343" max="14343" width="1.7109375" style="847" customWidth="1"/>
    <col min="14344" max="14344" width="6.7109375" style="847" customWidth="1"/>
    <col min="14345" max="14345" width="7.7109375" style="847" customWidth="1"/>
    <col min="14346" max="14346" width="1.7109375" style="847" customWidth="1"/>
    <col min="14347" max="14347" width="6.7109375" style="847" customWidth="1"/>
    <col min="14348" max="14348" width="7.7109375" style="847" customWidth="1"/>
    <col min="14349" max="14349" width="1.7109375" style="847" customWidth="1"/>
    <col min="14350" max="14350" width="6.7109375" style="847" customWidth="1"/>
    <col min="14351" max="14351" width="7.7109375" style="847" customWidth="1"/>
    <col min="14352" max="14352" width="1.7109375" style="847" customWidth="1"/>
    <col min="14353" max="14353" width="6.7109375" style="847" customWidth="1"/>
    <col min="14354" max="14354" width="7.7109375" style="847" customWidth="1"/>
    <col min="14355" max="14355" width="1.7109375" style="847" customWidth="1"/>
    <col min="14356" max="14356" width="6.7109375" style="847" customWidth="1"/>
    <col min="14357" max="14357" width="7.7109375" style="847" customWidth="1"/>
    <col min="14358" max="14358" width="1.85546875" style="847" customWidth="1"/>
    <col min="14359" max="14359" width="6.7109375" style="847" customWidth="1"/>
    <col min="14360" max="14360" width="7.7109375" style="847" customWidth="1"/>
    <col min="14361" max="14361" width="1.7109375" style="847" customWidth="1"/>
    <col min="14362" max="14592" width="9.140625" style="847"/>
    <col min="14593" max="14593" width="11.85546875" style="847" customWidth="1"/>
    <col min="14594" max="14595" width="7.7109375" style="847" customWidth="1"/>
    <col min="14596" max="14596" width="1.7109375" style="847" customWidth="1"/>
    <col min="14597" max="14598" width="7.7109375" style="847" customWidth="1"/>
    <col min="14599" max="14599" width="1.7109375" style="847" customWidth="1"/>
    <col min="14600" max="14600" width="6.7109375" style="847" customWidth="1"/>
    <col min="14601" max="14601" width="7.7109375" style="847" customWidth="1"/>
    <col min="14602" max="14602" width="1.7109375" style="847" customWidth="1"/>
    <col min="14603" max="14603" width="6.7109375" style="847" customWidth="1"/>
    <col min="14604" max="14604" width="7.7109375" style="847" customWidth="1"/>
    <col min="14605" max="14605" width="1.7109375" style="847" customWidth="1"/>
    <col min="14606" max="14606" width="6.7109375" style="847" customWidth="1"/>
    <col min="14607" max="14607" width="7.7109375" style="847" customWidth="1"/>
    <col min="14608" max="14608" width="1.7109375" style="847" customWidth="1"/>
    <col min="14609" max="14609" width="6.7109375" style="847" customWidth="1"/>
    <col min="14610" max="14610" width="7.7109375" style="847" customWidth="1"/>
    <col min="14611" max="14611" width="1.7109375" style="847" customWidth="1"/>
    <col min="14612" max="14612" width="6.7109375" style="847" customWidth="1"/>
    <col min="14613" max="14613" width="7.7109375" style="847" customWidth="1"/>
    <col min="14614" max="14614" width="1.85546875" style="847" customWidth="1"/>
    <col min="14615" max="14615" width="6.7109375" style="847" customWidth="1"/>
    <col min="14616" max="14616" width="7.7109375" style="847" customWidth="1"/>
    <col min="14617" max="14617" width="1.7109375" style="847" customWidth="1"/>
    <col min="14618" max="14848" width="9.140625" style="847"/>
    <col min="14849" max="14849" width="11.85546875" style="847" customWidth="1"/>
    <col min="14850" max="14851" width="7.7109375" style="847" customWidth="1"/>
    <col min="14852" max="14852" width="1.7109375" style="847" customWidth="1"/>
    <col min="14853" max="14854" width="7.7109375" style="847" customWidth="1"/>
    <col min="14855" max="14855" width="1.7109375" style="847" customWidth="1"/>
    <col min="14856" max="14856" width="6.7109375" style="847" customWidth="1"/>
    <col min="14857" max="14857" width="7.7109375" style="847" customWidth="1"/>
    <col min="14858" max="14858" width="1.7109375" style="847" customWidth="1"/>
    <col min="14859" max="14859" width="6.7109375" style="847" customWidth="1"/>
    <col min="14860" max="14860" width="7.7109375" style="847" customWidth="1"/>
    <col min="14861" max="14861" width="1.7109375" style="847" customWidth="1"/>
    <col min="14862" max="14862" width="6.7109375" style="847" customWidth="1"/>
    <col min="14863" max="14863" width="7.7109375" style="847" customWidth="1"/>
    <col min="14864" max="14864" width="1.7109375" style="847" customWidth="1"/>
    <col min="14865" max="14865" width="6.7109375" style="847" customWidth="1"/>
    <col min="14866" max="14866" width="7.7109375" style="847" customWidth="1"/>
    <col min="14867" max="14867" width="1.7109375" style="847" customWidth="1"/>
    <col min="14868" max="14868" width="6.7109375" style="847" customWidth="1"/>
    <col min="14869" max="14869" width="7.7109375" style="847" customWidth="1"/>
    <col min="14870" max="14870" width="1.85546875" style="847" customWidth="1"/>
    <col min="14871" max="14871" width="6.7109375" style="847" customWidth="1"/>
    <col min="14872" max="14872" width="7.7109375" style="847" customWidth="1"/>
    <col min="14873" max="14873" width="1.7109375" style="847" customWidth="1"/>
    <col min="14874" max="15104" width="9.140625" style="847"/>
    <col min="15105" max="15105" width="11.85546875" style="847" customWidth="1"/>
    <col min="15106" max="15107" width="7.7109375" style="847" customWidth="1"/>
    <col min="15108" max="15108" width="1.7109375" style="847" customWidth="1"/>
    <col min="15109" max="15110" width="7.7109375" style="847" customWidth="1"/>
    <col min="15111" max="15111" width="1.7109375" style="847" customWidth="1"/>
    <col min="15112" max="15112" width="6.7109375" style="847" customWidth="1"/>
    <col min="15113" max="15113" width="7.7109375" style="847" customWidth="1"/>
    <col min="15114" max="15114" width="1.7109375" style="847" customWidth="1"/>
    <col min="15115" max="15115" width="6.7109375" style="847" customWidth="1"/>
    <col min="15116" max="15116" width="7.7109375" style="847" customWidth="1"/>
    <col min="15117" max="15117" width="1.7109375" style="847" customWidth="1"/>
    <col min="15118" max="15118" width="6.7109375" style="847" customWidth="1"/>
    <col min="15119" max="15119" width="7.7109375" style="847" customWidth="1"/>
    <col min="15120" max="15120" width="1.7109375" style="847" customWidth="1"/>
    <col min="15121" max="15121" width="6.7109375" style="847" customWidth="1"/>
    <col min="15122" max="15122" width="7.7109375" style="847" customWidth="1"/>
    <col min="15123" max="15123" width="1.7109375" style="847" customWidth="1"/>
    <col min="15124" max="15124" width="6.7109375" style="847" customWidth="1"/>
    <col min="15125" max="15125" width="7.7109375" style="847" customWidth="1"/>
    <col min="15126" max="15126" width="1.85546875" style="847" customWidth="1"/>
    <col min="15127" max="15127" width="6.7109375" style="847" customWidth="1"/>
    <col min="15128" max="15128" width="7.7109375" style="847" customWidth="1"/>
    <col min="15129" max="15129" width="1.7109375" style="847" customWidth="1"/>
    <col min="15130" max="15360" width="9.140625" style="847"/>
    <col min="15361" max="15361" width="11.85546875" style="847" customWidth="1"/>
    <col min="15362" max="15363" width="7.7109375" style="847" customWidth="1"/>
    <col min="15364" max="15364" width="1.7109375" style="847" customWidth="1"/>
    <col min="15365" max="15366" width="7.7109375" style="847" customWidth="1"/>
    <col min="15367" max="15367" width="1.7109375" style="847" customWidth="1"/>
    <col min="15368" max="15368" width="6.7109375" style="847" customWidth="1"/>
    <col min="15369" max="15369" width="7.7109375" style="847" customWidth="1"/>
    <col min="15370" max="15370" width="1.7109375" style="847" customWidth="1"/>
    <col min="15371" max="15371" width="6.7109375" style="847" customWidth="1"/>
    <col min="15372" max="15372" width="7.7109375" style="847" customWidth="1"/>
    <col min="15373" max="15373" width="1.7109375" style="847" customWidth="1"/>
    <col min="15374" max="15374" width="6.7109375" style="847" customWidth="1"/>
    <col min="15375" max="15375" width="7.7109375" style="847" customWidth="1"/>
    <col min="15376" max="15376" width="1.7109375" style="847" customWidth="1"/>
    <col min="15377" max="15377" width="6.7109375" style="847" customWidth="1"/>
    <col min="15378" max="15378" width="7.7109375" style="847" customWidth="1"/>
    <col min="15379" max="15379" width="1.7109375" style="847" customWidth="1"/>
    <col min="15380" max="15380" width="6.7109375" style="847" customWidth="1"/>
    <col min="15381" max="15381" width="7.7109375" style="847" customWidth="1"/>
    <col min="15382" max="15382" width="1.85546875" style="847" customWidth="1"/>
    <col min="15383" max="15383" width="6.7109375" style="847" customWidth="1"/>
    <col min="15384" max="15384" width="7.7109375" style="847" customWidth="1"/>
    <col min="15385" max="15385" width="1.7109375" style="847" customWidth="1"/>
    <col min="15386" max="15616" width="9.140625" style="847"/>
    <col min="15617" max="15617" width="11.85546875" style="847" customWidth="1"/>
    <col min="15618" max="15619" width="7.7109375" style="847" customWidth="1"/>
    <col min="15620" max="15620" width="1.7109375" style="847" customWidth="1"/>
    <col min="15621" max="15622" width="7.7109375" style="847" customWidth="1"/>
    <col min="15623" max="15623" width="1.7109375" style="847" customWidth="1"/>
    <col min="15624" max="15624" width="6.7109375" style="847" customWidth="1"/>
    <col min="15625" max="15625" width="7.7109375" style="847" customWidth="1"/>
    <col min="15626" max="15626" width="1.7109375" style="847" customWidth="1"/>
    <col min="15627" max="15627" width="6.7109375" style="847" customWidth="1"/>
    <col min="15628" max="15628" width="7.7109375" style="847" customWidth="1"/>
    <col min="15629" max="15629" width="1.7109375" style="847" customWidth="1"/>
    <col min="15630" max="15630" width="6.7109375" style="847" customWidth="1"/>
    <col min="15631" max="15631" width="7.7109375" style="847" customWidth="1"/>
    <col min="15632" max="15632" width="1.7109375" style="847" customWidth="1"/>
    <col min="15633" max="15633" width="6.7109375" style="847" customWidth="1"/>
    <col min="15634" max="15634" width="7.7109375" style="847" customWidth="1"/>
    <col min="15635" max="15635" width="1.7109375" style="847" customWidth="1"/>
    <col min="15636" max="15636" width="6.7109375" style="847" customWidth="1"/>
    <col min="15637" max="15637" width="7.7109375" style="847" customWidth="1"/>
    <col min="15638" max="15638" width="1.85546875" style="847" customWidth="1"/>
    <col min="15639" max="15639" width="6.7109375" style="847" customWidth="1"/>
    <col min="15640" max="15640" width="7.7109375" style="847" customWidth="1"/>
    <col min="15641" max="15641" width="1.7109375" style="847" customWidth="1"/>
    <col min="15642" max="15872" width="9.140625" style="847"/>
    <col min="15873" max="15873" width="11.85546875" style="847" customWidth="1"/>
    <col min="15874" max="15875" width="7.7109375" style="847" customWidth="1"/>
    <col min="15876" max="15876" width="1.7109375" style="847" customWidth="1"/>
    <col min="15877" max="15878" width="7.7109375" style="847" customWidth="1"/>
    <col min="15879" max="15879" width="1.7109375" style="847" customWidth="1"/>
    <col min="15880" max="15880" width="6.7109375" style="847" customWidth="1"/>
    <col min="15881" max="15881" width="7.7109375" style="847" customWidth="1"/>
    <col min="15882" max="15882" width="1.7109375" style="847" customWidth="1"/>
    <col min="15883" max="15883" width="6.7109375" style="847" customWidth="1"/>
    <col min="15884" max="15884" width="7.7109375" style="847" customWidth="1"/>
    <col min="15885" max="15885" width="1.7109375" style="847" customWidth="1"/>
    <col min="15886" max="15886" width="6.7109375" style="847" customWidth="1"/>
    <col min="15887" max="15887" width="7.7109375" style="847" customWidth="1"/>
    <col min="15888" max="15888" width="1.7109375" style="847" customWidth="1"/>
    <col min="15889" max="15889" width="6.7109375" style="847" customWidth="1"/>
    <col min="15890" max="15890" width="7.7109375" style="847" customWidth="1"/>
    <col min="15891" max="15891" width="1.7109375" style="847" customWidth="1"/>
    <col min="15892" max="15892" width="6.7109375" style="847" customWidth="1"/>
    <col min="15893" max="15893" width="7.7109375" style="847" customWidth="1"/>
    <col min="15894" max="15894" width="1.85546875" style="847" customWidth="1"/>
    <col min="15895" max="15895" width="6.7109375" style="847" customWidth="1"/>
    <col min="15896" max="15896" width="7.7109375" style="847" customWidth="1"/>
    <col min="15897" max="15897" width="1.7109375" style="847" customWidth="1"/>
    <col min="15898" max="16128" width="9.140625" style="847"/>
    <col min="16129" max="16129" width="11.85546875" style="847" customWidth="1"/>
    <col min="16130" max="16131" width="7.7109375" style="847" customWidth="1"/>
    <col min="16132" max="16132" width="1.7109375" style="847" customWidth="1"/>
    <col min="16133" max="16134" width="7.7109375" style="847" customWidth="1"/>
    <col min="16135" max="16135" width="1.7109375" style="847" customWidth="1"/>
    <col min="16136" max="16136" width="6.7109375" style="847" customWidth="1"/>
    <col min="16137" max="16137" width="7.7109375" style="847" customWidth="1"/>
    <col min="16138" max="16138" width="1.7109375" style="847" customWidth="1"/>
    <col min="16139" max="16139" width="6.7109375" style="847" customWidth="1"/>
    <col min="16140" max="16140" width="7.7109375" style="847" customWidth="1"/>
    <col min="16141" max="16141" width="1.7109375" style="847" customWidth="1"/>
    <col min="16142" max="16142" width="6.7109375" style="847" customWidth="1"/>
    <col min="16143" max="16143" width="7.7109375" style="847" customWidth="1"/>
    <col min="16144" max="16144" width="1.7109375" style="847" customWidth="1"/>
    <col min="16145" max="16145" width="6.7109375" style="847" customWidth="1"/>
    <col min="16146" max="16146" width="7.7109375" style="847" customWidth="1"/>
    <col min="16147" max="16147" width="1.7109375" style="847" customWidth="1"/>
    <col min="16148" max="16148" width="6.7109375" style="847" customWidth="1"/>
    <col min="16149" max="16149" width="7.7109375" style="847" customWidth="1"/>
    <col min="16150" max="16150" width="1.85546875" style="847" customWidth="1"/>
    <col min="16151" max="16151" width="6.7109375" style="847" customWidth="1"/>
    <col min="16152" max="16152" width="7.7109375" style="847" customWidth="1"/>
    <col min="16153" max="16153" width="1.7109375" style="847" customWidth="1"/>
    <col min="16154" max="16384" width="9.140625" style="847"/>
  </cols>
  <sheetData>
    <row r="1" spans="1:25">
      <c r="A1" s="847" t="s">
        <v>379</v>
      </c>
    </row>
    <row r="2" spans="1:25">
      <c r="A2" s="847" t="s">
        <v>380</v>
      </c>
      <c r="E2" s="1158"/>
      <c r="F2" s="1159"/>
    </row>
    <row r="3" spans="1:25" ht="10.5" customHeight="1"/>
    <row r="4" spans="1:25" ht="12.95" customHeight="1">
      <c r="A4" s="854" t="s">
        <v>1807</v>
      </c>
    </row>
    <row r="5" spans="1:25" ht="6.75" customHeight="1" thickBot="1">
      <c r="L5" s="943"/>
      <c r="O5" s="943"/>
      <c r="P5" s="943"/>
      <c r="R5" s="943"/>
      <c r="S5" s="943"/>
    </row>
    <row r="6" spans="1:25" ht="12.95" customHeight="1">
      <c r="A6" s="850"/>
      <c r="B6" s="1170"/>
      <c r="C6" s="993"/>
      <c r="D6" s="850"/>
      <c r="E6" s="992"/>
      <c r="F6" s="993"/>
      <c r="G6" s="850"/>
      <c r="H6" s="992"/>
      <c r="I6" s="993"/>
      <c r="J6" s="993"/>
      <c r="K6" s="992"/>
      <c r="L6" s="993"/>
      <c r="M6" s="850"/>
      <c r="N6" s="992"/>
      <c r="O6" s="993"/>
      <c r="P6" s="993"/>
      <c r="Q6" s="992"/>
      <c r="R6" s="993"/>
      <c r="S6" s="993"/>
      <c r="T6" s="993"/>
      <c r="U6" s="993"/>
      <c r="V6" s="993"/>
      <c r="W6" s="993"/>
      <c r="X6" s="993"/>
      <c r="Y6" s="993"/>
    </row>
    <row r="7" spans="1:25" ht="12.95" customHeight="1">
      <c r="A7" s="849" t="s">
        <v>1789</v>
      </c>
      <c r="B7" s="1323" t="s">
        <v>1790</v>
      </c>
      <c r="C7" s="1323"/>
      <c r="D7" s="849"/>
      <c r="E7" s="1323" t="s">
        <v>1447</v>
      </c>
      <c r="F7" s="1323"/>
      <c r="G7" s="849"/>
      <c r="H7" s="1323" t="s">
        <v>1791</v>
      </c>
      <c r="I7" s="1323"/>
      <c r="J7" s="999"/>
      <c r="K7" s="1323" t="s">
        <v>1792</v>
      </c>
      <c r="L7" s="1323"/>
      <c r="M7" s="849"/>
      <c r="N7" s="1323" t="s">
        <v>1793</v>
      </c>
      <c r="O7" s="1323"/>
      <c r="Q7" s="1322" t="s">
        <v>1794</v>
      </c>
      <c r="R7" s="1323"/>
      <c r="T7" s="1323" t="s">
        <v>1795</v>
      </c>
      <c r="U7" s="1323"/>
      <c r="W7" s="1323" t="s">
        <v>1796</v>
      </c>
      <c r="X7" s="1323"/>
    </row>
    <row r="8" spans="1:25" ht="12.95" customHeight="1">
      <c r="A8" s="847" t="s">
        <v>1797</v>
      </c>
      <c r="B8" s="1177" t="s">
        <v>323</v>
      </c>
      <c r="C8" s="1029" t="s">
        <v>324</v>
      </c>
      <c r="D8" s="849"/>
      <c r="E8" s="1160" t="s">
        <v>323</v>
      </c>
      <c r="F8" s="1029" t="s">
        <v>324</v>
      </c>
      <c r="G8" s="849"/>
      <c r="H8" s="1160" t="s">
        <v>323</v>
      </c>
      <c r="I8" s="1029" t="s">
        <v>324</v>
      </c>
      <c r="J8" s="1029"/>
      <c r="K8" s="1160" t="s">
        <v>323</v>
      </c>
      <c r="L8" s="1029" t="s">
        <v>324</v>
      </c>
      <c r="M8" s="849"/>
      <c r="N8" s="1160" t="s">
        <v>323</v>
      </c>
      <c r="O8" s="1029" t="s">
        <v>324</v>
      </c>
      <c r="Q8" s="1160" t="s">
        <v>323</v>
      </c>
      <c r="R8" s="1029" t="s">
        <v>324</v>
      </c>
      <c r="T8" s="1160" t="s">
        <v>323</v>
      </c>
      <c r="U8" s="1029" t="s">
        <v>324</v>
      </c>
      <c r="W8" s="1160" t="s">
        <v>323</v>
      </c>
      <c r="X8" s="1029" t="s">
        <v>324</v>
      </c>
    </row>
    <row r="9" spans="1:25" ht="12.95" customHeight="1" thickBot="1">
      <c r="A9" s="848"/>
      <c r="B9" s="1178"/>
      <c r="C9" s="996"/>
      <c r="D9" s="848"/>
      <c r="E9" s="995"/>
      <c r="F9" s="996"/>
      <c r="G9" s="848"/>
      <c r="H9" s="995"/>
      <c r="I9" s="996"/>
      <c r="J9" s="996"/>
      <c r="K9" s="995"/>
      <c r="L9" s="996"/>
      <c r="M9" s="848"/>
      <c r="N9" s="995"/>
      <c r="O9" s="996"/>
      <c r="P9" s="996"/>
      <c r="Q9" s="995"/>
      <c r="R9" s="996"/>
      <c r="S9" s="996"/>
      <c r="T9" s="996"/>
      <c r="U9" s="996"/>
      <c r="V9" s="996"/>
      <c r="W9" s="996"/>
      <c r="X9" s="996"/>
      <c r="Y9" s="996"/>
    </row>
    <row r="10" spans="1:25" ht="12.95" customHeight="1">
      <c r="A10" s="849"/>
      <c r="B10" s="1167"/>
      <c r="C10" s="999"/>
      <c r="D10" s="849"/>
      <c r="E10" s="997"/>
      <c r="F10" s="999"/>
      <c r="G10" s="849"/>
      <c r="H10" s="997"/>
      <c r="I10" s="999"/>
      <c r="J10" s="999"/>
      <c r="K10" s="997"/>
      <c r="L10" s="999"/>
      <c r="M10" s="849"/>
      <c r="N10" s="997"/>
      <c r="O10" s="999"/>
      <c r="Q10" s="997"/>
      <c r="R10" s="999"/>
    </row>
    <row r="11" spans="1:25" ht="12.95" customHeight="1">
      <c r="A11" s="1099" t="s">
        <v>5</v>
      </c>
      <c r="B11" s="1167">
        <f>IF($A11&lt;&gt;0,SUM(B13:B21),"")</f>
        <v>25207</v>
      </c>
      <c r="C11" s="998">
        <f>IF($A11&lt;&gt;0,SUM(C13:C21),"")</f>
        <v>100</v>
      </c>
      <c r="D11" s="849"/>
      <c r="E11" s="997">
        <f>IF($A11&lt;&gt;0,SUM(E13:E21),"")</f>
        <v>16928</v>
      </c>
      <c r="F11" s="998">
        <f>IF($A11&lt;&gt;0,SUM(F13:F21),"")</f>
        <v>100</v>
      </c>
      <c r="G11" s="849"/>
      <c r="H11" s="997">
        <f>IF($A11&lt;&gt;0,SUM(H13:H21),"")</f>
        <v>2552</v>
      </c>
      <c r="I11" s="998">
        <f>IF($A11&lt;&gt;0,SUM(I13:I21),"")</f>
        <v>100</v>
      </c>
      <c r="J11" s="999"/>
      <c r="K11" s="997">
        <f>IF($A11&lt;&gt;0,SUM(K13:K21),"")</f>
        <v>1582</v>
      </c>
      <c r="L11" s="998">
        <f>IF($A11&lt;&gt;0,SUM(L13:L21),"")</f>
        <v>100</v>
      </c>
      <c r="M11" s="849"/>
      <c r="N11" s="997">
        <f>IF($A11&lt;&gt;0,SUM(N13:N21),"")</f>
        <v>1558</v>
      </c>
      <c r="O11" s="998">
        <f>IF($A11&lt;&gt;0,SUM(O13:O21),"")</f>
        <v>100</v>
      </c>
      <c r="Q11" s="997">
        <f>IF($A11&lt;&gt;0,SUM(Q13:Q21),"")</f>
        <v>1185</v>
      </c>
      <c r="R11" s="998">
        <f>IF($A11&lt;&gt;0,SUM(R13:R21),"")</f>
        <v>100</v>
      </c>
      <c r="T11" s="997">
        <f>IF($A11&lt;&gt;0,SUM(T13:T21),"")</f>
        <v>981</v>
      </c>
      <c r="U11" s="998">
        <f>IF($A11&lt;&gt;0,SUM(U13:U21),"")</f>
        <v>100</v>
      </c>
      <c r="W11" s="997">
        <f>IF($A11&lt;&gt;0,SUM(W13:W21),"")</f>
        <v>421</v>
      </c>
      <c r="X11" s="998">
        <f>IF($A11&lt;&gt;0,SUM(X13:X21),"")</f>
        <v>42.915392456676855</v>
      </c>
    </row>
    <row r="12" spans="1:25" ht="12.95" customHeight="1">
      <c r="A12" s="954"/>
      <c r="B12" s="1167" t="str">
        <f>IF(A12&lt;&gt;0,E12+H12+K12+N12+Q12+T12,"")</f>
        <v/>
      </c>
      <c r="C12" s="999" t="str">
        <f>IF($A12&lt;&gt;0,B12/$B$11*100,"")</f>
        <v/>
      </c>
      <c r="D12" s="849"/>
      <c r="E12" s="997"/>
      <c r="F12" s="997" t="str">
        <f>IF(E12&lt;&gt;0,I12+L12+O12+R12+U12,"")</f>
        <v/>
      </c>
      <c r="G12" s="849"/>
      <c r="H12" s="997"/>
      <c r="I12" s="999" t="str">
        <f>IF(A12&lt;&gt;0,H12/B12*100,"")</f>
        <v/>
      </c>
      <c r="J12" s="999"/>
      <c r="K12" s="997"/>
      <c r="L12" s="999" t="str">
        <f>IF(A12&lt;&gt;0,K12/B12*100,"")</f>
        <v/>
      </c>
      <c r="M12" s="849"/>
      <c r="N12" s="997"/>
      <c r="O12" s="999" t="str">
        <f>IF(A12&lt;&gt;0,N12/B12*100,"")</f>
        <v/>
      </c>
      <c r="Q12" s="997"/>
      <c r="R12" s="999" t="str">
        <f>IF(A12&lt;&gt;0,Q12/B12*100,"")</f>
        <v/>
      </c>
      <c r="T12" s="942"/>
      <c r="W12" s="942"/>
    </row>
    <row r="13" spans="1:25" ht="12.95" customHeight="1">
      <c r="A13" s="1163">
        <v>1</v>
      </c>
      <c r="B13" s="1167">
        <f>IF(A13&lt;&gt;"",E13+H13+K13+N13+Q13+T13+W13,"")</f>
        <v>783</v>
      </c>
      <c r="C13" s="999">
        <f t="shared" ref="C13:C21" si="0">IF($A13&lt;&gt;"",B13/$B$11*100,"")</f>
        <v>3.1062800015868608</v>
      </c>
      <c r="D13" s="849"/>
      <c r="E13" s="1180">
        <v>615</v>
      </c>
      <c r="F13" s="999">
        <f t="shared" ref="F13:F21" si="1">IF($A13&lt;&gt;"",E13/$E$11*100,"")</f>
        <v>3.6330340264650283</v>
      </c>
      <c r="G13" s="849"/>
      <c r="H13" s="1180">
        <v>42</v>
      </c>
      <c r="I13" s="999">
        <f t="shared" ref="I13:I21" si="2">IF($A13&lt;&gt;"",H13/$H$11*100,"")</f>
        <v>1.6457680250783697</v>
      </c>
      <c r="J13" s="999"/>
      <c r="K13" s="1180">
        <v>32</v>
      </c>
      <c r="L13" s="999">
        <f t="shared" ref="L13:L21" si="3">IF($A13&lt;&gt;"",K13/$K$11*100,"")</f>
        <v>2.0227560050568902</v>
      </c>
      <c r="M13" s="849"/>
      <c r="N13" s="1180">
        <v>37</v>
      </c>
      <c r="O13" s="999">
        <f t="shared" ref="O13:O21" si="4">IF($A13&lt;&gt;"",N13/$N$11*100,"")</f>
        <v>2.3748395378690628</v>
      </c>
      <c r="Q13" s="1180">
        <v>18</v>
      </c>
      <c r="R13" s="999">
        <f t="shared" ref="R13:R21" si="5">IF($A13&lt;&gt;"",Q13/$Q$11*100,"")</f>
        <v>1.5189873417721518</v>
      </c>
      <c r="T13" s="1180">
        <v>26</v>
      </c>
      <c r="U13" s="999">
        <f>IF($A13&lt;&gt;"",T13/$T$11*100,"")</f>
        <v>2.6503567787971458</v>
      </c>
      <c r="W13" s="1180">
        <v>13</v>
      </c>
      <c r="X13" s="999">
        <f>IF($A13&lt;&gt;"",W13/$T$11*100,"")</f>
        <v>1.3251783893985729</v>
      </c>
    </row>
    <row r="14" spans="1:25" ht="12.95" customHeight="1">
      <c r="A14" s="1163"/>
      <c r="B14" s="1167" t="str">
        <f t="shared" ref="B14:B21" si="6">IF(A14&lt;&gt;"",E14+H14+K14+N14+Q14+T14+W14,"")</f>
        <v/>
      </c>
      <c r="C14" s="999" t="str">
        <f t="shared" si="0"/>
        <v/>
      </c>
      <c r="D14" s="849"/>
      <c r="E14" s="1180"/>
      <c r="F14" s="999" t="str">
        <f t="shared" si="1"/>
        <v/>
      </c>
      <c r="G14" s="849"/>
      <c r="H14" s="1180"/>
      <c r="I14" s="999" t="str">
        <f t="shared" si="2"/>
        <v/>
      </c>
      <c r="J14" s="999"/>
      <c r="K14" s="1180"/>
      <c r="L14" s="999" t="str">
        <f t="shared" si="3"/>
        <v/>
      </c>
      <c r="M14" s="849"/>
      <c r="N14" s="1180"/>
      <c r="O14" s="999" t="str">
        <f t="shared" si="4"/>
        <v/>
      </c>
      <c r="Q14" s="1180"/>
      <c r="R14" s="999" t="str">
        <f t="shared" si="5"/>
        <v/>
      </c>
      <c r="T14" s="1180"/>
      <c r="U14" s="999" t="str">
        <f t="shared" ref="U14:U21" si="7">IF($A14&lt;&gt;"",T14/$T$11*100,"")</f>
        <v/>
      </c>
      <c r="W14" s="1180"/>
      <c r="X14" s="999" t="str">
        <f t="shared" ref="X14:X21" si="8">IF($A14&lt;&gt;"",W14/$T$11*100,"")</f>
        <v/>
      </c>
    </row>
    <row r="15" spans="1:25" ht="12.95" customHeight="1">
      <c r="A15" s="1163">
        <v>2</v>
      </c>
      <c r="B15" s="1167">
        <f t="shared" si="6"/>
        <v>1107</v>
      </c>
      <c r="C15" s="999">
        <f t="shared" si="0"/>
        <v>4.3916372436228031</v>
      </c>
      <c r="D15" s="849"/>
      <c r="E15" s="1180">
        <v>854</v>
      </c>
      <c r="F15" s="999">
        <f t="shared" si="1"/>
        <v>5.0448960302457468</v>
      </c>
      <c r="G15" s="849"/>
      <c r="H15" s="1180">
        <v>78</v>
      </c>
      <c r="I15" s="999">
        <f t="shared" si="2"/>
        <v>3.0564263322884013</v>
      </c>
      <c r="J15" s="999"/>
      <c r="K15" s="1180">
        <v>32</v>
      </c>
      <c r="L15" s="999">
        <f t="shared" si="3"/>
        <v>2.0227560050568902</v>
      </c>
      <c r="M15" s="849"/>
      <c r="N15" s="1180">
        <v>61</v>
      </c>
      <c r="O15" s="999">
        <f t="shared" si="4"/>
        <v>3.9152759948652118</v>
      </c>
      <c r="Q15" s="1180">
        <v>29</v>
      </c>
      <c r="R15" s="999">
        <f t="shared" si="5"/>
        <v>2.447257383966245</v>
      </c>
      <c r="T15" s="1180">
        <v>30</v>
      </c>
      <c r="U15" s="999">
        <f t="shared" si="7"/>
        <v>3.0581039755351682</v>
      </c>
      <c r="W15" s="1180">
        <v>23</v>
      </c>
      <c r="X15" s="999">
        <f t="shared" si="8"/>
        <v>2.3445463812436289</v>
      </c>
    </row>
    <row r="16" spans="1:25" ht="12.95" customHeight="1">
      <c r="A16" s="1163"/>
      <c r="B16" s="1167" t="str">
        <f t="shared" si="6"/>
        <v/>
      </c>
      <c r="C16" s="999" t="str">
        <f t="shared" si="0"/>
        <v/>
      </c>
      <c r="D16" s="849"/>
      <c r="E16" s="1180"/>
      <c r="F16" s="999" t="str">
        <f t="shared" si="1"/>
        <v/>
      </c>
      <c r="G16" s="849"/>
      <c r="H16" s="1180"/>
      <c r="I16" s="999" t="str">
        <f t="shared" si="2"/>
        <v/>
      </c>
      <c r="J16" s="999"/>
      <c r="K16" s="1180"/>
      <c r="L16" s="999" t="str">
        <f t="shared" si="3"/>
        <v/>
      </c>
      <c r="M16" s="849"/>
      <c r="N16" s="1180"/>
      <c r="O16" s="999" t="str">
        <f t="shared" si="4"/>
        <v/>
      </c>
      <c r="Q16" s="1180"/>
      <c r="R16" s="999" t="str">
        <f t="shared" si="5"/>
        <v/>
      </c>
      <c r="T16" s="1180"/>
      <c r="U16" s="999" t="str">
        <f t="shared" si="7"/>
        <v/>
      </c>
      <c r="W16" s="1180"/>
      <c r="X16" s="999" t="str">
        <f t="shared" si="8"/>
        <v/>
      </c>
    </row>
    <row r="17" spans="1:230" ht="12.95" customHeight="1">
      <c r="A17" s="1163">
        <v>3</v>
      </c>
      <c r="B17" s="1167">
        <f t="shared" si="6"/>
        <v>1928</v>
      </c>
      <c r="C17" s="999">
        <f t="shared" si="0"/>
        <v>7.6486690205101748</v>
      </c>
      <c r="D17" s="849"/>
      <c r="E17" s="1180">
        <v>1462</v>
      </c>
      <c r="F17" s="999">
        <f t="shared" si="1"/>
        <v>8.6365784499054818</v>
      </c>
      <c r="G17" s="1045"/>
      <c r="H17" s="1180">
        <v>144</v>
      </c>
      <c r="I17" s="999">
        <f t="shared" si="2"/>
        <v>5.6426332288401255</v>
      </c>
      <c r="J17" s="1044"/>
      <c r="K17" s="1180">
        <v>84</v>
      </c>
      <c r="L17" s="999">
        <f t="shared" si="3"/>
        <v>5.3097345132743365</v>
      </c>
      <c r="M17" s="1045"/>
      <c r="N17" s="1180">
        <v>80</v>
      </c>
      <c r="O17" s="999">
        <f t="shared" si="4"/>
        <v>5.1347881899871632</v>
      </c>
      <c r="P17" s="1046"/>
      <c r="Q17" s="1180">
        <v>59</v>
      </c>
      <c r="R17" s="999">
        <f t="shared" si="5"/>
        <v>4.9789029535864975</v>
      </c>
      <c r="T17" s="1180">
        <v>54</v>
      </c>
      <c r="U17" s="999">
        <f t="shared" si="7"/>
        <v>5.5045871559633035</v>
      </c>
      <c r="W17" s="1180">
        <v>45</v>
      </c>
      <c r="X17" s="999">
        <f t="shared" si="8"/>
        <v>4.5871559633027523</v>
      </c>
    </row>
    <row r="18" spans="1:230" ht="12.95" customHeight="1">
      <c r="A18" s="1163"/>
      <c r="B18" s="1167" t="str">
        <f t="shared" si="6"/>
        <v/>
      </c>
      <c r="C18" s="999" t="str">
        <f t="shared" si="0"/>
        <v/>
      </c>
      <c r="D18" s="849"/>
      <c r="E18" s="1180"/>
      <c r="F18" s="999" t="str">
        <f t="shared" si="1"/>
        <v/>
      </c>
      <c r="G18" s="1045"/>
      <c r="H18" s="1180"/>
      <c r="I18" s="999" t="str">
        <f t="shared" si="2"/>
        <v/>
      </c>
      <c r="J18" s="1044"/>
      <c r="K18" s="1180"/>
      <c r="L18" s="999" t="str">
        <f t="shared" si="3"/>
        <v/>
      </c>
      <c r="M18" s="1045"/>
      <c r="N18" s="1180"/>
      <c r="O18" s="999" t="str">
        <f t="shared" si="4"/>
        <v/>
      </c>
      <c r="P18" s="1046"/>
      <c r="Q18" s="1180"/>
      <c r="R18" s="999" t="str">
        <f t="shared" si="5"/>
        <v/>
      </c>
      <c r="T18" s="1180"/>
      <c r="U18" s="999" t="str">
        <f t="shared" si="7"/>
        <v/>
      </c>
      <c r="W18" s="1180"/>
      <c r="X18" s="999" t="str">
        <f t="shared" si="8"/>
        <v/>
      </c>
    </row>
    <row r="19" spans="1:230" ht="12.95" customHeight="1">
      <c r="A19" s="1163">
        <v>4</v>
      </c>
      <c r="B19" s="1167">
        <f t="shared" si="6"/>
        <v>5864</v>
      </c>
      <c r="C19" s="999">
        <f t="shared" si="0"/>
        <v>23.263379220057921</v>
      </c>
      <c r="D19" s="849"/>
      <c r="E19" s="1180">
        <v>4878</v>
      </c>
      <c r="F19" s="999">
        <f t="shared" si="1"/>
        <v>28.816162570888469</v>
      </c>
      <c r="G19" s="1045"/>
      <c r="H19" s="1180">
        <v>325</v>
      </c>
      <c r="I19" s="999">
        <f t="shared" si="2"/>
        <v>12.73510971786834</v>
      </c>
      <c r="J19" s="1044"/>
      <c r="K19" s="1180">
        <v>170</v>
      </c>
      <c r="L19" s="999">
        <f t="shared" si="3"/>
        <v>10.745891276864729</v>
      </c>
      <c r="M19" s="1045"/>
      <c r="N19" s="1180">
        <v>164</v>
      </c>
      <c r="O19" s="999">
        <f t="shared" si="4"/>
        <v>10.526315789473683</v>
      </c>
      <c r="P19" s="1046"/>
      <c r="Q19" s="1180">
        <v>115</v>
      </c>
      <c r="R19" s="999">
        <f t="shared" si="5"/>
        <v>9.7046413502109701</v>
      </c>
      <c r="T19" s="1180">
        <v>112</v>
      </c>
      <c r="U19" s="999">
        <f t="shared" si="7"/>
        <v>11.416921508664627</v>
      </c>
      <c r="W19" s="1180">
        <v>100</v>
      </c>
      <c r="X19" s="999">
        <f t="shared" si="8"/>
        <v>10.19367991845056</v>
      </c>
    </row>
    <row r="20" spans="1:230" ht="12.95" customHeight="1">
      <c r="A20" s="1163"/>
      <c r="B20" s="1167" t="str">
        <f t="shared" si="6"/>
        <v/>
      </c>
      <c r="C20" s="999" t="str">
        <f t="shared" si="0"/>
        <v/>
      </c>
      <c r="D20" s="849"/>
      <c r="E20" s="1180"/>
      <c r="F20" s="999" t="str">
        <f t="shared" si="1"/>
        <v/>
      </c>
      <c r="G20" s="849"/>
      <c r="H20" s="1180"/>
      <c r="I20" s="999" t="str">
        <f t="shared" si="2"/>
        <v/>
      </c>
      <c r="J20" s="999"/>
      <c r="K20" s="1180"/>
      <c r="L20" s="999" t="str">
        <f t="shared" si="3"/>
        <v/>
      </c>
      <c r="M20" s="849"/>
      <c r="N20" s="1180"/>
      <c r="O20" s="999" t="str">
        <f t="shared" si="4"/>
        <v/>
      </c>
      <c r="Q20" s="1180"/>
      <c r="R20" s="999" t="str">
        <f t="shared" si="5"/>
        <v/>
      </c>
      <c r="T20" s="1180"/>
      <c r="U20" s="999" t="str">
        <f t="shared" si="7"/>
        <v/>
      </c>
      <c r="W20" s="1180"/>
      <c r="X20" s="999" t="str">
        <f t="shared" si="8"/>
        <v/>
      </c>
    </row>
    <row r="21" spans="1:230" ht="12.95" customHeight="1">
      <c r="A21" s="1163">
        <v>5</v>
      </c>
      <c r="B21" s="1167">
        <f t="shared" si="6"/>
        <v>15525</v>
      </c>
      <c r="C21" s="999">
        <f t="shared" si="0"/>
        <v>61.590034514222239</v>
      </c>
      <c r="D21" s="849"/>
      <c r="E21" s="1180">
        <v>9119</v>
      </c>
      <c r="F21" s="999">
        <f t="shared" si="1"/>
        <v>53.869328922495271</v>
      </c>
      <c r="G21" s="849"/>
      <c r="H21" s="1180">
        <v>1963</v>
      </c>
      <c r="I21" s="999">
        <f t="shared" si="2"/>
        <v>76.920062695924756</v>
      </c>
      <c r="J21" s="999"/>
      <c r="K21" s="1180">
        <v>1264</v>
      </c>
      <c r="L21" s="999">
        <f t="shared" si="3"/>
        <v>79.898862199747157</v>
      </c>
      <c r="M21" s="849"/>
      <c r="N21" s="1180">
        <v>1216</v>
      </c>
      <c r="O21" s="999">
        <f t="shared" si="4"/>
        <v>78.048780487804876</v>
      </c>
      <c r="Q21" s="1180">
        <v>964</v>
      </c>
      <c r="R21" s="999">
        <f t="shared" si="5"/>
        <v>81.350210970464133</v>
      </c>
      <c r="T21" s="1180">
        <v>759</v>
      </c>
      <c r="U21" s="999">
        <f t="shared" si="7"/>
        <v>77.370030581039757</v>
      </c>
      <c r="W21" s="1180">
        <v>240</v>
      </c>
      <c r="X21" s="999">
        <f t="shared" si="8"/>
        <v>24.464831804281346</v>
      </c>
    </row>
    <row r="22" spans="1:230" ht="12.95" customHeight="1">
      <c r="A22" s="1163"/>
      <c r="B22" s="1167"/>
      <c r="C22" s="999"/>
      <c r="D22" s="849"/>
      <c r="E22" s="1167"/>
      <c r="F22" s="999"/>
      <c r="G22" s="849"/>
      <c r="H22" s="1167"/>
      <c r="I22" s="999"/>
      <c r="J22" s="999"/>
      <c r="K22" s="1167"/>
      <c r="L22" s="999"/>
      <c r="M22" s="849"/>
      <c r="N22" s="1167"/>
      <c r="O22" s="999"/>
      <c r="Q22" s="1167"/>
      <c r="R22" s="999"/>
      <c r="T22" s="1167"/>
      <c r="U22" s="999"/>
      <c r="W22" s="1167"/>
      <c r="X22" s="999"/>
    </row>
    <row r="23" spans="1:230" ht="12.95" customHeight="1">
      <c r="A23" s="1163" t="s">
        <v>1802</v>
      </c>
      <c r="B23" s="1167"/>
      <c r="C23" s="999">
        <f>F23+I23+L23+O23+R23+U23+X23</f>
        <v>99.999999999999972</v>
      </c>
      <c r="D23" s="849"/>
      <c r="E23" s="1179"/>
      <c r="F23" s="999">
        <f>E11/B11*100</f>
        <v>67.155948744396397</v>
      </c>
      <c r="G23" s="849"/>
      <c r="H23" s="847"/>
      <c r="I23" s="999">
        <f>H11/B11*100</f>
        <v>10.124171857023843</v>
      </c>
      <c r="J23" s="999"/>
      <c r="K23" s="847"/>
      <c r="L23" s="999">
        <f>K11/B11*100</f>
        <v>6.2760344348792003</v>
      </c>
      <c r="M23" s="849"/>
      <c r="N23" s="847"/>
      <c r="O23" s="999">
        <f>N11/B11*100</f>
        <v>6.1808227873209827</v>
      </c>
      <c r="Q23" s="847"/>
      <c r="R23" s="999">
        <f>Q11/B11*100</f>
        <v>4.7010750981870117</v>
      </c>
      <c r="U23" s="999">
        <f>T11/B11*100</f>
        <v>3.8917760939421591</v>
      </c>
      <c r="X23" s="999">
        <f>W11/B11*100</f>
        <v>1.6701709842504064</v>
      </c>
    </row>
    <row r="24" spans="1:230" ht="12.95" customHeight="1">
      <c r="A24" s="1163"/>
      <c r="B24" s="1167"/>
      <c r="C24" s="999"/>
      <c r="D24" s="849"/>
      <c r="E24" s="1179"/>
      <c r="F24" s="999"/>
      <c r="G24" s="849"/>
      <c r="H24" s="847"/>
      <c r="I24" s="999"/>
      <c r="J24" s="999"/>
      <c r="K24" s="847"/>
      <c r="L24" s="999"/>
      <c r="M24" s="849"/>
      <c r="N24" s="847"/>
      <c r="O24" s="999"/>
      <c r="Q24" s="847"/>
      <c r="R24" s="999"/>
      <c r="U24" s="999"/>
      <c r="X24" s="999"/>
    </row>
    <row r="25" spans="1:230" ht="12.95" customHeight="1">
      <c r="A25" s="1163" t="s">
        <v>1804</v>
      </c>
      <c r="B25" s="1167"/>
      <c r="C25" s="999"/>
      <c r="D25" s="849"/>
      <c r="E25" s="1179"/>
      <c r="F25" s="999"/>
      <c r="G25" s="849"/>
      <c r="H25" s="847"/>
      <c r="I25" s="999"/>
      <c r="J25" s="999"/>
      <c r="K25" s="847"/>
      <c r="L25" s="999"/>
      <c r="M25" s="849"/>
      <c r="N25" s="847"/>
      <c r="O25" s="999"/>
      <c r="Q25" s="847"/>
      <c r="R25" s="999"/>
      <c r="U25" s="999"/>
      <c r="X25" s="999"/>
    </row>
    <row r="26" spans="1:230" ht="12.95" customHeight="1">
      <c r="A26" s="1163" t="s">
        <v>2151</v>
      </c>
      <c r="B26" s="1167">
        <f>E26+H26+K26+N26+Q26+T26+W26</f>
        <v>41793</v>
      </c>
      <c r="C26" s="1168">
        <f>B11/B26*100</f>
        <v>60.3139281697892</v>
      </c>
      <c r="D26" s="1169"/>
      <c r="E26" s="1172">
        <v>31667</v>
      </c>
      <c r="F26" s="1168">
        <f>E11/E26*100</f>
        <v>53.456279407585185</v>
      </c>
      <c r="G26" s="1169"/>
      <c r="H26" s="1172">
        <v>3122</v>
      </c>
      <c r="I26" s="1168">
        <f>H11/H26*100</f>
        <v>81.7424727738629</v>
      </c>
      <c r="J26" s="1168"/>
      <c r="K26" s="1172">
        <v>1890</v>
      </c>
      <c r="L26" s="1168">
        <f>K11/K26*100</f>
        <v>83.703703703703695</v>
      </c>
      <c r="M26" s="1169"/>
      <c r="N26" s="1172">
        <v>1947</v>
      </c>
      <c r="O26" s="1168">
        <f>N11/N26*100</f>
        <v>80.020544427324097</v>
      </c>
      <c r="Q26" s="1172">
        <v>1327</v>
      </c>
      <c r="R26" s="999">
        <f>Q11/Q26*100</f>
        <v>89.299171062547103</v>
      </c>
      <c r="T26" s="1172">
        <v>1171</v>
      </c>
      <c r="U26" s="999">
        <f>T11/T26*100</f>
        <v>83.774551665243379</v>
      </c>
      <c r="W26" s="1172">
        <v>669</v>
      </c>
      <c r="X26" s="999">
        <f>W11/W26*100</f>
        <v>62.929745889387142</v>
      </c>
    </row>
    <row r="27" spans="1:230" ht="7.5" customHeight="1" thickBot="1"/>
    <row r="28" spans="1:230" ht="7.5" customHeight="1">
      <c r="A28" s="850"/>
      <c r="B28" s="1170"/>
      <c r="C28" s="993"/>
      <c r="D28" s="850"/>
      <c r="E28" s="992"/>
      <c r="F28" s="993"/>
      <c r="G28" s="850"/>
      <c r="H28" s="992"/>
      <c r="I28" s="993"/>
      <c r="J28" s="993"/>
      <c r="K28" s="992"/>
      <c r="L28" s="850"/>
      <c r="M28" s="850"/>
      <c r="N28" s="992"/>
      <c r="O28" s="850"/>
      <c r="P28" s="850"/>
      <c r="Q28" s="992"/>
      <c r="R28" s="850"/>
      <c r="S28" s="850"/>
      <c r="T28" s="850"/>
      <c r="U28" s="850"/>
      <c r="V28" s="850"/>
      <c r="W28" s="850"/>
      <c r="X28" s="850"/>
      <c r="Y28" s="850"/>
    </row>
    <row r="29" spans="1:230" ht="12.95" customHeight="1">
      <c r="A29" s="1124" t="s">
        <v>1808</v>
      </c>
      <c r="B29" s="1167"/>
      <c r="C29" s="1168"/>
      <c r="D29" s="1169"/>
      <c r="E29" s="1167"/>
      <c r="F29" s="1168"/>
      <c r="G29" s="1169"/>
      <c r="H29" s="1167"/>
      <c r="I29" s="1168"/>
      <c r="J29" s="1168"/>
      <c r="K29" s="1167"/>
      <c r="L29" s="1169"/>
      <c r="M29" s="849"/>
      <c r="N29" s="997"/>
      <c r="O29" s="849"/>
      <c r="P29" s="849"/>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9"/>
      <c r="AQ29" s="849"/>
      <c r="AR29" s="84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c r="BP29" s="849"/>
      <c r="BQ29" s="849"/>
      <c r="BR29" s="849"/>
      <c r="BS29" s="849"/>
      <c r="BT29" s="849"/>
      <c r="BU29" s="849"/>
      <c r="BV29" s="849"/>
      <c r="BW29" s="849"/>
      <c r="BX29" s="849"/>
      <c r="BY29" s="849"/>
      <c r="BZ29" s="849"/>
      <c r="CA29" s="849"/>
      <c r="CB29" s="849"/>
      <c r="CC29" s="849"/>
      <c r="CD29" s="849"/>
      <c r="CE29" s="849"/>
      <c r="CF29" s="849"/>
      <c r="CG29" s="849"/>
      <c r="CH29" s="849"/>
      <c r="CI29" s="849"/>
      <c r="CJ29" s="849"/>
      <c r="CK29" s="849"/>
      <c r="CL29" s="849"/>
      <c r="CM29" s="849"/>
      <c r="CN29" s="849"/>
      <c r="CO29" s="849"/>
      <c r="CP29" s="849"/>
      <c r="CQ29" s="849"/>
      <c r="CR29" s="849"/>
      <c r="CS29" s="849"/>
      <c r="CT29" s="849"/>
      <c r="CU29" s="849"/>
      <c r="CV29" s="849"/>
      <c r="CW29" s="849"/>
      <c r="CX29" s="849"/>
      <c r="CY29" s="849"/>
      <c r="CZ29" s="849"/>
      <c r="DA29" s="849"/>
      <c r="DB29" s="849"/>
      <c r="DC29" s="849"/>
      <c r="DD29" s="849"/>
      <c r="DE29" s="849"/>
      <c r="DF29" s="849"/>
      <c r="DG29" s="849"/>
      <c r="DH29" s="849"/>
      <c r="DI29" s="849"/>
      <c r="DJ29" s="849"/>
      <c r="DK29" s="849"/>
      <c r="DL29" s="849"/>
      <c r="DM29" s="849"/>
      <c r="DN29" s="849"/>
      <c r="DO29" s="849"/>
      <c r="DP29" s="849"/>
      <c r="DQ29" s="849"/>
      <c r="DR29" s="849"/>
      <c r="DS29" s="849"/>
      <c r="DT29" s="849"/>
      <c r="DU29" s="849"/>
      <c r="DV29" s="849"/>
      <c r="DW29" s="849"/>
      <c r="DX29" s="849"/>
      <c r="DY29" s="849"/>
      <c r="DZ29" s="849"/>
      <c r="EA29" s="849"/>
      <c r="EB29" s="849"/>
      <c r="EC29" s="849"/>
      <c r="ED29" s="849"/>
      <c r="EE29" s="849"/>
      <c r="EF29" s="849"/>
      <c r="EG29" s="849"/>
      <c r="EH29" s="849"/>
      <c r="EI29" s="849"/>
      <c r="EJ29" s="849"/>
      <c r="EK29" s="849"/>
      <c r="EL29" s="849"/>
      <c r="EM29" s="849"/>
      <c r="EN29" s="849"/>
      <c r="EO29" s="849"/>
      <c r="EP29" s="849"/>
      <c r="EQ29" s="849"/>
      <c r="ER29" s="849"/>
      <c r="ES29" s="849"/>
      <c r="ET29" s="849"/>
      <c r="EU29" s="849"/>
      <c r="EV29" s="849"/>
      <c r="EW29" s="849"/>
      <c r="EX29" s="849"/>
      <c r="EY29" s="849"/>
      <c r="EZ29" s="849"/>
      <c r="FA29" s="849"/>
      <c r="FB29" s="849"/>
      <c r="FC29" s="849"/>
      <c r="FD29" s="849"/>
      <c r="FE29" s="849"/>
      <c r="FF29" s="849"/>
      <c r="FG29" s="849"/>
      <c r="FH29" s="849"/>
      <c r="FI29" s="849"/>
      <c r="FJ29" s="849"/>
      <c r="FK29" s="849"/>
      <c r="FL29" s="849"/>
      <c r="FM29" s="849"/>
      <c r="FN29" s="849"/>
      <c r="FO29" s="849"/>
      <c r="FP29" s="849"/>
      <c r="FQ29" s="849"/>
      <c r="FR29" s="849"/>
      <c r="FS29" s="849"/>
      <c r="FT29" s="849"/>
      <c r="FU29" s="849"/>
      <c r="FV29" s="849"/>
      <c r="FW29" s="849"/>
      <c r="FX29" s="849"/>
      <c r="FY29" s="849"/>
      <c r="FZ29" s="849"/>
      <c r="GA29" s="849"/>
      <c r="GB29" s="849"/>
      <c r="GC29" s="849"/>
      <c r="GD29" s="849"/>
      <c r="GE29" s="849"/>
      <c r="GF29" s="849"/>
      <c r="GG29" s="849"/>
      <c r="GH29" s="849"/>
      <c r="GI29" s="849"/>
      <c r="GJ29" s="849"/>
      <c r="GK29" s="849"/>
      <c r="GL29" s="849"/>
      <c r="GM29" s="849"/>
      <c r="GN29" s="849"/>
      <c r="GO29" s="849"/>
      <c r="GP29" s="849"/>
      <c r="GQ29" s="849"/>
      <c r="GR29" s="849"/>
      <c r="GS29" s="849"/>
      <c r="GT29" s="849"/>
      <c r="GU29" s="849"/>
      <c r="GV29" s="849"/>
      <c r="GW29" s="849"/>
      <c r="GX29" s="849"/>
      <c r="GY29" s="849"/>
      <c r="GZ29" s="849"/>
      <c r="HA29" s="849"/>
      <c r="HB29" s="849"/>
      <c r="HC29" s="849"/>
      <c r="HD29" s="849"/>
      <c r="HE29" s="849"/>
      <c r="HF29" s="849"/>
      <c r="HG29" s="849"/>
      <c r="HH29" s="849"/>
      <c r="HI29" s="849"/>
      <c r="HJ29" s="849"/>
      <c r="HK29" s="849"/>
      <c r="HL29" s="849"/>
      <c r="HM29" s="849"/>
      <c r="HN29" s="849"/>
      <c r="HO29" s="849"/>
      <c r="HP29" s="849"/>
      <c r="HQ29" s="849"/>
      <c r="HR29" s="849"/>
      <c r="HS29" s="849"/>
      <c r="HT29" s="849"/>
      <c r="HU29" s="849"/>
      <c r="HV29" s="849"/>
    </row>
    <row r="30" spans="1:230" ht="10.5" customHeight="1">
      <c r="A30" s="849"/>
      <c r="B30" s="1167"/>
      <c r="C30" s="999"/>
      <c r="D30" s="849"/>
      <c r="E30" s="997"/>
      <c r="F30" s="999"/>
      <c r="G30" s="849"/>
      <c r="H30" s="997"/>
      <c r="I30" s="999"/>
      <c r="J30" s="999"/>
      <c r="K30" s="997"/>
      <c r="L30" s="849"/>
      <c r="M30" s="849"/>
      <c r="N30" s="997"/>
      <c r="O30" s="849"/>
      <c r="P30" s="849"/>
      <c r="Q30" s="997"/>
      <c r="R30" s="849"/>
      <c r="S30" s="849"/>
      <c r="T30" s="849"/>
      <c r="U30" s="849"/>
      <c r="V30" s="849"/>
    </row>
    <row r="31" spans="1:230" ht="12.95" customHeight="1">
      <c r="A31" s="847" t="s">
        <v>1743</v>
      </c>
    </row>
    <row r="32" spans="1:230" ht="12.95" customHeight="1">
      <c r="A32" s="847" t="s">
        <v>365</v>
      </c>
    </row>
    <row r="35" spans="2:9">
      <c r="B35" s="1172"/>
      <c r="C35" s="1172"/>
      <c r="D35" s="1172"/>
      <c r="E35" s="1172"/>
      <c r="F35" s="1172"/>
      <c r="G35" s="1172"/>
      <c r="H35" s="1172"/>
      <c r="I35" s="1172"/>
    </row>
  </sheetData>
  <mergeCells count="8">
    <mergeCell ref="T7:U7"/>
    <mergeCell ref="W7:X7"/>
    <mergeCell ref="B7:C7"/>
    <mergeCell ref="E7:F7"/>
    <mergeCell ref="H7:I7"/>
    <mergeCell ref="K7:L7"/>
    <mergeCell ref="N7:O7"/>
    <mergeCell ref="Q7:R7"/>
  </mergeCells>
  <printOptions horizontalCentered="1" verticalCentered="1"/>
  <pageMargins left="0.70866141732283472" right="0.70866141732283472" top="0.74803149606299213" bottom="0.74803149606299213" header="0.31496062992125984" footer="0.31496062992125984"/>
  <pageSetup paperSize="9" scale="85" orientation="landscape" r:id="rId1"/>
</worksheet>
</file>

<file path=xl/worksheets/sheet124.xml><?xml version="1.0" encoding="utf-8"?>
<worksheet xmlns="http://schemas.openxmlformats.org/spreadsheetml/2006/main" xmlns:r="http://schemas.openxmlformats.org/officeDocument/2006/relationships">
  <sheetPr>
    <tabColor theme="5" tint="0.59999389629810485"/>
  </sheetPr>
  <dimension ref="B2:H9"/>
  <sheetViews>
    <sheetView workbookViewId="0">
      <selection activeCell="L8" sqref="L8"/>
    </sheetView>
  </sheetViews>
  <sheetFormatPr baseColWidth="10" defaultRowHeight="15"/>
  <sheetData>
    <row r="2" spans="2:8">
      <c r="C2" s="42" t="s">
        <v>1946</v>
      </c>
      <c r="D2" s="42" t="s">
        <v>1945</v>
      </c>
      <c r="E2" s="42"/>
    </row>
    <row r="3" spans="2:8">
      <c r="B3" t="s">
        <v>1796</v>
      </c>
      <c r="C3" s="37">
        <v>421</v>
      </c>
      <c r="D3" s="37">
        <v>94</v>
      </c>
      <c r="E3" s="37"/>
      <c r="F3" s="37"/>
      <c r="G3" s="37"/>
      <c r="H3" s="37"/>
    </row>
    <row r="4" spans="2:8">
      <c r="B4" s="42" t="s">
        <v>1795</v>
      </c>
      <c r="C4" s="37">
        <v>981</v>
      </c>
      <c r="D4" s="37">
        <v>98</v>
      </c>
      <c r="E4" s="37"/>
      <c r="G4" s="37"/>
      <c r="H4" s="37"/>
    </row>
    <row r="5" spans="2:8">
      <c r="B5" s="42" t="s">
        <v>1794</v>
      </c>
      <c r="C5" s="37">
        <v>1185</v>
      </c>
      <c r="D5" s="37">
        <v>134</v>
      </c>
      <c r="E5" s="37"/>
      <c r="G5" s="37"/>
      <c r="H5" s="37"/>
    </row>
    <row r="6" spans="2:8">
      <c r="B6" s="42" t="s">
        <v>1793</v>
      </c>
      <c r="C6" s="37">
        <v>1558</v>
      </c>
      <c r="D6" s="37">
        <v>151</v>
      </c>
      <c r="E6" s="37"/>
      <c r="G6" s="37"/>
      <c r="H6" s="37"/>
    </row>
    <row r="7" spans="2:8">
      <c r="B7" s="42" t="s">
        <v>1792</v>
      </c>
      <c r="C7" s="37">
        <v>1582</v>
      </c>
      <c r="D7" s="37">
        <v>194</v>
      </c>
      <c r="E7" s="37"/>
      <c r="G7" s="37"/>
      <c r="H7" s="37"/>
    </row>
    <row r="8" spans="2:8">
      <c r="B8" s="42" t="s">
        <v>1791</v>
      </c>
      <c r="C8" s="37">
        <v>2552</v>
      </c>
      <c r="D8" s="37">
        <v>409</v>
      </c>
      <c r="E8" s="37"/>
      <c r="G8" s="37"/>
      <c r="H8" s="37"/>
    </row>
    <row r="9" spans="2:8">
      <c r="B9" s="42" t="s">
        <v>1944</v>
      </c>
      <c r="C9" s="37">
        <v>16928</v>
      </c>
      <c r="D9" s="37">
        <v>5018</v>
      </c>
      <c r="E9" s="37"/>
      <c r="G9" s="37"/>
      <c r="H9" s="37"/>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dimension ref="A1:S34"/>
  <sheetViews>
    <sheetView workbookViewId="0">
      <selection activeCell="F18" sqref="F18"/>
    </sheetView>
  </sheetViews>
  <sheetFormatPr baseColWidth="10" defaultColWidth="9.140625" defaultRowHeight="12.75"/>
  <cols>
    <col min="1" max="1" width="16.140625" style="434" customWidth="1"/>
    <col min="2" max="2" width="7.7109375" style="435" customWidth="1"/>
    <col min="3" max="3" width="9" style="436" customWidth="1"/>
    <col min="4" max="4" width="2.140625" style="434" customWidth="1"/>
    <col min="5" max="5" width="7.7109375" style="435" customWidth="1"/>
    <col min="6" max="6" width="7.7109375" style="436" customWidth="1"/>
    <col min="7" max="7" width="2.42578125" style="436" customWidth="1"/>
    <col min="8" max="8" width="7.7109375" style="435" customWidth="1"/>
    <col min="9" max="9" width="7.7109375" style="434" customWidth="1"/>
    <col min="10" max="10" width="1.7109375" style="434" customWidth="1"/>
    <col min="11" max="11" width="7.7109375" style="435" customWidth="1"/>
    <col min="12" max="12" width="7.7109375" style="434" customWidth="1"/>
    <col min="13" max="13" width="2.140625" style="434" customWidth="1"/>
    <col min="14" max="14" width="7.7109375" style="435" customWidth="1"/>
    <col min="15" max="15" width="7.85546875" style="434" customWidth="1"/>
    <col min="16" max="16" width="2.42578125" style="434" customWidth="1"/>
    <col min="17" max="17" width="8.140625" style="434" customWidth="1"/>
    <col min="18" max="18" width="8.7109375" style="434" customWidth="1"/>
    <col min="19" max="19" width="2.5703125" style="434" customWidth="1"/>
    <col min="20" max="256" width="9.140625" style="434"/>
    <col min="257" max="257" width="16.140625" style="434" customWidth="1"/>
    <col min="258" max="258" width="7.7109375" style="434" customWidth="1"/>
    <col min="259" max="259" width="9" style="434" customWidth="1"/>
    <col min="260" max="260" width="2.140625" style="434" customWidth="1"/>
    <col min="261" max="262" width="7.7109375" style="434" customWidth="1"/>
    <col min="263" max="263" width="2.42578125" style="434" customWidth="1"/>
    <col min="264" max="265" width="7.7109375" style="434" customWidth="1"/>
    <col min="266" max="266" width="1.7109375" style="434" customWidth="1"/>
    <col min="267" max="268" width="7.7109375" style="434" customWidth="1"/>
    <col min="269" max="269" width="2.140625" style="434" customWidth="1"/>
    <col min="270" max="270" width="7.7109375" style="434" customWidth="1"/>
    <col min="271" max="271" width="7.85546875" style="434" customWidth="1"/>
    <col min="272" max="272" width="2.42578125" style="434" customWidth="1"/>
    <col min="273" max="273" width="8.140625" style="434" customWidth="1"/>
    <col min="274" max="274" width="8.7109375" style="434" customWidth="1"/>
    <col min="275" max="275" width="2.5703125" style="434" customWidth="1"/>
    <col min="276" max="512" width="9.140625" style="434"/>
    <col min="513" max="513" width="16.140625" style="434" customWidth="1"/>
    <col min="514" max="514" width="7.7109375" style="434" customWidth="1"/>
    <col min="515" max="515" width="9" style="434" customWidth="1"/>
    <col min="516" max="516" width="2.140625" style="434" customWidth="1"/>
    <col min="517" max="518" width="7.7109375" style="434" customWidth="1"/>
    <col min="519" max="519" width="2.42578125" style="434" customWidth="1"/>
    <col min="520" max="521" width="7.7109375" style="434" customWidth="1"/>
    <col min="522" max="522" width="1.7109375" style="434" customWidth="1"/>
    <col min="523" max="524" width="7.7109375" style="434" customWidth="1"/>
    <col min="525" max="525" width="2.140625" style="434" customWidth="1"/>
    <col min="526" max="526" width="7.7109375" style="434" customWidth="1"/>
    <col min="527" max="527" width="7.85546875" style="434" customWidth="1"/>
    <col min="528" max="528" width="2.42578125" style="434" customWidth="1"/>
    <col min="529" max="529" width="8.140625" style="434" customWidth="1"/>
    <col min="530" max="530" width="8.7109375" style="434" customWidth="1"/>
    <col min="531" max="531" width="2.5703125" style="434" customWidth="1"/>
    <col min="532" max="768" width="9.140625" style="434"/>
    <col min="769" max="769" width="16.140625" style="434" customWidth="1"/>
    <col min="770" max="770" width="7.7109375" style="434" customWidth="1"/>
    <col min="771" max="771" width="9" style="434" customWidth="1"/>
    <col min="772" max="772" width="2.140625" style="434" customWidth="1"/>
    <col min="773" max="774" width="7.7109375" style="434" customWidth="1"/>
    <col min="775" max="775" width="2.42578125" style="434" customWidth="1"/>
    <col min="776" max="777" width="7.7109375" style="434" customWidth="1"/>
    <col min="778" max="778" width="1.7109375" style="434" customWidth="1"/>
    <col min="779" max="780" width="7.7109375" style="434" customWidth="1"/>
    <col min="781" max="781" width="2.140625" style="434" customWidth="1"/>
    <col min="782" max="782" width="7.7109375" style="434" customWidth="1"/>
    <col min="783" max="783" width="7.85546875" style="434" customWidth="1"/>
    <col min="784" max="784" width="2.42578125" style="434" customWidth="1"/>
    <col min="785" max="785" width="8.140625" style="434" customWidth="1"/>
    <col min="786" max="786" width="8.7109375" style="434" customWidth="1"/>
    <col min="787" max="787" width="2.5703125" style="434" customWidth="1"/>
    <col min="788" max="1024" width="9.140625" style="434"/>
    <col min="1025" max="1025" width="16.140625" style="434" customWidth="1"/>
    <col min="1026" max="1026" width="7.7109375" style="434" customWidth="1"/>
    <col min="1027" max="1027" width="9" style="434" customWidth="1"/>
    <col min="1028" max="1028" width="2.140625" style="434" customWidth="1"/>
    <col min="1029" max="1030" width="7.7109375" style="434" customWidth="1"/>
    <col min="1031" max="1031" width="2.42578125" style="434" customWidth="1"/>
    <col min="1032" max="1033" width="7.7109375" style="434" customWidth="1"/>
    <col min="1034" max="1034" width="1.7109375" style="434" customWidth="1"/>
    <col min="1035" max="1036" width="7.7109375" style="434" customWidth="1"/>
    <col min="1037" max="1037" width="2.140625" style="434" customWidth="1"/>
    <col min="1038" max="1038" width="7.7109375" style="434" customWidth="1"/>
    <col min="1039" max="1039" width="7.85546875" style="434" customWidth="1"/>
    <col min="1040" max="1040" width="2.42578125" style="434" customWidth="1"/>
    <col min="1041" max="1041" width="8.140625" style="434" customWidth="1"/>
    <col min="1042" max="1042" width="8.7109375" style="434" customWidth="1"/>
    <col min="1043" max="1043" width="2.5703125" style="434" customWidth="1"/>
    <col min="1044" max="1280" width="9.140625" style="434"/>
    <col min="1281" max="1281" width="16.140625" style="434" customWidth="1"/>
    <col min="1282" max="1282" width="7.7109375" style="434" customWidth="1"/>
    <col min="1283" max="1283" width="9" style="434" customWidth="1"/>
    <col min="1284" max="1284" width="2.140625" style="434" customWidth="1"/>
    <col min="1285" max="1286" width="7.7109375" style="434" customWidth="1"/>
    <col min="1287" max="1287" width="2.42578125" style="434" customWidth="1"/>
    <col min="1288" max="1289" width="7.7109375" style="434" customWidth="1"/>
    <col min="1290" max="1290" width="1.7109375" style="434" customWidth="1"/>
    <col min="1291" max="1292" width="7.7109375" style="434" customWidth="1"/>
    <col min="1293" max="1293" width="2.140625" style="434" customWidth="1"/>
    <col min="1294" max="1294" width="7.7109375" style="434" customWidth="1"/>
    <col min="1295" max="1295" width="7.85546875" style="434" customWidth="1"/>
    <col min="1296" max="1296" width="2.42578125" style="434" customWidth="1"/>
    <col min="1297" max="1297" width="8.140625" style="434" customWidth="1"/>
    <col min="1298" max="1298" width="8.7109375" style="434" customWidth="1"/>
    <col min="1299" max="1299" width="2.5703125" style="434" customWidth="1"/>
    <col min="1300" max="1536" width="9.140625" style="434"/>
    <col min="1537" max="1537" width="16.140625" style="434" customWidth="1"/>
    <col min="1538" max="1538" width="7.7109375" style="434" customWidth="1"/>
    <col min="1539" max="1539" width="9" style="434" customWidth="1"/>
    <col min="1540" max="1540" width="2.140625" style="434" customWidth="1"/>
    <col min="1541" max="1542" width="7.7109375" style="434" customWidth="1"/>
    <col min="1543" max="1543" width="2.42578125" style="434" customWidth="1"/>
    <col min="1544" max="1545" width="7.7109375" style="434" customWidth="1"/>
    <col min="1546" max="1546" width="1.7109375" style="434" customWidth="1"/>
    <col min="1547" max="1548" width="7.7109375" style="434" customWidth="1"/>
    <col min="1549" max="1549" width="2.140625" style="434" customWidth="1"/>
    <col min="1550" max="1550" width="7.7109375" style="434" customWidth="1"/>
    <col min="1551" max="1551" width="7.85546875" style="434" customWidth="1"/>
    <col min="1552" max="1552" width="2.42578125" style="434" customWidth="1"/>
    <col min="1553" max="1553" width="8.140625" style="434" customWidth="1"/>
    <col min="1554" max="1554" width="8.7109375" style="434" customWidth="1"/>
    <col min="1555" max="1555" width="2.5703125" style="434" customWidth="1"/>
    <col min="1556" max="1792" width="9.140625" style="434"/>
    <col min="1793" max="1793" width="16.140625" style="434" customWidth="1"/>
    <col min="1794" max="1794" width="7.7109375" style="434" customWidth="1"/>
    <col min="1795" max="1795" width="9" style="434" customWidth="1"/>
    <col min="1796" max="1796" width="2.140625" style="434" customWidth="1"/>
    <col min="1797" max="1798" width="7.7109375" style="434" customWidth="1"/>
    <col min="1799" max="1799" width="2.42578125" style="434" customWidth="1"/>
    <col min="1800" max="1801" width="7.7109375" style="434" customWidth="1"/>
    <col min="1802" max="1802" width="1.7109375" style="434" customWidth="1"/>
    <col min="1803" max="1804" width="7.7109375" style="434" customWidth="1"/>
    <col min="1805" max="1805" width="2.140625" style="434" customWidth="1"/>
    <col min="1806" max="1806" width="7.7109375" style="434" customWidth="1"/>
    <col min="1807" max="1807" width="7.85546875" style="434" customWidth="1"/>
    <col min="1808" max="1808" width="2.42578125" style="434" customWidth="1"/>
    <col min="1809" max="1809" width="8.140625" style="434" customWidth="1"/>
    <col min="1810" max="1810" width="8.7109375" style="434" customWidth="1"/>
    <col min="1811" max="1811" width="2.5703125" style="434" customWidth="1"/>
    <col min="1812" max="2048" width="9.140625" style="434"/>
    <col min="2049" max="2049" width="16.140625" style="434" customWidth="1"/>
    <col min="2050" max="2050" width="7.7109375" style="434" customWidth="1"/>
    <col min="2051" max="2051" width="9" style="434" customWidth="1"/>
    <col min="2052" max="2052" width="2.140625" style="434" customWidth="1"/>
    <col min="2053" max="2054" width="7.7109375" style="434" customWidth="1"/>
    <col min="2055" max="2055" width="2.42578125" style="434" customWidth="1"/>
    <col min="2056" max="2057" width="7.7109375" style="434" customWidth="1"/>
    <col min="2058" max="2058" width="1.7109375" style="434" customWidth="1"/>
    <col min="2059" max="2060" width="7.7109375" style="434" customWidth="1"/>
    <col min="2061" max="2061" width="2.140625" style="434" customWidth="1"/>
    <col min="2062" max="2062" width="7.7109375" style="434" customWidth="1"/>
    <col min="2063" max="2063" width="7.85546875" style="434" customWidth="1"/>
    <col min="2064" max="2064" width="2.42578125" style="434" customWidth="1"/>
    <col min="2065" max="2065" width="8.140625" style="434" customWidth="1"/>
    <col min="2066" max="2066" width="8.7109375" style="434" customWidth="1"/>
    <col min="2067" max="2067" width="2.5703125" style="434" customWidth="1"/>
    <col min="2068" max="2304" width="9.140625" style="434"/>
    <col min="2305" max="2305" width="16.140625" style="434" customWidth="1"/>
    <col min="2306" max="2306" width="7.7109375" style="434" customWidth="1"/>
    <col min="2307" max="2307" width="9" style="434" customWidth="1"/>
    <col min="2308" max="2308" width="2.140625" style="434" customWidth="1"/>
    <col min="2309" max="2310" width="7.7109375" style="434" customWidth="1"/>
    <col min="2311" max="2311" width="2.42578125" style="434" customWidth="1"/>
    <col min="2312" max="2313" width="7.7109375" style="434" customWidth="1"/>
    <col min="2314" max="2314" width="1.7109375" style="434" customWidth="1"/>
    <col min="2315" max="2316" width="7.7109375" style="434" customWidth="1"/>
    <col min="2317" max="2317" width="2.140625" style="434" customWidth="1"/>
    <col min="2318" max="2318" width="7.7109375" style="434" customWidth="1"/>
    <col min="2319" max="2319" width="7.85546875" style="434" customWidth="1"/>
    <col min="2320" max="2320" width="2.42578125" style="434" customWidth="1"/>
    <col min="2321" max="2321" width="8.140625" style="434" customWidth="1"/>
    <col min="2322" max="2322" width="8.7109375" style="434" customWidth="1"/>
    <col min="2323" max="2323" width="2.5703125" style="434" customWidth="1"/>
    <col min="2324" max="2560" width="9.140625" style="434"/>
    <col min="2561" max="2561" width="16.140625" style="434" customWidth="1"/>
    <col min="2562" max="2562" width="7.7109375" style="434" customWidth="1"/>
    <col min="2563" max="2563" width="9" style="434" customWidth="1"/>
    <col min="2564" max="2564" width="2.140625" style="434" customWidth="1"/>
    <col min="2565" max="2566" width="7.7109375" style="434" customWidth="1"/>
    <col min="2567" max="2567" width="2.42578125" style="434" customWidth="1"/>
    <col min="2568" max="2569" width="7.7109375" style="434" customWidth="1"/>
    <col min="2570" max="2570" width="1.7109375" style="434" customWidth="1"/>
    <col min="2571" max="2572" width="7.7109375" style="434" customWidth="1"/>
    <col min="2573" max="2573" width="2.140625" style="434" customWidth="1"/>
    <col min="2574" max="2574" width="7.7109375" style="434" customWidth="1"/>
    <col min="2575" max="2575" width="7.85546875" style="434" customWidth="1"/>
    <col min="2576" max="2576" width="2.42578125" style="434" customWidth="1"/>
    <col min="2577" max="2577" width="8.140625" style="434" customWidth="1"/>
    <col min="2578" max="2578" width="8.7109375" style="434" customWidth="1"/>
    <col min="2579" max="2579" width="2.5703125" style="434" customWidth="1"/>
    <col min="2580" max="2816" width="9.140625" style="434"/>
    <col min="2817" max="2817" width="16.140625" style="434" customWidth="1"/>
    <col min="2818" max="2818" width="7.7109375" style="434" customWidth="1"/>
    <col min="2819" max="2819" width="9" style="434" customWidth="1"/>
    <col min="2820" max="2820" width="2.140625" style="434" customWidth="1"/>
    <col min="2821" max="2822" width="7.7109375" style="434" customWidth="1"/>
    <col min="2823" max="2823" width="2.42578125" style="434" customWidth="1"/>
    <col min="2824" max="2825" width="7.7109375" style="434" customWidth="1"/>
    <col min="2826" max="2826" width="1.7109375" style="434" customWidth="1"/>
    <col min="2827" max="2828" width="7.7109375" style="434" customWidth="1"/>
    <col min="2829" max="2829" width="2.140625" style="434" customWidth="1"/>
    <col min="2830" max="2830" width="7.7109375" style="434" customWidth="1"/>
    <col min="2831" max="2831" width="7.85546875" style="434" customWidth="1"/>
    <col min="2832" max="2832" width="2.42578125" style="434" customWidth="1"/>
    <col min="2833" max="2833" width="8.140625" style="434" customWidth="1"/>
    <col min="2834" max="2834" width="8.7109375" style="434" customWidth="1"/>
    <col min="2835" max="2835" width="2.5703125" style="434" customWidth="1"/>
    <col min="2836" max="3072" width="9.140625" style="434"/>
    <col min="3073" max="3073" width="16.140625" style="434" customWidth="1"/>
    <col min="3074" max="3074" width="7.7109375" style="434" customWidth="1"/>
    <col min="3075" max="3075" width="9" style="434" customWidth="1"/>
    <col min="3076" max="3076" width="2.140625" style="434" customWidth="1"/>
    <col min="3077" max="3078" width="7.7109375" style="434" customWidth="1"/>
    <col min="3079" max="3079" width="2.42578125" style="434" customWidth="1"/>
    <col min="3080" max="3081" width="7.7109375" style="434" customWidth="1"/>
    <col min="3082" max="3082" width="1.7109375" style="434" customWidth="1"/>
    <col min="3083" max="3084" width="7.7109375" style="434" customWidth="1"/>
    <col min="3085" max="3085" width="2.140625" style="434" customWidth="1"/>
    <col min="3086" max="3086" width="7.7109375" style="434" customWidth="1"/>
    <col min="3087" max="3087" width="7.85546875" style="434" customWidth="1"/>
    <col min="3088" max="3088" width="2.42578125" style="434" customWidth="1"/>
    <col min="3089" max="3089" width="8.140625" style="434" customWidth="1"/>
    <col min="3090" max="3090" width="8.7109375" style="434" customWidth="1"/>
    <col min="3091" max="3091" width="2.5703125" style="434" customWidth="1"/>
    <col min="3092" max="3328" width="9.140625" style="434"/>
    <col min="3329" max="3329" width="16.140625" style="434" customWidth="1"/>
    <col min="3330" max="3330" width="7.7109375" style="434" customWidth="1"/>
    <col min="3331" max="3331" width="9" style="434" customWidth="1"/>
    <col min="3332" max="3332" width="2.140625" style="434" customWidth="1"/>
    <col min="3333" max="3334" width="7.7109375" style="434" customWidth="1"/>
    <col min="3335" max="3335" width="2.42578125" style="434" customWidth="1"/>
    <col min="3336" max="3337" width="7.7109375" style="434" customWidth="1"/>
    <col min="3338" max="3338" width="1.7109375" style="434" customWidth="1"/>
    <col min="3339" max="3340" width="7.7109375" style="434" customWidth="1"/>
    <col min="3341" max="3341" width="2.140625" style="434" customWidth="1"/>
    <col min="3342" max="3342" width="7.7109375" style="434" customWidth="1"/>
    <col min="3343" max="3343" width="7.85546875" style="434" customWidth="1"/>
    <col min="3344" max="3344" width="2.42578125" style="434" customWidth="1"/>
    <col min="3345" max="3345" width="8.140625" style="434" customWidth="1"/>
    <col min="3346" max="3346" width="8.7109375" style="434" customWidth="1"/>
    <col min="3347" max="3347" width="2.5703125" style="434" customWidth="1"/>
    <col min="3348" max="3584" width="9.140625" style="434"/>
    <col min="3585" max="3585" width="16.140625" style="434" customWidth="1"/>
    <col min="3586" max="3586" width="7.7109375" style="434" customWidth="1"/>
    <col min="3587" max="3587" width="9" style="434" customWidth="1"/>
    <col min="3588" max="3588" width="2.140625" style="434" customWidth="1"/>
    <col min="3589" max="3590" width="7.7109375" style="434" customWidth="1"/>
    <col min="3591" max="3591" width="2.42578125" style="434" customWidth="1"/>
    <col min="3592" max="3593" width="7.7109375" style="434" customWidth="1"/>
    <col min="3594" max="3594" width="1.7109375" style="434" customWidth="1"/>
    <col min="3595" max="3596" width="7.7109375" style="434" customWidth="1"/>
    <col min="3597" max="3597" width="2.140625" style="434" customWidth="1"/>
    <col min="3598" max="3598" width="7.7109375" style="434" customWidth="1"/>
    <col min="3599" max="3599" width="7.85546875" style="434" customWidth="1"/>
    <col min="3600" max="3600" width="2.42578125" style="434" customWidth="1"/>
    <col min="3601" max="3601" width="8.140625" style="434" customWidth="1"/>
    <col min="3602" max="3602" width="8.7109375" style="434" customWidth="1"/>
    <col min="3603" max="3603" width="2.5703125" style="434" customWidth="1"/>
    <col min="3604" max="3840" width="9.140625" style="434"/>
    <col min="3841" max="3841" width="16.140625" style="434" customWidth="1"/>
    <col min="3842" max="3842" width="7.7109375" style="434" customWidth="1"/>
    <col min="3843" max="3843" width="9" style="434" customWidth="1"/>
    <col min="3844" max="3844" width="2.140625" style="434" customWidth="1"/>
    <col min="3845" max="3846" width="7.7109375" style="434" customWidth="1"/>
    <col min="3847" max="3847" width="2.42578125" style="434" customWidth="1"/>
    <col min="3848" max="3849" width="7.7109375" style="434" customWidth="1"/>
    <col min="3850" max="3850" width="1.7109375" style="434" customWidth="1"/>
    <col min="3851" max="3852" width="7.7109375" style="434" customWidth="1"/>
    <col min="3853" max="3853" width="2.140625" style="434" customWidth="1"/>
    <col min="3854" max="3854" width="7.7109375" style="434" customWidth="1"/>
    <col min="3855" max="3855" width="7.85546875" style="434" customWidth="1"/>
    <col min="3856" max="3856" width="2.42578125" style="434" customWidth="1"/>
    <col min="3857" max="3857" width="8.140625" style="434" customWidth="1"/>
    <col min="3858" max="3858" width="8.7109375" style="434" customWidth="1"/>
    <col min="3859" max="3859" width="2.5703125" style="434" customWidth="1"/>
    <col min="3860" max="4096" width="9.140625" style="434"/>
    <col min="4097" max="4097" width="16.140625" style="434" customWidth="1"/>
    <col min="4098" max="4098" width="7.7109375" style="434" customWidth="1"/>
    <col min="4099" max="4099" width="9" style="434" customWidth="1"/>
    <col min="4100" max="4100" width="2.140625" style="434" customWidth="1"/>
    <col min="4101" max="4102" width="7.7109375" style="434" customWidth="1"/>
    <col min="4103" max="4103" width="2.42578125" style="434" customWidth="1"/>
    <col min="4104" max="4105" width="7.7109375" style="434" customWidth="1"/>
    <col min="4106" max="4106" width="1.7109375" style="434" customWidth="1"/>
    <col min="4107" max="4108" width="7.7109375" style="434" customWidth="1"/>
    <col min="4109" max="4109" width="2.140625" style="434" customWidth="1"/>
    <col min="4110" max="4110" width="7.7109375" style="434" customWidth="1"/>
    <col min="4111" max="4111" width="7.85546875" style="434" customWidth="1"/>
    <col min="4112" max="4112" width="2.42578125" style="434" customWidth="1"/>
    <col min="4113" max="4113" width="8.140625" style="434" customWidth="1"/>
    <col min="4114" max="4114" width="8.7109375" style="434" customWidth="1"/>
    <col min="4115" max="4115" width="2.5703125" style="434" customWidth="1"/>
    <col min="4116" max="4352" width="9.140625" style="434"/>
    <col min="4353" max="4353" width="16.140625" style="434" customWidth="1"/>
    <col min="4354" max="4354" width="7.7109375" style="434" customWidth="1"/>
    <col min="4355" max="4355" width="9" style="434" customWidth="1"/>
    <col min="4356" max="4356" width="2.140625" style="434" customWidth="1"/>
    <col min="4357" max="4358" width="7.7109375" style="434" customWidth="1"/>
    <col min="4359" max="4359" width="2.42578125" style="434" customWidth="1"/>
    <col min="4360" max="4361" width="7.7109375" style="434" customWidth="1"/>
    <col min="4362" max="4362" width="1.7109375" style="434" customWidth="1"/>
    <col min="4363" max="4364" width="7.7109375" style="434" customWidth="1"/>
    <col min="4365" max="4365" width="2.140625" style="434" customWidth="1"/>
    <col min="4366" max="4366" width="7.7109375" style="434" customWidth="1"/>
    <col min="4367" max="4367" width="7.85546875" style="434" customWidth="1"/>
    <col min="4368" max="4368" width="2.42578125" style="434" customWidth="1"/>
    <col min="4369" max="4369" width="8.140625" style="434" customWidth="1"/>
    <col min="4370" max="4370" width="8.7109375" style="434" customWidth="1"/>
    <col min="4371" max="4371" width="2.5703125" style="434" customWidth="1"/>
    <col min="4372" max="4608" width="9.140625" style="434"/>
    <col min="4609" max="4609" width="16.140625" style="434" customWidth="1"/>
    <col min="4610" max="4610" width="7.7109375" style="434" customWidth="1"/>
    <col min="4611" max="4611" width="9" style="434" customWidth="1"/>
    <col min="4612" max="4612" width="2.140625" style="434" customWidth="1"/>
    <col min="4613" max="4614" width="7.7109375" style="434" customWidth="1"/>
    <col min="4615" max="4615" width="2.42578125" style="434" customWidth="1"/>
    <col min="4616" max="4617" width="7.7109375" style="434" customWidth="1"/>
    <col min="4618" max="4618" width="1.7109375" style="434" customWidth="1"/>
    <col min="4619" max="4620" width="7.7109375" style="434" customWidth="1"/>
    <col min="4621" max="4621" width="2.140625" style="434" customWidth="1"/>
    <col min="4622" max="4622" width="7.7109375" style="434" customWidth="1"/>
    <col min="4623" max="4623" width="7.85546875" style="434" customWidth="1"/>
    <col min="4624" max="4624" width="2.42578125" style="434" customWidth="1"/>
    <col min="4625" max="4625" width="8.140625" style="434" customWidth="1"/>
    <col min="4626" max="4626" width="8.7109375" style="434" customWidth="1"/>
    <col min="4627" max="4627" width="2.5703125" style="434" customWidth="1"/>
    <col min="4628" max="4864" width="9.140625" style="434"/>
    <col min="4865" max="4865" width="16.140625" style="434" customWidth="1"/>
    <col min="4866" max="4866" width="7.7109375" style="434" customWidth="1"/>
    <col min="4867" max="4867" width="9" style="434" customWidth="1"/>
    <col min="4868" max="4868" width="2.140625" style="434" customWidth="1"/>
    <col min="4869" max="4870" width="7.7109375" style="434" customWidth="1"/>
    <col min="4871" max="4871" width="2.42578125" style="434" customWidth="1"/>
    <col min="4872" max="4873" width="7.7109375" style="434" customWidth="1"/>
    <col min="4874" max="4874" width="1.7109375" style="434" customWidth="1"/>
    <col min="4875" max="4876" width="7.7109375" style="434" customWidth="1"/>
    <col min="4877" max="4877" width="2.140625" style="434" customWidth="1"/>
    <col min="4878" max="4878" width="7.7109375" style="434" customWidth="1"/>
    <col min="4879" max="4879" width="7.85546875" style="434" customWidth="1"/>
    <col min="4880" max="4880" width="2.42578125" style="434" customWidth="1"/>
    <col min="4881" max="4881" width="8.140625" style="434" customWidth="1"/>
    <col min="4882" max="4882" width="8.7109375" style="434" customWidth="1"/>
    <col min="4883" max="4883" width="2.5703125" style="434" customWidth="1"/>
    <col min="4884" max="5120" width="9.140625" style="434"/>
    <col min="5121" max="5121" width="16.140625" style="434" customWidth="1"/>
    <col min="5122" max="5122" width="7.7109375" style="434" customWidth="1"/>
    <col min="5123" max="5123" width="9" style="434" customWidth="1"/>
    <col min="5124" max="5124" width="2.140625" style="434" customWidth="1"/>
    <col min="5125" max="5126" width="7.7109375" style="434" customWidth="1"/>
    <col min="5127" max="5127" width="2.42578125" style="434" customWidth="1"/>
    <col min="5128" max="5129" width="7.7109375" style="434" customWidth="1"/>
    <col min="5130" max="5130" width="1.7109375" style="434" customWidth="1"/>
    <col min="5131" max="5132" width="7.7109375" style="434" customWidth="1"/>
    <col min="5133" max="5133" width="2.140625" style="434" customWidth="1"/>
    <col min="5134" max="5134" width="7.7109375" style="434" customWidth="1"/>
    <col min="5135" max="5135" width="7.85546875" style="434" customWidth="1"/>
    <col min="5136" max="5136" width="2.42578125" style="434" customWidth="1"/>
    <col min="5137" max="5137" width="8.140625" style="434" customWidth="1"/>
    <col min="5138" max="5138" width="8.7109375" style="434" customWidth="1"/>
    <col min="5139" max="5139" width="2.5703125" style="434" customWidth="1"/>
    <col min="5140" max="5376" width="9.140625" style="434"/>
    <col min="5377" max="5377" width="16.140625" style="434" customWidth="1"/>
    <col min="5378" max="5378" width="7.7109375" style="434" customWidth="1"/>
    <col min="5379" max="5379" width="9" style="434" customWidth="1"/>
    <col min="5380" max="5380" width="2.140625" style="434" customWidth="1"/>
    <col min="5381" max="5382" width="7.7109375" style="434" customWidth="1"/>
    <col min="5383" max="5383" width="2.42578125" style="434" customWidth="1"/>
    <col min="5384" max="5385" width="7.7109375" style="434" customWidth="1"/>
    <col min="5386" max="5386" width="1.7109375" style="434" customWidth="1"/>
    <col min="5387" max="5388" width="7.7109375" style="434" customWidth="1"/>
    <col min="5389" max="5389" width="2.140625" style="434" customWidth="1"/>
    <col min="5390" max="5390" width="7.7109375" style="434" customWidth="1"/>
    <col min="5391" max="5391" width="7.85546875" style="434" customWidth="1"/>
    <col min="5392" max="5392" width="2.42578125" style="434" customWidth="1"/>
    <col min="5393" max="5393" width="8.140625" style="434" customWidth="1"/>
    <col min="5394" max="5394" width="8.7109375" style="434" customWidth="1"/>
    <col min="5395" max="5395" width="2.5703125" style="434" customWidth="1"/>
    <col min="5396" max="5632" width="9.140625" style="434"/>
    <col min="5633" max="5633" width="16.140625" style="434" customWidth="1"/>
    <col min="5634" max="5634" width="7.7109375" style="434" customWidth="1"/>
    <col min="5635" max="5635" width="9" style="434" customWidth="1"/>
    <col min="5636" max="5636" width="2.140625" style="434" customWidth="1"/>
    <col min="5637" max="5638" width="7.7109375" style="434" customWidth="1"/>
    <col min="5639" max="5639" width="2.42578125" style="434" customWidth="1"/>
    <col min="5640" max="5641" width="7.7109375" style="434" customWidth="1"/>
    <col min="5642" max="5642" width="1.7109375" style="434" customWidth="1"/>
    <col min="5643" max="5644" width="7.7109375" style="434" customWidth="1"/>
    <col min="5645" max="5645" width="2.140625" style="434" customWidth="1"/>
    <col min="5646" max="5646" width="7.7109375" style="434" customWidth="1"/>
    <col min="5647" max="5647" width="7.85546875" style="434" customWidth="1"/>
    <col min="5648" max="5648" width="2.42578125" style="434" customWidth="1"/>
    <col min="5649" max="5649" width="8.140625" style="434" customWidth="1"/>
    <col min="5650" max="5650" width="8.7109375" style="434" customWidth="1"/>
    <col min="5651" max="5651" width="2.5703125" style="434" customWidth="1"/>
    <col min="5652" max="5888" width="9.140625" style="434"/>
    <col min="5889" max="5889" width="16.140625" style="434" customWidth="1"/>
    <col min="5890" max="5890" width="7.7109375" style="434" customWidth="1"/>
    <col min="5891" max="5891" width="9" style="434" customWidth="1"/>
    <col min="5892" max="5892" width="2.140625" style="434" customWidth="1"/>
    <col min="5893" max="5894" width="7.7109375" style="434" customWidth="1"/>
    <col min="5895" max="5895" width="2.42578125" style="434" customWidth="1"/>
    <col min="5896" max="5897" width="7.7109375" style="434" customWidth="1"/>
    <col min="5898" max="5898" width="1.7109375" style="434" customWidth="1"/>
    <col min="5899" max="5900" width="7.7109375" style="434" customWidth="1"/>
    <col min="5901" max="5901" width="2.140625" style="434" customWidth="1"/>
    <col min="5902" max="5902" width="7.7109375" style="434" customWidth="1"/>
    <col min="5903" max="5903" width="7.85546875" style="434" customWidth="1"/>
    <col min="5904" max="5904" width="2.42578125" style="434" customWidth="1"/>
    <col min="5905" max="5905" width="8.140625" style="434" customWidth="1"/>
    <col min="5906" max="5906" width="8.7109375" style="434" customWidth="1"/>
    <col min="5907" max="5907" width="2.5703125" style="434" customWidth="1"/>
    <col min="5908" max="6144" width="9.140625" style="434"/>
    <col min="6145" max="6145" width="16.140625" style="434" customWidth="1"/>
    <col min="6146" max="6146" width="7.7109375" style="434" customWidth="1"/>
    <col min="6147" max="6147" width="9" style="434" customWidth="1"/>
    <col min="6148" max="6148" width="2.140625" style="434" customWidth="1"/>
    <col min="6149" max="6150" width="7.7109375" style="434" customWidth="1"/>
    <col min="6151" max="6151" width="2.42578125" style="434" customWidth="1"/>
    <col min="6152" max="6153" width="7.7109375" style="434" customWidth="1"/>
    <col min="6154" max="6154" width="1.7109375" style="434" customWidth="1"/>
    <col min="6155" max="6156" width="7.7109375" style="434" customWidth="1"/>
    <col min="6157" max="6157" width="2.140625" style="434" customWidth="1"/>
    <col min="6158" max="6158" width="7.7109375" style="434" customWidth="1"/>
    <col min="6159" max="6159" width="7.85546875" style="434" customWidth="1"/>
    <col min="6160" max="6160" width="2.42578125" style="434" customWidth="1"/>
    <col min="6161" max="6161" width="8.140625" style="434" customWidth="1"/>
    <col min="6162" max="6162" width="8.7109375" style="434" customWidth="1"/>
    <col min="6163" max="6163" width="2.5703125" style="434" customWidth="1"/>
    <col min="6164" max="6400" width="9.140625" style="434"/>
    <col min="6401" max="6401" width="16.140625" style="434" customWidth="1"/>
    <col min="6402" max="6402" width="7.7109375" style="434" customWidth="1"/>
    <col min="6403" max="6403" width="9" style="434" customWidth="1"/>
    <col min="6404" max="6404" width="2.140625" style="434" customWidth="1"/>
    <col min="6405" max="6406" width="7.7109375" style="434" customWidth="1"/>
    <col min="6407" max="6407" width="2.42578125" style="434" customWidth="1"/>
    <col min="6408" max="6409" width="7.7109375" style="434" customWidth="1"/>
    <col min="6410" max="6410" width="1.7109375" style="434" customWidth="1"/>
    <col min="6411" max="6412" width="7.7109375" style="434" customWidth="1"/>
    <col min="6413" max="6413" width="2.140625" style="434" customWidth="1"/>
    <col min="6414" max="6414" width="7.7109375" style="434" customWidth="1"/>
    <col min="6415" max="6415" width="7.85546875" style="434" customWidth="1"/>
    <col min="6416" max="6416" width="2.42578125" style="434" customWidth="1"/>
    <col min="6417" max="6417" width="8.140625" style="434" customWidth="1"/>
    <col min="6418" max="6418" width="8.7109375" style="434" customWidth="1"/>
    <col min="6419" max="6419" width="2.5703125" style="434" customWidth="1"/>
    <col min="6420" max="6656" width="9.140625" style="434"/>
    <col min="6657" max="6657" width="16.140625" style="434" customWidth="1"/>
    <col min="6658" max="6658" width="7.7109375" style="434" customWidth="1"/>
    <col min="6659" max="6659" width="9" style="434" customWidth="1"/>
    <col min="6660" max="6660" width="2.140625" style="434" customWidth="1"/>
    <col min="6661" max="6662" width="7.7109375" style="434" customWidth="1"/>
    <col min="6663" max="6663" width="2.42578125" style="434" customWidth="1"/>
    <col min="6664" max="6665" width="7.7109375" style="434" customWidth="1"/>
    <col min="6666" max="6666" width="1.7109375" style="434" customWidth="1"/>
    <col min="6667" max="6668" width="7.7109375" style="434" customWidth="1"/>
    <col min="6669" max="6669" width="2.140625" style="434" customWidth="1"/>
    <col min="6670" max="6670" width="7.7109375" style="434" customWidth="1"/>
    <col min="6671" max="6671" width="7.85546875" style="434" customWidth="1"/>
    <col min="6672" max="6672" width="2.42578125" style="434" customWidth="1"/>
    <col min="6673" max="6673" width="8.140625" style="434" customWidth="1"/>
    <col min="6674" max="6674" width="8.7109375" style="434" customWidth="1"/>
    <col min="6675" max="6675" width="2.5703125" style="434" customWidth="1"/>
    <col min="6676" max="6912" width="9.140625" style="434"/>
    <col min="6913" max="6913" width="16.140625" style="434" customWidth="1"/>
    <col min="6914" max="6914" width="7.7109375" style="434" customWidth="1"/>
    <col min="6915" max="6915" width="9" style="434" customWidth="1"/>
    <col min="6916" max="6916" width="2.140625" style="434" customWidth="1"/>
    <col min="6917" max="6918" width="7.7109375" style="434" customWidth="1"/>
    <col min="6919" max="6919" width="2.42578125" style="434" customWidth="1"/>
    <col min="6920" max="6921" width="7.7109375" style="434" customWidth="1"/>
    <col min="6922" max="6922" width="1.7109375" style="434" customWidth="1"/>
    <col min="6923" max="6924" width="7.7109375" style="434" customWidth="1"/>
    <col min="6925" max="6925" width="2.140625" style="434" customWidth="1"/>
    <col min="6926" max="6926" width="7.7109375" style="434" customWidth="1"/>
    <col min="6927" max="6927" width="7.85546875" style="434" customWidth="1"/>
    <col min="6928" max="6928" width="2.42578125" style="434" customWidth="1"/>
    <col min="6929" max="6929" width="8.140625" style="434" customWidth="1"/>
    <col min="6930" max="6930" width="8.7109375" style="434" customWidth="1"/>
    <col min="6931" max="6931" width="2.5703125" style="434" customWidth="1"/>
    <col min="6932" max="7168" width="9.140625" style="434"/>
    <col min="7169" max="7169" width="16.140625" style="434" customWidth="1"/>
    <col min="7170" max="7170" width="7.7109375" style="434" customWidth="1"/>
    <col min="7171" max="7171" width="9" style="434" customWidth="1"/>
    <col min="7172" max="7172" width="2.140625" style="434" customWidth="1"/>
    <col min="7173" max="7174" width="7.7109375" style="434" customWidth="1"/>
    <col min="7175" max="7175" width="2.42578125" style="434" customWidth="1"/>
    <col min="7176" max="7177" width="7.7109375" style="434" customWidth="1"/>
    <col min="7178" max="7178" width="1.7109375" style="434" customWidth="1"/>
    <col min="7179" max="7180" width="7.7109375" style="434" customWidth="1"/>
    <col min="7181" max="7181" width="2.140625" style="434" customWidth="1"/>
    <col min="7182" max="7182" width="7.7109375" style="434" customWidth="1"/>
    <col min="7183" max="7183" width="7.85546875" style="434" customWidth="1"/>
    <col min="7184" max="7184" width="2.42578125" style="434" customWidth="1"/>
    <col min="7185" max="7185" width="8.140625" style="434" customWidth="1"/>
    <col min="7186" max="7186" width="8.7109375" style="434" customWidth="1"/>
    <col min="7187" max="7187" width="2.5703125" style="434" customWidth="1"/>
    <col min="7188" max="7424" width="9.140625" style="434"/>
    <col min="7425" max="7425" width="16.140625" style="434" customWidth="1"/>
    <col min="7426" max="7426" width="7.7109375" style="434" customWidth="1"/>
    <col min="7427" max="7427" width="9" style="434" customWidth="1"/>
    <col min="7428" max="7428" width="2.140625" style="434" customWidth="1"/>
    <col min="7429" max="7430" width="7.7109375" style="434" customWidth="1"/>
    <col min="7431" max="7431" width="2.42578125" style="434" customWidth="1"/>
    <col min="7432" max="7433" width="7.7109375" style="434" customWidth="1"/>
    <col min="7434" max="7434" width="1.7109375" style="434" customWidth="1"/>
    <col min="7435" max="7436" width="7.7109375" style="434" customWidth="1"/>
    <col min="7437" max="7437" width="2.140625" style="434" customWidth="1"/>
    <col min="7438" max="7438" width="7.7109375" style="434" customWidth="1"/>
    <col min="7439" max="7439" width="7.85546875" style="434" customWidth="1"/>
    <col min="7440" max="7440" width="2.42578125" style="434" customWidth="1"/>
    <col min="7441" max="7441" width="8.140625" style="434" customWidth="1"/>
    <col min="7442" max="7442" width="8.7109375" style="434" customWidth="1"/>
    <col min="7443" max="7443" width="2.5703125" style="434" customWidth="1"/>
    <col min="7444" max="7680" width="9.140625" style="434"/>
    <col min="7681" max="7681" width="16.140625" style="434" customWidth="1"/>
    <col min="7682" max="7682" width="7.7109375" style="434" customWidth="1"/>
    <col min="7683" max="7683" width="9" style="434" customWidth="1"/>
    <col min="7684" max="7684" width="2.140625" style="434" customWidth="1"/>
    <col min="7685" max="7686" width="7.7109375" style="434" customWidth="1"/>
    <col min="7687" max="7687" width="2.42578125" style="434" customWidth="1"/>
    <col min="7688" max="7689" width="7.7109375" style="434" customWidth="1"/>
    <col min="7690" max="7690" width="1.7109375" style="434" customWidth="1"/>
    <col min="7691" max="7692" width="7.7109375" style="434" customWidth="1"/>
    <col min="7693" max="7693" width="2.140625" style="434" customWidth="1"/>
    <col min="7694" max="7694" width="7.7109375" style="434" customWidth="1"/>
    <col min="7695" max="7695" width="7.85546875" style="434" customWidth="1"/>
    <col min="7696" max="7696" width="2.42578125" style="434" customWidth="1"/>
    <col min="7697" max="7697" width="8.140625" style="434" customWidth="1"/>
    <col min="7698" max="7698" width="8.7109375" style="434" customWidth="1"/>
    <col min="7699" max="7699" width="2.5703125" style="434" customWidth="1"/>
    <col min="7700" max="7936" width="9.140625" style="434"/>
    <col min="7937" max="7937" width="16.140625" style="434" customWidth="1"/>
    <col min="7938" max="7938" width="7.7109375" style="434" customWidth="1"/>
    <col min="7939" max="7939" width="9" style="434" customWidth="1"/>
    <col min="7940" max="7940" width="2.140625" style="434" customWidth="1"/>
    <col min="7941" max="7942" width="7.7109375" style="434" customWidth="1"/>
    <col min="7943" max="7943" width="2.42578125" style="434" customWidth="1"/>
    <col min="7944" max="7945" width="7.7109375" style="434" customWidth="1"/>
    <col min="7946" max="7946" width="1.7109375" style="434" customWidth="1"/>
    <col min="7947" max="7948" width="7.7109375" style="434" customWidth="1"/>
    <col min="7949" max="7949" width="2.140625" style="434" customWidth="1"/>
    <col min="7950" max="7950" width="7.7109375" style="434" customWidth="1"/>
    <col min="7951" max="7951" width="7.85546875" style="434" customWidth="1"/>
    <col min="7952" max="7952" width="2.42578125" style="434" customWidth="1"/>
    <col min="7953" max="7953" width="8.140625" style="434" customWidth="1"/>
    <col min="7954" max="7954" width="8.7109375" style="434" customWidth="1"/>
    <col min="7955" max="7955" width="2.5703125" style="434" customWidth="1"/>
    <col min="7956" max="8192" width="9.140625" style="434"/>
    <col min="8193" max="8193" width="16.140625" style="434" customWidth="1"/>
    <col min="8194" max="8194" width="7.7109375" style="434" customWidth="1"/>
    <col min="8195" max="8195" width="9" style="434" customWidth="1"/>
    <col min="8196" max="8196" width="2.140625" style="434" customWidth="1"/>
    <col min="8197" max="8198" width="7.7109375" style="434" customWidth="1"/>
    <col min="8199" max="8199" width="2.42578125" style="434" customWidth="1"/>
    <col min="8200" max="8201" width="7.7109375" style="434" customWidth="1"/>
    <col min="8202" max="8202" width="1.7109375" style="434" customWidth="1"/>
    <col min="8203" max="8204" width="7.7109375" style="434" customWidth="1"/>
    <col min="8205" max="8205" width="2.140625" style="434" customWidth="1"/>
    <col min="8206" max="8206" width="7.7109375" style="434" customWidth="1"/>
    <col min="8207" max="8207" width="7.85546875" style="434" customWidth="1"/>
    <col min="8208" max="8208" width="2.42578125" style="434" customWidth="1"/>
    <col min="8209" max="8209" width="8.140625" style="434" customWidth="1"/>
    <col min="8210" max="8210" width="8.7109375" style="434" customWidth="1"/>
    <col min="8211" max="8211" width="2.5703125" style="434" customWidth="1"/>
    <col min="8212" max="8448" width="9.140625" style="434"/>
    <col min="8449" max="8449" width="16.140625" style="434" customWidth="1"/>
    <col min="8450" max="8450" width="7.7109375" style="434" customWidth="1"/>
    <col min="8451" max="8451" width="9" style="434" customWidth="1"/>
    <col min="8452" max="8452" width="2.140625" style="434" customWidth="1"/>
    <col min="8453" max="8454" width="7.7109375" style="434" customWidth="1"/>
    <col min="8455" max="8455" width="2.42578125" style="434" customWidth="1"/>
    <col min="8456" max="8457" width="7.7109375" style="434" customWidth="1"/>
    <col min="8458" max="8458" width="1.7109375" style="434" customWidth="1"/>
    <col min="8459" max="8460" width="7.7109375" style="434" customWidth="1"/>
    <col min="8461" max="8461" width="2.140625" style="434" customWidth="1"/>
    <col min="8462" max="8462" width="7.7109375" style="434" customWidth="1"/>
    <col min="8463" max="8463" width="7.85546875" style="434" customWidth="1"/>
    <col min="8464" max="8464" width="2.42578125" style="434" customWidth="1"/>
    <col min="8465" max="8465" width="8.140625" style="434" customWidth="1"/>
    <col min="8466" max="8466" width="8.7109375" style="434" customWidth="1"/>
    <col min="8467" max="8467" width="2.5703125" style="434" customWidth="1"/>
    <col min="8468" max="8704" width="9.140625" style="434"/>
    <col min="8705" max="8705" width="16.140625" style="434" customWidth="1"/>
    <col min="8706" max="8706" width="7.7109375" style="434" customWidth="1"/>
    <col min="8707" max="8707" width="9" style="434" customWidth="1"/>
    <col min="8708" max="8708" width="2.140625" style="434" customWidth="1"/>
    <col min="8709" max="8710" width="7.7109375" style="434" customWidth="1"/>
    <col min="8711" max="8711" width="2.42578125" style="434" customWidth="1"/>
    <col min="8712" max="8713" width="7.7109375" style="434" customWidth="1"/>
    <col min="8714" max="8714" width="1.7109375" style="434" customWidth="1"/>
    <col min="8715" max="8716" width="7.7109375" style="434" customWidth="1"/>
    <col min="8717" max="8717" width="2.140625" style="434" customWidth="1"/>
    <col min="8718" max="8718" width="7.7109375" style="434" customWidth="1"/>
    <col min="8719" max="8719" width="7.85546875" style="434" customWidth="1"/>
    <col min="8720" max="8720" width="2.42578125" style="434" customWidth="1"/>
    <col min="8721" max="8721" width="8.140625" style="434" customWidth="1"/>
    <col min="8722" max="8722" width="8.7109375" style="434" customWidth="1"/>
    <col min="8723" max="8723" width="2.5703125" style="434" customWidth="1"/>
    <col min="8724" max="8960" width="9.140625" style="434"/>
    <col min="8961" max="8961" width="16.140625" style="434" customWidth="1"/>
    <col min="8962" max="8962" width="7.7109375" style="434" customWidth="1"/>
    <col min="8963" max="8963" width="9" style="434" customWidth="1"/>
    <col min="8964" max="8964" width="2.140625" style="434" customWidth="1"/>
    <col min="8965" max="8966" width="7.7109375" style="434" customWidth="1"/>
    <col min="8967" max="8967" width="2.42578125" style="434" customWidth="1"/>
    <col min="8968" max="8969" width="7.7109375" style="434" customWidth="1"/>
    <col min="8970" max="8970" width="1.7109375" style="434" customWidth="1"/>
    <col min="8971" max="8972" width="7.7109375" style="434" customWidth="1"/>
    <col min="8973" max="8973" width="2.140625" style="434" customWidth="1"/>
    <col min="8974" max="8974" width="7.7109375" style="434" customWidth="1"/>
    <col min="8975" max="8975" width="7.85546875" style="434" customWidth="1"/>
    <col min="8976" max="8976" width="2.42578125" style="434" customWidth="1"/>
    <col min="8977" max="8977" width="8.140625" style="434" customWidth="1"/>
    <col min="8978" max="8978" width="8.7109375" style="434" customWidth="1"/>
    <col min="8979" max="8979" width="2.5703125" style="434" customWidth="1"/>
    <col min="8980" max="9216" width="9.140625" style="434"/>
    <col min="9217" max="9217" width="16.140625" style="434" customWidth="1"/>
    <col min="9218" max="9218" width="7.7109375" style="434" customWidth="1"/>
    <col min="9219" max="9219" width="9" style="434" customWidth="1"/>
    <col min="9220" max="9220" width="2.140625" style="434" customWidth="1"/>
    <col min="9221" max="9222" width="7.7109375" style="434" customWidth="1"/>
    <col min="9223" max="9223" width="2.42578125" style="434" customWidth="1"/>
    <col min="9224" max="9225" width="7.7109375" style="434" customWidth="1"/>
    <col min="9226" max="9226" width="1.7109375" style="434" customWidth="1"/>
    <col min="9227" max="9228" width="7.7109375" style="434" customWidth="1"/>
    <col min="9229" max="9229" width="2.140625" style="434" customWidth="1"/>
    <col min="9230" max="9230" width="7.7109375" style="434" customWidth="1"/>
    <col min="9231" max="9231" width="7.85546875" style="434" customWidth="1"/>
    <col min="9232" max="9232" width="2.42578125" style="434" customWidth="1"/>
    <col min="9233" max="9233" width="8.140625" style="434" customWidth="1"/>
    <col min="9234" max="9234" width="8.7109375" style="434" customWidth="1"/>
    <col min="9235" max="9235" width="2.5703125" style="434" customWidth="1"/>
    <col min="9236" max="9472" width="9.140625" style="434"/>
    <col min="9473" max="9473" width="16.140625" style="434" customWidth="1"/>
    <col min="9474" max="9474" width="7.7109375" style="434" customWidth="1"/>
    <col min="9475" max="9475" width="9" style="434" customWidth="1"/>
    <col min="9476" max="9476" width="2.140625" style="434" customWidth="1"/>
    <col min="9477" max="9478" width="7.7109375" style="434" customWidth="1"/>
    <col min="9479" max="9479" width="2.42578125" style="434" customWidth="1"/>
    <col min="9480" max="9481" width="7.7109375" style="434" customWidth="1"/>
    <col min="9482" max="9482" width="1.7109375" style="434" customWidth="1"/>
    <col min="9483" max="9484" width="7.7109375" style="434" customWidth="1"/>
    <col min="9485" max="9485" width="2.140625" style="434" customWidth="1"/>
    <col min="9486" max="9486" width="7.7109375" style="434" customWidth="1"/>
    <col min="9487" max="9487" width="7.85546875" style="434" customWidth="1"/>
    <col min="9488" max="9488" width="2.42578125" style="434" customWidth="1"/>
    <col min="9489" max="9489" width="8.140625" style="434" customWidth="1"/>
    <col min="9490" max="9490" width="8.7109375" style="434" customWidth="1"/>
    <col min="9491" max="9491" width="2.5703125" style="434" customWidth="1"/>
    <col min="9492" max="9728" width="9.140625" style="434"/>
    <col min="9729" max="9729" width="16.140625" style="434" customWidth="1"/>
    <col min="9730" max="9730" width="7.7109375" style="434" customWidth="1"/>
    <col min="9731" max="9731" width="9" style="434" customWidth="1"/>
    <col min="9732" max="9732" width="2.140625" style="434" customWidth="1"/>
    <col min="9733" max="9734" width="7.7109375" style="434" customWidth="1"/>
    <col min="9735" max="9735" width="2.42578125" style="434" customWidth="1"/>
    <col min="9736" max="9737" width="7.7109375" style="434" customWidth="1"/>
    <col min="9738" max="9738" width="1.7109375" style="434" customWidth="1"/>
    <col min="9739" max="9740" width="7.7109375" style="434" customWidth="1"/>
    <col min="9741" max="9741" width="2.140625" style="434" customWidth="1"/>
    <col min="9742" max="9742" width="7.7109375" style="434" customWidth="1"/>
    <col min="9743" max="9743" width="7.85546875" style="434" customWidth="1"/>
    <col min="9744" max="9744" width="2.42578125" style="434" customWidth="1"/>
    <col min="9745" max="9745" width="8.140625" style="434" customWidth="1"/>
    <col min="9746" max="9746" width="8.7109375" style="434" customWidth="1"/>
    <col min="9747" max="9747" width="2.5703125" style="434" customWidth="1"/>
    <col min="9748" max="9984" width="9.140625" style="434"/>
    <col min="9985" max="9985" width="16.140625" style="434" customWidth="1"/>
    <col min="9986" max="9986" width="7.7109375" style="434" customWidth="1"/>
    <col min="9987" max="9987" width="9" style="434" customWidth="1"/>
    <col min="9988" max="9988" width="2.140625" style="434" customWidth="1"/>
    <col min="9989" max="9990" width="7.7109375" style="434" customWidth="1"/>
    <col min="9991" max="9991" width="2.42578125" style="434" customWidth="1"/>
    <col min="9992" max="9993" width="7.7109375" style="434" customWidth="1"/>
    <col min="9994" max="9994" width="1.7109375" style="434" customWidth="1"/>
    <col min="9995" max="9996" width="7.7109375" style="434" customWidth="1"/>
    <col min="9997" max="9997" width="2.140625" style="434" customWidth="1"/>
    <col min="9998" max="9998" width="7.7109375" style="434" customWidth="1"/>
    <col min="9999" max="9999" width="7.85546875" style="434" customWidth="1"/>
    <col min="10000" max="10000" width="2.42578125" style="434" customWidth="1"/>
    <col min="10001" max="10001" width="8.140625" style="434" customWidth="1"/>
    <col min="10002" max="10002" width="8.7109375" style="434" customWidth="1"/>
    <col min="10003" max="10003" width="2.5703125" style="434" customWidth="1"/>
    <col min="10004" max="10240" width="9.140625" style="434"/>
    <col min="10241" max="10241" width="16.140625" style="434" customWidth="1"/>
    <col min="10242" max="10242" width="7.7109375" style="434" customWidth="1"/>
    <col min="10243" max="10243" width="9" style="434" customWidth="1"/>
    <col min="10244" max="10244" width="2.140625" style="434" customWidth="1"/>
    <col min="10245" max="10246" width="7.7109375" style="434" customWidth="1"/>
    <col min="10247" max="10247" width="2.42578125" style="434" customWidth="1"/>
    <col min="10248" max="10249" width="7.7109375" style="434" customWidth="1"/>
    <col min="10250" max="10250" width="1.7109375" style="434" customWidth="1"/>
    <col min="10251" max="10252" width="7.7109375" style="434" customWidth="1"/>
    <col min="10253" max="10253" width="2.140625" style="434" customWidth="1"/>
    <col min="10254" max="10254" width="7.7109375" style="434" customWidth="1"/>
    <col min="10255" max="10255" width="7.85546875" style="434" customWidth="1"/>
    <col min="10256" max="10256" width="2.42578125" style="434" customWidth="1"/>
    <col min="10257" max="10257" width="8.140625" style="434" customWidth="1"/>
    <col min="10258" max="10258" width="8.7109375" style="434" customWidth="1"/>
    <col min="10259" max="10259" width="2.5703125" style="434" customWidth="1"/>
    <col min="10260" max="10496" width="9.140625" style="434"/>
    <col min="10497" max="10497" width="16.140625" style="434" customWidth="1"/>
    <col min="10498" max="10498" width="7.7109375" style="434" customWidth="1"/>
    <col min="10499" max="10499" width="9" style="434" customWidth="1"/>
    <col min="10500" max="10500" width="2.140625" style="434" customWidth="1"/>
    <col min="10501" max="10502" width="7.7109375" style="434" customWidth="1"/>
    <col min="10503" max="10503" width="2.42578125" style="434" customWidth="1"/>
    <col min="10504" max="10505" width="7.7109375" style="434" customWidth="1"/>
    <col min="10506" max="10506" width="1.7109375" style="434" customWidth="1"/>
    <col min="10507" max="10508" width="7.7109375" style="434" customWidth="1"/>
    <col min="10509" max="10509" width="2.140625" style="434" customWidth="1"/>
    <col min="10510" max="10510" width="7.7109375" style="434" customWidth="1"/>
    <col min="10511" max="10511" width="7.85546875" style="434" customWidth="1"/>
    <col min="10512" max="10512" width="2.42578125" style="434" customWidth="1"/>
    <col min="10513" max="10513" width="8.140625" style="434" customWidth="1"/>
    <col min="10514" max="10514" width="8.7109375" style="434" customWidth="1"/>
    <col min="10515" max="10515" width="2.5703125" style="434" customWidth="1"/>
    <col min="10516" max="10752" width="9.140625" style="434"/>
    <col min="10753" max="10753" width="16.140625" style="434" customWidth="1"/>
    <col min="10754" max="10754" width="7.7109375" style="434" customWidth="1"/>
    <col min="10755" max="10755" width="9" style="434" customWidth="1"/>
    <col min="10756" max="10756" width="2.140625" style="434" customWidth="1"/>
    <col min="10757" max="10758" width="7.7109375" style="434" customWidth="1"/>
    <col min="10759" max="10759" width="2.42578125" style="434" customWidth="1"/>
    <col min="10760" max="10761" width="7.7109375" style="434" customWidth="1"/>
    <col min="10762" max="10762" width="1.7109375" style="434" customWidth="1"/>
    <col min="10763" max="10764" width="7.7109375" style="434" customWidth="1"/>
    <col min="10765" max="10765" width="2.140625" style="434" customWidth="1"/>
    <col min="10766" max="10766" width="7.7109375" style="434" customWidth="1"/>
    <col min="10767" max="10767" width="7.85546875" style="434" customWidth="1"/>
    <col min="10768" max="10768" width="2.42578125" style="434" customWidth="1"/>
    <col min="10769" max="10769" width="8.140625" style="434" customWidth="1"/>
    <col min="10770" max="10770" width="8.7109375" style="434" customWidth="1"/>
    <col min="10771" max="10771" width="2.5703125" style="434" customWidth="1"/>
    <col min="10772" max="11008" width="9.140625" style="434"/>
    <col min="11009" max="11009" width="16.140625" style="434" customWidth="1"/>
    <col min="11010" max="11010" width="7.7109375" style="434" customWidth="1"/>
    <col min="11011" max="11011" width="9" style="434" customWidth="1"/>
    <col min="11012" max="11012" width="2.140625" style="434" customWidth="1"/>
    <col min="11013" max="11014" width="7.7109375" style="434" customWidth="1"/>
    <col min="11015" max="11015" width="2.42578125" style="434" customWidth="1"/>
    <col min="11016" max="11017" width="7.7109375" style="434" customWidth="1"/>
    <col min="11018" max="11018" width="1.7109375" style="434" customWidth="1"/>
    <col min="11019" max="11020" width="7.7109375" style="434" customWidth="1"/>
    <col min="11021" max="11021" width="2.140625" style="434" customWidth="1"/>
    <col min="11022" max="11022" width="7.7109375" style="434" customWidth="1"/>
    <col min="11023" max="11023" width="7.85546875" style="434" customWidth="1"/>
    <col min="11024" max="11024" width="2.42578125" style="434" customWidth="1"/>
    <col min="11025" max="11025" width="8.140625" style="434" customWidth="1"/>
    <col min="11026" max="11026" width="8.7109375" style="434" customWidth="1"/>
    <col min="11027" max="11027" width="2.5703125" style="434" customWidth="1"/>
    <col min="11028" max="11264" width="9.140625" style="434"/>
    <col min="11265" max="11265" width="16.140625" style="434" customWidth="1"/>
    <col min="11266" max="11266" width="7.7109375" style="434" customWidth="1"/>
    <col min="11267" max="11267" width="9" style="434" customWidth="1"/>
    <col min="11268" max="11268" width="2.140625" style="434" customWidth="1"/>
    <col min="11269" max="11270" width="7.7109375" style="434" customWidth="1"/>
    <col min="11271" max="11271" width="2.42578125" style="434" customWidth="1"/>
    <col min="11272" max="11273" width="7.7109375" style="434" customWidth="1"/>
    <col min="11274" max="11274" width="1.7109375" style="434" customWidth="1"/>
    <col min="11275" max="11276" width="7.7109375" style="434" customWidth="1"/>
    <col min="11277" max="11277" width="2.140625" style="434" customWidth="1"/>
    <col min="11278" max="11278" width="7.7109375" style="434" customWidth="1"/>
    <col min="11279" max="11279" width="7.85546875" style="434" customWidth="1"/>
    <col min="11280" max="11280" width="2.42578125" style="434" customWidth="1"/>
    <col min="11281" max="11281" width="8.140625" style="434" customWidth="1"/>
    <col min="11282" max="11282" width="8.7109375" style="434" customWidth="1"/>
    <col min="11283" max="11283" width="2.5703125" style="434" customWidth="1"/>
    <col min="11284" max="11520" width="9.140625" style="434"/>
    <col min="11521" max="11521" width="16.140625" style="434" customWidth="1"/>
    <col min="11522" max="11522" width="7.7109375" style="434" customWidth="1"/>
    <col min="11523" max="11523" width="9" style="434" customWidth="1"/>
    <col min="11524" max="11524" width="2.140625" style="434" customWidth="1"/>
    <col min="11525" max="11526" width="7.7109375" style="434" customWidth="1"/>
    <col min="11527" max="11527" width="2.42578125" style="434" customWidth="1"/>
    <col min="11528" max="11529" width="7.7109375" style="434" customWidth="1"/>
    <col min="11530" max="11530" width="1.7109375" style="434" customWidth="1"/>
    <col min="11531" max="11532" width="7.7109375" style="434" customWidth="1"/>
    <col min="11533" max="11533" width="2.140625" style="434" customWidth="1"/>
    <col min="11534" max="11534" width="7.7109375" style="434" customWidth="1"/>
    <col min="11535" max="11535" width="7.85546875" style="434" customWidth="1"/>
    <col min="11536" max="11536" width="2.42578125" style="434" customWidth="1"/>
    <col min="11537" max="11537" width="8.140625" style="434" customWidth="1"/>
    <col min="11538" max="11538" width="8.7109375" style="434" customWidth="1"/>
    <col min="11539" max="11539" width="2.5703125" style="434" customWidth="1"/>
    <col min="11540" max="11776" width="9.140625" style="434"/>
    <col min="11777" max="11777" width="16.140625" style="434" customWidth="1"/>
    <col min="11778" max="11778" width="7.7109375" style="434" customWidth="1"/>
    <col min="11779" max="11779" width="9" style="434" customWidth="1"/>
    <col min="11780" max="11780" width="2.140625" style="434" customWidth="1"/>
    <col min="11781" max="11782" width="7.7109375" style="434" customWidth="1"/>
    <col min="11783" max="11783" width="2.42578125" style="434" customWidth="1"/>
    <col min="11784" max="11785" width="7.7109375" style="434" customWidth="1"/>
    <col min="11786" max="11786" width="1.7109375" style="434" customWidth="1"/>
    <col min="11787" max="11788" width="7.7109375" style="434" customWidth="1"/>
    <col min="11789" max="11789" width="2.140625" style="434" customWidth="1"/>
    <col min="11790" max="11790" width="7.7109375" style="434" customWidth="1"/>
    <col min="11791" max="11791" width="7.85546875" style="434" customWidth="1"/>
    <col min="11792" max="11792" width="2.42578125" style="434" customWidth="1"/>
    <col min="11793" max="11793" width="8.140625" style="434" customWidth="1"/>
    <col min="11794" max="11794" width="8.7109375" style="434" customWidth="1"/>
    <col min="11795" max="11795" width="2.5703125" style="434" customWidth="1"/>
    <col min="11796" max="12032" width="9.140625" style="434"/>
    <col min="12033" max="12033" width="16.140625" style="434" customWidth="1"/>
    <col min="12034" max="12034" width="7.7109375" style="434" customWidth="1"/>
    <col min="12035" max="12035" width="9" style="434" customWidth="1"/>
    <col min="12036" max="12036" width="2.140625" style="434" customWidth="1"/>
    <col min="12037" max="12038" width="7.7109375" style="434" customWidth="1"/>
    <col min="12039" max="12039" width="2.42578125" style="434" customWidth="1"/>
    <col min="12040" max="12041" width="7.7109375" style="434" customWidth="1"/>
    <col min="12042" max="12042" width="1.7109375" style="434" customWidth="1"/>
    <col min="12043" max="12044" width="7.7109375" style="434" customWidth="1"/>
    <col min="12045" max="12045" width="2.140625" style="434" customWidth="1"/>
    <col min="12046" max="12046" width="7.7109375" style="434" customWidth="1"/>
    <col min="12047" max="12047" width="7.85546875" style="434" customWidth="1"/>
    <col min="12048" max="12048" width="2.42578125" style="434" customWidth="1"/>
    <col min="12049" max="12049" width="8.140625" style="434" customWidth="1"/>
    <col min="12050" max="12050" width="8.7109375" style="434" customWidth="1"/>
    <col min="12051" max="12051" width="2.5703125" style="434" customWidth="1"/>
    <col min="12052" max="12288" width="9.140625" style="434"/>
    <col min="12289" max="12289" width="16.140625" style="434" customWidth="1"/>
    <col min="12290" max="12290" width="7.7109375" style="434" customWidth="1"/>
    <col min="12291" max="12291" width="9" style="434" customWidth="1"/>
    <col min="12292" max="12292" width="2.140625" style="434" customWidth="1"/>
    <col min="12293" max="12294" width="7.7109375" style="434" customWidth="1"/>
    <col min="12295" max="12295" width="2.42578125" style="434" customWidth="1"/>
    <col min="12296" max="12297" width="7.7109375" style="434" customWidth="1"/>
    <col min="12298" max="12298" width="1.7109375" style="434" customWidth="1"/>
    <col min="12299" max="12300" width="7.7109375" style="434" customWidth="1"/>
    <col min="12301" max="12301" width="2.140625" style="434" customWidth="1"/>
    <col min="12302" max="12302" width="7.7109375" style="434" customWidth="1"/>
    <col min="12303" max="12303" width="7.85546875" style="434" customWidth="1"/>
    <col min="12304" max="12304" width="2.42578125" style="434" customWidth="1"/>
    <col min="12305" max="12305" width="8.140625" style="434" customWidth="1"/>
    <col min="12306" max="12306" width="8.7109375" style="434" customWidth="1"/>
    <col min="12307" max="12307" width="2.5703125" style="434" customWidth="1"/>
    <col min="12308" max="12544" width="9.140625" style="434"/>
    <col min="12545" max="12545" width="16.140625" style="434" customWidth="1"/>
    <col min="12546" max="12546" width="7.7109375" style="434" customWidth="1"/>
    <col min="12547" max="12547" width="9" style="434" customWidth="1"/>
    <col min="12548" max="12548" width="2.140625" style="434" customWidth="1"/>
    <col min="12549" max="12550" width="7.7109375" style="434" customWidth="1"/>
    <col min="12551" max="12551" width="2.42578125" style="434" customWidth="1"/>
    <col min="12552" max="12553" width="7.7109375" style="434" customWidth="1"/>
    <col min="12554" max="12554" width="1.7109375" style="434" customWidth="1"/>
    <col min="12555" max="12556" width="7.7109375" style="434" customWidth="1"/>
    <col min="12557" max="12557" width="2.140625" style="434" customWidth="1"/>
    <col min="12558" max="12558" width="7.7109375" style="434" customWidth="1"/>
    <col min="12559" max="12559" width="7.85546875" style="434" customWidth="1"/>
    <col min="12560" max="12560" width="2.42578125" style="434" customWidth="1"/>
    <col min="12561" max="12561" width="8.140625" style="434" customWidth="1"/>
    <col min="12562" max="12562" width="8.7109375" style="434" customWidth="1"/>
    <col min="12563" max="12563" width="2.5703125" style="434" customWidth="1"/>
    <col min="12564" max="12800" width="9.140625" style="434"/>
    <col min="12801" max="12801" width="16.140625" style="434" customWidth="1"/>
    <col min="12802" max="12802" width="7.7109375" style="434" customWidth="1"/>
    <col min="12803" max="12803" width="9" style="434" customWidth="1"/>
    <col min="12804" max="12804" width="2.140625" style="434" customWidth="1"/>
    <col min="12805" max="12806" width="7.7109375" style="434" customWidth="1"/>
    <col min="12807" max="12807" width="2.42578125" style="434" customWidth="1"/>
    <col min="12808" max="12809" width="7.7109375" style="434" customWidth="1"/>
    <col min="12810" max="12810" width="1.7109375" style="434" customWidth="1"/>
    <col min="12811" max="12812" width="7.7109375" style="434" customWidth="1"/>
    <col min="12813" max="12813" width="2.140625" style="434" customWidth="1"/>
    <col min="12814" max="12814" width="7.7109375" style="434" customWidth="1"/>
    <col min="12815" max="12815" width="7.85546875" style="434" customWidth="1"/>
    <col min="12816" max="12816" width="2.42578125" style="434" customWidth="1"/>
    <col min="12817" max="12817" width="8.140625" style="434" customWidth="1"/>
    <col min="12818" max="12818" width="8.7109375" style="434" customWidth="1"/>
    <col min="12819" max="12819" width="2.5703125" style="434" customWidth="1"/>
    <col min="12820" max="13056" width="9.140625" style="434"/>
    <col min="13057" max="13057" width="16.140625" style="434" customWidth="1"/>
    <col min="13058" max="13058" width="7.7109375" style="434" customWidth="1"/>
    <col min="13059" max="13059" width="9" style="434" customWidth="1"/>
    <col min="13060" max="13060" width="2.140625" style="434" customWidth="1"/>
    <col min="13061" max="13062" width="7.7109375" style="434" customWidth="1"/>
    <col min="13063" max="13063" width="2.42578125" style="434" customWidth="1"/>
    <col min="13064" max="13065" width="7.7109375" style="434" customWidth="1"/>
    <col min="13066" max="13066" width="1.7109375" style="434" customWidth="1"/>
    <col min="13067" max="13068" width="7.7109375" style="434" customWidth="1"/>
    <col min="13069" max="13069" width="2.140625" style="434" customWidth="1"/>
    <col min="13070" max="13070" width="7.7109375" style="434" customWidth="1"/>
    <col min="13071" max="13071" width="7.85546875" style="434" customWidth="1"/>
    <col min="13072" max="13072" width="2.42578125" style="434" customWidth="1"/>
    <col min="13073" max="13073" width="8.140625" style="434" customWidth="1"/>
    <col min="13074" max="13074" width="8.7109375" style="434" customWidth="1"/>
    <col min="13075" max="13075" width="2.5703125" style="434" customWidth="1"/>
    <col min="13076" max="13312" width="9.140625" style="434"/>
    <col min="13313" max="13313" width="16.140625" style="434" customWidth="1"/>
    <col min="13314" max="13314" width="7.7109375" style="434" customWidth="1"/>
    <col min="13315" max="13315" width="9" style="434" customWidth="1"/>
    <col min="13316" max="13316" width="2.140625" style="434" customWidth="1"/>
    <col min="13317" max="13318" width="7.7109375" style="434" customWidth="1"/>
    <col min="13319" max="13319" width="2.42578125" style="434" customWidth="1"/>
    <col min="13320" max="13321" width="7.7109375" style="434" customWidth="1"/>
    <col min="13322" max="13322" width="1.7109375" style="434" customWidth="1"/>
    <col min="13323" max="13324" width="7.7109375" style="434" customWidth="1"/>
    <col min="13325" max="13325" width="2.140625" style="434" customWidth="1"/>
    <col min="13326" max="13326" width="7.7109375" style="434" customWidth="1"/>
    <col min="13327" max="13327" width="7.85546875" style="434" customWidth="1"/>
    <col min="13328" max="13328" width="2.42578125" style="434" customWidth="1"/>
    <col min="13329" max="13329" width="8.140625" style="434" customWidth="1"/>
    <col min="13330" max="13330" width="8.7109375" style="434" customWidth="1"/>
    <col min="13331" max="13331" width="2.5703125" style="434" customWidth="1"/>
    <col min="13332" max="13568" width="9.140625" style="434"/>
    <col min="13569" max="13569" width="16.140625" style="434" customWidth="1"/>
    <col min="13570" max="13570" width="7.7109375" style="434" customWidth="1"/>
    <col min="13571" max="13571" width="9" style="434" customWidth="1"/>
    <col min="13572" max="13572" width="2.140625" style="434" customWidth="1"/>
    <col min="13573" max="13574" width="7.7109375" style="434" customWidth="1"/>
    <col min="13575" max="13575" width="2.42578125" style="434" customWidth="1"/>
    <col min="13576" max="13577" width="7.7109375" style="434" customWidth="1"/>
    <col min="13578" max="13578" width="1.7109375" style="434" customWidth="1"/>
    <col min="13579" max="13580" width="7.7109375" style="434" customWidth="1"/>
    <col min="13581" max="13581" width="2.140625" style="434" customWidth="1"/>
    <col min="13582" max="13582" width="7.7109375" style="434" customWidth="1"/>
    <col min="13583" max="13583" width="7.85546875" style="434" customWidth="1"/>
    <col min="13584" max="13584" width="2.42578125" style="434" customWidth="1"/>
    <col min="13585" max="13585" width="8.140625" style="434" customWidth="1"/>
    <col min="13586" max="13586" width="8.7109375" style="434" customWidth="1"/>
    <col min="13587" max="13587" width="2.5703125" style="434" customWidth="1"/>
    <col min="13588" max="13824" width="9.140625" style="434"/>
    <col min="13825" max="13825" width="16.140625" style="434" customWidth="1"/>
    <col min="13826" max="13826" width="7.7109375" style="434" customWidth="1"/>
    <col min="13827" max="13827" width="9" style="434" customWidth="1"/>
    <col min="13828" max="13828" width="2.140625" style="434" customWidth="1"/>
    <col min="13829" max="13830" width="7.7109375" style="434" customWidth="1"/>
    <col min="13831" max="13831" width="2.42578125" style="434" customWidth="1"/>
    <col min="13832" max="13833" width="7.7109375" style="434" customWidth="1"/>
    <col min="13834" max="13834" width="1.7109375" style="434" customWidth="1"/>
    <col min="13835" max="13836" width="7.7109375" style="434" customWidth="1"/>
    <col min="13837" max="13837" width="2.140625" style="434" customWidth="1"/>
    <col min="13838" max="13838" width="7.7109375" style="434" customWidth="1"/>
    <col min="13839" max="13839" width="7.85546875" style="434" customWidth="1"/>
    <col min="13840" max="13840" width="2.42578125" style="434" customWidth="1"/>
    <col min="13841" max="13841" width="8.140625" style="434" customWidth="1"/>
    <col min="13842" max="13842" width="8.7109375" style="434" customWidth="1"/>
    <col min="13843" max="13843" width="2.5703125" style="434" customWidth="1"/>
    <col min="13844" max="14080" width="9.140625" style="434"/>
    <col min="14081" max="14081" width="16.140625" style="434" customWidth="1"/>
    <col min="14082" max="14082" width="7.7109375" style="434" customWidth="1"/>
    <col min="14083" max="14083" width="9" style="434" customWidth="1"/>
    <col min="14084" max="14084" width="2.140625" style="434" customWidth="1"/>
    <col min="14085" max="14086" width="7.7109375" style="434" customWidth="1"/>
    <col min="14087" max="14087" width="2.42578125" style="434" customWidth="1"/>
    <col min="14088" max="14089" width="7.7109375" style="434" customWidth="1"/>
    <col min="14090" max="14090" width="1.7109375" style="434" customWidth="1"/>
    <col min="14091" max="14092" width="7.7109375" style="434" customWidth="1"/>
    <col min="14093" max="14093" width="2.140625" style="434" customWidth="1"/>
    <col min="14094" max="14094" width="7.7109375" style="434" customWidth="1"/>
    <col min="14095" max="14095" width="7.85546875" style="434" customWidth="1"/>
    <col min="14096" max="14096" width="2.42578125" style="434" customWidth="1"/>
    <col min="14097" max="14097" width="8.140625" style="434" customWidth="1"/>
    <col min="14098" max="14098" width="8.7109375" style="434" customWidth="1"/>
    <col min="14099" max="14099" width="2.5703125" style="434" customWidth="1"/>
    <col min="14100" max="14336" width="9.140625" style="434"/>
    <col min="14337" max="14337" width="16.140625" style="434" customWidth="1"/>
    <col min="14338" max="14338" width="7.7109375" style="434" customWidth="1"/>
    <col min="14339" max="14339" width="9" style="434" customWidth="1"/>
    <col min="14340" max="14340" width="2.140625" style="434" customWidth="1"/>
    <col min="14341" max="14342" width="7.7109375" style="434" customWidth="1"/>
    <col min="14343" max="14343" width="2.42578125" style="434" customWidth="1"/>
    <col min="14344" max="14345" width="7.7109375" style="434" customWidth="1"/>
    <col min="14346" max="14346" width="1.7109375" style="434" customWidth="1"/>
    <col min="14347" max="14348" width="7.7109375" style="434" customWidth="1"/>
    <col min="14349" max="14349" width="2.140625" style="434" customWidth="1"/>
    <col min="14350" max="14350" width="7.7109375" style="434" customWidth="1"/>
    <col min="14351" max="14351" width="7.85546875" style="434" customWidth="1"/>
    <col min="14352" max="14352" width="2.42578125" style="434" customWidth="1"/>
    <col min="14353" max="14353" width="8.140625" style="434" customWidth="1"/>
    <col min="14354" max="14354" width="8.7109375" style="434" customWidth="1"/>
    <col min="14355" max="14355" width="2.5703125" style="434" customWidth="1"/>
    <col min="14356" max="14592" width="9.140625" style="434"/>
    <col min="14593" max="14593" width="16.140625" style="434" customWidth="1"/>
    <col min="14594" max="14594" width="7.7109375" style="434" customWidth="1"/>
    <col min="14595" max="14595" width="9" style="434" customWidth="1"/>
    <col min="14596" max="14596" width="2.140625" style="434" customWidth="1"/>
    <col min="14597" max="14598" width="7.7109375" style="434" customWidth="1"/>
    <col min="14599" max="14599" width="2.42578125" style="434" customWidth="1"/>
    <col min="14600" max="14601" width="7.7109375" style="434" customWidth="1"/>
    <col min="14602" max="14602" width="1.7109375" style="434" customWidth="1"/>
    <col min="14603" max="14604" width="7.7109375" style="434" customWidth="1"/>
    <col min="14605" max="14605" width="2.140625" style="434" customWidth="1"/>
    <col min="14606" max="14606" width="7.7109375" style="434" customWidth="1"/>
    <col min="14607" max="14607" width="7.85546875" style="434" customWidth="1"/>
    <col min="14608" max="14608" width="2.42578125" style="434" customWidth="1"/>
    <col min="14609" max="14609" width="8.140625" style="434" customWidth="1"/>
    <col min="14610" max="14610" width="8.7109375" style="434" customWidth="1"/>
    <col min="14611" max="14611" width="2.5703125" style="434" customWidth="1"/>
    <col min="14612" max="14848" width="9.140625" style="434"/>
    <col min="14849" max="14849" width="16.140625" style="434" customWidth="1"/>
    <col min="14850" max="14850" width="7.7109375" style="434" customWidth="1"/>
    <col min="14851" max="14851" width="9" style="434" customWidth="1"/>
    <col min="14852" max="14852" width="2.140625" style="434" customWidth="1"/>
    <col min="14853" max="14854" width="7.7109375" style="434" customWidth="1"/>
    <col min="14855" max="14855" width="2.42578125" style="434" customWidth="1"/>
    <col min="14856" max="14857" width="7.7109375" style="434" customWidth="1"/>
    <col min="14858" max="14858" width="1.7109375" style="434" customWidth="1"/>
    <col min="14859" max="14860" width="7.7109375" style="434" customWidth="1"/>
    <col min="14861" max="14861" width="2.140625" style="434" customWidth="1"/>
    <col min="14862" max="14862" width="7.7109375" style="434" customWidth="1"/>
    <col min="14863" max="14863" width="7.85546875" style="434" customWidth="1"/>
    <col min="14864" max="14864" width="2.42578125" style="434" customWidth="1"/>
    <col min="14865" max="14865" width="8.140625" style="434" customWidth="1"/>
    <col min="14866" max="14866" width="8.7109375" style="434" customWidth="1"/>
    <col min="14867" max="14867" width="2.5703125" style="434" customWidth="1"/>
    <col min="14868" max="15104" width="9.140625" style="434"/>
    <col min="15105" max="15105" width="16.140625" style="434" customWidth="1"/>
    <col min="15106" max="15106" width="7.7109375" style="434" customWidth="1"/>
    <col min="15107" max="15107" width="9" style="434" customWidth="1"/>
    <col min="15108" max="15108" width="2.140625" style="434" customWidth="1"/>
    <col min="15109" max="15110" width="7.7109375" style="434" customWidth="1"/>
    <col min="15111" max="15111" width="2.42578125" style="434" customWidth="1"/>
    <col min="15112" max="15113" width="7.7109375" style="434" customWidth="1"/>
    <col min="15114" max="15114" width="1.7109375" style="434" customWidth="1"/>
    <col min="15115" max="15116" width="7.7109375" style="434" customWidth="1"/>
    <col min="15117" max="15117" width="2.140625" style="434" customWidth="1"/>
    <col min="15118" max="15118" width="7.7109375" style="434" customWidth="1"/>
    <col min="15119" max="15119" width="7.85546875" style="434" customWidth="1"/>
    <col min="15120" max="15120" width="2.42578125" style="434" customWidth="1"/>
    <col min="15121" max="15121" width="8.140625" style="434" customWidth="1"/>
    <col min="15122" max="15122" width="8.7109375" style="434" customWidth="1"/>
    <col min="15123" max="15123" width="2.5703125" style="434" customWidth="1"/>
    <col min="15124" max="15360" width="9.140625" style="434"/>
    <col min="15361" max="15361" width="16.140625" style="434" customWidth="1"/>
    <col min="15362" max="15362" width="7.7109375" style="434" customWidth="1"/>
    <col min="15363" max="15363" width="9" style="434" customWidth="1"/>
    <col min="15364" max="15364" width="2.140625" style="434" customWidth="1"/>
    <col min="15365" max="15366" width="7.7109375" style="434" customWidth="1"/>
    <col min="15367" max="15367" width="2.42578125" style="434" customWidth="1"/>
    <col min="15368" max="15369" width="7.7109375" style="434" customWidth="1"/>
    <col min="15370" max="15370" width="1.7109375" style="434" customWidth="1"/>
    <col min="15371" max="15372" width="7.7109375" style="434" customWidth="1"/>
    <col min="15373" max="15373" width="2.140625" style="434" customWidth="1"/>
    <col min="15374" max="15374" width="7.7109375" style="434" customWidth="1"/>
    <col min="15375" max="15375" width="7.85546875" style="434" customWidth="1"/>
    <col min="15376" max="15376" width="2.42578125" style="434" customWidth="1"/>
    <col min="15377" max="15377" width="8.140625" style="434" customWidth="1"/>
    <col min="15378" max="15378" width="8.7109375" style="434" customWidth="1"/>
    <col min="15379" max="15379" width="2.5703125" style="434" customWidth="1"/>
    <col min="15380" max="15616" width="9.140625" style="434"/>
    <col min="15617" max="15617" width="16.140625" style="434" customWidth="1"/>
    <col min="15618" max="15618" width="7.7109375" style="434" customWidth="1"/>
    <col min="15619" max="15619" width="9" style="434" customWidth="1"/>
    <col min="15620" max="15620" width="2.140625" style="434" customWidth="1"/>
    <col min="15621" max="15622" width="7.7109375" style="434" customWidth="1"/>
    <col min="15623" max="15623" width="2.42578125" style="434" customWidth="1"/>
    <col min="15624" max="15625" width="7.7109375" style="434" customWidth="1"/>
    <col min="15626" max="15626" width="1.7109375" style="434" customWidth="1"/>
    <col min="15627" max="15628" width="7.7109375" style="434" customWidth="1"/>
    <col min="15629" max="15629" width="2.140625" style="434" customWidth="1"/>
    <col min="15630" max="15630" width="7.7109375" style="434" customWidth="1"/>
    <col min="15631" max="15631" width="7.85546875" style="434" customWidth="1"/>
    <col min="15632" max="15632" width="2.42578125" style="434" customWidth="1"/>
    <col min="15633" max="15633" width="8.140625" style="434" customWidth="1"/>
    <col min="15634" max="15634" width="8.7109375" style="434" customWidth="1"/>
    <col min="15635" max="15635" width="2.5703125" style="434" customWidth="1"/>
    <col min="15636" max="15872" width="9.140625" style="434"/>
    <col min="15873" max="15873" width="16.140625" style="434" customWidth="1"/>
    <col min="15874" max="15874" width="7.7109375" style="434" customWidth="1"/>
    <col min="15875" max="15875" width="9" style="434" customWidth="1"/>
    <col min="15876" max="15876" width="2.140625" style="434" customWidth="1"/>
    <col min="15877" max="15878" width="7.7109375" style="434" customWidth="1"/>
    <col min="15879" max="15879" width="2.42578125" style="434" customWidth="1"/>
    <col min="15880" max="15881" width="7.7109375" style="434" customWidth="1"/>
    <col min="15882" max="15882" width="1.7109375" style="434" customWidth="1"/>
    <col min="15883" max="15884" width="7.7109375" style="434" customWidth="1"/>
    <col min="15885" max="15885" width="2.140625" style="434" customWidth="1"/>
    <col min="15886" max="15886" width="7.7109375" style="434" customWidth="1"/>
    <col min="15887" max="15887" width="7.85546875" style="434" customWidth="1"/>
    <col min="15888" max="15888" width="2.42578125" style="434" customWidth="1"/>
    <col min="15889" max="15889" width="8.140625" style="434" customWidth="1"/>
    <col min="15890" max="15890" width="8.7109375" style="434" customWidth="1"/>
    <col min="15891" max="15891" width="2.5703125" style="434" customWidth="1"/>
    <col min="15892" max="16128" width="9.140625" style="434"/>
    <col min="16129" max="16129" width="16.140625" style="434" customWidth="1"/>
    <col min="16130" max="16130" width="7.7109375" style="434" customWidth="1"/>
    <col min="16131" max="16131" width="9" style="434" customWidth="1"/>
    <col min="16132" max="16132" width="2.140625" style="434" customWidth="1"/>
    <col min="16133" max="16134" width="7.7109375" style="434" customWidth="1"/>
    <col min="16135" max="16135" width="2.42578125" style="434" customWidth="1"/>
    <col min="16136" max="16137" width="7.7109375" style="434" customWidth="1"/>
    <col min="16138" max="16138" width="1.7109375" style="434" customWidth="1"/>
    <col min="16139" max="16140" width="7.7109375" style="434" customWidth="1"/>
    <col min="16141" max="16141" width="2.140625" style="434" customWidth="1"/>
    <col min="16142" max="16142" width="7.7109375" style="434" customWidth="1"/>
    <col min="16143" max="16143" width="7.85546875" style="434" customWidth="1"/>
    <col min="16144" max="16144" width="2.42578125" style="434" customWidth="1"/>
    <col min="16145" max="16145" width="8.140625" style="434" customWidth="1"/>
    <col min="16146" max="16146" width="8.7109375" style="434" customWidth="1"/>
    <col min="16147" max="16147" width="2.5703125" style="434" customWidth="1"/>
    <col min="16148" max="16384" width="9.140625" style="434"/>
  </cols>
  <sheetData>
    <row r="1" spans="1:19">
      <c r="A1" s="434" t="s">
        <v>379</v>
      </c>
    </row>
    <row r="2" spans="1:19">
      <c r="A2" s="434" t="s">
        <v>380</v>
      </c>
      <c r="B2" s="449"/>
      <c r="C2" s="454"/>
    </row>
    <row r="3" spans="1:19">
      <c r="B3" s="449"/>
      <c r="C3" s="454"/>
    </row>
    <row r="4" spans="1:19">
      <c r="A4" s="282" t="s">
        <v>1809</v>
      </c>
      <c r="B4" s="449"/>
      <c r="C4" s="454"/>
    </row>
    <row r="5" spans="1:19" ht="13.5" customHeight="1">
      <c r="A5" s="282" t="s">
        <v>1810</v>
      </c>
    </row>
    <row r="6" spans="1:19" ht="12.95" customHeight="1" thickBot="1">
      <c r="I6" s="436"/>
      <c r="L6" s="436"/>
      <c r="M6" s="436"/>
      <c r="O6" s="436"/>
      <c r="P6" s="436"/>
    </row>
    <row r="7" spans="1:19" ht="12.95" customHeight="1">
      <c r="A7" s="437"/>
      <c r="B7" s="438"/>
      <c r="C7" s="439"/>
      <c r="D7" s="437"/>
      <c r="E7" s="438"/>
      <c r="F7" s="439"/>
      <c r="G7" s="439"/>
      <c r="H7" s="438"/>
      <c r="I7" s="439"/>
      <c r="J7" s="437"/>
      <c r="K7" s="438"/>
      <c r="L7" s="439"/>
      <c r="M7" s="439"/>
      <c r="N7" s="438"/>
      <c r="O7" s="439"/>
      <c r="P7" s="439"/>
      <c r="Q7" s="439"/>
      <c r="R7" s="439"/>
      <c r="S7" s="439"/>
    </row>
    <row r="8" spans="1:19" ht="12.95" customHeight="1">
      <c r="A8" s="440"/>
      <c r="B8" s="1333" t="s">
        <v>1811</v>
      </c>
      <c r="C8" s="1333"/>
      <c r="D8" s="1333"/>
      <c r="E8" s="1333"/>
      <c r="F8" s="1333"/>
      <c r="G8" s="1333"/>
      <c r="H8" s="1333"/>
      <c r="I8" s="1333"/>
      <c r="J8" s="1333"/>
      <c r="K8" s="1333"/>
      <c r="L8" s="1333"/>
      <c r="M8" s="1333"/>
      <c r="N8" s="1333"/>
      <c r="O8" s="1333"/>
      <c r="P8" s="1333"/>
      <c r="Q8" s="1333"/>
      <c r="R8" s="1333"/>
    </row>
    <row r="9" spans="1:19" ht="12.95" customHeight="1">
      <c r="A9" s="440" t="s">
        <v>1812</v>
      </c>
      <c r="B9" s="1290" t="s">
        <v>1813</v>
      </c>
      <c r="C9" s="1334"/>
      <c r="D9" s="440"/>
      <c r="E9" s="1334" t="s">
        <v>1814</v>
      </c>
      <c r="F9" s="1334"/>
      <c r="G9" s="442"/>
      <c r="H9" s="1334"/>
      <c r="I9" s="1334"/>
      <c r="J9" s="440"/>
      <c r="K9" s="1334" t="s">
        <v>1815</v>
      </c>
      <c r="L9" s="1334"/>
      <c r="M9" s="442"/>
      <c r="N9" s="1334" t="s">
        <v>2153</v>
      </c>
      <c r="O9" s="1334"/>
      <c r="P9" s="442"/>
      <c r="Q9" s="1334" t="s">
        <v>1816</v>
      </c>
      <c r="R9" s="1334"/>
      <c r="S9" s="442"/>
    </row>
    <row r="10" spans="1:19" ht="12.95" customHeight="1">
      <c r="A10" s="440"/>
      <c r="B10" s="1268" t="s">
        <v>2152</v>
      </c>
      <c r="C10" s="1266"/>
      <c r="D10" s="440"/>
      <c r="E10" s="1266" t="s">
        <v>1817</v>
      </c>
      <c r="F10" s="1266"/>
      <c r="G10" s="442"/>
      <c r="H10" s="1334" t="s">
        <v>1818</v>
      </c>
      <c r="I10" s="1334"/>
      <c r="J10" s="440"/>
      <c r="K10" s="1266" t="s">
        <v>1819</v>
      </c>
      <c r="L10" s="1266"/>
      <c r="N10" s="1266" t="s">
        <v>1820</v>
      </c>
      <c r="O10" s="1266"/>
      <c r="Q10" s="1266" t="s">
        <v>1821</v>
      </c>
      <c r="R10" s="1266"/>
    </row>
    <row r="11" spans="1:19" ht="12.95" customHeight="1">
      <c r="B11" s="443" t="s">
        <v>323</v>
      </c>
      <c r="C11" s="444" t="s">
        <v>324</v>
      </c>
      <c r="D11" s="440"/>
      <c r="E11" s="443" t="s">
        <v>323</v>
      </c>
      <c r="F11" s="444" t="s">
        <v>324</v>
      </c>
      <c r="G11" s="802"/>
      <c r="H11" s="443" t="s">
        <v>323</v>
      </c>
      <c r="I11" s="444" t="s">
        <v>324</v>
      </c>
      <c r="J11" s="440"/>
      <c r="K11" s="443" t="s">
        <v>323</v>
      </c>
      <c r="L11" s="444" t="s">
        <v>324</v>
      </c>
      <c r="N11" s="443" t="s">
        <v>323</v>
      </c>
      <c r="O11" s="444" t="s">
        <v>324</v>
      </c>
      <c r="Q11" s="443" t="s">
        <v>323</v>
      </c>
      <c r="R11" s="444" t="s">
        <v>324</v>
      </c>
    </row>
    <row r="12" spans="1:19" ht="12.95" customHeight="1" thickBot="1">
      <c r="A12" s="445"/>
      <c r="B12" s="446"/>
      <c r="C12" s="447"/>
      <c r="D12" s="445"/>
      <c r="E12" s="446"/>
      <c r="F12" s="447"/>
      <c r="G12" s="447"/>
      <c r="H12" s="446"/>
      <c r="I12" s="447"/>
      <c r="J12" s="445"/>
      <c r="K12" s="446"/>
      <c r="L12" s="447"/>
      <c r="M12" s="447"/>
      <c r="N12" s="446"/>
      <c r="O12" s="447"/>
      <c r="P12" s="447"/>
      <c r="Q12" s="446"/>
      <c r="R12" s="447"/>
      <c r="S12" s="447"/>
    </row>
    <row r="13" spans="1:19" ht="12.95" customHeight="1">
      <c r="A13" s="440"/>
      <c r="B13" s="441"/>
      <c r="C13" s="442"/>
      <c r="D13" s="440"/>
      <c r="E13" s="441"/>
      <c r="F13" s="442"/>
      <c r="G13" s="442"/>
      <c r="H13" s="441"/>
      <c r="I13" s="442"/>
      <c r="J13" s="440"/>
      <c r="K13" s="441"/>
      <c r="L13" s="442"/>
      <c r="N13" s="441"/>
      <c r="O13" s="442"/>
      <c r="Q13" s="441"/>
      <c r="R13" s="442"/>
    </row>
    <row r="14" spans="1:19" ht="12.95" customHeight="1">
      <c r="A14" s="690" t="s">
        <v>5</v>
      </c>
      <c r="B14" s="441">
        <f>IF($A14&lt;&gt;0,SUM(B16:B28),"")</f>
        <v>15365</v>
      </c>
      <c r="C14" s="785">
        <f>IF($A14&lt;&gt;0,SUM(C16:C28),"")</f>
        <v>100</v>
      </c>
      <c r="D14" s="440"/>
      <c r="E14" s="441">
        <f>IF($A14&lt;&gt;0,SUM(E16:E28),"")</f>
        <v>7360</v>
      </c>
      <c r="F14" s="785">
        <f>IF($A14&lt;&gt;0,SUM(F16:F28),"")</f>
        <v>100</v>
      </c>
      <c r="G14" s="442"/>
      <c r="H14" s="441">
        <f>IF($A14&lt;&gt;0,SUM(H16:H28),"")</f>
        <v>8148</v>
      </c>
      <c r="I14" s="785">
        <f>IF($A14&lt;&gt;0,SUM(I16:I28),"")</f>
        <v>99.999999999999986</v>
      </c>
      <c r="J14" s="440"/>
      <c r="K14" s="441">
        <f>IF($A14&lt;&gt;0,SUM(K16:K28),"")</f>
        <v>813</v>
      </c>
      <c r="L14" s="785">
        <f>IF($A14&lt;&gt;0,SUM(L16:L28),"")</f>
        <v>99.999999999999986</v>
      </c>
      <c r="N14" s="441">
        <f>IF($A14&lt;&gt;0,SUM(N16:N28),"")</f>
        <v>719</v>
      </c>
      <c r="O14" s="785">
        <f>IF($A14&lt;&gt;0,SUM(O16:O28),"")</f>
        <v>100.00000000000001</v>
      </c>
      <c r="Q14" s="441">
        <f>IF($A14&lt;&gt;0,SUM(Q16:Q28),"")</f>
        <v>2390</v>
      </c>
      <c r="R14" s="785">
        <f>IF($A14&lt;&gt;0,SUM(R16:R28),"")</f>
        <v>100</v>
      </c>
    </row>
    <row r="15" spans="1:19" ht="12.95" customHeight="1">
      <c r="A15" s="1057"/>
      <c r="B15" s="441"/>
      <c r="C15" s="441" t="str">
        <f>IF(B15&lt;&gt;0,F15+I15+L15+O15+#REF!,"")</f>
        <v/>
      </c>
      <c r="D15" s="440"/>
      <c r="E15" s="441"/>
      <c r="F15" s="442" t="str">
        <f>IF(A15&lt;&gt;0,E15/#REF!*100,"")</f>
        <v/>
      </c>
      <c r="G15" s="442"/>
      <c r="H15" s="441"/>
      <c r="I15" s="442" t="str">
        <f>IF(A15&lt;&gt;0,H15/#REF!*100,"")</f>
        <v/>
      </c>
      <c r="J15" s="440"/>
      <c r="K15" s="441"/>
      <c r="L15" s="442" t="str">
        <f>IF(A15&lt;&gt;0,K15/#REF!*100,"")</f>
        <v/>
      </c>
      <c r="N15" s="441"/>
      <c r="O15" s="442" t="str">
        <f>IF(A15&lt;&gt;0,N15/#REF!*100,"")</f>
        <v/>
      </c>
      <c r="Q15" s="441"/>
      <c r="R15" s="442" t="str">
        <f>IF(D15&lt;&gt;0,Q15/#REF!*100,"")</f>
        <v/>
      </c>
    </row>
    <row r="16" spans="1:19" ht="12.95" customHeight="1">
      <c r="A16" s="180" t="s">
        <v>1447</v>
      </c>
      <c r="B16" s="1181">
        <v>9046</v>
      </c>
      <c r="C16" s="442">
        <f t="shared" ref="C16:C28" si="0">IF($A16&lt;&gt;"",B16/$B$14*100,"")</f>
        <v>58.874064432150995</v>
      </c>
      <c r="D16" s="440"/>
      <c r="E16" s="1181">
        <v>4156</v>
      </c>
      <c r="F16" s="442">
        <f t="shared" ref="F16:F28" si="1">IF($A16&lt;&gt;"",E16/$E$14*100,"")</f>
        <v>56.467391304347828</v>
      </c>
      <c r="G16" s="442"/>
      <c r="H16" s="1181">
        <v>5012</v>
      </c>
      <c r="I16" s="442">
        <f t="shared" ref="I16:I28" si="2">IF($A16&lt;&gt;"",H16/$H$14*100,"")</f>
        <v>61.512027491408936</v>
      </c>
      <c r="J16" s="440"/>
      <c r="K16" s="1181">
        <v>479</v>
      </c>
      <c r="L16" s="442">
        <f t="shared" ref="L16:L28" si="3">IF($A16&lt;&gt;"",K16/$K$14*100,"")</f>
        <v>58.917589175891763</v>
      </c>
      <c r="N16" s="1181">
        <v>495</v>
      </c>
      <c r="O16" s="442">
        <f t="shared" ref="O16:O28" si="4">IF($A16&lt;&gt;"",N16/$N$14*100,"")</f>
        <v>68.845618915159946</v>
      </c>
      <c r="Q16" s="1181">
        <v>1162</v>
      </c>
      <c r="R16" s="442">
        <f>IF($A16&lt;&gt;"",Q16/$Q$14*100,"")</f>
        <v>48.619246861924687</v>
      </c>
    </row>
    <row r="17" spans="1:19" ht="12.95" customHeight="1">
      <c r="A17" s="180"/>
      <c r="B17" s="1181"/>
      <c r="C17" s="442" t="str">
        <f t="shared" si="0"/>
        <v/>
      </c>
      <c r="D17" s="440"/>
      <c r="E17" s="1181"/>
      <c r="F17" s="442" t="str">
        <f t="shared" si="1"/>
        <v/>
      </c>
      <c r="G17" s="442"/>
      <c r="H17" s="1181"/>
      <c r="I17" s="442" t="str">
        <f t="shared" si="2"/>
        <v/>
      </c>
      <c r="J17" s="440"/>
      <c r="K17" s="1181"/>
      <c r="L17" s="442" t="str">
        <f t="shared" si="3"/>
        <v/>
      </c>
      <c r="N17" s="1181"/>
      <c r="O17" s="442" t="str">
        <f t="shared" si="4"/>
        <v/>
      </c>
      <c r="Q17" s="1181"/>
      <c r="R17" s="442" t="str">
        <f>IF($A17&lt;&gt;"",Q17/$N$14*100,"")</f>
        <v/>
      </c>
    </row>
    <row r="18" spans="1:19" ht="12.95" customHeight="1">
      <c r="A18" s="180" t="s">
        <v>1791</v>
      </c>
      <c r="B18" s="1181">
        <v>1930</v>
      </c>
      <c r="C18" s="442">
        <f t="shared" si="0"/>
        <v>12.561015294500489</v>
      </c>
      <c r="D18" s="440"/>
      <c r="E18" s="1181">
        <v>793</v>
      </c>
      <c r="F18" s="442">
        <f t="shared" si="1"/>
        <v>10.774456521739131</v>
      </c>
      <c r="G18" s="442"/>
      <c r="H18" s="1181">
        <v>1095</v>
      </c>
      <c r="I18" s="442">
        <f t="shared" si="2"/>
        <v>13.438880706921944</v>
      </c>
      <c r="J18" s="440"/>
      <c r="K18" s="1181">
        <v>109</v>
      </c>
      <c r="L18" s="442">
        <f t="shared" si="3"/>
        <v>13.407134071340712</v>
      </c>
      <c r="N18" s="1181">
        <v>122</v>
      </c>
      <c r="O18" s="442">
        <f t="shared" si="4"/>
        <v>16.968011126564672</v>
      </c>
      <c r="Q18" s="1181">
        <v>324</v>
      </c>
      <c r="R18" s="442">
        <f t="shared" ref="R18:R28" si="5">IF($A18&lt;&gt;"",Q18/$Q$14*100,"")</f>
        <v>13.556485355648535</v>
      </c>
    </row>
    <row r="19" spans="1:19" ht="12.95" customHeight="1">
      <c r="A19" s="180"/>
      <c r="B19" s="1181"/>
      <c r="C19" s="442" t="str">
        <f t="shared" si="0"/>
        <v/>
      </c>
      <c r="D19" s="440"/>
      <c r="E19" s="1181"/>
      <c r="F19" s="442" t="str">
        <f t="shared" si="1"/>
        <v/>
      </c>
      <c r="G19" s="442"/>
      <c r="H19" s="1181"/>
      <c r="I19" s="442" t="str">
        <f t="shared" si="2"/>
        <v/>
      </c>
      <c r="J19" s="440"/>
      <c r="K19" s="1181"/>
      <c r="L19" s="442" t="str">
        <f t="shared" si="3"/>
        <v/>
      </c>
      <c r="N19" s="1181"/>
      <c r="O19" s="442" t="str">
        <f t="shared" si="4"/>
        <v/>
      </c>
      <c r="Q19" s="1181"/>
      <c r="R19" s="442" t="str">
        <f t="shared" si="5"/>
        <v/>
      </c>
    </row>
    <row r="20" spans="1:19" ht="12.95" customHeight="1">
      <c r="A20" s="180" t="s">
        <v>1792</v>
      </c>
      <c r="B20" s="1181">
        <v>1259</v>
      </c>
      <c r="C20" s="442">
        <f t="shared" si="0"/>
        <v>8.1939472827855511</v>
      </c>
      <c r="D20" s="440"/>
      <c r="E20" s="1181">
        <v>479</v>
      </c>
      <c r="F20" s="442">
        <f t="shared" si="1"/>
        <v>6.5081521739130439</v>
      </c>
      <c r="G20" s="442"/>
      <c r="H20" s="1181">
        <v>804</v>
      </c>
      <c r="I20" s="442">
        <f t="shared" si="2"/>
        <v>9.8674521354933731</v>
      </c>
      <c r="J20" s="440"/>
      <c r="K20" s="1181">
        <v>52</v>
      </c>
      <c r="L20" s="442">
        <f t="shared" si="3"/>
        <v>6.3960639606396059</v>
      </c>
      <c r="N20" s="1181">
        <v>23</v>
      </c>
      <c r="O20" s="442">
        <f t="shared" si="4"/>
        <v>3.1988873435326846</v>
      </c>
      <c r="Q20" s="1181">
        <v>230</v>
      </c>
      <c r="R20" s="442">
        <f t="shared" si="5"/>
        <v>9.6234309623430967</v>
      </c>
    </row>
    <row r="21" spans="1:19" ht="12.95" customHeight="1">
      <c r="A21" s="180"/>
      <c r="B21" s="1181"/>
      <c r="C21" s="442" t="str">
        <f t="shared" si="0"/>
        <v/>
      </c>
      <c r="D21" s="440"/>
      <c r="E21" s="1181"/>
      <c r="F21" s="442" t="str">
        <f t="shared" si="1"/>
        <v/>
      </c>
      <c r="G21" s="442"/>
      <c r="H21" s="1181"/>
      <c r="I21" s="442" t="str">
        <f t="shared" si="2"/>
        <v/>
      </c>
      <c r="J21" s="440"/>
      <c r="K21" s="1181"/>
      <c r="L21" s="442" t="str">
        <f t="shared" si="3"/>
        <v/>
      </c>
      <c r="N21" s="1181"/>
      <c r="O21" s="442" t="str">
        <f t="shared" si="4"/>
        <v/>
      </c>
      <c r="Q21" s="1181"/>
      <c r="R21" s="442" t="str">
        <f t="shared" si="5"/>
        <v/>
      </c>
    </row>
    <row r="22" spans="1:19" ht="12.95" customHeight="1">
      <c r="A22" s="180" t="s">
        <v>1793</v>
      </c>
      <c r="B22" s="1181">
        <v>1210</v>
      </c>
      <c r="C22" s="442">
        <f t="shared" si="0"/>
        <v>7.8750406768630006</v>
      </c>
      <c r="D22" s="312"/>
      <c r="E22" s="1181">
        <v>788</v>
      </c>
      <c r="F22" s="442">
        <f t="shared" si="1"/>
        <v>10.706521739130435</v>
      </c>
      <c r="G22" s="633"/>
      <c r="H22" s="1181">
        <v>425</v>
      </c>
      <c r="I22" s="442">
        <f t="shared" si="2"/>
        <v>5.2160039273441337</v>
      </c>
      <c r="J22" s="312"/>
      <c r="K22" s="1181">
        <v>78</v>
      </c>
      <c r="L22" s="442">
        <f t="shared" si="3"/>
        <v>9.5940959409594093</v>
      </c>
      <c r="M22" s="44"/>
      <c r="N22" s="1181">
        <v>37</v>
      </c>
      <c r="O22" s="442">
        <f t="shared" si="4"/>
        <v>5.1460361613351875</v>
      </c>
      <c r="Q22" s="1181">
        <v>301</v>
      </c>
      <c r="R22" s="442">
        <f t="shared" si="5"/>
        <v>12.594142259414227</v>
      </c>
    </row>
    <row r="23" spans="1:19" ht="12.95" customHeight="1">
      <c r="A23" s="180"/>
      <c r="B23" s="1181"/>
      <c r="C23" s="442" t="str">
        <f t="shared" si="0"/>
        <v/>
      </c>
      <c r="D23" s="312"/>
      <c r="E23" s="1181"/>
      <c r="F23" s="442" t="str">
        <f t="shared" si="1"/>
        <v/>
      </c>
      <c r="G23" s="633"/>
      <c r="H23" s="1181"/>
      <c r="I23" s="442" t="str">
        <f t="shared" si="2"/>
        <v/>
      </c>
      <c r="J23" s="312"/>
      <c r="K23" s="1181"/>
      <c r="L23" s="442" t="str">
        <f t="shared" si="3"/>
        <v/>
      </c>
      <c r="M23" s="44"/>
      <c r="N23" s="1181"/>
      <c r="O23" s="442" t="str">
        <f t="shared" si="4"/>
        <v/>
      </c>
      <c r="Q23" s="1181"/>
      <c r="R23" s="442" t="str">
        <f t="shared" si="5"/>
        <v/>
      </c>
    </row>
    <row r="24" spans="1:19" ht="12.95" customHeight="1">
      <c r="A24" s="180" t="s">
        <v>1794</v>
      </c>
      <c r="B24" s="1181">
        <v>941</v>
      </c>
      <c r="C24" s="442">
        <f t="shared" si="0"/>
        <v>6.1243084933289937</v>
      </c>
      <c r="D24" s="312"/>
      <c r="E24" s="1181">
        <v>596</v>
      </c>
      <c r="F24" s="442">
        <f t="shared" si="1"/>
        <v>8.0978260869565215</v>
      </c>
      <c r="G24" s="633"/>
      <c r="H24" s="1181">
        <v>332</v>
      </c>
      <c r="I24" s="442">
        <f t="shared" si="2"/>
        <v>4.074619538537064</v>
      </c>
      <c r="J24" s="312"/>
      <c r="K24" s="1181">
        <v>60</v>
      </c>
      <c r="L24" s="442">
        <f t="shared" si="3"/>
        <v>7.3800738007380069</v>
      </c>
      <c r="M24" s="44"/>
      <c r="N24" s="1181">
        <v>16</v>
      </c>
      <c r="O24" s="442">
        <f t="shared" si="4"/>
        <v>2.2253129346314324</v>
      </c>
      <c r="Q24" s="1181">
        <v>224</v>
      </c>
      <c r="R24" s="442">
        <f t="shared" si="5"/>
        <v>9.3723849372384933</v>
      </c>
    </row>
    <row r="25" spans="1:19" ht="12.95" customHeight="1">
      <c r="A25" s="180"/>
      <c r="B25" s="1181"/>
      <c r="C25" s="442" t="str">
        <f t="shared" si="0"/>
        <v/>
      </c>
      <c r="D25" s="440"/>
      <c r="E25" s="1181"/>
      <c r="F25" s="442" t="str">
        <f t="shared" si="1"/>
        <v/>
      </c>
      <c r="G25" s="442"/>
      <c r="H25" s="1181"/>
      <c r="I25" s="442" t="str">
        <f t="shared" si="2"/>
        <v/>
      </c>
      <c r="J25" s="440"/>
      <c r="K25" s="1181"/>
      <c r="L25" s="442" t="str">
        <f t="shared" si="3"/>
        <v/>
      </c>
      <c r="N25" s="1181"/>
      <c r="O25" s="442" t="str">
        <f t="shared" si="4"/>
        <v/>
      </c>
      <c r="Q25" s="1181"/>
      <c r="R25" s="442" t="str">
        <f t="shared" si="5"/>
        <v/>
      </c>
    </row>
    <row r="26" spans="1:19" ht="12.95" customHeight="1">
      <c r="A26" s="180" t="s">
        <v>1795</v>
      </c>
      <c r="B26" s="1181">
        <v>739</v>
      </c>
      <c r="C26" s="442">
        <f t="shared" si="0"/>
        <v>4.8096322811584766</v>
      </c>
      <c r="D26" s="440"/>
      <c r="E26" s="1181">
        <v>449</v>
      </c>
      <c r="F26" s="442">
        <f t="shared" si="1"/>
        <v>6.1005434782608701</v>
      </c>
      <c r="G26" s="442"/>
      <c r="H26" s="1181">
        <v>307</v>
      </c>
      <c r="I26" s="442">
        <f t="shared" si="2"/>
        <v>3.7677957781050564</v>
      </c>
      <c r="J26" s="440"/>
      <c r="K26" s="1181">
        <v>35</v>
      </c>
      <c r="L26" s="442">
        <f t="shared" si="3"/>
        <v>4.3050430504305046</v>
      </c>
      <c r="N26" s="1181">
        <v>20</v>
      </c>
      <c r="O26" s="442">
        <f t="shared" si="4"/>
        <v>2.781641168289291</v>
      </c>
      <c r="Q26" s="1181">
        <v>123</v>
      </c>
      <c r="R26" s="442">
        <f t="shared" si="5"/>
        <v>5.1464435146443517</v>
      </c>
    </row>
    <row r="27" spans="1:19" ht="12.95" customHeight="1">
      <c r="A27" s="180"/>
      <c r="B27" s="1181"/>
      <c r="C27" s="442"/>
      <c r="D27" s="440"/>
      <c r="E27" s="1181"/>
      <c r="F27" s="442"/>
      <c r="G27" s="442"/>
      <c r="H27" s="1181"/>
      <c r="I27" s="442"/>
      <c r="J27" s="440"/>
      <c r="K27" s="1181"/>
      <c r="L27" s="442"/>
      <c r="N27" s="1181"/>
      <c r="O27" s="442"/>
      <c r="Q27" s="1181"/>
      <c r="R27" s="442" t="str">
        <f t="shared" si="5"/>
        <v/>
      </c>
    </row>
    <row r="28" spans="1:19" ht="12.95" customHeight="1">
      <c r="A28" s="180" t="s">
        <v>1796</v>
      </c>
      <c r="B28" s="1181">
        <v>240</v>
      </c>
      <c r="C28" s="442">
        <f t="shared" si="0"/>
        <v>1.5619915392124959</v>
      </c>
      <c r="D28" s="440"/>
      <c r="E28" s="1181">
        <v>99</v>
      </c>
      <c r="F28" s="442">
        <f t="shared" si="1"/>
        <v>1.3451086956521741</v>
      </c>
      <c r="G28" s="442"/>
      <c r="H28" s="1181">
        <v>173</v>
      </c>
      <c r="I28" s="442">
        <f t="shared" si="2"/>
        <v>2.1232204221894944</v>
      </c>
      <c r="J28" s="440"/>
      <c r="K28" s="1181">
        <v>0</v>
      </c>
      <c r="L28" s="442">
        <f t="shared" si="3"/>
        <v>0</v>
      </c>
      <c r="N28" s="1181">
        <v>6</v>
      </c>
      <c r="O28" s="442">
        <f t="shared" si="4"/>
        <v>0.83449235048678716</v>
      </c>
      <c r="Q28" s="1181">
        <v>26</v>
      </c>
      <c r="R28" s="442">
        <f t="shared" si="5"/>
        <v>1.0878661087866108</v>
      </c>
    </row>
    <row r="29" spans="1:19" ht="12.95" customHeight="1" thickBot="1"/>
    <row r="30" spans="1:19" ht="12.95" customHeight="1">
      <c r="A30" s="437"/>
      <c r="B30" s="438"/>
      <c r="C30" s="439"/>
      <c r="D30" s="437"/>
      <c r="E30" s="438"/>
      <c r="F30" s="439"/>
      <c r="G30" s="439"/>
      <c r="H30" s="438"/>
      <c r="I30" s="437"/>
      <c r="J30" s="437"/>
      <c r="K30" s="438"/>
      <c r="L30" s="437"/>
      <c r="M30" s="437"/>
      <c r="N30" s="438"/>
      <c r="O30" s="437"/>
      <c r="P30" s="437"/>
      <c r="Q30" s="437"/>
      <c r="R30" s="437"/>
      <c r="S30" s="437"/>
    </row>
    <row r="31" spans="1:19" ht="12.95" customHeight="1">
      <c r="A31" s="440" t="s">
        <v>1822</v>
      </c>
      <c r="B31" s="441"/>
      <c r="C31" s="442"/>
      <c r="D31" s="440"/>
      <c r="E31" s="441"/>
      <c r="F31" s="442"/>
      <c r="G31" s="442"/>
      <c r="H31" s="441"/>
      <c r="I31" s="440"/>
      <c r="J31" s="440"/>
      <c r="K31" s="441"/>
      <c r="L31" s="440"/>
      <c r="M31" s="440"/>
      <c r="N31" s="441"/>
      <c r="O31" s="440"/>
      <c r="P31" s="440"/>
    </row>
    <row r="32" spans="1:19" ht="12.95" customHeight="1">
      <c r="A32" s="440"/>
      <c r="B32" s="441"/>
      <c r="C32" s="442"/>
      <c r="D32" s="440"/>
      <c r="E32" s="441"/>
      <c r="F32" s="442"/>
      <c r="G32" s="442"/>
      <c r="H32" s="441"/>
      <c r="I32" s="440"/>
      <c r="J32" s="440"/>
      <c r="K32" s="441"/>
      <c r="L32" s="440"/>
      <c r="M32" s="440"/>
      <c r="N32" s="441"/>
      <c r="O32" s="440"/>
      <c r="P32" s="440"/>
    </row>
    <row r="33" spans="1:1" ht="12.95" customHeight="1">
      <c r="A33" s="434" t="s">
        <v>1743</v>
      </c>
    </row>
    <row r="34" spans="1:1" ht="12.95" customHeight="1">
      <c r="A34" s="434" t="s">
        <v>365</v>
      </c>
    </row>
  </sheetData>
  <mergeCells count="13">
    <mergeCell ref="Q10:R10"/>
    <mergeCell ref="B8:R8"/>
    <mergeCell ref="B9:C9"/>
    <mergeCell ref="E9:F9"/>
    <mergeCell ref="H9:I9"/>
    <mergeCell ref="K9:L9"/>
    <mergeCell ref="N9:O9"/>
    <mergeCell ref="Q9:R9"/>
    <mergeCell ref="B10:C10"/>
    <mergeCell ref="E10:F10"/>
    <mergeCell ref="H10:I10"/>
    <mergeCell ref="K10:L10"/>
    <mergeCell ref="N10:O10"/>
  </mergeCell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126.xml><?xml version="1.0" encoding="utf-8"?>
<worksheet xmlns="http://schemas.openxmlformats.org/spreadsheetml/2006/main" xmlns:r="http://schemas.openxmlformats.org/officeDocument/2006/relationships">
  <dimension ref="A1:Y22"/>
  <sheetViews>
    <sheetView workbookViewId="0">
      <selection activeCell="A20" sqref="A20"/>
    </sheetView>
  </sheetViews>
  <sheetFormatPr baseColWidth="10" defaultColWidth="9.140625" defaultRowHeight="15"/>
  <cols>
    <col min="1" max="1" width="12.42578125" style="847" customWidth="1"/>
    <col min="2" max="2" width="7.7109375" style="942" customWidth="1"/>
    <col min="3" max="3" width="7.7109375" style="943" customWidth="1"/>
    <col min="4" max="4" width="1.7109375" style="847" customWidth="1"/>
    <col min="5" max="5" width="7.7109375" style="942" customWidth="1"/>
    <col min="6" max="6" width="9.5703125" style="943" customWidth="1"/>
    <col min="7" max="7" width="1.7109375" style="847" customWidth="1"/>
    <col min="8" max="8" width="6.7109375" style="942" customWidth="1"/>
    <col min="9" max="9" width="9.28515625" style="943" customWidth="1"/>
    <col min="10" max="10" width="1.7109375" style="943" customWidth="1"/>
    <col min="11" max="11" width="6.7109375" style="942" customWidth="1"/>
    <col min="12" max="12" width="9.28515625" style="847" customWidth="1"/>
    <col min="13" max="13" width="1.7109375" style="847" customWidth="1"/>
    <col min="14" max="14" width="6.85546875" style="942" customWidth="1"/>
    <col min="15" max="15" width="9.28515625" style="847" customWidth="1"/>
    <col min="16" max="16" width="1.7109375" style="847" customWidth="1"/>
    <col min="17" max="17" width="6.7109375" style="942" customWidth="1"/>
    <col min="18" max="18" width="9.28515625" style="847" customWidth="1"/>
    <col min="19" max="19" width="1.7109375" style="847" customWidth="1"/>
    <col min="20" max="20" width="7.42578125" style="847" customWidth="1"/>
    <col min="21" max="21" width="9.28515625" style="847" customWidth="1"/>
    <col min="22" max="22" width="1.85546875" style="847" customWidth="1"/>
    <col min="23" max="23" width="6.7109375" style="847" customWidth="1"/>
    <col min="24" max="24" width="9.140625" style="847" customWidth="1"/>
    <col min="25" max="25" width="1.85546875" style="847" customWidth="1"/>
    <col min="26" max="256" width="9.140625" style="847"/>
    <col min="257" max="257" width="12.42578125" style="847" customWidth="1"/>
    <col min="258" max="259" width="7.7109375" style="847" customWidth="1"/>
    <col min="260" max="260" width="1.7109375" style="847" customWidth="1"/>
    <col min="261" max="261" width="7.7109375" style="847" customWidth="1"/>
    <col min="262" max="262" width="9.5703125" style="847" customWidth="1"/>
    <col min="263" max="263" width="1.7109375" style="847" customWidth="1"/>
    <col min="264" max="264" width="6.7109375" style="847" customWidth="1"/>
    <col min="265" max="265" width="9.28515625" style="847" customWidth="1"/>
    <col min="266" max="266" width="1.7109375" style="847" customWidth="1"/>
    <col min="267" max="267" width="6.7109375" style="847" customWidth="1"/>
    <col min="268" max="268" width="9.28515625" style="847" customWidth="1"/>
    <col min="269" max="269" width="1.7109375" style="847" customWidth="1"/>
    <col min="270" max="270" width="6.85546875" style="847" customWidth="1"/>
    <col min="271" max="271" width="9.28515625" style="847" customWidth="1"/>
    <col min="272" max="272" width="1.7109375" style="847" customWidth="1"/>
    <col min="273" max="273" width="6.7109375" style="847" customWidth="1"/>
    <col min="274" max="274" width="9.28515625" style="847" customWidth="1"/>
    <col min="275" max="275" width="1.7109375" style="847" customWidth="1"/>
    <col min="276" max="276" width="7.42578125" style="847" customWidth="1"/>
    <col min="277" max="277" width="9.28515625" style="847" customWidth="1"/>
    <col min="278" max="278" width="1.85546875" style="847" customWidth="1"/>
    <col min="279" max="279" width="6.7109375" style="847" customWidth="1"/>
    <col min="280" max="280" width="9.140625" style="847" customWidth="1"/>
    <col min="281" max="281" width="1.85546875" style="847" customWidth="1"/>
    <col min="282" max="512" width="9.140625" style="847"/>
    <col min="513" max="513" width="12.42578125" style="847" customWidth="1"/>
    <col min="514" max="515" width="7.7109375" style="847" customWidth="1"/>
    <col min="516" max="516" width="1.7109375" style="847" customWidth="1"/>
    <col min="517" max="517" width="7.7109375" style="847" customWidth="1"/>
    <col min="518" max="518" width="9.5703125" style="847" customWidth="1"/>
    <col min="519" max="519" width="1.7109375" style="847" customWidth="1"/>
    <col min="520" max="520" width="6.7109375" style="847" customWidth="1"/>
    <col min="521" max="521" width="9.28515625" style="847" customWidth="1"/>
    <col min="522" max="522" width="1.7109375" style="847" customWidth="1"/>
    <col min="523" max="523" width="6.7109375" style="847" customWidth="1"/>
    <col min="524" max="524" width="9.28515625" style="847" customWidth="1"/>
    <col min="525" max="525" width="1.7109375" style="847" customWidth="1"/>
    <col min="526" max="526" width="6.85546875" style="847" customWidth="1"/>
    <col min="527" max="527" width="9.28515625" style="847" customWidth="1"/>
    <col min="528" max="528" width="1.7109375" style="847" customWidth="1"/>
    <col min="529" max="529" width="6.7109375" style="847" customWidth="1"/>
    <col min="530" max="530" width="9.28515625" style="847" customWidth="1"/>
    <col min="531" max="531" width="1.7109375" style="847" customWidth="1"/>
    <col min="532" max="532" width="7.42578125" style="847" customWidth="1"/>
    <col min="533" max="533" width="9.28515625" style="847" customWidth="1"/>
    <col min="534" max="534" width="1.85546875" style="847" customWidth="1"/>
    <col min="535" max="535" width="6.7109375" style="847" customWidth="1"/>
    <col min="536" max="536" width="9.140625" style="847" customWidth="1"/>
    <col min="537" max="537" width="1.85546875" style="847" customWidth="1"/>
    <col min="538" max="768" width="9.140625" style="847"/>
    <col min="769" max="769" width="12.42578125" style="847" customWidth="1"/>
    <col min="770" max="771" width="7.7109375" style="847" customWidth="1"/>
    <col min="772" max="772" width="1.7109375" style="847" customWidth="1"/>
    <col min="773" max="773" width="7.7109375" style="847" customWidth="1"/>
    <col min="774" max="774" width="9.5703125" style="847" customWidth="1"/>
    <col min="775" max="775" width="1.7109375" style="847" customWidth="1"/>
    <col min="776" max="776" width="6.7109375" style="847" customWidth="1"/>
    <col min="777" max="777" width="9.28515625" style="847" customWidth="1"/>
    <col min="778" max="778" width="1.7109375" style="847" customWidth="1"/>
    <col min="779" max="779" width="6.7109375" style="847" customWidth="1"/>
    <col min="780" max="780" width="9.28515625" style="847" customWidth="1"/>
    <col min="781" max="781" width="1.7109375" style="847" customWidth="1"/>
    <col min="782" max="782" width="6.85546875" style="847" customWidth="1"/>
    <col min="783" max="783" width="9.28515625" style="847" customWidth="1"/>
    <col min="784" max="784" width="1.7109375" style="847" customWidth="1"/>
    <col min="785" max="785" width="6.7109375" style="847" customWidth="1"/>
    <col min="786" max="786" width="9.28515625" style="847" customWidth="1"/>
    <col min="787" max="787" width="1.7109375" style="847" customWidth="1"/>
    <col min="788" max="788" width="7.42578125" style="847" customWidth="1"/>
    <col min="789" max="789" width="9.28515625" style="847" customWidth="1"/>
    <col min="790" max="790" width="1.85546875" style="847" customWidth="1"/>
    <col min="791" max="791" width="6.7109375" style="847" customWidth="1"/>
    <col min="792" max="792" width="9.140625" style="847" customWidth="1"/>
    <col min="793" max="793" width="1.85546875" style="847" customWidth="1"/>
    <col min="794" max="1024" width="9.140625" style="847"/>
    <col min="1025" max="1025" width="12.42578125" style="847" customWidth="1"/>
    <col min="1026" max="1027" width="7.7109375" style="847" customWidth="1"/>
    <col min="1028" max="1028" width="1.7109375" style="847" customWidth="1"/>
    <col min="1029" max="1029" width="7.7109375" style="847" customWidth="1"/>
    <col min="1030" max="1030" width="9.5703125" style="847" customWidth="1"/>
    <col min="1031" max="1031" width="1.7109375" style="847" customWidth="1"/>
    <col min="1032" max="1032" width="6.7109375" style="847" customWidth="1"/>
    <col min="1033" max="1033" width="9.28515625" style="847" customWidth="1"/>
    <col min="1034" max="1034" width="1.7109375" style="847" customWidth="1"/>
    <col min="1035" max="1035" width="6.7109375" style="847" customWidth="1"/>
    <col min="1036" max="1036" width="9.28515625" style="847" customWidth="1"/>
    <col min="1037" max="1037" width="1.7109375" style="847" customWidth="1"/>
    <col min="1038" max="1038" width="6.85546875" style="847" customWidth="1"/>
    <col min="1039" max="1039" width="9.28515625" style="847" customWidth="1"/>
    <col min="1040" max="1040" width="1.7109375" style="847" customWidth="1"/>
    <col min="1041" max="1041" width="6.7109375" style="847" customWidth="1"/>
    <col min="1042" max="1042" width="9.28515625" style="847" customWidth="1"/>
    <col min="1043" max="1043" width="1.7109375" style="847" customWidth="1"/>
    <col min="1044" max="1044" width="7.42578125" style="847" customWidth="1"/>
    <col min="1045" max="1045" width="9.28515625" style="847" customWidth="1"/>
    <col min="1046" max="1046" width="1.85546875" style="847" customWidth="1"/>
    <col min="1047" max="1047" width="6.7109375" style="847" customWidth="1"/>
    <col min="1048" max="1048" width="9.140625" style="847" customWidth="1"/>
    <col min="1049" max="1049" width="1.85546875" style="847" customWidth="1"/>
    <col min="1050" max="1280" width="9.140625" style="847"/>
    <col min="1281" max="1281" width="12.42578125" style="847" customWidth="1"/>
    <col min="1282" max="1283" width="7.7109375" style="847" customWidth="1"/>
    <col min="1284" max="1284" width="1.7109375" style="847" customWidth="1"/>
    <col min="1285" max="1285" width="7.7109375" style="847" customWidth="1"/>
    <col min="1286" max="1286" width="9.5703125" style="847" customWidth="1"/>
    <col min="1287" max="1287" width="1.7109375" style="847" customWidth="1"/>
    <col min="1288" max="1288" width="6.7109375" style="847" customWidth="1"/>
    <col min="1289" max="1289" width="9.28515625" style="847" customWidth="1"/>
    <col min="1290" max="1290" width="1.7109375" style="847" customWidth="1"/>
    <col min="1291" max="1291" width="6.7109375" style="847" customWidth="1"/>
    <col min="1292" max="1292" width="9.28515625" style="847" customWidth="1"/>
    <col min="1293" max="1293" width="1.7109375" style="847" customWidth="1"/>
    <col min="1294" max="1294" width="6.85546875" style="847" customWidth="1"/>
    <col min="1295" max="1295" width="9.28515625" style="847" customWidth="1"/>
    <col min="1296" max="1296" width="1.7109375" style="847" customWidth="1"/>
    <col min="1297" max="1297" width="6.7109375" style="847" customWidth="1"/>
    <col min="1298" max="1298" width="9.28515625" style="847" customWidth="1"/>
    <col min="1299" max="1299" width="1.7109375" style="847" customWidth="1"/>
    <col min="1300" max="1300" width="7.42578125" style="847" customWidth="1"/>
    <col min="1301" max="1301" width="9.28515625" style="847" customWidth="1"/>
    <col min="1302" max="1302" width="1.85546875" style="847" customWidth="1"/>
    <col min="1303" max="1303" width="6.7109375" style="847" customWidth="1"/>
    <col min="1304" max="1304" width="9.140625" style="847" customWidth="1"/>
    <col min="1305" max="1305" width="1.85546875" style="847" customWidth="1"/>
    <col min="1306" max="1536" width="9.140625" style="847"/>
    <col min="1537" max="1537" width="12.42578125" style="847" customWidth="1"/>
    <col min="1538" max="1539" width="7.7109375" style="847" customWidth="1"/>
    <col min="1540" max="1540" width="1.7109375" style="847" customWidth="1"/>
    <col min="1541" max="1541" width="7.7109375" style="847" customWidth="1"/>
    <col min="1542" max="1542" width="9.5703125" style="847" customWidth="1"/>
    <col min="1543" max="1543" width="1.7109375" style="847" customWidth="1"/>
    <col min="1544" max="1544" width="6.7109375" style="847" customWidth="1"/>
    <col min="1545" max="1545" width="9.28515625" style="847" customWidth="1"/>
    <col min="1546" max="1546" width="1.7109375" style="847" customWidth="1"/>
    <col min="1547" max="1547" width="6.7109375" style="847" customWidth="1"/>
    <col min="1548" max="1548" width="9.28515625" style="847" customWidth="1"/>
    <col min="1549" max="1549" width="1.7109375" style="847" customWidth="1"/>
    <col min="1550" max="1550" width="6.85546875" style="847" customWidth="1"/>
    <col min="1551" max="1551" width="9.28515625" style="847" customWidth="1"/>
    <col min="1552" max="1552" width="1.7109375" style="847" customWidth="1"/>
    <col min="1553" max="1553" width="6.7109375" style="847" customWidth="1"/>
    <col min="1554" max="1554" width="9.28515625" style="847" customWidth="1"/>
    <col min="1555" max="1555" width="1.7109375" style="847" customWidth="1"/>
    <col min="1556" max="1556" width="7.42578125" style="847" customWidth="1"/>
    <col min="1557" max="1557" width="9.28515625" style="847" customWidth="1"/>
    <col min="1558" max="1558" width="1.85546875" style="847" customWidth="1"/>
    <col min="1559" max="1559" width="6.7109375" style="847" customWidth="1"/>
    <col min="1560" max="1560" width="9.140625" style="847" customWidth="1"/>
    <col min="1561" max="1561" width="1.85546875" style="847" customWidth="1"/>
    <col min="1562" max="1792" width="9.140625" style="847"/>
    <col min="1793" max="1793" width="12.42578125" style="847" customWidth="1"/>
    <col min="1794" max="1795" width="7.7109375" style="847" customWidth="1"/>
    <col min="1796" max="1796" width="1.7109375" style="847" customWidth="1"/>
    <col min="1797" max="1797" width="7.7109375" style="847" customWidth="1"/>
    <col min="1798" max="1798" width="9.5703125" style="847" customWidth="1"/>
    <col min="1799" max="1799" width="1.7109375" style="847" customWidth="1"/>
    <col min="1800" max="1800" width="6.7109375" style="847" customWidth="1"/>
    <col min="1801" max="1801" width="9.28515625" style="847" customWidth="1"/>
    <col min="1802" max="1802" width="1.7109375" style="847" customWidth="1"/>
    <col min="1803" max="1803" width="6.7109375" style="847" customWidth="1"/>
    <col min="1804" max="1804" width="9.28515625" style="847" customWidth="1"/>
    <col min="1805" max="1805" width="1.7109375" style="847" customWidth="1"/>
    <col min="1806" max="1806" width="6.85546875" style="847" customWidth="1"/>
    <col min="1807" max="1807" width="9.28515625" style="847" customWidth="1"/>
    <col min="1808" max="1808" width="1.7109375" style="847" customWidth="1"/>
    <col min="1809" max="1809" width="6.7109375" style="847" customWidth="1"/>
    <col min="1810" max="1810" width="9.28515625" style="847" customWidth="1"/>
    <col min="1811" max="1811" width="1.7109375" style="847" customWidth="1"/>
    <col min="1812" max="1812" width="7.42578125" style="847" customWidth="1"/>
    <col min="1813" max="1813" width="9.28515625" style="847" customWidth="1"/>
    <col min="1814" max="1814" width="1.85546875" style="847" customWidth="1"/>
    <col min="1815" max="1815" width="6.7109375" style="847" customWidth="1"/>
    <col min="1816" max="1816" width="9.140625" style="847" customWidth="1"/>
    <col min="1817" max="1817" width="1.85546875" style="847" customWidth="1"/>
    <col min="1818" max="2048" width="9.140625" style="847"/>
    <col min="2049" max="2049" width="12.42578125" style="847" customWidth="1"/>
    <col min="2050" max="2051" width="7.7109375" style="847" customWidth="1"/>
    <col min="2052" max="2052" width="1.7109375" style="847" customWidth="1"/>
    <col min="2053" max="2053" width="7.7109375" style="847" customWidth="1"/>
    <col min="2054" max="2054" width="9.5703125" style="847" customWidth="1"/>
    <col min="2055" max="2055" width="1.7109375" style="847" customWidth="1"/>
    <col min="2056" max="2056" width="6.7109375" style="847" customWidth="1"/>
    <col min="2057" max="2057" width="9.28515625" style="847" customWidth="1"/>
    <col min="2058" max="2058" width="1.7109375" style="847" customWidth="1"/>
    <col min="2059" max="2059" width="6.7109375" style="847" customWidth="1"/>
    <col min="2060" max="2060" width="9.28515625" style="847" customWidth="1"/>
    <col min="2061" max="2061" width="1.7109375" style="847" customWidth="1"/>
    <col min="2062" max="2062" width="6.85546875" style="847" customWidth="1"/>
    <col min="2063" max="2063" width="9.28515625" style="847" customWidth="1"/>
    <col min="2064" max="2064" width="1.7109375" style="847" customWidth="1"/>
    <col min="2065" max="2065" width="6.7109375" style="847" customWidth="1"/>
    <col min="2066" max="2066" width="9.28515625" style="847" customWidth="1"/>
    <col min="2067" max="2067" width="1.7109375" style="847" customWidth="1"/>
    <col min="2068" max="2068" width="7.42578125" style="847" customWidth="1"/>
    <col min="2069" max="2069" width="9.28515625" style="847" customWidth="1"/>
    <col min="2070" max="2070" width="1.85546875" style="847" customWidth="1"/>
    <col min="2071" max="2071" width="6.7109375" style="847" customWidth="1"/>
    <col min="2072" max="2072" width="9.140625" style="847" customWidth="1"/>
    <col min="2073" max="2073" width="1.85546875" style="847" customWidth="1"/>
    <col min="2074" max="2304" width="9.140625" style="847"/>
    <col min="2305" max="2305" width="12.42578125" style="847" customWidth="1"/>
    <col min="2306" max="2307" width="7.7109375" style="847" customWidth="1"/>
    <col min="2308" max="2308" width="1.7109375" style="847" customWidth="1"/>
    <col min="2309" max="2309" width="7.7109375" style="847" customWidth="1"/>
    <col min="2310" max="2310" width="9.5703125" style="847" customWidth="1"/>
    <col min="2311" max="2311" width="1.7109375" style="847" customWidth="1"/>
    <col min="2312" max="2312" width="6.7109375" style="847" customWidth="1"/>
    <col min="2313" max="2313" width="9.28515625" style="847" customWidth="1"/>
    <col min="2314" max="2314" width="1.7109375" style="847" customWidth="1"/>
    <col min="2315" max="2315" width="6.7109375" style="847" customWidth="1"/>
    <col min="2316" max="2316" width="9.28515625" style="847" customWidth="1"/>
    <col min="2317" max="2317" width="1.7109375" style="847" customWidth="1"/>
    <col min="2318" max="2318" width="6.85546875" style="847" customWidth="1"/>
    <col min="2319" max="2319" width="9.28515625" style="847" customWidth="1"/>
    <col min="2320" max="2320" width="1.7109375" style="847" customWidth="1"/>
    <col min="2321" max="2321" width="6.7109375" style="847" customWidth="1"/>
    <col min="2322" max="2322" width="9.28515625" style="847" customWidth="1"/>
    <col min="2323" max="2323" width="1.7109375" style="847" customWidth="1"/>
    <col min="2324" max="2324" width="7.42578125" style="847" customWidth="1"/>
    <col min="2325" max="2325" width="9.28515625" style="847" customWidth="1"/>
    <col min="2326" max="2326" width="1.85546875" style="847" customWidth="1"/>
    <col min="2327" max="2327" width="6.7109375" style="847" customWidth="1"/>
    <col min="2328" max="2328" width="9.140625" style="847" customWidth="1"/>
    <col min="2329" max="2329" width="1.85546875" style="847" customWidth="1"/>
    <col min="2330" max="2560" width="9.140625" style="847"/>
    <col min="2561" max="2561" width="12.42578125" style="847" customWidth="1"/>
    <col min="2562" max="2563" width="7.7109375" style="847" customWidth="1"/>
    <col min="2564" max="2564" width="1.7109375" style="847" customWidth="1"/>
    <col min="2565" max="2565" width="7.7109375" style="847" customWidth="1"/>
    <col min="2566" max="2566" width="9.5703125" style="847" customWidth="1"/>
    <col min="2567" max="2567" width="1.7109375" style="847" customWidth="1"/>
    <col min="2568" max="2568" width="6.7109375" style="847" customWidth="1"/>
    <col min="2569" max="2569" width="9.28515625" style="847" customWidth="1"/>
    <col min="2570" max="2570" width="1.7109375" style="847" customWidth="1"/>
    <col min="2571" max="2571" width="6.7109375" style="847" customWidth="1"/>
    <col min="2572" max="2572" width="9.28515625" style="847" customWidth="1"/>
    <col min="2573" max="2573" width="1.7109375" style="847" customWidth="1"/>
    <col min="2574" max="2574" width="6.85546875" style="847" customWidth="1"/>
    <col min="2575" max="2575" width="9.28515625" style="847" customWidth="1"/>
    <col min="2576" max="2576" width="1.7109375" style="847" customWidth="1"/>
    <col min="2577" max="2577" width="6.7109375" style="847" customWidth="1"/>
    <col min="2578" max="2578" width="9.28515625" style="847" customWidth="1"/>
    <col min="2579" max="2579" width="1.7109375" style="847" customWidth="1"/>
    <col min="2580" max="2580" width="7.42578125" style="847" customWidth="1"/>
    <col min="2581" max="2581" width="9.28515625" style="847" customWidth="1"/>
    <col min="2582" max="2582" width="1.85546875" style="847" customWidth="1"/>
    <col min="2583" max="2583" width="6.7109375" style="847" customWidth="1"/>
    <col min="2584" max="2584" width="9.140625" style="847" customWidth="1"/>
    <col min="2585" max="2585" width="1.85546875" style="847" customWidth="1"/>
    <col min="2586" max="2816" width="9.140625" style="847"/>
    <col min="2817" max="2817" width="12.42578125" style="847" customWidth="1"/>
    <col min="2818" max="2819" width="7.7109375" style="847" customWidth="1"/>
    <col min="2820" max="2820" width="1.7109375" style="847" customWidth="1"/>
    <col min="2821" max="2821" width="7.7109375" style="847" customWidth="1"/>
    <col min="2822" max="2822" width="9.5703125" style="847" customWidth="1"/>
    <col min="2823" max="2823" width="1.7109375" style="847" customWidth="1"/>
    <col min="2824" max="2824" width="6.7109375" style="847" customWidth="1"/>
    <col min="2825" max="2825" width="9.28515625" style="847" customWidth="1"/>
    <col min="2826" max="2826" width="1.7109375" style="847" customWidth="1"/>
    <col min="2827" max="2827" width="6.7109375" style="847" customWidth="1"/>
    <col min="2828" max="2828" width="9.28515625" style="847" customWidth="1"/>
    <col min="2829" max="2829" width="1.7109375" style="847" customWidth="1"/>
    <col min="2830" max="2830" width="6.85546875" style="847" customWidth="1"/>
    <col min="2831" max="2831" width="9.28515625" style="847" customWidth="1"/>
    <col min="2832" max="2832" width="1.7109375" style="847" customWidth="1"/>
    <col min="2833" max="2833" width="6.7109375" style="847" customWidth="1"/>
    <col min="2834" max="2834" width="9.28515625" style="847" customWidth="1"/>
    <col min="2835" max="2835" width="1.7109375" style="847" customWidth="1"/>
    <col min="2836" max="2836" width="7.42578125" style="847" customWidth="1"/>
    <col min="2837" max="2837" width="9.28515625" style="847" customWidth="1"/>
    <col min="2838" max="2838" width="1.85546875" style="847" customWidth="1"/>
    <col min="2839" max="2839" width="6.7109375" style="847" customWidth="1"/>
    <col min="2840" max="2840" width="9.140625" style="847" customWidth="1"/>
    <col min="2841" max="2841" width="1.85546875" style="847" customWidth="1"/>
    <col min="2842" max="3072" width="9.140625" style="847"/>
    <col min="3073" max="3073" width="12.42578125" style="847" customWidth="1"/>
    <col min="3074" max="3075" width="7.7109375" style="847" customWidth="1"/>
    <col min="3076" max="3076" width="1.7109375" style="847" customWidth="1"/>
    <col min="3077" max="3077" width="7.7109375" style="847" customWidth="1"/>
    <col min="3078" max="3078" width="9.5703125" style="847" customWidth="1"/>
    <col min="3079" max="3079" width="1.7109375" style="847" customWidth="1"/>
    <col min="3080" max="3080" width="6.7109375" style="847" customWidth="1"/>
    <col min="3081" max="3081" width="9.28515625" style="847" customWidth="1"/>
    <col min="3082" max="3082" width="1.7109375" style="847" customWidth="1"/>
    <col min="3083" max="3083" width="6.7109375" style="847" customWidth="1"/>
    <col min="3084" max="3084" width="9.28515625" style="847" customWidth="1"/>
    <col min="3085" max="3085" width="1.7109375" style="847" customWidth="1"/>
    <col min="3086" max="3086" width="6.85546875" style="847" customWidth="1"/>
    <col min="3087" max="3087" width="9.28515625" style="847" customWidth="1"/>
    <col min="3088" max="3088" width="1.7109375" style="847" customWidth="1"/>
    <col min="3089" max="3089" width="6.7109375" style="847" customWidth="1"/>
    <col min="3090" max="3090" width="9.28515625" style="847" customWidth="1"/>
    <col min="3091" max="3091" width="1.7109375" style="847" customWidth="1"/>
    <col min="3092" max="3092" width="7.42578125" style="847" customWidth="1"/>
    <col min="3093" max="3093" width="9.28515625" style="847" customWidth="1"/>
    <col min="3094" max="3094" width="1.85546875" style="847" customWidth="1"/>
    <col min="3095" max="3095" width="6.7109375" style="847" customWidth="1"/>
    <col min="3096" max="3096" width="9.140625" style="847" customWidth="1"/>
    <col min="3097" max="3097" width="1.85546875" style="847" customWidth="1"/>
    <col min="3098" max="3328" width="9.140625" style="847"/>
    <col min="3329" max="3329" width="12.42578125" style="847" customWidth="1"/>
    <col min="3330" max="3331" width="7.7109375" style="847" customWidth="1"/>
    <col min="3332" max="3332" width="1.7109375" style="847" customWidth="1"/>
    <col min="3333" max="3333" width="7.7109375" style="847" customWidth="1"/>
    <col min="3334" max="3334" width="9.5703125" style="847" customWidth="1"/>
    <col min="3335" max="3335" width="1.7109375" style="847" customWidth="1"/>
    <col min="3336" max="3336" width="6.7109375" style="847" customWidth="1"/>
    <col min="3337" max="3337" width="9.28515625" style="847" customWidth="1"/>
    <col min="3338" max="3338" width="1.7109375" style="847" customWidth="1"/>
    <col min="3339" max="3339" width="6.7109375" style="847" customWidth="1"/>
    <col min="3340" max="3340" width="9.28515625" style="847" customWidth="1"/>
    <col min="3341" max="3341" width="1.7109375" style="847" customWidth="1"/>
    <col min="3342" max="3342" width="6.85546875" style="847" customWidth="1"/>
    <col min="3343" max="3343" width="9.28515625" style="847" customWidth="1"/>
    <col min="3344" max="3344" width="1.7109375" style="847" customWidth="1"/>
    <col min="3345" max="3345" width="6.7109375" style="847" customWidth="1"/>
    <col min="3346" max="3346" width="9.28515625" style="847" customWidth="1"/>
    <col min="3347" max="3347" width="1.7109375" style="847" customWidth="1"/>
    <col min="3348" max="3348" width="7.42578125" style="847" customWidth="1"/>
    <col min="3349" max="3349" width="9.28515625" style="847" customWidth="1"/>
    <col min="3350" max="3350" width="1.85546875" style="847" customWidth="1"/>
    <col min="3351" max="3351" width="6.7109375" style="847" customWidth="1"/>
    <col min="3352" max="3352" width="9.140625" style="847" customWidth="1"/>
    <col min="3353" max="3353" width="1.85546875" style="847" customWidth="1"/>
    <col min="3354" max="3584" width="9.140625" style="847"/>
    <col min="3585" max="3585" width="12.42578125" style="847" customWidth="1"/>
    <col min="3586" max="3587" width="7.7109375" style="847" customWidth="1"/>
    <col min="3588" max="3588" width="1.7109375" style="847" customWidth="1"/>
    <col min="3589" max="3589" width="7.7109375" style="847" customWidth="1"/>
    <col min="3590" max="3590" width="9.5703125" style="847" customWidth="1"/>
    <col min="3591" max="3591" width="1.7109375" style="847" customWidth="1"/>
    <col min="3592" max="3592" width="6.7109375" style="847" customWidth="1"/>
    <col min="3593" max="3593" width="9.28515625" style="847" customWidth="1"/>
    <col min="3594" max="3594" width="1.7109375" style="847" customWidth="1"/>
    <col min="3595" max="3595" width="6.7109375" style="847" customWidth="1"/>
    <col min="3596" max="3596" width="9.28515625" style="847" customWidth="1"/>
    <col min="3597" max="3597" width="1.7109375" style="847" customWidth="1"/>
    <col min="3598" max="3598" width="6.85546875" style="847" customWidth="1"/>
    <col min="3599" max="3599" width="9.28515625" style="847" customWidth="1"/>
    <col min="3600" max="3600" width="1.7109375" style="847" customWidth="1"/>
    <col min="3601" max="3601" width="6.7109375" style="847" customWidth="1"/>
    <col min="3602" max="3602" width="9.28515625" style="847" customWidth="1"/>
    <col min="3603" max="3603" width="1.7109375" style="847" customWidth="1"/>
    <col min="3604" max="3604" width="7.42578125" style="847" customWidth="1"/>
    <col min="3605" max="3605" width="9.28515625" style="847" customWidth="1"/>
    <col min="3606" max="3606" width="1.85546875" style="847" customWidth="1"/>
    <col min="3607" max="3607" width="6.7109375" style="847" customWidth="1"/>
    <col min="3608" max="3608" width="9.140625" style="847" customWidth="1"/>
    <col min="3609" max="3609" width="1.85546875" style="847" customWidth="1"/>
    <col min="3610" max="3840" width="9.140625" style="847"/>
    <col min="3841" max="3841" width="12.42578125" style="847" customWidth="1"/>
    <col min="3842" max="3843" width="7.7109375" style="847" customWidth="1"/>
    <col min="3844" max="3844" width="1.7109375" style="847" customWidth="1"/>
    <col min="3845" max="3845" width="7.7109375" style="847" customWidth="1"/>
    <col min="3846" max="3846" width="9.5703125" style="847" customWidth="1"/>
    <col min="3847" max="3847" width="1.7109375" style="847" customWidth="1"/>
    <col min="3848" max="3848" width="6.7109375" style="847" customWidth="1"/>
    <col min="3849" max="3849" width="9.28515625" style="847" customWidth="1"/>
    <col min="3850" max="3850" width="1.7109375" style="847" customWidth="1"/>
    <col min="3851" max="3851" width="6.7109375" style="847" customWidth="1"/>
    <col min="3852" max="3852" width="9.28515625" style="847" customWidth="1"/>
    <col min="3853" max="3853" width="1.7109375" style="847" customWidth="1"/>
    <col min="3854" max="3854" width="6.85546875" style="847" customWidth="1"/>
    <col min="3855" max="3855" width="9.28515625" style="847" customWidth="1"/>
    <col min="3856" max="3856" width="1.7109375" style="847" customWidth="1"/>
    <col min="3857" max="3857" width="6.7109375" style="847" customWidth="1"/>
    <col min="3858" max="3858" width="9.28515625" style="847" customWidth="1"/>
    <col min="3859" max="3859" width="1.7109375" style="847" customWidth="1"/>
    <col min="3860" max="3860" width="7.42578125" style="847" customWidth="1"/>
    <col min="3861" max="3861" width="9.28515625" style="847" customWidth="1"/>
    <col min="3862" max="3862" width="1.85546875" style="847" customWidth="1"/>
    <col min="3863" max="3863" width="6.7109375" style="847" customWidth="1"/>
    <col min="3864" max="3864" width="9.140625" style="847" customWidth="1"/>
    <col min="3865" max="3865" width="1.85546875" style="847" customWidth="1"/>
    <col min="3866" max="4096" width="9.140625" style="847"/>
    <col min="4097" max="4097" width="12.42578125" style="847" customWidth="1"/>
    <col min="4098" max="4099" width="7.7109375" style="847" customWidth="1"/>
    <col min="4100" max="4100" width="1.7109375" style="847" customWidth="1"/>
    <col min="4101" max="4101" width="7.7109375" style="847" customWidth="1"/>
    <col min="4102" max="4102" width="9.5703125" style="847" customWidth="1"/>
    <col min="4103" max="4103" width="1.7109375" style="847" customWidth="1"/>
    <col min="4104" max="4104" width="6.7109375" style="847" customWidth="1"/>
    <col min="4105" max="4105" width="9.28515625" style="847" customWidth="1"/>
    <col min="4106" max="4106" width="1.7109375" style="847" customWidth="1"/>
    <col min="4107" max="4107" width="6.7109375" style="847" customWidth="1"/>
    <col min="4108" max="4108" width="9.28515625" style="847" customWidth="1"/>
    <col min="4109" max="4109" width="1.7109375" style="847" customWidth="1"/>
    <col min="4110" max="4110" width="6.85546875" style="847" customWidth="1"/>
    <col min="4111" max="4111" width="9.28515625" style="847" customWidth="1"/>
    <col min="4112" max="4112" width="1.7109375" style="847" customWidth="1"/>
    <col min="4113" max="4113" width="6.7109375" style="847" customWidth="1"/>
    <col min="4114" max="4114" width="9.28515625" style="847" customWidth="1"/>
    <col min="4115" max="4115" width="1.7109375" style="847" customWidth="1"/>
    <col min="4116" max="4116" width="7.42578125" style="847" customWidth="1"/>
    <col min="4117" max="4117" width="9.28515625" style="847" customWidth="1"/>
    <col min="4118" max="4118" width="1.85546875" style="847" customWidth="1"/>
    <col min="4119" max="4119" width="6.7109375" style="847" customWidth="1"/>
    <col min="4120" max="4120" width="9.140625" style="847" customWidth="1"/>
    <col min="4121" max="4121" width="1.85546875" style="847" customWidth="1"/>
    <col min="4122" max="4352" width="9.140625" style="847"/>
    <col min="4353" max="4353" width="12.42578125" style="847" customWidth="1"/>
    <col min="4354" max="4355" width="7.7109375" style="847" customWidth="1"/>
    <col min="4356" max="4356" width="1.7109375" style="847" customWidth="1"/>
    <col min="4357" max="4357" width="7.7109375" style="847" customWidth="1"/>
    <col min="4358" max="4358" width="9.5703125" style="847" customWidth="1"/>
    <col min="4359" max="4359" width="1.7109375" style="847" customWidth="1"/>
    <col min="4360" max="4360" width="6.7109375" style="847" customWidth="1"/>
    <col min="4361" max="4361" width="9.28515625" style="847" customWidth="1"/>
    <col min="4362" max="4362" width="1.7109375" style="847" customWidth="1"/>
    <col min="4363" max="4363" width="6.7109375" style="847" customWidth="1"/>
    <col min="4364" max="4364" width="9.28515625" style="847" customWidth="1"/>
    <col min="4365" max="4365" width="1.7109375" style="847" customWidth="1"/>
    <col min="4366" max="4366" width="6.85546875" style="847" customWidth="1"/>
    <col min="4367" max="4367" width="9.28515625" style="847" customWidth="1"/>
    <col min="4368" max="4368" width="1.7109375" style="847" customWidth="1"/>
    <col min="4369" max="4369" width="6.7109375" style="847" customWidth="1"/>
    <col min="4370" max="4370" width="9.28515625" style="847" customWidth="1"/>
    <col min="4371" max="4371" width="1.7109375" style="847" customWidth="1"/>
    <col min="4372" max="4372" width="7.42578125" style="847" customWidth="1"/>
    <col min="4373" max="4373" width="9.28515625" style="847" customWidth="1"/>
    <col min="4374" max="4374" width="1.85546875" style="847" customWidth="1"/>
    <col min="4375" max="4375" width="6.7109375" style="847" customWidth="1"/>
    <col min="4376" max="4376" width="9.140625" style="847" customWidth="1"/>
    <col min="4377" max="4377" width="1.85546875" style="847" customWidth="1"/>
    <col min="4378" max="4608" width="9.140625" style="847"/>
    <col min="4609" max="4609" width="12.42578125" style="847" customWidth="1"/>
    <col min="4610" max="4611" width="7.7109375" style="847" customWidth="1"/>
    <col min="4612" max="4612" width="1.7109375" style="847" customWidth="1"/>
    <col min="4613" max="4613" width="7.7109375" style="847" customWidth="1"/>
    <col min="4614" max="4614" width="9.5703125" style="847" customWidth="1"/>
    <col min="4615" max="4615" width="1.7109375" style="847" customWidth="1"/>
    <col min="4616" max="4616" width="6.7109375" style="847" customWidth="1"/>
    <col min="4617" max="4617" width="9.28515625" style="847" customWidth="1"/>
    <col min="4618" max="4618" width="1.7109375" style="847" customWidth="1"/>
    <col min="4619" max="4619" width="6.7109375" style="847" customWidth="1"/>
    <col min="4620" max="4620" width="9.28515625" style="847" customWidth="1"/>
    <col min="4621" max="4621" width="1.7109375" style="847" customWidth="1"/>
    <col min="4622" max="4622" width="6.85546875" style="847" customWidth="1"/>
    <col min="4623" max="4623" width="9.28515625" style="847" customWidth="1"/>
    <col min="4624" max="4624" width="1.7109375" style="847" customWidth="1"/>
    <col min="4625" max="4625" width="6.7109375" style="847" customWidth="1"/>
    <col min="4626" max="4626" width="9.28515625" style="847" customWidth="1"/>
    <col min="4627" max="4627" width="1.7109375" style="847" customWidth="1"/>
    <col min="4628" max="4628" width="7.42578125" style="847" customWidth="1"/>
    <col min="4629" max="4629" width="9.28515625" style="847" customWidth="1"/>
    <col min="4630" max="4630" width="1.85546875" style="847" customWidth="1"/>
    <col min="4631" max="4631" width="6.7109375" style="847" customWidth="1"/>
    <col min="4632" max="4632" width="9.140625" style="847" customWidth="1"/>
    <col min="4633" max="4633" width="1.85546875" style="847" customWidth="1"/>
    <col min="4634" max="4864" width="9.140625" style="847"/>
    <col min="4865" max="4865" width="12.42578125" style="847" customWidth="1"/>
    <col min="4866" max="4867" width="7.7109375" style="847" customWidth="1"/>
    <col min="4868" max="4868" width="1.7109375" style="847" customWidth="1"/>
    <col min="4869" max="4869" width="7.7109375" style="847" customWidth="1"/>
    <col min="4870" max="4870" width="9.5703125" style="847" customWidth="1"/>
    <col min="4871" max="4871" width="1.7109375" style="847" customWidth="1"/>
    <col min="4872" max="4872" width="6.7109375" style="847" customWidth="1"/>
    <col min="4873" max="4873" width="9.28515625" style="847" customWidth="1"/>
    <col min="4874" max="4874" width="1.7109375" style="847" customWidth="1"/>
    <col min="4875" max="4875" width="6.7109375" style="847" customWidth="1"/>
    <col min="4876" max="4876" width="9.28515625" style="847" customWidth="1"/>
    <col min="4877" max="4877" width="1.7109375" style="847" customWidth="1"/>
    <col min="4878" max="4878" width="6.85546875" style="847" customWidth="1"/>
    <col min="4879" max="4879" width="9.28515625" style="847" customWidth="1"/>
    <col min="4880" max="4880" width="1.7109375" style="847" customWidth="1"/>
    <col min="4881" max="4881" width="6.7109375" style="847" customWidth="1"/>
    <col min="4882" max="4882" width="9.28515625" style="847" customWidth="1"/>
    <col min="4883" max="4883" width="1.7109375" style="847" customWidth="1"/>
    <col min="4884" max="4884" width="7.42578125" style="847" customWidth="1"/>
    <col min="4885" max="4885" width="9.28515625" style="847" customWidth="1"/>
    <col min="4886" max="4886" width="1.85546875" style="847" customWidth="1"/>
    <col min="4887" max="4887" width="6.7109375" style="847" customWidth="1"/>
    <col min="4888" max="4888" width="9.140625" style="847" customWidth="1"/>
    <col min="4889" max="4889" width="1.85546875" style="847" customWidth="1"/>
    <col min="4890" max="5120" width="9.140625" style="847"/>
    <col min="5121" max="5121" width="12.42578125" style="847" customWidth="1"/>
    <col min="5122" max="5123" width="7.7109375" style="847" customWidth="1"/>
    <col min="5124" max="5124" width="1.7109375" style="847" customWidth="1"/>
    <col min="5125" max="5125" width="7.7109375" style="847" customWidth="1"/>
    <col min="5126" max="5126" width="9.5703125" style="847" customWidth="1"/>
    <col min="5127" max="5127" width="1.7109375" style="847" customWidth="1"/>
    <col min="5128" max="5128" width="6.7109375" style="847" customWidth="1"/>
    <col min="5129" max="5129" width="9.28515625" style="847" customWidth="1"/>
    <col min="5130" max="5130" width="1.7109375" style="847" customWidth="1"/>
    <col min="5131" max="5131" width="6.7109375" style="847" customWidth="1"/>
    <col min="5132" max="5132" width="9.28515625" style="847" customWidth="1"/>
    <col min="5133" max="5133" width="1.7109375" style="847" customWidth="1"/>
    <col min="5134" max="5134" width="6.85546875" style="847" customWidth="1"/>
    <col min="5135" max="5135" width="9.28515625" style="847" customWidth="1"/>
    <col min="5136" max="5136" width="1.7109375" style="847" customWidth="1"/>
    <col min="5137" max="5137" width="6.7109375" style="847" customWidth="1"/>
    <col min="5138" max="5138" width="9.28515625" style="847" customWidth="1"/>
    <col min="5139" max="5139" width="1.7109375" style="847" customWidth="1"/>
    <col min="5140" max="5140" width="7.42578125" style="847" customWidth="1"/>
    <col min="5141" max="5141" width="9.28515625" style="847" customWidth="1"/>
    <col min="5142" max="5142" width="1.85546875" style="847" customWidth="1"/>
    <col min="5143" max="5143" width="6.7109375" style="847" customWidth="1"/>
    <col min="5144" max="5144" width="9.140625" style="847" customWidth="1"/>
    <col min="5145" max="5145" width="1.85546875" style="847" customWidth="1"/>
    <col min="5146" max="5376" width="9.140625" style="847"/>
    <col min="5377" max="5377" width="12.42578125" style="847" customWidth="1"/>
    <col min="5378" max="5379" width="7.7109375" style="847" customWidth="1"/>
    <col min="5380" max="5380" width="1.7109375" style="847" customWidth="1"/>
    <col min="5381" max="5381" width="7.7109375" style="847" customWidth="1"/>
    <col min="5382" max="5382" width="9.5703125" style="847" customWidth="1"/>
    <col min="5383" max="5383" width="1.7109375" style="847" customWidth="1"/>
    <col min="5384" max="5384" width="6.7109375" style="847" customWidth="1"/>
    <col min="5385" max="5385" width="9.28515625" style="847" customWidth="1"/>
    <col min="5386" max="5386" width="1.7109375" style="847" customWidth="1"/>
    <col min="5387" max="5387" width="6.7109375" style="847" customWidth="1"/>
    <col min="5388" max="5388" width="9.28515625" style="847" customWidth="1"/>
    <col min="5389" max="5389" width="1.7109375" style="847" customWidth="1"/>
    <col min="5390" max="5390" width="6.85546875" style="847" customWidth="1"/>
    <col min="5391" max="5391" width="9.28515625" style="847" customWidth="1"/>
    <col min="5392" max="5392" width="1.7109375" style="847" customWidth="1"/>
    <col min="5393" max="5393" width="6.7109375" style="847" customWidth="1"/>
    <col min="5394" max="5394" width="9.28515625" style="847" customWidth="1"/>
    <col min="5395" max="5395" width="1.7109375" style="847" customWidth="1"/>
    <col min="5396" max="5396" width="7.42578125" style="847" customWidth="1"/>
    <col min="5397" max="5397" width="9.28515625" style="847" customWidth="1"/>
    <col min="5398" max="5398" width="1.85546875" style="847" customWidth="1"/>
    <col min="5399" max="5399" width="6.7109375" style="847" customWidth="1"/>
    <col min="5400" max="5400" width="9.140625" style="847" customWidth="1"/>
    <col min="5401" max="5401" width="1.85546875" style="847" customWidth="1"/>
    <col min="5402" max="5632" width="9.140625" style="847"/>
    <col min="5633" max="5633" width="12.42578125" style="847" customWidth="1"/>
    <col min="5634" max="5635" width="7.7109375" style="847" customWidth="1"/>
    <col min="5636" max="5636" width="1.7109375" style="847" customWidth="1"/>
    <col min="5637" max="5637" width="7.7109375" style="847" customWidth="1"/>
    <col min="5638" max="5638" width="9.5703125" style="847" customWidth="1"/>
    <col min="5639" max="5639" width="1.7109375" style="847" customWidth="1"/>
    <col min="5640" max="5640" width="6.7109375" style="847" customWidth="1"/>
    <col min="5641" max="5641" width="9.28515625" style="847" customWidth="1"/>
    <col min="5642" max="5642" width="1.7109375" style="847" customWidth="1"/>
    <col min="5643" max="5643" width="6.7109375" style="847" customWidth="1"/>
    <col min="5644" max="5644" width="9.28515625" style="847" customWidth="1"/>
    <col min="5645" max="5645" width="1.7109375" style="847" customWidth="1"/>
    <col min="5646" max="5646" width="6.85546875" style="847" customWidth="1"/>
    <col min="5647" max="5647" width="9.28515625" style="847" customWidth="1"/>
    <col min="5648" max="5648" width="1.7109375" style="847" customWidth="1"/>
    <col min="5649" max="5649" width="6.7109375" style="847" customWidth="1"/>
    <col min="5650" max="5650" width="9.28515625" style="847" customWidth="1"/>
    <col min="5651" max="5651" width="1.7109375" style="847" customWidth="1"/>
    <col min="5652" max="5652" width="7.42578125" style="847" customWidth="1"/>
    <col min="5653" max="5653" width="9.28515625" style="847" customWidth="1"/>
    <col min="5654" max="5654" width="1.85546875" style="847" customWidth="1"/>
    <col min="5655" max="5655" width="6.7109375" style="847" customWidth="1"/>
    <col min="5656" max="5656" width="9.140625" style="847" customWidth="1"/>
    <col min="5657" max="5657" width="1.85546875" style="847" customWidth="1"/>
    <col min="5658" max="5888" width="9.140625" style="847"/>
    <col min="5889" max="5889" width="12.42578125" style="847" customWidth="1"/>
    <col min="5890" max="5891" width="7.7109375" style="847" customWidth="1"/>
    <col min="5892" max="5892" width="1.7109375" style="847" customWidth="1"/>
    <col min="5893" max="5893" width="7.7109375" style="847" customWidth="1"/>
    <col min="5894" max="5894" width="9.5703125" style="847" customWidth="1"/>
    <col min="5895" max="5895" width="1.7109375" style="847" customWidth="1"/>
    <col min="5896" max="5896" width="6.7109375" style="847" customWidth="1"/>
    <col min="5897" max="5897" width="9.28515625" style="847" customWidth="1"/>
    <col min="5898" max="5898" width="1.7109375" style="847" customWidth="1"/>
    <col min="5899" max="5899" width="6.7109375" style="847" customWidth="1"/>
    <col min="5900" max="5900" width="9.28515625" style="847" customWidth="1"/>
    <col min="5901" max="5901" width="1.7109375" style="847" customWidth="1"/>
    <col min="5902" max="5902" width="6.85546875" style="847" customWidth="1"/>
    <col min="5903" max="5903" width="9.28515625" style="847" customWidth="1"/>
    <col min="5904" max="5904" width="1.7109375" style="847" customWidth="1"/>
    <col min="5905" max="5905" width="6.7109375" style="847" customWidth="1"/>
    <col min="5906" max="5906" width="9.28515625" style="847" customWidth="1"/>
    <col min="5907" max="5907" width="1.7109375" style="847" customWidth="1"/>
    <col min="5908" max="5908" width="7.42578125" style="847" customWidth="1"/>
    <col min="5909" max="5909" width="9.28515625" style="847" customWidth="1"/>
    <col min="5910" max="5910" width="1.85546875" style="847" customWidth="1"/>
    <col min="5911" max="5911" width="6.7109375" style="847" customWidth="1"/>
    <col min="5912" max="5912" width="9.140625" style="847" customWidth="1"/>
    <col min="5913" max="5913" width="1.85546875" style="847" customWidth="1"/>
    <col min="5914" max="6144" width="9.140625" style="847"/>
    <col min="6145" max="6145" width="12.42578125" style="847" customWidth="1"/>
    <col min="6146" max="6147" width="7.7109375" style="847" customWidth="1"/>
    <col min="6148" max="6148" width="1.7109375" style="847" customWidth="1"/>
    <col min="6149" max="6149" width="7.7109375" style="847" customWidth="1"/>
    <col min="6150" max="6150" width="9.5703125" style="847" customWidth="1"/>
    <col min="6151" max="6151" width="1.7109375" style="847" customWidth="1"/>
    <col min="6152" max="6152" width="6.7109375" style="847" customWidth="1"/>
    <col min="6153" max="6153" width="9.28515625" style="847" customWidth="1"/>
    <col min="6154" max="6154" width="1.7109375" style="847" customWidth="1"/>
    <col min="6155" max="6155" width="6.7109375" style="847" customWidth="1"/>
    <col min="6156" max="6156" width="9.28515625" style="847" customWidth="1"/>
    <col min="6157" max="6157" width="1.7109375" style="847" customWidth="1"/>
    <col min="6158" max="6158" width="6.85546875" style="847" customWidth="1"/>
    <col min="6159" max="6159" width="9.28515625" style="847" customWidth="1"/>
    <col min="6160" max="6160" width="1.7109375" style="847" customWidth="1"/>
    <col min="6161" max="6161" width="6.7109375" style="847" customWidth="1"/>
    <col min="6162" max="6162" width="9.28515625" style="847" customWidth="1"/>
    <col min="6163" max="6163" width="1.7109375" style="847" customWidth="1"/>
    <col min="6164" max="6164" width="7.42578125" style="847" customWidth="1"/>
    <col min="6165" max="6165" width="9.28515625" style="847" customWidth="1"/>
    <col min="6166" max="6166" width="1.85546875" style="847" customWidth="1"/>
    <col min="6167" max="6167" width="6.7109375" style="847" customWidth="1"/>
    <col min="6168" max="6168" width="9.140625" style="847" customWidth="1"/>
    <col min="6169" max="6169" width="1.85546875" style="847" customWidth="1"/>
    <col min="6170" max="6400" width="9.140625" style="847"/>
    <col min="6401" max="6401" width="12.42578125" style="847" customWidth="1"/>
    <col min="6402" max="6403" width="7.7109375" style="847" customWidth="1"/>
    <col min="6404" max="6404" width="1.7109375" style="847" customWidth="1"/>
    <col min="6405" max="6405" width="7.7109375" style="847" customWidth="1"/>
    <col min="6406" max="6406" width="9.5703125" style="847" customWidth="1"/>
    <col min="6407" max="6407" width="1.7109375" style="847" customWidth="1"/>
    <col min="6408" max="6408" width="6.7109375" style="847" customWidth="1"/>
    <col min="6409" max="6409" width="9.28515625" style="847" customWidth="1"/>
    <col min="6410" max="6410" width="1.7109375" style="847" customWidth="1"/>
    <col min="6411" max="6411" width="6.7109375" style="847" customWidth="1"/>
    <col min="6412" max="6412" width="9.28515625" style="847" customWidth="1"/>
    <col min="6413" max="6413" width="1.7109375" style="847" customWidth="1"/>
    <col min="6414" max="6414" width="6.85546875" style="847" customWidth="1"/>
    <col min="6415" max="6415" width="9.28515625" style="847" customWidth="1"/>
    <col min="6416" max="6416" width="1.7109375" style="847" customWidth="1"/>
    <col min="6417" max="6417" width="6.7109375" style="847" customWidth="1"/>
    <col min="6418" max="6418" width="9.28515625" style="847" customWidth="1"/>
    <col min="6419" max="6419" width="1.7109375" style="847" customWidth="1"/>
    <col min="6420" max="6420" width="7.42578125" style="847" customWidth="1"/>
    <col min="6421" max="6421" width="9.28515625" style="847" customWidth="1"/>
    <col min="6422" max="6422" width="1.85546875" style="847" customWidth="1"/>
    <col min="6423" max="6423" width="6.7109375" style="847" customWidth="1"/>
    <col min="6424" max="6424" width="9.140625" style="847" customWidth="1"/>
    <col min="6425" max="6425" width="1.85546875" style="847" customWidth="1"/>
    <col min="6426" max="6656" width="9.140625" style="847"/>
    <col min="6657" max="6657" width="12.42578125" style="847" customWidth="1"/>
    <col min="6658" max="6659" width="7.7109375" style="847" customWidth="1"/>
    <col min="6660" max="6660" width="1.7109375" style="847" customWidth="1"/>
    <col min="6661" max="6661" width="7.7109375" style="847" customWidth="1"/>
    <col min="6662" max="6662" width="9.5703125" style="847" customWidth="1"/>
    <col min="6663" max="6663" width="1.7109375" style="847" customWidth="1"/>
    <col min="6664" max="6664" width="6.7109375" style="847" customWidth="1"/>
    <col min="6665" max="6665" width="9.28515625" style="847" customWidth="1"/>
    <col min="6666" max="6666" width="1.7109375" style="847" customWidth="1"/>
    <col min="6667" max="6667" width="6.7109375" style="847" customWidth="1"/>
    <col min="6668" max="6668" width="9.28515625" style="847" customWidth="1"/>
    <col min="6669" max="6669" width="1.7109375" style="847" customWidth="1"/>
    <col min="6670" max="6670" width="6.85546875" style="847" customWidth="1"/>
    <col min="6671" max="6671" width="9.28515625" style="847" customWidth="1"/>
    <col min="6672" max="6672" width="1.7109375" style="847" customWidth="1"/>
    <col min="6673" max="6673" width="6.7109375" style="847" customWidth="1"/>
    <col min="6674" max="6674" width="9.28515625" style="847" customWidth="1"/>
    <col min="6675" max="6675" width="1.7109375" style="847" customWidth="1"/>
    <col min="6676" max="6676" width="7.42578125" style="847" customWidth="1"/>
    <col min="6677" max="6677" width="9.28515625" style="847" customWidth="1"/>
    <col min="6678" max="6678" width="1.85546875" style="847" customWidth="1"/>
    <col min="6679" max="6679" width="6.7109375" style="847" customWidth="1"/>
    <col min="6680" max="6680" width="9.140625" style="847" customWidth="1"/>
    <col min="6681" max="6681" width="1.85546875" style="847" customWidth="1"/>
    <col min="6682" max="6912" width="9.140625" style="847"/>
    <col min="6913" max="6913" width="12.42578125" style="847" customWidth="1"/>
    <col min="6914" max="6915" width="7.7109375" style="847" customWidth="1"/>
    <col min="6916" max="6916" width="1.7109375" style="847" customWidth="1"/>
    <col min="6917" max="6917" width="7.7109375" style="847" customWidth="1"/>
    <col min="6918" max="6918" width="9.5703125" style="847" customWidth="1"/>
    <col min="6919" max="6919" width="1.7109375" style="847" customWidth="1"/>
    <col min="6920" max="6920" width="6.7109375" style="847" customWidth="1"/>
    <col min="6921" max="6921" width="9.28515625" style="847" customWidth="1"/>
    <col min="6922" max="6922" width="1.7109375" style="847" customWidth="1"/>
    <col min="6923" max="6923" width="6.7109375" style="847" customWidth="1"/>
    <col min="6924" max="6924" width="9.28515625" style="847" customWidth="1"/>
    <col min="6925" max="6925" width="1.7109375" style="847" customWidth="1"/>
    <col min="6926" max="6926" width="6.85546875" style="847" customWidth="1"/>
    <col min="6927" max="6927" width="9.28515625" style="847" customWidth="1"/>
    <col min="6928" max="6928" width="1.7109375" style="847" customWidth="1"/>
    <col min="6929" max="6929" width="6.7109375" style="847" customWidth="1"/>
    <col min="6930" max="6930" width="9.28515625" style="847" customWidth="1"/>
    <col min="6931" max="6931" width="1.7109375" style="847" customWidth="1"/>
    <col min="6932" max="6932" width="7.42578125" style="847" customWidth="1"/>
    <col min="6933" max="6933" width="9.28515625" style="847" customWidth="1"/>
    <col min="6934" max="6934" width="1.85546875" style="847" customWidth="1"/>
    <col min="6935" max="6935" width="6.7109375" style="847" customWidth="1"/>
    <col min="6936" max="6936" width="9.140625" style="847" customWidth="1"/>
    <col min="6937" max="6937" width="1.85546875" style="847" customWidth="1"/>
    <col min="6938" max="7168" width="9.140625" style="847"/>
    <col min="7169" max="7169" width="12.42578125" style="847" customWidth="1"/>
    <col min="7170" max="7171" width="7.7109375" style="847" customWidth="1"/>
    <col min="7172" max="7172" width="1.7109375" style="847" customWidth="1"/>
    <col min="7173" max="7173" width="7.7109375" style="847" customWidth="1"/>
    <col min="7174" max="7174" width="9.5703125" style="847" customWidth="1"/>
    <col min="7175" max="7175" width="1.7109375" style="847" customWidth="1"/>
    <col min="7176" max="7176" width="6.7109375" style="847" customWidth="1"/>
    <col min="7177" max="7177" width="9.28515625" style="847" customWidth="1"/>
    <col min="7178" max="7178" width="1.7109375" style="847" customWidth="1"/>
    <col min="7179" max="7179" width="6.7109375" style="847" customWidth="1"/>
    <col min="7180" max="7180" width="9.28515625" style="847" customWidth="1"/>
    <col min="7181" max="7181" width="1.7109375" style="847" customWidth="1"/>
    <col min="7182" max="7182" width="6.85546875" style="847" customWidth="1"/>
    <col min="7183" max="7183" width="9.28515625" style="847" customWidth="1"/>
    <col min="7184" max="7184" width="1.7109375" style="847" customWidth="1"/>
    <col min="7185" max="7185" width="6.7109375" style="847" customWidth="1"/>
    <col min="7186" max="7186" width="9.28515625" style="847" customWidth="1"/>
    <col min="7187" max="7187" width="1.7109375" style="847" customWidth="1"/>
    <col min="7188" max="7188" width="7.42578125" style="847" customWidth="1"/>
    <col min="7189" max="7189" width="9.28515625" style="847" customWidth="1"/>
    <col min="7190" max="7190" width="1.85546875" style="847" customWidth="1"/>
    <col min="7191" max="7191" width="6.7109375" style="847" customWidth="1"/>
    <col min="7192" max="7192" width="9.140625" style="847" customWidth="1"/>
    <col min="7193" max="7193" width="1.85546875" style="847" customWidth="1"/>
    <col min="7194" max="7424" width="9.140625" style="847"/>
    <col min="7425" max="7425" width="12.42578125" style="847" customWidth="1"/>
    <col min="7426" max="7427" width="7.7109375" style="847" customWidth="1"/>
    <col min="7428" max="7428" width="1.7109375" style="847" customWidth="1"/>
    <col min="7429" max="7429" width="7.7109375" style="847" customWidth="1"/>
    <col min="7430" max="7430" width="9.5703125" style="847" customWidth="1"/>
    <col min="7431" max="7431" width="1.7109375" style="847" customWidth="1"/>
    <col min="7432" max="7432" width="6.7109375" style="847" customWidth="1"/>
    <col min="7433" max="7433" width="9.28515625" style="847" customWidth="1"/>
    <col min="7434" max="7434" width="1.7109375" style="847" customWidth="1"/>
    <col min="7435" max="7435" width="6.7109375" style="847" customWidth="1"/>
    <col min="7436" max="7436" width="9.28515625" style="847" customWidth="1"/>
    <col min="7437" max="7437" width="1.7109375" style="847" customWidth="1"/>
    <col min="7438" max="7438" width="6.85546875" style="847" customWidth="1"/>
    <col min="7439" max="7439" width="9.28515625" style="847" customWidth="1"/>
    <col min="7440" max="7440" width="1.7109375" style="847" customWidth="1"/>
    <col min="7441" max="7441" width="6.7109375" style="847" customWidth="1"/>
    <col min="7442" max="7442" width="9.28515625" style="847" customWidth="1"/>
    <col min="7443" max="7443" width="1.7109375" style="847" customWidth="1"/>
    <col min="7444" max="7444" width="7.42578125" style="847" customWidth="1"/>
    <col min="7445" max="7445" width="9.28515625" style="847" customWidth="1"/>
    <col min="7446" max="7446" width="1.85546875" style="847" customWidth="1"/>
    <col min="7447" max="7447" width="6.7109375" style="847" customWidth="1"/>
    <col min="7448" max="7448" width="9.140625" style="847" customWidth="1"/>
    <col min="7449" max="7449" width="1.85546875" style="847" customWidth="1"/>
    <col min="7450" max="7680" width="9.140625" style="847"/>
    <col min="7681" max="7681" width="12.42578125" style="847" customWidth="1"/>
    <col min="7682" max="7683" width="7.7109375" style="847" customWidth="1"/>
    <col min="7684" max="7684" width="1.7109375" style="847" customWidth="1"/>
    <col min="7685" max="7685" width="7.7109375" style="847" customWidth="1"/>
    <col min="7686" max="7686" width="9.5703125" style="847" customWidth="1"/>
    <col min="7687" max="7687" width="1.7109375" style="847" customWidth="1"/>
    <col min="7688" max="7688" width="6.7109375" style="847" customWidth="1"/>
    <col min="7689" max="7689" width="9.28515625" style="847" customWidth="1"/>
    <col min="7690" max="7690" width="1.7109375" style="847" customWidth="1"/>
    <col min="7691" max="7691" width="6.7109375" style="847" customWidth="1"/>
    <col min="7692" max="7692" width="9.28515625" style="847" customWidth="1"/>
    <col min="7693" max="7693" width="1.7109375" style="847" customWidth="1"/>
    <col min="7694" max="7694" width="6.85546875" style="847" customWidth="1"/>
    <col min="7695" max="7695" width="9.28515625" style="847" customWidth="1"/>
    <col min="7696" max="7696" width="1.7109375" style="847" customWidth="1"/>
    <col min="7697" max="7697" width="6.7109375" style="847" customWidth="1"/>
    <col min="7698" max="7698" width="9.28515625" style="847" customWidth="1"/>
    <col min="7699" max="7699" width="1.7109375" style="847" customWidth="1"/>
    <col min="7700" max="7700" width="7.42578125" style="847" customWidth="1"/>
    <col min="7701" max="7701" width="9.28515625" style="847" customWidth="1"/>
    <col min="7702" max="7702" width="1.85546875" style="847" customWidth="1"/>
    <col min="7703" max="7703" width="6.7109375" style="847" customWidth="1"/>
    <col min="7704" max="7704" width="9.140625" style="847" customWidth="1"/>
    <col min="7705" max="7705" width="1.85546875" style="847" customWidth="1"/>
    <col min="7706" max="7936" width="9.140625" style="847"/>
    <col min="7937" max="7937" width="12.42578125" style="847" customWidth="1"/>
    <col min="7938" max="7939" width="7.7109375" style="847" customWidth="1"/>
    <col min="7940" max="7940" width="1.7109375" style="847" customWidth="1"/>
    <col min="7941" max="7941" width="7.7109375" style="847" customWidth="1"/>
    <col min="7942" max="7942" width="9.5703125" style="847" customWidth="1"/>
    <col min="7943" max="7943" width="1.7109375" style="847" customWidth="1"/>
    <col min="7944" max="7944" width="6.7109375" style="847" customWidth="1"/>
    <col min="7945" max="7945" width="9.28515625" style="847" customWidth="1"/>
    <col min="7946" max="7946" width="1.7109375" style="847" customWidth="1"/>
    <col min="7947" max="7947" width="6.7109375" style="847" customWidth="1"/>
    <col min="7948" max="7948" width="9.28515625" style="847" customWidth="1"/>
    <col min="7949" max="7949" width="1.7109375" style="847" customWidth="1"/>
    <col min="7950" max="7950" width="6.85546875" style="847" customWidth="1"/>
    <col min="7951" max="7951" width="9.28515625" style="847" customWidth="1"/>
    <col min="7952" max="7952" width="1.7109375" style="847" customWidth="1"/>
    <col min="7953" max="7953" width="6.7109375" style="847" customWidth="1"/>
    <col min="7954" max="7954" width="9.28515625" style="847" customWidth="1"/>
    <col min="7955" max="7955" width="1.7109375" style="847" customWidth="1"/>
    <col min="7956" max="7956" width="7.42578125" style="847" customWidth="1"/>
    <col min="7957" max="7957" width="9.28515625" style="847" customWidth="1"/>
    <col min="7958" max="7958" width="1.85546875" style="847" customWidth="1"/>
    <col min="7959" max="7959" width="6.7109375" style="847" customWidth="1"/>
    <col min="7960" max="7960" width="9.140625" style="847" customWidth="1"/>
    <col min="7961" max="7961" width="1.85546875" style="847" customWidth="1"/>
    <col min="7962" max="8192" width="9.140625" style="847"/>
    <col min="8193" max="8193" width="12.42578125" style="847" customWidth="1"/>
    <col min="8194" max="8195" width="7.7109375" style="847" customWidth="1"/>
    <col min="8196" max="8196" width="1.7109375" style="847" customWidth="1"/>
    <col min="8197" max="8197" width="7.7109375" style="847" customWidth="1"/>
    <col min="8198" max="8198" width="9.5703125" style="847" customWidth="1"/>
    <col min="8199" max="8199" width="1.7109375" style="847" customWidth="1"/>
    <col min="8200" max="8200" width="6.7109375" style="847" customWidth="1"/>
    <col min="8201" max="8201" width="9.28515625" style="847" customWidth="1"/>
    <col min="8202" max="8202" width="1.7109375" style="847" customWidth="1"/>
    <col min="8203" max="8203" width="6.7109375" style="847" customWidth="1"/>
    <col min="8204" max="8204" width="9.28515625" style="847" customWidth="1"/>
    <col min="8205" max="8205" width="1.7109375" style="847" customWidth="1"/>
    <col min="8206" max="8206" width="6.85546875" style="847" customWidth="1"/>
    <col min="8207" max="8207" width="9.28515625" style="847" customWidth="1"/>
    <col min="8208" max="8208" width="1.7109375" style="847" customWidth="1"/>
    <col min="8209" max="8209" width="6.7109375" style="847" customWidth="1"/>
    <col min="8210" max="8210" width="9.28515625" style="847" customWidth="1"/>
    <col min="8211" max="8211" width="1.7109375" style="847" customWidth="1"/>
    <col min="8212" max="8212" width="7.42578125" style="847" customWidth="1"/>
    <col min="8213" max="8213" width="9.28515625" style="847" customWidth="1"/>
    <col min="8214" max="8214" width="1.85546875" style="847" customWidth="1"/>
    <col min="8215" max="8215" width="6.7109375" style="847" customWidth="1"/>
    <col min="8216" max="8216" width="9.140625" style="847" customWidth="1"/>
    <col min="8217" max="8217" width="1.85546875" style="847" customWidth="1"/>
    <col min="8218" max="8448" width="9.140625" style="847"/>
    <col min="8449" max="8449" width="12.42578125" style="847" customWidth="1"/>
    <col min="8450" max="8451" width="7.7109375" style="847" customWidth="1"/>
    <col min="8452" max="8452" width="1.7109375" style="847" customWidth="1"/>
    <col min="8453" max="8453" width="7.7109375" style="847" customWidth="1"/>
    <col min="8454" max="8454" width="9.5703125" style="847" customWidth="1"/>
    <col min="8455" max="8455" width="1.7109375" style="847" customWidth="1"/>
    <col min="8456" max="8456" width="6.7109375" style="847" customWidth="1"/>
    <col min="8457" max="8457" width="9.28515625" style="847" customWidth="1"/>
    <col min="8458" max="8458" width="1.7109375" style="847" customWidth="1"/>
    <col min="8459" max="8459" width="6.7109375" style="847" customWidth="1"/>
    <col min="8460" max="8460" width="9.28515625" style="847" customWidth="1"/>
    <col min="8461" max="8461" width="1.7109375" style="847" customWidth="1"/>
    <col min="8462" max="8462" width="6.85546875" style="847" customWidth="1"/>
    <col min="8463" max="8463" width="9.28515625" style="847" customWidth="1"/>
    <col min="8464" max="8464" width="1.7109375" style="847" customWidth="1"/>
    <col min="8465" max="8465" width="6.7109375" style="847" customWidth="1"/>
    <col min="8466" max="8466" width="9.28515625" style="847" customWidth="1"/>
    <col min="8467" max="8467" width="1.7109375" style="847" customWidth="1"/>
    <col min="8468" max="8468" width="7.42578125" style="847" customWidth="1"/>
    <col min="8469" max="8469" width="9.28515625" style="847" customWidth="1"/>
    <col min="8470" max="8470" width="1.85546875" style="847" customWidth="1"/>
    <col min="8471" max="8471" width="6.7109375" style="847" customWidth="1"/>
    <col min="8472" max="8472" width="9.140625" style="847" customWidth="1"/>
    <col min="8473" max="8473" width="1.85546875" style="847" customWidth="1"/>
    <col min="8474" max="8704" width="9.140625" style="847"/>
    <col min="8705" max="8705" width="12.42578125" style="847" customWidth="1"/>
    <col min="8706" max="8707" width="7.7109375" style="847" customWidth="1"/>
    <col min="8708" max="8708" width="1.7109375" style="847" customWidth="1"/>
    <col min="8709" max="8709" width="7.7109375" style="847" customWidth="1"/>
    <col min="8710" max="8710" width="9.5703125" style="847" customWidth="1"/>
    <col min="8711" max="8711" width="1.7109375" style="847" customWidth="1"/>
    <col min="8712" max="8712" width="6.7109375" style="847" customWidth="1"/>
    <col min="8713" max="8713" width="9.28515625" style="847" customWidth="1"/>
    <col min="8714" max="8714" width="1.7109375" style="847" customWidth="1"/>
    <col min="8715" max="8715" width="6.7109375" style="847" customWidth="1"/>
    <col min="8716" max="8716" width="9.28515625" style="847" customWidth="1"/>
    <col min="8717" max="8717" width="1.7109375" style="847" customWidth="1"/>
    <col min="8718" max="8718" width="6.85546875" style="847" customWidth="1"/>
    <col min="8719" max="8719" width="9.28515625" style="847" customWidth="1"/>
    <col min="8720" max="8720" width="1.7109375" style="847" customWidth="1"/>
    <col min="8721" max="8721" width="6.7109375" style="847" customWidth="1"/>
    <col min="8722" max="8722" width="9.28515625" style="847" customWidth="1"/>
    <col min="8723" max="8723" width="1.7109375" style="847" customWidth="1"/>
    <col min="8724" max="8724" width="7.42578125" style="847" customWidth="1"/>
    <col min="8725" max="8725" width="9.28515625" style="847" customWidth="1"/>
    <col min="8726" max="8726" width="1.85546875" style="847" customWidth="1"/>
    <col min="8727" max="8727" width="6.7109375" style="847" customWidth="1"/>
    <col min="8728" max="8728" width="9.140625" style="847" customWidth="1"/>
    <col min="8729" max="8729" width="1.85546875" style="847" customWidth="1"/>
    <col min="8730" max="8960" width="9.140625" style="847"/>
    <col min="8961" max="8961" width="12.42578125" style="847" customWidth="1"/>
    <col min="8962" max="8963" width="7.7109375" style="847" customWidth="1"/>
    <col min="8964" max="8964" width="1.7109375" style="847" customWidth="1"/>
    <col min="8965" max="8965" width="7.7109375" style="847" customWidth="1"/>
    <col min="8966" max="8966" width="9.5703125" style="847" customWidth="1"/>
    <col min="8967" max="8967" width="1.7109375" style="847" customWidth="1"/>
    <col min="8968" max="8968" width="6.7109375" style="847" customWidth="1"/>
    <col min="8969" max="8969" width="9.28515625" style="847" customWidth="1"/>
    <col min="8970" max="8970" width="1.7109375" style="847" customWidth="1"/>
    <col min="8971" max="8971" width="6.7109375" style="847" customWidth="1"/>
    <col min="8972" max="8972" width="9.28515625" style="847" customWidth="1"/>
    <col min="8973" max="8973" width="1.7109375" style="847" customWidth="1"/>
    <col min="8974" max="8974" width="6.85546875" style="847" customWidth="1"/>
    <col min="8975" max="8975" width="9.28515625" style="847" customWidth="1"/>
    <col min="8976" max="8976" width="1.7109375" style="847" customWidth="1"/>
    <col min="8977" max="8977" width="6.7109375" style="847" customWidth="1"/>
    <col min="8978" max="8978" width="9.28515625" style="847" customWidth="1"/>
    <col min="8979" max="8979" width="1.7109375" style="847" customWidth="1"/>
    <col min="8980" max="8980" width="7.42578125" style="847" customWidth="1"/>
    <col min="8981" max="8981" width="9.28515625" style="847" customWidth="1"/>
    <col min="8982" max="8982" width="1.85546875" style="847" customWidth="1"/>
    <col min="8983" max="8983" width="6.7109375" style="847" customWidth="1"/>
    <col min="8984" max="8984" width="9.140625" style="847" customWidth="1"/>
    <col min="8985" max="8985" width="1.85546875" style="847" customWidth="1"/>
    <col min="8986" max="9216" width="9.140625" style="847"/>
    <col min="9217" max="9217" width="12.42578125" style="847" customWidth="1"/>
    <col min="9218" max="9219" width="7.7109375" style="847" customWidth="1"/>
    <col min="9220" max="9220" width="1.7109375" style="847" customWidth="1"/>
    <col min="9221" max="9221" width="7.7109375" style="847" customWidth="1"/>
    <col min="9222" max="9222" width="9.5703125" style="847" customWidth="1"/>
    <col min="9223" max="9223" width="1.7109375" style="847" customWidth="1"/>
    <col min="9224" max="9224" width="6.7109375" style="847" customWidth="1"/>
    <col min="9225" max="9225" width="9.28515625" style="847" customWidth="1"/>
    <col min="9226" max="9226" width="1.7109375" style="847" customWidth="1"/>
    <col min="9227" max="9227" width="6.7109375" style="847" customWidth="1"/>
    <col min="9228" max="9228" width="9.28515625" style="847" customWidth="1"/>
    <col min="9229" max="9229" width="1.7109375" style="847" customWidth="1"/>
    <col min="9230" max="9230" width="6.85546875" style="847" customWidth="1"/>
    <col min="9231" max="9231" width="9.28515625" style="847" customWidth="1"/>
    <col min="9232" max="9232" width="1.7109375" style="847" customWidth="1"/>
    <col min="9233" max="9233" width="6.7109375" style="847" customWidth="1"/>
    <col min="9234" max="9234" width="9.28515625" style="847" customWidth="1"/>
    <col min="9235" max="9235" width="1.7109375" style="847" customWidth="1"/>
    <col min="9236" max="9236" width="7.42578125" style="847" customWidth="1"/>
    <col min="9237" max="9237" width="9.28515625" style="847" customWidth="1"/>
    <col min="9238" max="9238" width="1.85546875" style="847" customWidth="1"/>
    <col min="9239" max="9239" width="6.7109375" style="847" customWidth="1"/>
    <col min="9240" max="9240" width="9.140625" style="847" customWidth="1"/>
    <col min="9241" max="9241" width="1.85546875" style="847" customWidth="1"/>
    <col min="9242" max="9472" width="9.140625" style="847"/>
    <col min="9473" max="9473" width="12.42578125" style="847" customWidth="1"/>
    <col min="9474" max="9475" width="7.7109375" style="847" customWidth="1"/>
    <col min="9476" max="9476" width="1.7109375" style="847" customWidth="1"/>
    <col min="9477" max="9477" width="7.7109375" style="847" customWidth="1"/>
    <col min="9478" max="9478" width="9.5703125" style="847" customWidth="1"/>
    <col min="9479" max="9479" width="1.7109375" style="847" customWidth="1"/>
    <col min="9480" max="9480" width="6.7109375" style="847" customWidth="1"/>
    <col min="9481" max="9481" width="9.28515625" style="847" customWidth="1"/>
    <col min="9482" max="9482" width="1.7109375" style="847" customWidth="1"/>
    <col min="9483" max="9483" width="6.7109375" style="847" customWidth="1"/>
    <col min="9484" max="9484" width="9.28515625" style="847" customWidth="1"/>
    <col min="9485" max="9485" width="1.7109375" style="847" customWidth="1"/>
    <col min="9486" max="9486" width="6.85546875" style="847" customWidth="1"/>
    <col min="9487" max="9487" width="9.28515625" style="847" customWidth="1"/>
    <col min="9488" max="9488" width="1.7109375" style="847" customWidth="1"/>
    <col min="9489" max="9489" width="6.7109375" style="847" customWidth="1"/>
    <col min="9490" max="9490" width="9.28515625" style="847" customWidth="1"/>
    <col min="9491" max="9491" width="1.7109375" style="847" customWidth="1"/>
    <col min="9492" max="9492" width="7.42578125" style="847" customWidth="1"/>
    <col min="9493" max="9493" width="9.28515625" style="847" customWidth="1"/>
    <col min="9494" max="9494" width="1.85546875" style="847" customWidth="1"/>
    <col min="9495" max="9495" width="6.7109375" style="847" customWidth="1"/>
    <col min="9496" max="9496" width="9.140625" style="847" customWidth="1"/>
    <col min="9497" max="9497" width="1.85546875" style="847" customWidth="1"/>
    <col min="9498" max="9728" width="9.140625" style="847"/>
    <col min="9729" max="9729" width="12.42578125" style="847" customWidth="1"/>
    <col min="9730" max="9731" width="7.7109375" style="847" customWidth="1"/>
    <col min="9732" max="9732" width="1.7109375" style="847" customWidth="1"/>
    <col min="9733" max="9733" width="7.7109375" style="847" customWidth="1"/>
    <col min="9734" max="9734" width="9.5703125" style="847" customWidth="1"/>
    <col min="9735" max="9735" width="1.7109375" style="847" customWidth="1"/>
    <col min="9736" max="9736" width="6.7109375" style="847" customWidth="1"/>
    <col min="9737" max="9737" width="9.28515625" style="847" customWidth="1"/>
    <col min="9738" max="9738" width="1.7109375" style="847" customWidth="1"/>
    <col min="9739" max="9739" width="6.7109375" style="847" customWidth="1"/>
    <col min="9740" max="9740" width="9.28515625" style="847" customWidth="1"/>
    <col min="9741" max="9741" width="1.7109375" style="847" customWidth="1"/>
    <col min="9742" max="9742" width="6.85546875" style="847" customWidth="1"/>
    <col min="9743" max="9743" width="9.28515625" style="847" customWidth="1"/>
    <col min="9744" max="9744" width="1.7109375" style="847" customWidth="1"/>
    <col min="9745" max="9745" width="6.7109375" style="847" customWidth="1"/>
    <col min="9746" max="9746" width="9.28515625" style="847" customWidth="1"/>
    <col min="9747" max="9747" width="1.7109375" style="847" customWidth="1"/>
    <col min="9748" max="9748" width="7.42578125" style="847" customWidth="1"/>
    <col min="9749" max="9749" width="9.28515625" style="847" customWidth="1"/>
    <col min="9750" max="9750" width="1.85546875" style="847" customWidth="1"/>
    <col min="9751" max="9751" width="6.7109375" style="847" customWidth="1"/>
    <col min="9752" max="9752" width="9.140625" style="847" customWidth="1"/>
    <col min="9753" max="9753" width="1.85546875" style="847" customWidth="1"/>
    <col min="9754" max="9984" width="9.140625" style="847"/>
    <col min="9985" max="9985" width="12.42578125" style="847" customWidth="1"/>
    <col min="9986" max="9987" width="7.7109375" style="847" customWidth="1"/>
    <col min="9988" max="9988" width="1.7109375" style="847" customWidth="1"/>
    <col min="9989" max="9989" width="7.7109375" style="847" customWidth="1"/>
    <col min="9990" max="9990" width="9.5703125" style="847" customWidth="1"/>
    <col min="9991" max="9991" width="1.7109375" style="847" customWidth="1"/>
    <col min="9992" max="9992" width="6.7109375" style="847" customWidth="1"/>
    <col min="9993" max="9993" width="9.28515625" style="847" customWidth="1"/>
    <col min="9994" max="9994" width="1.7109375" style="847" customWidth="1"/>
    <col min="9995" max="9995" width="6.7109375" style="847" customWidth="1"/>
    <col min="9996" max="9996" width="9.28515625" style="847" customWidth="1"/>
    <col min="9997" max="9997" width="1.7109375" style="847" customWidth="1"/>
    <col min="9998" max="9998" width="6.85546875" style="847" customWidth="1"/>
    <col min="9999" max="9999" width="9.28515625" style="847" customWidth="1"/>
    <col min="10000" max="10000" width="1.7109375" style="847" customWidth="1"/>
    <col min="10001" max="10001" width="6.7109375" style="847" customWidth="1"/>
    <col min="10002" max="10002" width="9.28515625" style="847" customWidth="1"/>
    <col min="10003" max="10003" width="1.7109375" style="847" customWidth="1"/>
    <col min="10004" max="10004" width="7.42578125" style="847" customWidth="1"/>
    <col min="10005" max="10005" width="9.28515625" style="847" customWidth="1"/>
    <col min="10006" max="10006" width="1.85546875" style="847" customWidth="1"/>
    <col min="10007" max="10007" width="6.7109375" style="847" customWidth="1"/>
    <col min="10008" max="10008" width="9.140625" style="847" customWidth="1"/>
    <col min="10009" max="10009" width="1.85546875" style="847" customWidth="1"/>
    <col min="10010" max="10240" width="9.140625" style="847"/>
    <col min="10241" max="10241" width="12.42578125" style="847" customWidth="1"/>
    <col min="10242" max="10243" width="7.7109375" style="847" customWidth="1"/>
    <col min="10244" max="10244" width="1.7109375" style="847" customWidth="1"/>
    <col min="10245" max="10245" width="7.7109375" style="847" customWidth="1"/>
    <col min="10246" max="10246" width="9.5703125" style="847" customWidth="1"/>
    <col min="10247" max="10247" width="1.7109375" style="847" customWidth="1"/>
    <col min="10248" max="10248" width="6.7109375" style="847" customWidth="1"/>
    <col min="10249" max="10249" width="9.28515625" style="847" customWidth="1"/>
    <col min="10250" max="10250" width="1.7109375" style="847" customWidth="1"/>
    <col min="10251" max="10251" width="6.7109375" style="847" customWidth="1"/>
    <col min="10252" max="10252" width="9.28515625" style="847" customWidth="1"/>
    <col min="10253" max="10253" width="1.7109375" style="847" customWidth="1"/>
    <col min="10254" max="10254" width="6.85546875" style="847" customWidth="1"/>
    <col min="10255" max="10255" width="9.28515625" style="847" customWidth="1"/>
    <col min="10256" max="10256" width="1.7109375" style="847" customWidth="1"/>
    <col min="10257" max="10257" width="6.7109375" style="847" customWidth="1"/>
    <col min="10258" max="10258" width="9.28515625" style="847" customWidth="1"/>
    <col min="10259" max="10259" width="1.7109375" style="847" customWidth="1"/>
    <col min="10260" max="10260" width="7.42578125" style="847" customWidth="1"/>
    <col min="10261" max="10261" width="9.28515625" style="847" customWidth="1"/>
    <col min="10262" max="10262" width="1.85546875" style="847" customWidth="1"/>
    <col min="10263" max="10263" width="6.7109375" style="847" customWidth="1"/>
    <col min="10264" max="10264" width="9.140625" style="847" customWidth="1"/>
    <col min="10265" max="10265" width="1.85546875" style="847" customWidth="1"/>
    <col min="10266" max="10496" width="9.140625" style="847"/>
    <col min="10497" max="10497" width="12.42578125" style="847" customWidth="1"/>
    <col min="10498" max="10499" width="7.7109375" style="847" customWidth="1"/>
    <col min="10500" max="10500" width="1.7109375" style="847" customWidth="1"/>
    <col min="10501" max="10501" width="7.7109375" style="847" customWidth="1"/>
    <col min="10502" max="10502" width="9.5703125" style="847" customWidth="1"/>
    <col min="10503" max="10503" width="1.7109375" style="847" customWidth="1"/>
    <col min="10504" max="10504" width="6.7109375" style="847" customWidth="1"/>
    <col min="10505" max="10505" width="9.28515625" style="847" customWidth="1"/>
    <col min="10506" max="10506" width="1.7109375" style="847" customWidth="1"/>
    <col min="10507" max="10507" width="6.7109375" style="847" customWidth="1"/>
    <col min="10508" max="10508" width="9.28515625" style="847" customWidth="1"/>
    <col min="10509" max="10509" width="1.7109375" style="847" customWidth="1"/>
    <col min="10510" max="10510" width="6.85546875" style="847" customWidth="1"/>
    <col min="10511" max="10511" width="9.28515625" style="847" customWidth="1"/>
    <col min="10512" max="10512" width="1.7109375" style="847" customWidth="1"/>
    <col min="10513" max="10513" width="6.7109375" style="847" customWidth="1"/>
    <col min="10514" max="10514" width="9.28515625" style="847" customWidth="1"/>
    <col min="10515" max="10515" width="1.7109375" style="847" customWidth="1"/>
    <col min="10516" max="10516" width="7.42578125" style="847" customWidth="1"/>
    <col min="10517" max="10517" width="9.28515625" style="847" customWidth="1"/>
    <col min="10518" max="10518" width="1.85546875" style="847" customWidth="1"/>
    <col min="10519" max="10519" width="6.7109375" style="847" customWidth="1"/>
    <col min="10520" max="10520" width="9.140625" style="847" customWidth="1"/>
    <col min="10521" max="10521" width="1.85546875" style="847" customWidth="1"/>
    <col min="10522" max="10752" width="9.140625" style="847"/>
    <col min="10753" max="10753" width="12.42578125" style="847" customWidth="1"/>
    <col min="10754" max="10755" width="7.7109375" style="847" customWidth="1"/>
    <col min="10756" max="10756" width="1.7109375" style="847" customWidth="1"/>
    <col min="10757" max="10757" width="7.7109375" style="847" customWidth="1"/>
    <col min="10758" max="10758" width="9.5703125" style="847" customWidth="1"/>
    <col min="10759" max="10759" width="1.7109375" style="847" customWidth="1"/>
    <col min="10760" max="10760" width="6.7109375" style="847" customWidth="1"/>
    <col min="10761" max="10761" width="9.28515625" style="847" customWidth="1"/>
    <col min="10762" max="10762" width="1.7109375" style="847" customWidth="1"/>
    <col min="10763" max="10763" width="6.7109375" style="847" customWidth="1"/>
    <col min="10764" max="10764" width="9.28515625" style="847" customWidth="1"/>
    <col min="10765" max="10765" width="1.7109375" style="847" customWidth="1"/>
    <col min="10766" max="10766" width="6.85546875" style="847" customWidth="1"/>
    <col min="10767" max="10767" width="9.28515625" style="847" customWidth="1"/>
    <col min="10768" max="10768" width="1.7109375" style="847" customWidth="1"/>
    <col min="10769" max="10769" width="6.7109375" style="847" customWidth="1"/>
    <col min="10770" max="10770" width="9.28515625" style="847" customWidth="1"/>
    <col min="10771" max="10771" width="1.7109375" style="847" customWidth="1"/>
    <col min="10772" max="10772" width="7.42578125" style="847" customWidth="1"/>
    <col min="10773" max="10773" width="9.28515625" style="847" customWidth="1"/>
    <col min="10774" max="10774" width="1.85546875" style="847" customWidth="1"/>
    <col min="10775" max="10775" width="6.7109375" style="847" customWidth="1"/>
    <col min="10776" max="10776" width="9.140625" style="847" customWidth="1"/>
    <col min="10777" max="10777" width="1.85546875" style="847" customWidth="1"/>
    <col min="10778" max="11008" width="9.140625" style="847"/>
    <col min="11009" max="11009" width="12.42578125" style="847" customWidth="1"/>
    <col min="11010" max="11011" width="7.7109375" style="847" customWidth="1"/>
    <col min="11012" max="11012" width="1.7109375" style="847" customWidth="1"/>
    <col min="11013" max="11013" width="7.7109375" style="847" customWidth="1"/>
    <col min="11014" max="11014" width="9.5703125" style="847" customWidth="1"/>
    <col min="11015" max="11015" width="1.7109375" style="847" customWidth="1"/>
    <col min="11016" max="11016" width="6.7109375" style="847" customWidth="1"/>
    <col min="11017" max="11017" width="9.28515625" style="847" customWidth="1"/>
    <col min="11018" max="11018" width="1.7109375" style="847" customWidth="1"/>
    <col min="11019" max="11019" width="6.7109375" style="847" customWidth="1"/>
    <col min="11020" max="11020" width="9.28515625" style="847" customWidth="1"/>
    <col min="11021" max="11021" width="1.7109375" style="847" customWidth="1"/>
    <col min="11022" max="11022" width="6.85546875" style="847" customWidth="1"/>
    <col min="11023" max="11023" width="9.28515625" style="847" customWidth="1"/>
    <col min="11024" max="11024" width="1.7109375" style="847" customWidth="1"/>
    <col min="11025" max="11025" width="6.7109375" style="847" customWidth="1"/>
    <col min="11026" max="11026" width="9.28515625" style="847" customWidth="1"/>
    <col min="11027" max="11027" width="1.7109375" style="847" customWidth="1"/>
    <col min="11028" max="11028" width="7.42578125" style="847" customWidth="1"/>
    <col min="11029" max="11029" width="9.28515625" style="847" customWidth="1"/>
    <col min="11030" max="11030" width="1.85546875" style="847" customWidth="1"/>
    <col min="11031" max="11031" width="6.7109375" style="847" customWidth="1"/>
    <col min="11032" max="11032" width="9.140625" style="847" customWidth="1"/>
    <col min="11033" max="11033" width="1.85546875" style="847" customWidth="1"/>
    <col min="11034" max="11264" width="9.140625" style="847"/>
    <col min="11265" max="11265" width="12.42578125" style="847" customWidth="1"/>
    <col min="11266" max="11267" width="7.7109375" style="847" customWidth="1"/>
    <col min="11268" max="11268" width="1.7109375" style="847" customWidth="1"/>
    <col min="11269" max="11269" width="7.7109375" style="847" customWidth="1"/>
    <col min="11270" max="11270" width="9.5703125" style="847" customWidth="1"/>
    <col min="11271" max="11271" width="1.7109375" style="847" customWidth="1"/>
    <col min="11272" max="11272" width="6.7109375" style="847" customWidth="1"/>
    <col min="11273" max="11273" width="9.28515625" style="847" customWidth="1"/>
    <col min="11274" max="11274" width="1.7109375" style="847" customWidth="1"/>
    <col min="11275" max="11275" width="6.7109375" style="847" customWidth="1"/>
    <col min="11276" max="11276" width="9.28515625" style="847" customWidth="1"/>
    <col min="11277" max="11277" width="1.7109375" style="847" customWidth="1"/>
    <col min="11278" max="11278" width="6.85546875" style="847" customWidth="1"/>
    <col min="11279" max="11279" width="9.28515625" style="847" customWidth="1"/>
    <col min="11280" max="11280" width="1.7109375" style="847" customWidth="1"/>
    <col min="11281" max="11281" width="6.7109375" style="847" customWidth="1"/>
    <col min="11282" max="11282" width="9.28515625" style="847" customWidth="1"/>
    <col min="11283" max="11283" width="1.7109375" style="847" customWidth="1"/>
    <col min="11284" max="11284" width="7.42578125" style="847" customWidth="1"/>
    <col min="11285" max="11285" width="9.28515625" style="847" customWidth="1"/>
    <col min="11286" max="11286" width="1.85546875" style="847" customWidth="1"/>
    <col min="11287" max="11287" width="6.7109375" style="847" customWidth="1"/>
    <col min="11288" max="11288" width="9.140625" style="847" customWidth="1"/>
    <col min="11289" max="11289" width="1.85546875" style="847" customWidth="1"/>
    <col min="11290" max="11520" width="9.140625" style="847"/>
    <col min="11521" max="11521" width="12.42578125" style="847" customWidth="1"/>
    <col min="11522" max="11523" width="7.7109375" style="847" customWidth="1"/>
    <col min="11524" max="11524" width="1.7109375" style="847" customWidth="1"/>
    <col min="11525" max="11525" width="7.7109375" style="847" customWidth="1"/>
    <col min="11526" max="11526" width="9.5703125" style="847" customWidth="1"/>
    <col min="11527" max="11527" width="1.7109375" style="847" customWidth="1"/>
    <col min="11528" max="11528" width="6.7109375" style="847" customWidth="1"/>
    <col min="11529" max="11529" width="9.28515625" style="847" customWidth="1"/>
    <col min="11530" max="11530" width="1.7109375" style="847" customWidth="1"/>
    <col min="11531" max="11531" width="6.7109375" style="847" customWidth="1"/>
    <col min="11532" max="11532" width="9.28515625" style="847" customWidth="1"/>
    <col min="11533" max="11533" width="1.7109375" style="847" customWidth="1"/>
    <col min="11534" max="11534" width="6.85546875" style="847" customWidth="1"/>
    <col min="11535" max="11535" width="9.28515625" style="847" customWidth="1"/>
    <col min="11536" max="11536" width="1.7109375" style="847" customWidth="1"/>
    <col min="11537" max="11537" width="6.7109375" style="847" customWidth="1"/>
    <col min="11538" max="11538" width="9.28515625" style="847" customWidth="1"/>
    <col min="11539" max="11539" width="1.7109375" style="847" customWidth="1"/>
    <col min="11540" max="11540" width="7.42578125" style="847" customWidth="1"/>
    <col min="11541" max="11541" width="9.28515625" style="847" customWidth="1"/>
    <col min="11542" max="11542" width="1.85546875" style="847" customWidth="1"/>
    <col min="11543" max="11543" width="6.7109375" style="847" customWidth="1"/>
    <col min="11544" max="11544" width="9.140625" style="847" customWidth="1"/>
    <col min="11545" max="11545" width="1.85546875" style="847" customWidth="1"/>
    <col min="11546" max="11776" width="9.140625" style="847"/>
    <col min="11777" max="11777" width="12.42578125" style="847" customWidth="1"/>
    <col min="11778" max="11779" width="7.7109375" style="847" customWidth="1"/>
    <col min="11780" max="11780" width="1.7109375" style="847" customWidth="1"/>
    <col min="11781" max="11781" width="7.7109375" style="847" customWidth="1"/>
    <col min="11782" max="11782" width="9.5703125" style="847" customWidth="1"/>
    <col min="11783" max="11783" width="1.7109375" style="847" customWidth="1"/>
    <col min="11784" max="11784" width="6.7109375" style="847" customWidth="1"/>
    <col min="11785" max="11785" width="9.28515625" style="847" customWidth="1"/>
    <col min="11786" max="11786" width="1.7109375" style="847" customWidth="1"/>
    <col min="11787" max="11787" width="6.7109375" style="847" customWidth="1"/>
    <col min="11788" max="11788" width="9.28515625" style="847" customWidth="1"/>
    <col min="11789" max="11789" width="1.7109375" style="847" customWidth="1"/>
    <col min="11790" max="11790" width="6.85546875" style="847" customWidth="1"/>
    <col min="11791" max="11791" width="9.28515625" style="847" customWidth="1"/>
    <col min="11792" max="11792" width="1.7109375" style="847" customWidth="1"/>
    <col min="11793" max="11793" width="6.7109375" style="847" customWidth="1"/>
    <col min="11794" max="11794" width="9.28515625" style="847" customWidth="1"/>
    <col min="11795" max="11795" width="1.7109375" style="847" customWidth="1"/>
    <col min="11796" max="11796" width="7.42578125" style="847" customWidth="1"/>
    <col min="11797" max="11797" width="9.28515625" style="847" customWidth="1"/>
    <col min="11798" max="11798" width="1.85546875" style="847" customWidth="1"/>
    <col min="11799" max="11799" width="6.7109375" style="847" customWidth="1"/>
    <col min="11800" max="11800" width="9.140625" style="847" customWidth="1"/>
    <col min="11801" max="11801" width="1.85546875" style="847" customWidth="1"/>
    <col min="11802" max="12032" width="9.140625" style="847"/>
    <col min="12033" max="12033" width="12.42578125" style="847" customWidth="1"/>
    <col min="12034" max="12035" width="7.7109375" style="847" customWidth="1"/>
    <col min="12036" max="12036" width="1.7109375" style="847" customWidth="1"/>
    <col min="12037" max="12037" width="7.7109375" style="847" customWidth="1"/>
    <col min="12038" max="12038" width="9.5703125" style="847" customWidth="1"/>
    <col min="12039" max="12039" width="1.7109375" style="847" customWidth="1"/>
    <col min="12040" max="12040" width="6.7109375" style="847" customWidth="1"/>
    <col min="12041" max="12041" width="9.28515625" style="847" customWidth="1"/>
    <col min="12042" max="12042" width="1.7109375" style="847" customWidth="1"/>
    <col min="12043" max="12043" width="6.7109375" style="847" customWidth="1"/>
    <col min="12044" max="12044" width="9.28515625" style="847" customWidth="1"/>
    <col min="12045" max="12045" width="1.7109375" style="847" customWidth="1"/>
    <col min="12046" max="12046" width="6.85546875" style="847" customWidth="1"/>
    <col min="12047" max="12047" width="9.28515625" style="847" customWidth="1"/>
    <col min="12048" max="12048" width="1.7109375" style="847" customWidth="1"/>
    <col min="12049" max="12049" width="6.7109375" style="847" customWidth="1"/>
    <col min="12050" max="12050" width="9.28515625" style="847" customWidth="1"/>
    <col min="12051" max="12051" width="1.7109375" style="847" customWidth="1"/>
    <col min="12052" max="12052" width="7.42578125" style="847" customWidth="1"/>
    <col min="12053" max="12053" width="9.28515625" style="847" customWidth="1"/>
    <col min="12054" max="12054" width="1.85546875" style="847" customWidth="1"/>
    <col min="12055" max="12055" width="6.7109375" style="847" customWidth="1"/>
    <col min="12056" max="12056" width="9.140625" style="847" customWidth="1"/>
    <col min="12057" max="12057" width="1.85546875" style="847" customWidth="1"/>
    <col min="12058" max="12288" width="9.140625" style="847"/>
    <col min="12289" max="12289" width="12.42578125" style="847" customWidth="1"/>
    <col min="12290" max="12291" width="7.7109375" style="847" customWidth="1"/>
    <col min="12292" max="12292" width="1.7109375" style="847" customWidth="1"/>
    <col min="12293" max="12293" width="7.7109375" style="847" customWidth="1"/>
    <col min="12294" max="12294" width="9.5703125" style="847" customWidth="1"/>
    <col min="12295" max="12295" width="1.7109375" style="847" customWidth="1"/>
    <col min="12296" max="12296" width="6.7109375" style="847" customWidth="1"/>
    <col min="12297" max="12297" width="9.28515625" style="847" customWidth="1"/>
    <col min="12298" max="12298" width="1.7109375" style="847" customWidth="1"/>
    <col min="12299" max="12299" width="6.7109375" style="847" customWidth="1"/>
    <col min="12300" max="12300" width="9.28515625" style="847" customWidth="1"/>
    <col min="12301" max="12301" width="1.7109375" style="847" customWidth="1"/>
    <col min="12302" max="12302" width="6.85546875" style="847" customWidth="1"/>
    <col min="12303" max="12303" width="9.28515625" style="847" customWidth="1"/>
    <col min="12304" max="12304" width="1.7109375" style="847" customWidth="1"/>
    <col min="12305" max="12305" width="6.7109375" style="847" customWidth="1"/>
    <col min="12306" max="12306" width="9.28515625" style="847" customWidth="1"/>
    <col min="12307" max="12307" width="1.7109375" style="847" customWidth="1"/>
    <col min="12308" max="12308" width="7.42578125" style="847" customWidth="1"/>
    <col min="12309" max="12309" width="9.28515625" style="847" customWidth="1"/>
    <col min="12310" max="12310" width="1.85546875" style="847" customWidth="1"/>
    <col min="12311" max="12311" width="6.7109375" style="847" customWidth="1"/>
    <col min="12312" max="12312" width="9.140625" style="847" customWidth="1"/>
    <col min="12313" max="12313" width="1.85546875" style="847" customWidth="1"/>
    <col min="12314" max="12544" width="9.140625" style="847"/>
    <col min="12545" max="12545" width="12.42578125" style="847" customWidth="1"/>
    <col min="12546" max="12547" width="7.7109375" style="847" customWidth="1"/>
    <col min="12548" max="12548" width="1.7109375" style="847" customWidth="1"/>
    <col min="12549" max="12549" width="7.7109375" style="847" customWidth="1"/>
    <col min="12550" max="12550" width="9.5703125" style="847" customWidth="1"/>
    <col min="12551" max="12551" width="1.7109375" style="847" customWidth="1"/>
    <col min="12552" max="12552" width="6.7109375" style="847" customWidth="1"/>
    <col min="12553" max="12553" width="9.28515625" style="847" customWidth="1"/>
    <col min="12554" max="12554" width="1.7109375" style="847" customWidth="1"/>
    <col min="12555" max="12555" width="6.7109375" style="847" customWidth="1"/>
    <col min="12556" max="12556" width="9.28515625" style="847" customWidth="1"/>
    <col min="12557" max="12557" width="1.7109375" style="847" customWidth="1"/>
    <col min="12558" max="12558" width="6.85546875" style="847" customWidth="1"/>
    <col min="12559" max="12559" width="9.28515625" style="847" customWidth="1"/>
    <col min="12560" max="12560" width="1.7109375" style="847" customWidth="1"/>
    <col min="12561" max="12561" width="6.7109375" style="847" customWidth="1"/>
    <col min="12562" max="12562" width="9.28515625" style="847" customWidth="1"/>
    <col min="12563" max="12563" width="1.7109375" style="847" customWidth="1"/>
    <col min="12564" max="12564" width="7.42578125" style="847" customWidth="1"/>
    <col min="12565" max="12565" width="9.28515625" style="847" customWidth="1"/>
    <col min="12566" max="12566" width="1.85546875" style="847" customWidth="1"/>
    <col min="12567" max="12567" width="6.7109375" style="847" customWidth="1"/>
    <col min="12568" max="12568" width="9.140625" style="847" customWidth="1"/>
    <col min="12569" max="12569" width="1.85546875" style="847" customWidth="1"/>
    <col min="12570" max="12800" width="9.140625" style="847"/>
    <col min="12801" max="12801" width="12.42578125" style="847" customWidth="1"/>
    <col min="12802" max="12803" width="7.7109375" style="847" customWidth="1"/>
    <col min="12804" max="12804" width="1.7109375" style="847" customWidth="1"/>
    <col min="12805" max="12805" width="7.7109375" style="847" customWidth="1"/>
    <col min="12806" max="12806" width="9.5703125" style="847" customWidth="1"/>
    <col min="12807" max="12807" width="1.7109375" style="847" customWidth="1"/>
    <col min="12808" max="12808" width="6.7109375" style="847" customWidth="1"/>
    <col min="12809" max="12809" width="9.28515625" style="847" customWidth="1"/>
    <col min="12810" max="12810" width="1.7109375" style="847" customWidth="1"/>
    <col min="12811" max="12811" width="6.7109375" style="847" customWidth="1"/>
    <col min="12812" max="12812" width="9.28515625" style="847" customWidth="1"/>
    <col min="12813" max="12813" width="1.7109375" style="847" customWidth="1"/>
    <col min="12814" max="12814" width="6.85546875" style="847" customWidth="1"/>
    <col min="12815" max="12815" width="9.28515625" style="847" customWidth="1"/>
    <col min="12816" max="12816" width="1.7109375" style="847" customWidth="1"/>
    <col min="12817" max="12817" width="6.7109375" style="847" customWidth="1"/>
    <col min="12818" max="12818" width="9.28515625" style="847" customWidth="1"/>
    <col min="12819" max="12819" width="1.7109375" style="847" customWidth="1"/>
    <col min="12820" max="12820" width="7.42578125" style="847" customWidth="1"/>
    <col min="12821" max="12821" width="9.28515625" style="847" customWidth="1"/>
    <col min="12822" max="12822" width="1.85546875" style="847" customWidth="1"/>
    <col min="12823" max="12823" width="6.7109375" style="847" customWidth="1"/>
    <col min="12824" max="12824" width="9.140625" style="847" customWidth="1"/>
    <col min="12825" max="12825" width="1.85546875" style="847" customWidth="1"/>
    <col min="12826" max="13056" width="9.140625" style="847"/>
    <col min="13057" max="13057" width="12.42578125" style="847" customWidth="1"/>
    <col min="13058" max="13059" width="7.7109375" style="847" customWidth="1"/>
    <col min="13060" max="13060" width="1.7109375" style="847" customWidth="1"/>
    <col min="13061" max="13061" width="7.7109375" style="847" customWidth="1"/>
    <col min="13062" max="13062" width="9.5703125" style="847" customWidth="1"/>
    <col min="13063" max="13063" width="1.7109375" style="847" customWidth="1"/>
    <col min="13064" max="13064" width="6.7109375" style="847" customWidth="1"/>
    <col min="13065" max="13065" width="9.28515625" style="847" customWidth="1"/>
    <col min="13066" max="13066" width="1.7109375" style="847" customWidth="1"/>
    <col min="13067" max="13067" width="6.7109375" style="847" customWidth="1"/>
    <col min="13068" max="13068" width="9.28515625" style="847" customWidth="1"/>
    <col min="13069" max="13069" width="1.7109375" style="847" customWidth="1"/>
    <col min="13070" max="13070" width="6.85546875" style="847" customWidth="1"/>
    <col min="13071" max="13071" width="9.28515625" style="847" customWidth="1"/>
    <col min="13072" max="13072" width="1.7109375" style="847" customWidth="1"/>
    <col min="13073" max="13073" width="6.7109375" style="847" customWidth="1"/>
    <col min="13074" max="13074" width="9.28515625" style="847" customWidth="1"/>
    <col min="13075" max="13075" width="1.7109375" style="847" customWidth="1"/>
    <col min="13076" max="13076" width="7.42578125" style="847" customWidth="1"/>
    <col min="13077" max="13077" width="9.28515625" style="847" customWidth="1"/>
    <col min="13078" max="13078" width="1.85546875" style="847" customWidth="1"/>
    <col min="13079" max="13079" width="6.7109375" style="847" customWidth="1"/>
    <col min="13080" max="13080" width="9.140625" style="847" customWidth="1"/>
    <col min="13081" max="13081" width="1.85546875" style="847" customWidth="1"/>
    <col min="13082" max="13312" width="9.140625" style="847"/>
    <col min="13313" max="13313" width="12.42578125" style="847" customWidth="1"/>
    <col min="13314" max="13315" width="7.7109375" style="847" customWidth="1"/>
    <col min="13316" max="13316" width="1.7109375" style="847" customWidth="1"/>
    <col min="13317" max="13317" width="7.7109375" style="847" customWidth="1"/>
    <col min="13318" max="13318" width="9.5703125" style="847" customWidth="1"/>
    <col min="13319" max="13319" width="1.7109375" style="847" customWidth="1"/>
    <col min="13320" max="13320" width="6.7109375" style="847" customWidth="1"/>
    <col min="13321" max="13321" width="9.28515625" style="847" customWidth="1"/>
    <col min="13322" max="13322" width="1.7109375" style="847" customWidth="1"/>
    <col min="13323" max="13323" width="6.7109375" style="847" customWidth="1"/>
    <col min="13324" max="13324" width="9.28515625" style="847" customWidth="1"/>
    <col min="13325" max="13325" width="1.7109375" style="847" customWidth="1"/>
    <col min="13326" max="13326" width="6.85546875" style="847" customWidth="1"/>
    <col min="13327" max="13327" width="9.28515625" style="847" customWidth="1"/>
    <col min="13328" max="13328" width="1.7109375" style="847" customWidth="1"/>
    <col min="13329" max="13329" width="6.7109375" style="847" customWidth="1"/>
    <col min="13330" max="13330" width="9.28515625" style="847" customWidth="1"/>
    <col min="13331" max="13331" width="1.7109375" style="847" customWidth="1"/>
    <col min="13332" max="13332" width="7.42578125" style="847" customWidth="1"/>
    <col min="13333" max="13333" width="9.28515625" style="847" customWidth="1"/>
    <col min="13334" max="13334" width="1.85546875" style="847" customWidth="1"/>
    <col min="13335" max="13335" width="6.7109375" style="847" customWidth="1"/>
    <col min="13336" max="13336" width="9.140625" style="847" customWidth="1"/>
    <col min="13337" max="13337" width="1.85546875" style="847" customWidth="1"/>
    <col min="13338" max="13568" width="9.140625" style="847"/>
    <col min="13569" max="13569" width="12.42578125" style="847" customWidth="1"/>
    <col min="13570" max="13571" width="7.7109375" style="847" customWidth="1"/>
    <col min="13572" max="13572" width="1.7109375" style="847" customWidth="1"/>
    <col min="13573" max="13573" width="7.7109375" style="847" customWidth="1"/>
    <col min="13574" max="13574" width="9.5703125" style="847" customWidth="1"/>
    <col min="13575" max="13575" width="1.7109375" style="847" customWidth="1"/>
    <col min="13576" max="13576" width="6.7109375" style="847" customWidth="1"/>
    <col min="13577" max="13577" width="9.28515625" style="847" customWidth="1"/>
    <col min="13578" max="13578" width="1.7109375" style="847" customWidth="1"/>
    <col min="13579" max="13579" width="6.7109375" style="847" customWidth="1"/>
    <col min="13580" max="13580" width="9.28515625" style="847" customWidth="1"/>
    <col min="13581" max="13581" width="1.7109375" style="847" customWidth="1"/>
    <col min="13582" max="13582" width="6.85546875" style="847" customWidth="1"/>
    <col min="13583" max="13583" width="9.28515625" style="847" customWidth="1"/>
    <col min="13584" max="13584" width="1.7109375" style="847" customWidth="1"/>
    <col min="13585" max="13585" width="6.7109375" style="847" customWidth="1"/>
    <col min="13586" max="13586" width="9.28515625" style="847" customWidth="1"/>
    <col min="13587" max="13587" width="1.7109375" style="847" customWidth="1"/>
    <col min="13588" max="13588" width="7.42578125" style="847" customWidth="1"/>
    <col min="13589" max="13589" width="9.28515625" style="847" customWidth="1"/>
    <col min="13590" max="13590" width="1.85546875" style="847" customWidth="1"/>
    <col min="13591" max="13591" width="6.7109375" style="847" customWidth="1"/>
    <col min="13592" max="13592" width="9.140625" style="847" customWidth="1"/>
    <col min="13593" max="13593" width="1.85546875" style="847" customWidth="1"/>
    <col min="13594" max="13824" width="9.140625" style="847"/>
    <col min="13825" max="13825" width="12.42578125" style="847" customWidth="1"/>
    <col min="13826" max="13827" width="7.7109375" style="847" customWidth="1"/>
    <col min="13828" max="13828" width="1.7109375" style="847" customWidth="1"/>
    <col min="13829" max="13829" width="7.7109375" style="847" customWidth="1"/>
    <col min="13830" max="13830" width="9.5703125" style="847" customWidth="1"/>
    <col min="13831" max="13831" width="1.7109375" style="847" customWidth="1"/>
    <col min="13832" max="13832" width="6.7109375" style="847" customWidth="1"/>
    <col min="13833" max="13833" width="9.28515625" style="847" customWidth="1"/>
    <col min="13834" max="13834" width="1.7109375" style="847" customWidth="1"/>
    <col min="13835" max="13835" width="6.7109375" style="847" customWidth="1"/>
    <col min="13836" max="13836" width="9.28515625" style="847" customWidth="1"/>
    <col min="13837" max="13837" width="1.7109375" style="847" customWidth="1"/>
    <col min="13838" max="13838" width="6.85546875" style="847" customWidth="1"/>
    <col min="13839" max="13839" width="9.28515625" style="847" customWidth="1"/>
    <col min="13840" max="13840" width="1.7109375" style="847" customWidth="1"/>
    <col min="13841" max="13841" width="6.7109375" style="847" customWidth="1"/>
    <col min="13842" max="13842" width="9.28515625" style="847" customWidth="1"/>
    <col min="13843" max="13843" width="1.7109375" style="847" customWidth="1"/>
    <col min="13844" max="13844" width="7.42578125" style="847" customWidth="1"/>
    <col min="13845" max="13845" width="9.28515625" style="847" customWidth="1"/>
    <col min="13846" max="13846" width="1.85546875" style="847" customWidth="1"/>
    <col min="13847" max="13847" width="6.7109375" style="847" customWidth="1"/>
    <col min="13848" max="13848" width="9.140625" style="847" customWidth="1"/>
    <col min="13849" max="13849" width="1.85546875" style="847" customWidth="1"/>
    <col min="13850" max="14080" width="9.140625" style="847"/>
    <col min="14081" max="14081" width="12.42578125" style="847" customWidth="1"/>
    <col min="14082" max="14083" width="7.7109375" style="847" customWidth="1"/>
    <col min="14084" max="14084" width="1.7109375" style="847" customWidth="1"/>
    <col min="14085" max="14085" width="7.7109375" style="847" customWidth="1"/>
    <col min="14086" max="14086" width="9.5703125" style="847" customWidth="1"/>
    <col min="14087" max="14087" width="1.7109375" style="847" customWidth="1"/>
    <col min="14088" max="14088" width="6.7109375" style="847" customWidth="1"/>
    <col min="14089" max="14089" width="9.28515625" style="847" customWidth="1"/>
    <col min="14090" max="14090" width="1.7109375" style="847" customWidth="1"/>
    <col min="14091" max="14091" width="6.7109375" style="847" customWidth="1"/>
    <col min="14092" max="14092" width="9.28515625" style="847" customWidth="1"/>
    <col min="14093" max="14093" width="1.7109375" style="847" customWidth="1"/>
    <col min="14094" max="14094" width="6.85546875" style="847" customWidth="1"/>
    <col min="14095" max="14095" width="9.28515625" style="847" customWidth="1"/>
    <col min="14096" max="14096" width="1.7109375" style="847" customWidth="1"/>
    <col min="14097" max="14097" width="6.7109375" style="847" customWidth="1"/>
    <col min="14098" max="14098" width="9.28515625" style="847" customWidth="1"/>
    <col min="14099" max="14099" width="1.7109375" style="847" customWidth="1"/>
    <col min="14100" max="14100" width="7.42578125" style="847" customWidth="1"/>
    <col min="14101" max="14101" width="9.28515625" style="847" customWidth="1"/>
    <col min="14102" max="14102" width="1.85546875" style="847" customWidth="1"/>
    <col min="14103" max="14103" width="6.7109375" style="847" customWidth="1"/>
    <col min="14104" max="14104" width="9.140625" style="847" customWidth="1"/>
    <col min="14105" max="14105" width="1.85546875" style="847" customWidth="1"/>
    <col min="14106" max="14336" width="9.140625" style="847"/>
    <col min="14337" max="14337" width="12.42578125" style="847" customWidth="1"/>
    <col min="14338" max="14339" width="7.7109375" style="847" customWidth="1"/>
    <col min="14340" max="14340" width="1.7109375" style="847" customWidth="1"/>
    <col min="14341" max="14341" width="7.7109375" style="847" customWidth="1"/>
    <col min="14342" max="14342" width="9.5703125" style="847" customWidth="1"/>
    <col min="14343" max="14343" width="1.7109375" style="847" customWidth="1"/>
    <col min="14344" max="14344" width="6.7109375" style="847" customWidth="1"/>
    <col min="14345" max="14345" width="9.28515625" style="847" customWidth="1"/>
    <col min="14346" max="14346" width="1.7109375" style="847" customWidth="1"/>
    <col min="14347" max="14347" width="6.7109375" style="847" customWidth="1"/>
    <col min="14348" max="14348" width="9.28515625" style="847" customWidth="1"/>
    <col min="14349" max="14349" width="1.7109375" style="847" customWidth="1"/>
    <col min="14350" max="14350" width="6.85546875" style="847" customWidth="1"/>
    <col min="14351" max="14351" width="9.28515625" style="847" customWidth="1"/>
    <col min="14352" max="14352" width="1.7109375" style="847" customWidth="1"/>
    <col min="14353" max="14353" width="6.7109375" style="847" customWidth="1"/>
    <col min="14354" max="14354" width="9.28515625" style="847" customWidth="1"/>
    <col min="14355" max="14355" width="1.7109375" style="847" customWidth="1"/>
    <col min="14356" max="14356" width="7.42578125" style="847" customWidth="1"/>
    <col min="14357" max="14357" width="9.28515625" style="847" customWidth="1"/>
    <col min="14358" max="14358" width="1.85546875" style="847" customWidth="1"/>
    <col min="14359" max="14359" width="6.7109375" style="847" customWidth="1"/>
    <col min="14360" max="14360" width="9.140625" style="847" customWidth="1"/>
    <col min="14361" max="14361" width="1.85546875" style="847" customWidth="1"/>
    <col min="14362" max="14592" width="9.140625" style="847"/>
    <col min="14593" max="14593" width="12.42578125" style="847" customWidth="1"/>
    <col min="14594" max="14595" width="7.7109375" style="847" customWidth="1"/>
    <col min="14596" max="14596" width="1.7109375" style="847" customWidth="1"/>
    <col min="14597" max="14597" width="7.7109375" style="847" customWidth="1"/>
    <col min="14598" max="14598" width="9.5703125" style="847" customWidth="1"/>
    <col min="14599" max="14599" width="1.7109375" style="847" customWidth="1"/>
    <col min="14600" max="14600" width="6.7109375" style="847" customWidth="1"/>
    <col min="14601" max="14601" width="9.28515625" style="847" customWidth="1"/>
    <col min="14602" max="14602" width="1.7109375" style="847" customWidth="1"/>
    <col min="14603" max="14603" width="6.7109375" style="847" customWidth="1"/>
    <col min="14604" max="14604" width="9.28515625" style="847" customWidth="1"/>
    <col min="14605" max="14605" width="1.7109375" style="847" customWidth="1"/>
    <col min="14606" max="14606" width="6.85546875" style="847" customWidth="1"/>
    <col min="14607" max="14607" width="9.28515625" style="847" customWidth="1"/>
    <col min="14608" max="14608" width="1.7109375" style="847" customWidth="1"/>
    <col min="14609" max="14609" width="6.7109375" style="847" customWidth="1"/>
    <col min="14610" max="14610" width="9.28515625" style="847" customWidth="1"/>
    <col min="14611" max="14611" width="1.7109375" style="847" customWidth="1"/>
    <col min="14612" max="14612" width="7.42578125" style="847" customWidth="1"/>
    <col min="14613" max="14613" width="9.28515625" style="847" customWidth="1"/>
    <col min="14614" max="14614" width="1.85546875" style="847" customWidth="1"/>
    <col min="14615" max="14615" width="6.7109375" style="847" customWidth="1"/>
    <col min="14616" max="14616" width="9.140625" style="847" customWidth="1"/>
    <col min="14617" max="14617" width="1.85546875" style="847" customWidth="1"/>
    <col min="14618" max="14848" width="9.140625" style="847"/>
    <col min="14849" max="14849" width="12.42578125" style="847" customWidth="1"/>
    <col min="14850" max="14851" width="7.7109375" style="847" customWidth="1"/>
    <col min="14852" max="14852" width="1.7109375" style="847" customWidth="1"/>
    <col min="14853" max="14853" width="7.7109375" style="847" customWidth="1"/>
    <col min="14854" max="14854" width="9.5703125" style="847" customWidth="1"/>
    <col min="14855" max="14855" width="1.7109375" style="847" customWidth="1"/>
    <col min="14856" max="14856" width="6.7109375" style="847" customWidth="1"/>
    <col min="14857" max="14857" width="9.28515625" style="847" customWidth="1"/>
    <col min="14858" max="14858" width="1.7109375" style="847" customWidth="1"/>
    <col min="14859" max="14859" width="6.7109375" style="847" customWidth="1"/>
    <col min="14860" max="14860" width="9.28515625" style="847" customWidth="1"/>
    <col min="14861" max="14861" width="1.7109375" style="847" customWidth="1"/>
    <col min="14862" max="14862" width="6.85546875" style="847" customWidth="1"/>
    <col min="14863" max="14863" width="9.28515625" style="847" customWidth="1"/>
    <col min="14864" max="14864" width="1.7109375" style="847" customWidth="1"/>
    <col min="14865" max="14865" width="6.7109375" style="847" customWidth="1"/>
    <col min="14866" max="14866" width="9.28515625" style="847" customWidth="1"/>
    <col min="14867" max="14867" width="1.7109375" style="847" customWidth="1"/>
    <col min="14868" max="14868" width="7.42578125" style="847" customWidth="1"/>
    <col min="14869" max="14869" width="9.28515625" style="847" customWidth="1"/>
    <col min="14870" max="14870" width="1.85546875" style="847" customWidth="1"/>
    <col min="14871" max="14871" width="6.7109375" style="847" customWidth="1"/>
    <col min="14872" max="14872" width="9.140625" style="847" customWidth="1"/>
    <col min="14873" max="14873" width="1.85546875" style="847" customWidth="1"/>
    <col min="14874" max="15104" width="9.140625" style="847"/>
    <col min="15105" max="15105" width="12.42578125" style="847" customWidth="1"/>
    <col min="15106" max="15107" width="7.7109375" style="847" customWidth="1"/>
    <col min="15108" max="15108" width="1.7109375" style="847" customWidth="1"/>
    <col min="15109" max="15109" width="7.7109375" style="847" customWidth="1"/>
    <col min="15110" max="15110" width="9.5703125" style="847" customWidth="1"/>
    <col min="15111" max="15111" width="1.7109375" style="847" customWidth="1"/>
    <col min="15112" max="15112" width="6.7109375" style="847" customWidth="1"/>
    <col min="15113" max="15113" width="9.28515625" style="847" customWidth="1"/>
    <col min="15114" max="15114" width="1.7109375" style="847" customWidth="1"/>
    <col min="15115" max="15115" width="6.7109375" style="847" customWidth="1"/>
    <col min="15116" max="15116" width="9.28515625" style="847" customWidth="1"/>
    <col min="15117" max="15117" width="1.7109375" style="847" customWidth="1"/>
    <col min="15118" max="15118" width="6.85546875" style="847" customWidth="1"/>
    <col min="15119" max="15119" width="9.28515625" style="847" customWidth="1"/>
    <col min="15120" max="15120" width="1.7109375" style="847" customWidth="1"/>
    <col min="15121" max="15121" width="6.7109375" style="847" customWidth="1"/>
    <col min="15122" max="15122" width="9.28515625" style="847" customWidth="1"/>
    <col min="15123" max="15123" width="1.7109375" style="847" customWidth="1"/>
    <col min="15124" max="15124" width="7.42578125" style="847" customWidth="1"/>
    <col min="15125" max="15125" width="9.28515625" style="847" customWidth="1"/>
    <col min="15126" max="15126" width="1.85546875" style="847" customWidth="1"/>
    <col min="15127" max="15127" width="6.7109375" style="847" customWidth="1"/>
    <col min="15128" max="15128" width="9.140625" style="847" customWidth="1"/>
    <col min="15129" max="15129" width="1.85546875" style="847" customWidth="1"/>
    <col min="15130" max="15360" width="9.140625" style="847"/>
    <col min="15361" max="15361" width="12.42578125" style="847" customWidth="1"/>
    <col min="15362" max="15363" width="7.7109375" style="847" customWidth="1"/>
    <col min="15364" max="15364" width="1.7109375" style="847" customWidth="1"/>
    <col min="15365" max="15365" width="7.7109375" style="847" customWidth="1"/>
    <col min="15366" max="15366" width="9.5703125" style="847" customWidth="1"/>
    <col min="15367" max="15367" width="1.7109375" style="847" customWidth="1"/>
    <col min="15368" max="15368" width="6.7109375" style="847" customWidth="1"/>
    <col min="15369" max="15369" width="9.28515625" style="847" customWidth="1"/>
    <col min="15370" max="15370" width="1.7109375" style="847" customWidth="1"/>
    <col min="15371" max="15371" width="6.7109375" style="847" customWidth="1"/>
    <col min="15372" max="15372" width="9.28515625" style="847" customWidth="1"/>
    <col min="15373" max="15373" width="1.7109375" style="847" customWidth="1"/>
    <col min="15374" max="15374" width="6.85546875" style="847" customWidth="1"/>
    <col min="15375" max="15375" width="9.28515625" style="847" customWidth="1"/>
    <col min="15376" max="15376" width="1.7109375" style="847" customWidth="1"/>
    <col min="15377" max="15377" width="6.7109375" style="847" customWidth="1"/>
    <col min="15378" max="15378" width="9.28515625" style="847" customWidth="1"/>
    <col min="15379" max="15379" width="1.7109375" style="847" customWidth="1"/>
    <col min="15380" max="15380" width="7.42578125" style="847" customWidth="1"/>
    <col min="15381" max="15381" width="9.28515625" style="847" customWidth="1"/>
    <col min="15382" max="15382" width="1.85546875" style="847" customWidth="1"/>
    <col min="15383" max="15383" width="6.7109375" style="847" customWidth="1"/>
    <col min="15384" max="15384" width="9.140625" style="847" customWidth="1"/>
    <col min="15385" max="15385" width="1.85546875" style="847" customWidth="1"/>
    <col min="15386" max="15616" width="9.140625" style="847"/>
    <col min="15617" max="15617" width="12.42578125" style="847" customWidth="1"/>
    <col min="15618" max="15619" width="7.7109375" style="847" customWidth="1"/>
    <col min="15620" max="15620" width="1.7109375" style="847" customWidth="1"/>
    <col min="15621" max="15621" width="7.7109375" style="847" customWidth="1"/>
    <col min="15622" max="15622" width="9.5703125" style="847" customWidth="1"/>
    <col min="15623" max="15623" width="1.7109375" style="847" customWidth="1"/>
    <col min="15624" max="15624" width="6.7109375" style="847" customWidth="1"/>
    <col min="15625" max="15625" width="9.28515625" style="847" customWidth="1"/>
    <col min="15626" max="15626" width="1.7109375" style="847" customWidth="1"/>
    <col min="15627" max="15627" width="6.7109375" style="847" customWidth="1"/>
    <col min="15628" max="15628" width="9.28515625" style="847" customWidth="1"/>
    <col min="15629" max="15629" width="1.7109375" style="847" customWidth="1"/>
    <col min="15630" max="15630" width="6.85546875" style="847" customWidth="1"/>
    <col min="15631" max="15631" width="9.28515625" style="847" customWidth="1"/>
    <col min="15632" max="15632" width="1.7109375" style="847" customWidth="1"/>
    <col min="15633" max="15633" width="6.7109375" style="847" customWidth="1"/>
    <col min="15634" max="15634" width="9.28515625" style="847" customWidth="1"/>
    <col min="15635" max="15635" width="1.7109375" style="847" customWidth="1"/>
    <col min="15636" max="15636" width="7.42578125" style="847" customWidth="1"/>
    <col min="15637" max="15637" width="9.28515625" style="847" customWidth="1"/>
    <col min="15638" max="15638" width="1.85546875" style="847" customWidth="1"/>
    <col min="15639" max="15639" width="6.7109375" style="847" customWidth="1"/>
    <col min="15640" max="15640" width="9.140625" style="847" customWidth="1"/>
    <col min="15641" max="15641" width="1.85546875" style="847" customWidth="1"/>
    <col min="15642" max="15872" width="9.140625" style="847"/>
    <col min="15873" max="15873" width="12.42578125" style="847" customWidth="1"/>
    <col min="15874" max="15875" width="7.7109375" style="847" customWidth="1"/>
    <col min="15876" max="15876" width="1.7109375" style="847" customWidth="1"/>
    <col min="15877" max="15877" width="7.7109375" style="847" customWidth="1"/>
    <col min="15878" max="15878" width="9.5703125" style="847" customWidth="1"/>
    <col min="15879" max="15879" width="1.7109375" style="847" customWidth="1"/>
    <col min="15880" max="15880" width="6.7109375" style="847" customWidth="1"/>
    <col min="15881" max="15881" width="9.28515625" style="847" customWidth="1"/>
    <col min="15882" max="15882" width="1.7109375" style="847" customWidth="1"/>
    <col min="15883" max="15883" width="6.7109375" style="847" customWidth="1"/>
    <col min="15884" max="15884" width="9.28515625" style="847" customWidth="1"/>
    <col min="15885" max="15885" width="1.7109375" style="847" customWidth="1"/>
    <col min="15886" max="15886" width="6.85546875" style="847" customWidth="1"/>
    <col min="15887" max="15887" width="9.28515625" style="847" customWidth="1"/>
    <col min="15888" max="15888" width="1.7109375" style="847" customWidth="1"/>
    <col min="15889" max="15889" width="6.7109375" style="847" customWidth="1"/>
    <col min="15890" max="15890" width="9.28515625" style="847" customWidth="1"/>
    <col min="15891" max="15891" width="1.7109375" style="847" customWidth="1"/>
    <col min="15892" max="15892" width="7.42578125" style="847" customWidth="1"/>
    <col min="15893" max="15893" width="9.28515625" style="847" customWidth="1"/>
    <col min="15894" max="15894" width="1.85546875" style="847" customWidth="1"/>
    <col min="15895" max="15895" width="6.7109375" style="847" customWidth="1"/>
    <col min="15896" max="15896" width="9.140625" style="847" customWidth="1"/>
    <col min="15897" max="15897" width="1.85546875" style="847" customWidth="1"/>
    <col min="15898" max="16128" width="9.140625" style="847"/>
    <col min="16129" max="16129" width="12.42578125" style="847" customWidth="1"/>
    <col min="16130" max="16131" width="7.7109375" style="847" customWidth="1"/>
    <col min="16132" max="16132" width="1.7109375" style="847" customWidth="1"/>
    <col min="16133" max="16133" width="7.7109375" style="847" customWidth="1"/>
    <col min="16134" max="16134" width="9.5703125" style="847" customWidth="1"/>
    <col min="16135" max="16135" width="1.7109375" style="847" customWidth="1"/>
    <col min="16136" max="16136" width="6.7109375" style="847" customWidth="1"/>
    <col min="16137" max="16137" width="9.28515625" style="847" customWidth="1"/>
    <col min="16138" max="16138" width="1.7109375" style="847" customWidth="1"/>
    <col min="16139" max="16139" width="6.7109375" style="847" customWidth="1"/>
    <col min="16140" max="16140" width="9.28515625" style="847" customWidth="1"/>
    <col min="16141" max="16141" width="1.7109375" style="847" customWidth="1"/>
    <col min="16142" max="16142" width="6.85546875" style="847" customWidth="1"/>
    <col min="16143" max="16143" width="9.28515625" style="847" customWidth="1"/>
    <col min="16144" max="16144" width="1.7109375" style="847" customWidth="1"/>
    <col min="16145" max="16145" width="6.7109375" style="847" customWidth="1"/>
    <col min="16146" max="16146" width="9.28515625" style="847" customWidth="1"/>
    <col min="16147" max="16147" width="1.7109375" style="847" customWidth="1"/>
    <col min="16148" max="16148" width="7.42578125" style="847" customWidth="1"/>
    <col min="16149" max="16149" width="9.28515625" style="847" customWidth="1"/>
    <col min="16150" max="16150" width="1.85546875" style="847" customWidth="1"/>
    <col min="16151" max="16151" width="6.7109375" style="847" customWidth="1"/>
    <col min="16152" max="16152" width="9.140625" style="847" customWidth="1"/>
    <col min="16153" max="16153" width="1.85546875" style="847" customWidth="1"/>
    <col min="16154" max="16384" width="9.140625" style="847"/>
  </cols>
  <sheetData>
    <row r="1" spans="1:25">
      <c r="A1" s="847" t="s">
        <v>379</v>
      </c>
    </row>
    <row r="2" spans="1:25">
      <c r="A2" s="847" t="s">
        <v>380</v>
      </c>
      <c r="E2" s="1158"/>
      <c r="F2" s="1159"/>
    </row>
    <row r="3" spans="1:25" ht="10.5" customHeight="1"/>
    <row r="4" spans="1:25" ht="12.95" customHeight="1">
      <c r="A4" s="1182" t="s">
        <v>2154</v>
      </c>
    </row>
    <row r="5" spans="1:25" ht="12.95" customHeight="1" thickBot="1">
      <c r="L5" s="943"/>
      <c r="O5" s="943"/>
      <c r="P5" s="943"/>
      <c r="R5" s="943"/>
      <c r="S5" s="943"/>
    </row>
    <row r="6" spans="1:25" ht="12.95" customHeight="1">
      <c r="A6" s="850"/>
      <c r="B6" s="992"/>
      <c r="C6" s="993"/>
      <c r="D6" s="850"/>
      <c r="E6" s="992"/>
      <c r="F6" s="993"/>
      <c r="G6" s="850"/>
      <c r="H6" s="992"/>
      <c r="I6" s="993"/>
      <c r="J6" s="993"/>
      <c r="K6" s="992"/>
      <c r="L6" s="993"/>
      <c r="M6" s="850"/>
      <c r="N6" s="992"/>
      <c r="O6" s="993"/>
      <c r="P6" s="993"/>
      <c r="Q6" s="992"/>
      <c r="R6" s="993"/>
      <c r="S6" s="993"/>
      <c r="T6" s="993"/>
      <c r="U6" s="993"/>
      <c r="V6" s="993"/>
      <c r="W6" s="993"/>
      <c r="X6" s="993"/>
      <c r="Y6" s="993"/>
    </row>
    <row r="7" spans="1:25" ht="12.95" customHeight="1">
      <c r="A7" s="849" t="s">
        <v>1789</v>
      </c>
      <c r="B7" s="1323" t="s">
        <v>1790</v>
      </c>
      <c r="C7" s="1323"/>
      <c r="D7" s="849"/>
      <c r="E7" s="1323" t="s">
        <v>1447</v>
      </c>
      <c r="F7" s="1323"/>
      <c r="G7" s="849"/>
      <c r="H7" s="1322" t="s">
        <v>1823</v>
      </c>
      <c r="I7" s="1323"/>
      <c r="J7" s="999"/>
      <c r="K7" s="1322" t="s">
        <v>1792</v>
      </c>
      <c r="L7" s="1323"/>
      <c r="M7" s="849"/>
      <c r="N7" s="1323" t="s">
        <v>1793</v>
      </c>
      <c r="O7" s="1323"/>
      <c r="Q7" s="1322" t="s">
        <v>1794</v>
      </c>
      <c r="R7" s="1323"/>
      <c r="T7" s="1323" t="s">
        <v>1795</v>
      </c>
      <c r="U7" s="1323"/>
      <c r="W7" s="1323" t="s">
        <v>1796</v>
      </c>
      <c r="X7" s="1323"/>
    </row>
    <row r="8" spans="1:25" ht="12.95" customHeight="1">
      <c r="A8" s="847" t="s">
        <v>1797</v>
      </c>
      <c r="B8" s="1160" t="s">
        <v>323</v>
      </c>
      <c r="C8" s="1029" t="s">
        <v>324</v>
      </c>
      <c r="D8" s="849"/>
      <c r="E8" s="1160" t="s">
        <v>1824</v>
      </c>
      <c r="F8" s="1029" t="s">
        <v>1825</v>
      </c>
      <c r="G8" s="849"/>
      <c r="H8" s="1160" t="s">
        <v>1824</v>
      </c>
      <c r="I8" s="1029" t="s">
        <v>1825</v>
      </c>
      <c r="J8" s="994"/>
      <c r="K8" s="1160" t="s">
        <v>1824</v>
      </c>
      <c r="L8" s="1029" t="s">
        <v>1825</v>
      </c>
      <c r="M8" s="849"/>
      <c r="N8" s="1160" t="s">
        <v>1824</v>
      </c>
      <c r="O8" s="1029" t="s">
        <v>1825</v>
      </c>
      <c r="Q8" s="1160" t="s">
        <v>1824</v>
      </c>
      <c r="R8" s="1029" t="s">
        <v>1825</v>
      </c>
      <c r="T8" s="1160" t="s">
        <v>1824</v>
      </c>
      <c r="U8" s="1029" t="s">
        <v>1825</v>
      </c>
      <c r="W8" s="1160" t="s">
        <v>1824</v>
      </c>
      <c r="X8" s="1029" t="s">
        <v>1825</v>
      </c>
    </row>
    <row r="9" spans="1:25" ht="12.95" customHeight="1" thickBot="1">
      <c r="A9" s="848"/>
      <c r="B9" s="995"/>
      <c r="C9" s="996"/>
      <c r="D9" s="848"/>
      <c r="E9" s="995"/>
      <c r="F9" s="996"/>
      <c r="G9" s="848"/>
      <c r="H9" s="995"/>
      <c r="I9" s="996"/>
      <c r="J9" s="996"/>
      <c r="K9" s="995"/>
      <c r="L9" s="996"/>
      <c r="M9" s="848"/>
      <c r="N9" s="995"/>
      <c r="O9" s="996"/>
      <c r="P9" s="996"/>
      <c r="Q9" s="995"/>
      <c r="R9" s="996"/>
      <c r="S9" s="996"/>
      <c r="T9" s="996"/>
      <c r="U9" s="996"/>
      <c r="V9" s="996"/>
      <c r="W9" s="996"/>
      <c r="X9" s="996"/>
      <c r="Y9" s="996"/>
    </row>
    <row r="10" spans="1:25" ht="12.95" customHeight="1">
      <c r="A10" s="849"/>
      <c r="B10" s="997"/>
      <c r="C10" s="999"/>
      <c r="D10" s="849"/>
      <c r="E10" s="997"/>
      <c r="F10" s="999"/>
      <c r="G10" s="849"/>
      <c r="H10" s="997"/>
      <c r="I10" s="999"/>
      <c r="J10" s="999"/>
      <c r="K10" s="997"/>
      <c r="L10" s="999"/>
      <c r="M10" s="849"/>
      <c r="N10" s="997"/>
      <c r="O10" s="999"/>
      <c r="Q10" s="997"/>
      <c r="R10" s="999"/>
    </row>
    <row r="11" spans="1:25" ht="12.95" customHeight="1">
      <c r="A11" s="1099" t="s">
        <v>5</v>
      </c>
      <c r="B11" s="997">
        <f t="shared" ref="B11:B17" si="0">IF(A11&lt;&gt;"",E11+F11+H11+I11+K11+L11+N11+O11+Q11+R11+T11+U11+W11+X11,"")</f>
        <v>15148</v>
      </c>
      <c r="C11" s="998">
        <f>IF($A11&lt;&gt;0,SUM(C13:C17),"")</f>
        <v>99.999999999999986</v>
      </c>
      <c r="D11" s="849"/>
      <c r="E11" s="997">
        <f>IF($A11&lt;&gt;0,SUM(E13:E17),"")</f>
        <v>4448</v>
      </c>
      <c r="F11" s="997">
        <f>IF($A11&lt;&gt;0,SUM(F13:F17),"")</f>
        <v>4603</v>
      </c>
      <c r="G11" s="849"/>
      <c r="H11" s="997">
        <f>IF($A11&lt;&gt;0,SUM(H13:H17),"")</f>
        <v>992</v>
      </c>
      <c r="I11" s="997">
        <f>IF($A11&lt;&gt;0,SUM(I13:I17),"")</f>
        <v>896</v>
      </c>
      <c r="J11" s="999"/>
      <c r="K11" s="997">
        <f>IF($A11&lt;&gt;0,SUM(K13:K17),"")</f>
        <v>631</v>
      </c>
      <c r="L11" s="997">
        <f>IF($A11&lt;&gt;0,SUM(L13:L17),"")</f>
        <v>534</v>
      </c>
      <c r="M11" s="849"/>
      <c r="N11" s="997">
        <f>IF($A11&lt;&gt;0,SUM(N13:N17),"")</f>
        <v>308</v>
      </c>
      <c r="O11" s="997">
        <f>IF($A11&lt;&gt;0,SUM(O13:O17),"")</f>
        <v>863</v>
      </c>
      <c r="Q11" s="997">
        <f>IF($A11&lt;&gt;0,SUM(Q13:Q17),"")</f>
        <v>193</v>
      </c>
      <c r="R11" s="997">
        <f>IF($A11&lt;&gt;0,SUM(R13:R17),"")</f>
        <v>655</v>
      </c>
      <c r="T11" s="997">
        <f>IF($A11&lt;&gt;0,SUM(T13:T17),"")</f>
        <v>275</v>
      </c>
      <c r="U11" s="997">
        <f>IF($A11&lt;&gt;0,SUM(U13:U17),"")</f>
        <v>483</v>
      </c>
      <c r="W11" s="997">
        <f>IF($A11&lt;&gt;0,SUM(W13:W17),"")</f>
        <v>168</v>
      </c>
      <c r="X11" s="997">
        <f>IF($A11&lt;&gt;0,SUM(X13:X17),"")</f>
        <v>99</v>
      </c>
    </row>
    <row r="12" spans="1:25" ht="12.95" customHeight="1">
      <c r="A12" s="954"/>
      <c r="B12" s="997" t="str">
        <f t="shared" si="0"/>
        <v/>
      </c>
      <c r="C12" s="999" t="str">
        <f>IF($A12&lt;&gt;0,B12/$B$11*100,"")</f>
        <v/>
      </c>
      <c r="D12" s="849"/>
      <c r="E12" s="997"/>
      <c r="F12" s="997" t="str">
        <f>IF(E12&lt;&gt;0,I12+L12+O12+R12+U12,"")</f>
        <v/>
      </c>
      <c r="G12" s="1169"/>
      <c r="H12" s="1167"/>
      <c r="I12" s="1167" t="str">
        <f>IF(A12&lt;&gt;0,H12/B12*100,"")</f>
        <v/>
      </c>
      <c r="J12" s="1168"/>
      <c r="K12" s="1167"/>
      <c r="L12" s="580" t="str">
        <f>IF(A12&lt;&gt;0,K12/B12*100,"")</f>
        <v/>
      </c>
      <c r="M12" s="849"/>
      <c r="N12" s="997"/>
      <c r="O12" s="580" t="str">
        <f>IF(A12&lt;&gt;0,N12/B12*100,"")</f>
        <v/>
      </c>
      <c r="Q12" s="997"/>
      <c r="R12" s="580" t="str">
        <f>IF(A12&lt;&gt;0,Q12/B12*100,"")</f>
        <v/>
      </c>
      <c r="T12" s="942"/>
      <c r="U12" s="1179"/>
      <c r="W12" s="942"/>
      <c r="X12" s="1179"/>
    </row>
    <row r="13" spans="1:25" ht="12.95" customHeight="1">
      <c r="A13" s="1163">
        <v>3</v>
      </c>
      <c r="B13" s="997">
        <f t="shared" si="0"/>
        <v>1148</v>
      </c>
      <c r="C13" s="999">
        <f>IF($A13&lt;&gt;"",B13/$B$11*100,"")</f>
        <v>7.5785582255083179</v>
      </c>
      <c r="D13" s="849"/>
      <c r="E13" s="1142">
        <v>868</v>
      </c>
      <c r="F13" s="1142">
        <v>0</v>
      </c>
      <c r="G13" s="1142"/>
      <c r="H13" s="1142">
        <v>103</v>
      </c>
      <c r="I13" s="1142">
        <v>0</v>
      </c>
      <c r="J13" s="1142"/>
      <c r="K13" s="1142">
        <v>46</v>
      </c>
      <c r="L13" s="1142">
        <v>0</v>
      </c>
      <c r="M13" s="1142"/>
      <c r="N13" s="1142">
        <v>36</v>
      </c>
      <c r="O13" s="1142">
        <v>0</v>
      </c>
      <c r="P13" s="1142"/>
      <c r="Q13" s="1183">
        <v>22</v>
      </c>
      <c r="R13" s="1183">
        <v>0</v>
      </c>
      <c r="S13" s="1183"/>
      <c r="T13" s="1183">
        <v>38</v>
      </c>
      <c r="U13" s="1183">
        <v>0</v>
      </c>
      <c r="V13" s="1183"/>
      <c r="W13" s="1183">
        <v>35</v>
      </c>
      <c r="X13" s="1183">
        <v>0</v>
      </c>
    </row>
    <row r="14" spans="1:25" ht="12.95" customHeight="1">
      <c r="A14" s="1163"/>
      <c r="B14" s="997" t="str">
        <f t="shared" si="0"/>
        <v/>
      </c>
      <c r="C14" s="999" t="str">
        <f>IF($A14&lt;&gt;"",B14/$B$11*100,"")</f>
        <v/>
      </c>
      <c r="D14" s="849"/>
      <c r="E14" s="1142"/>
      <c r="F14" s="1142"/>
      <c r="G14" s="1142"/>
      <c r="H14" s="1142"/>
      <c r="I14" s="1142"/>
      <c r="J14" s="1142"/>
      <c r="K14" s="1142"/>
      <c r="L14" s="1142"/>
      <c r="M14" s="1142"/>
      <c r="N14" s="1142"/>
      <c r="O14" s="1142"/>
      <c r="P14" s="1142"/>
      <c r="Q14" s="1183"/>
      <c r="R14" s="1183"/>
      <c r="S14" s="1183"/>
      <c r="T14" s="1183"/>
      <c r="U14" s="1183"/>
      <c r="V14" s="1183"/>
      <c r="W14" s="1183"/>
      <c r="X14" s="1183"/>
    </row>
    <row r="15" spans="1:25" ht="12.95" customHeight="1">
      <c r="A15" s="1163">
        <v>4</v>
      </c>
      <c r="B15" s="997">
        <f t="shared" si="0"/>
        <v>1668</v>
      </c>
      <c r="C15" s="999">
        <f>IF($A15&lt;&gt;"",B15/$B$11*100,"")</f>
        <v>11.011354634275152</v>
      </c>
      <c r="D15" s="849"/>
      <c r="E15" s="1142">
        <v>718</v>
      </c>
      <c r="F15" s="1142">
        <v>433</v>
      </c>
      <c r="G15" s="1142"/>
      <c r="H15" s="1142">
        <v>103</v>
      </c>
      <c r="I15" s="1142">
        <v>54</v>
      </c>
      <c r="J15" s="1142"/>
      <c r="K15" s="1142">
        <v>63</v>
      </c>
      <c r="L15" s="1142">
        <v>31</v>
      </c>
      <c r="M15" s="1142"/>
      <c r="N15" s="1142">
        <v>40</v>
      </c>
      <c r="O15" s="1142">
        <v>62</v>
      </c>
      <c r="P15" s="1142"/>
      <c r="Q15" s="1183">
        <v>23</v>
      </c>
      <c r="R15" s="1183">
        <v>31</v>
      </c>
      <c r="S15" s="1183"/>
      <c r="T15" s="1183">
        <v>33</v>
      </c>
      <c r="U15" s="1183">
        <v>39</v>
      </c>
      <c r="V15" s="1183"/>
      <c r="W15" s="1183">
        <v>29</v>
      </c>
      <c r="X15" s="1183">
        <v>9</v>
      </c>
    </row>
    <row r="16" spans="1:25" ht="12.95" customHeight="1">
      <c r="A16" s="1163"/>
      <c r="B16" s="997" t="str">
        <f t="shared" si="0"/>
        <v/>
      </c>
      <c r="C16" s="999" t="str">
        <f>IF($A16&lt;&gt;"",B16/$B$11*100,"")</f>
        <v/>
      </c>
      <c r="D16" s="849"/>
      <c r="E16" s="1142"/>
      <c r="F16" s="1142"/>
      <c r="G16" s="1142"/>
      <c r="H16" s="1142"/>
      <c r="I16" s="1142"/>
      <c r="J16" s="1142"/>
      <c r="K16" s="1142"/>
      <c r="L16" s="1142"/>
      <c r="M16" s="1142"/>
      <c r="N16" s="1142"/>
      <c r="O16" s="1142"/>
      <c r="P16" s="1142"/>
      <c r="Q16" s="1183"/>
      <c r="R16" s="1183"/>
      <c r="S16" s="1183"/>
      <c r="T16" s="1183"/>
      <c r="U16" s="1183"/>
      <c r="V16" s="1183"/>
      <c r="W16" s="1183"/>
      <c r="X16" s="1183"/>
    </row>
    <row r="17" spans="1:25" ht="12.95" customHeight="1">
      <c r="A17" s="1163">
        <v>5</v>
      </c>
      <c r="B17" s="997">
        <f t="shared" si="0"/>
        <v>12332</v>
      </c>
      <c r="C17" s="999">
        <f>IF($A17&lt;&gt;"",B17/$B$11*100,"")</f>
        <v>81.410087140216518</v>
      </c>
      <c r="D17" s="849"/>
      <c r="E17" s="1142">
        <v>2862</v>
      </c>
      <c r="F17" s="1142">
        <v>4170</v>
      </c>
      <c r="G17" s="1142"/>
      <c r="H17" s="1142">
        <v>786</v>
      </c>
      <c r="I17" s="1142">
        <v>842</v>
      </c>
      <c r="J17" s="1142"/>
      <c r="K17" s="1142">
        <v>522</v>
      </c>
      <c r="L17" s="1142">
        <v>503</v>
      </c>
      <c r="M17" s="1142"/>
      <c r="N17" s="1142">
        <v>232</v>
      </c>
      <c r="O17" s="1142">
        <v>801</v>
      </c>
      <c r="P17" s="1142"/>
      <c r="Q17" s="1183">
        <v>148</v>
      </c>
      <c r="R17" s="1183">
        <v>624</v>
      </c>
      <c r="S17" s="1183"/>
      <c r="T17" s="1183">
        <v>204</v>
      </c>
      <c r="U17" s="1183">
        <v>444</v>
      </c>
      <c r="V17" s="1183"/>
      <c r="W17" s="1183">
        <v>104</v>
      </c>
      <c r="X17" s="1183">
        <v>90</v>
      </c>
    </row>
    <row r="18" spans="1:25" ht="12.95" customHeight="1" thickBot="1"/>
    <row r="19" spans="1:25" ht="9" customHeight="1">
      <c r="A19" s="850"/>
      <c r="B19" s="992"/>
      <c r="C19" s="993"/>
      <c r="D19" s="850"/>
      <c r="E19" s="992"/>
      <c r="F19" s="993"/>
      <c r="G19" s="850"/>
      <c r="H19" s="992"/>
      <c r="I19" s="993"/>
      <c r="J19" s="993"/>
      <c r="K19" s="992"/>
      <c r="L19" s="850"/>
      <c r="M19" s="850"/>
      <c r="N19" s="992"/>
      <c r="O19" s="850"/>
      <c r="P19" s="850"/>
      <c r="Q19" s="992"/>
      <c r="R19" s="850"/>
      <c r="S19" s="850"/>
      <c r="T19" s="850"/>
      <c r="U19" s="850"/>
      <c r="V19" s="850"/>
      <c r="W19" s="850"/>
      <c r="X19" s="850"/>
      <c r="Y19" s="850"/>
    </row>
    <row r="20" spans="1:25" ht="12" customHeight="1">
      <c r="A20" s="854" t="s">
        <v>1826</v>
      </c>
      <c r="B20" s="854"/>
      <c r="C20" s="854"/>
      <c r="D20" s="854"/>
      <c r="E20" s="854"/>
      <c r="F20" s="854"/>
      <c r="G20" s="854"/>
      <c r="H20" s="854"/>
      <c r="I20" s="854"/>
      <c r="J20" s="854"/>
      <c r="K20" s="854"/>
      <c r="L20" s="854"/>
      <c r="M20" s="854"/>
      <c r="N20" s="854"/>
      <c r="O20" s="854"/>
      <c r="P20" s="854"/>
      <c r="Q20" s="854"/>
      <c r="R20" s="854"/>
      <c r="S20" s="854"/>
      <c r="T20" s="854"/>
      <c r="U20" s="854"/>
      <c r="V20" s="854"/>
      <c r="W20" s="854"/>
      <c r="X20" s="854"/>
    </row>
    <row r="21" spans="1:25" ht="7.5" customHeight="1">
      <c r="A21" s="849"/>
      <c r="B21" s="997"/>
      <c r="C21" s="999"/>
      <c r="D21" s="849"/>
      <c r="E21" s="997"/>
      <c r="F21" s="999"/>
      <c r="G21" s="849"/>
      <c r="H21" s="997"/>
      <c r="I21" s="999"/>
      <c r="J21" s="999"/>
      <c r="K21" s="997"/>
      <c r="L21" s="849"/>
      <c r="M21" s="849"/>
      <c r="N21" s="997"/>
      <c r="O21" s="849"/>
      <c r="P21" s="849"/>
      <c r="Q21" s="997"/>
      <c r="R21" s="849"/>
      <c r="S21" s="849"/>
      <c r="T21" s="849"/>
      <c r="U21" s="849"/>
      <c r="V21" s="849"/>
    </row>
    <row r="22" spans="1:25" ht="27.75" customHeight="1">
      <c r="A22" s="1335" t="s">
        <v>1827</v>
      </c>
      <c r="B22" s="1335"/>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row>
  </sheetData>
  <mergeCells count="9">
    <mergeCell ref="A22:X22"/>
    <mergeCell ref="T7:U7"/>
    <mergeCell ref="W7:X7"/>
    <mergeCell ref="B7:C7"/>
    <mergeCell ref="E7:F7"/>
    <mergeCell ref="H7:I7"/>
    <mergeCell ref="K7:L7"/>
    <mergeCell ref="N7:O7"/>
    <mergeCell ref="Q7:R7"/>
  </mergeCells>
  <printOptions horizontalCentered="1" verticalCentered="1"/>
  <pageMargins left="0.70866141732283472" right="0.70866141732283472" top="0.74803149606299213" bottom="0.74803149606299213" header="0.31496062992125984" footer="0.31496062992125984"/>
  <pageSetup paperSize="9" scale="75" orientation="landscape" r:id="rId1"/>
</worksheet>
</file>

<file path=xl/worksheets/sheet127.xml><?xml version="1.0" encoding="utf-8"?>
<worksheet xmlns="http://schemas.openxmlformats.org/spreadsheetml/2006/main" xmlns:r="http://schemas.openxmlformats.org/officeDocument/2006/relationships">
  <dimension ref="A1:Y28"/>
  <sheetViews>
    <sheetView workbookViewId="0">
      <selection activeCell="F25" sqref="F25"/>
    </sheetView>
  </sheetViews>
  <sheetFormatPr baseColWidth="10" defaultColWidth="9.140625" defaultRowHeight="15"/>
  <cols>
    <col min="1" max="1" width="11.28515625" style="847" customWidth="1"/>
    <col min="2" max="2" width="7.7109375" style="1158" customWidth="1"/>
    <col min="3" max="3" width="7.7109375" style="943" customWidth="1"/>
    <col min="4" max="4" width="1.7109375" style="847" customWidth="1"/>
    <col min="5" max="5" width="7.7109375" style="942" customWidth="1"/>
    <col min="6" max="6" width="7.7109375" style="943" customWidth="1"/>
    <col min="7" max="7" width="1.7109375" style="847" customWidth="1"/>
    <col min="8" max="8" width="6.7109375" style="942" customWidth="1"/>
    <col min="9" max="9" width="7.7109375" style="943" customWidth="1"/>
    <col min="10" max="10" width="1.7109375" style="943" customWidth="1"/>
    <col min="11" max="11" width="6.7109375" style="942" customWidth="1"/>
    <col min="12" max="12" width="7.7109375" style="847" customWidth="1"/>
    <col min="13" max="13" width="1.7109375" style="847" customWidth="1"/>
    <col min="14" max="14" width="6.7109375" style="942" customWidth="1"/>
    <col min="15" max="15" width="7.7109375" style="847" customWidth="1"/>
    <col min="16" max="16" width="1.7109375" style="847" customWidth="1"/>
    <col min="17" max="17" width="6.7109375" style="942" customWidth="1"/>
    <col min="18" max="18" width="7.7109375" style="847" customWidth="1"/>
    <col min="19" max="19" width="1.7109375" style="847" customWidth="1"/>
    <col min="20" max="20" width="6.7109375" style="847" customWidth="1"/>
    <col min="21" max="21" width="7.7109375" style="847" customWidth="1"/>
    <col min="22" max="22" width="1.85546875" style="847" customWidth="1"/>
    <col min="23" max="23" width="6.7109375" style="847" customWidth="1"/>
    <col min="24" max="24" width="7.7109375" style="847" customWidth="1"/>
    <col min="25" max="25" width="1.7109375" style="847" customWidth="1"/>
    <col min="26" max="256" width="9.140625" style="847"/>
    <col min="257" max="257" width="11.28515625" style="847" customWidth="1"/>
    <col min="258" max="259" width="7.7109375" style="847" customWidth="1"/>
    <col min="260" max="260" width="1.7109375" style="847" customWidth="1"/>
    <col min="261" max="262" width="7.7109375" style="847" customWidth="1"/>
    <col min="263" max="263" width="1.7109375" style="847" customWidth="1"/>
    <col min="264" max="264" width="6.7109375" style="847" customWidth="1"/>
    <col min="265" max="265" width="7.7109375" style="847" customWidth="1"/>
    <col min="266" max="266" width="1.7109375" style="847" customWidth="1"/>
    <col min="267" max="267" width="6.7109375" style="847" customWidth="1"/>
    <col min="268" max="268" width="7.7109375" style="847" customWidth="1"/>
    <col min="269" max="269" width="1.7109375" style="847" customWidth="1"/>
    <col min="270" max="270" width="6.7109375" style="847" customWidth="1"/>
    <col min="271" max="271" width="7.7109375" style="847" customWidth="1"/>
    <col min="272" max="272" width="1.7109375" style="847" customWidth="1"/>
    <col min="273" max="273" width="6.7109375" style="847" customWidth="1"/>
    <col min="274" max="274" width="7.7109375" style="847" customWidth="1"/>
    <col min="275" max="275" width="1.7109375" style="847" customWidth="1"/>
    <col min="276" max="276" width="6.7109375" style="847" customWidth="1"/>
    <col min="277" max="277" width="7.7109375" style="847" customWidth="1"/>
    <col min="278" max="278" width="1.85546875" style="847" customWidth="1"/>
    <col min="279" max="279" width="6.7109375" style="847" customWidth="1"/>
    <col min="280" max="280" width="7.7109375" style="847" customWidth="1"/>
    <col min="281" max="281" width="1.7109375" style="847" customWidth="1"/>
    <col min="282" max="512" width="9.140625" style="847"/>
    <col min="513" max="513" width="11.28515625" style="847" customWidth="1"/>
    <col min="514" max="515" width="7.7109375" style="847" customWidth="1"/>
    <col min="516" max="516" width="1.7109375" style="847" customWidth="1"/>
    <col min="517" max="518" width="7.7109375" style="847" customWidth="1"/>
    <col min="519" max="519" width="1.7109375" style="847" customWidth="1"/>
    <col min="520" max="520" width="6.7109375" style="847" customWidth="1"/>
    <col min="521" max="521" width="7.7109375" style="847" customWidth="1"/>
    <col min="522" max="522" width="1.7109375" style="847" customWidth="1"/>
    <col min="523" max="523" width="6.7109375" style="847" customWidth="1"/>
    <col min="524" max="524" width="7.7109375" style="847" customWidth="1"/>
    <col min="525" max="525" width="1.7109375" style="847" customWidth="1"/>
    <col min="526" max="526" width="6.7109375" style="847" customWidth="1"/>
    <col min="527" max="527" width="7.7109375" style="847" customWidth="1"/>
    <col min="528" max="528" width="1.7109375" style="847" customWidth="1"/>
    <col min="529" max="529" width="6.7109375" style="847" customWidth="1"/>
    <col min="530" max="530" width="7.7109375" style="847" customWidth="1"/>
    <col min="531" max="531" width="1.7109375" style="847" customWidth="1"/>
    <col min="532" max="532" width="6.7109375" style="847" customWidth="1"/>
    <col min="533" max="533" width="7.7109375" style="847" customWidth="1"/>
    <col min="534" max="534" width="1.85546875" style="847" customWidth="1"/>
    <col min="535" max="535" width="6.7109375" style="847" customWidth="1"/>
    <col min="536" max="536" width="7.7109375" style="847" customWidth="1"/>
    <col min="537" max="537" width="1.7109375" style="847" customWidth="1"/>
    <col min="538" max="768" width="9.140625" style="847"/>
    <col min="769" max="769" width="11.28515625" style="847" customWidth="1"/>
    <col min="770" max="771" width="7.7109375" style="847" customWidth="1"/>
    <col min="772" max="772" width="1.7109375" style="847" customWidth="1"/>
    <col min="773" max="774" width="7.7109375" style="847" customWidth="1"/>
    <col min="775" max="775" width="1.7109375" style="847" customWidth="1"/>
    <col min="776" max="776" width="6.7109375" style="847" customWidth="1"/>
    <col min="777" max="777" width="7.7109375" style="847" customWidth="1"/>
    <col min="778" max="778" width="1.7109375" style="847" customWidth="1"/>
    <col min="779" max="779" width="6.7109375" style="847" customWidth="1"/>
    <col min="780" max="780" width="7.7109375" style="847" customWidth="1"/>
    <col min="781" max="781" width="1.7109375" style="847" customWidth="1"/>
    <col min="782" max="782" width="6.7109375" style="847" customWidth="1"/>
    <col min="783" max="783" width="7.7109375" style="847" customWidth="1"/>
    <col min="784" max="784" width="1.7109375" style="847" customWidth="1"/>
    <col min="785" max="785" width="6.7109375" style="847" customWidth="1"/>
    <col min="786" max="786" width="7.7109375" style="847" customWidth="1"/>
    <col min="787" max="787" width="1.7109375" style="847" customWidth="1"/>
    <col min="788" max="788" width="6.7109375" style="847" customWidth="1"/>
    <col min="789" max="789" width="7.7109375" style="847" customWidth="1"/>
    <col min="790" max="790" width="1.85546875" style="847" customWidth="1"/>
    <col min="791" max="791" width="6.7109375" style="847" customWidth="1"/>
    <col min="792" max="792" width="7.7109375" style="847" customWidth="1"/>
    <col min="793" max="793" width="1.7109375" style="847" customWidth="1"/>
    <col min="794" max="1024" width="9.140625" style="847"/>
    <col min="1025" max="1025" width="11.28515625" style="847" customWidth="1"/>
    <col min="1026" max="1027" width="7.7109375" style="847" customWidth="1"/>
    <col min="1028" max="1028" width="1.7109375" style="847" customWidth="1"/>
    <col min="1029" max="1030" width="7.7109375" style="847" customWidth="1"/>
    <col min="1031" max="1031" width="1.7109375" style="847" customWidth="1"/>
    <col min="1032" max="1032" width="6.7109375" style="847" customWidth="1"/>
    <col min="1033" max="1033" width="7.7109375" style="847" customWidth="1"/>
    <col min="1034" max="1034" width="1.7109375" style="847" customWidth="1"/>
    <col min="1035" max="1035" width="6.7109375" style="847" customWidth="1"/>
    <col min="1036" max="1036" width="7.7109375" style="847" customWidth="1"/>
    <col min="1037" max="1037" width="1.7109375" style="847" customWidth="1"/>
    <col min="1038" max="1038" width="6.7109375" style="847" customWidth="1"/>
    <col min="1039" max="1039" width="7.7109375" style="847" customWidth="1"/>
    <col min="1040" max="1040" width="1.7109375" style="847" customWidth="1"/>
    <col min="1041" max="1041" width="6.7109375" style="847" customWidth="1"/>
    <col min="1042" max="1042" width="7.7109375" style="847" customWidth="1"/>
    <col min="1043" max="1043" width="1.7109375" style="847" customWidth="1"/>
    <col min="1044" max="1044" width="6.7109375" style="847" customWidth="1"/>
    <col min="1045" max="1045" width="7.7109375" style="847" customWidth="1"/>
    <col min="1046" max="1046" width="1.85546875" style="847" customWidth="1"/>
    <col min="1047" max="1047" width="6.7109375" style="847" customWidth="1"/>
    <col min="1048" max="1048" width="7.7109375" style="847" customWidth="1"/>
    <col min="1049" max="1049" width="1.7109375" style="847" customWidth="1"/>
    <col min="1050" max="1280" width="9.140625" style="847"/>
    <col min="1281" max="1281" width="11.28515625" style="847" customWidth="1"/>
    <col min="1282" max="1283" width="7.7109375" style="847" customWidth="1"/>
    <col min="1284" max="1284" width="1.7109375" style="847" customWidth="1"/>
    <col min="1285" max="1286" width="7.7109375" style="847" customWidth="1"/>
    <col min="1287" max="1287" width="1.7109375" style="847" customWidth="1"/>
    <col min="1288" max="1288" width="6.7109375" style="847" customWidth="1"/>
    <col min="1289" max="1289" width="7.7109375" style="847" customWidth="1"/>
    <col min="1290" max="1290" width="1.7109375" style="847" customWidth="1"/>
    <col min="1291" max="1291" width="6.7109375" style="847" customWidth="1"/>
    <col min="1292" max="1292" width="7.7109375" style="847" customWidth="1"/>
    <col min="1293" max="1293" width="1.7109375" style="847" customWidth="1"/>
    <col min="1294" max="1294" width="6.7109375" style="847" customWidth="1"/>
    <col min="1295" max="1295" width="7.7109375" style="847" customWidth="1"/>
    <col min="1296" max="1296" width="1.7109375" style="847" customWidth="1"/>
    <col min="1297" max="1297" width="6.7109375" style="847" customWidth="1"/>
    <col min="1298" max="1298" width="7.7109375" style="847" customWidth="1"/>
    <col min="1299" max="1299" width="1.7109375" style="847" customWidth="1"/>
    <col min="1300" max="1300" width="6.7109375" style="847" customWidth="1"/>
    <col min="1301" max="1301" width="7.7109375" style="847" customWidth="1"/>
    <col min="1302" max="1302" width="1.85546875" style="847" customWidth="1"/>
    <col min="1303" max="1303" width="6.7109375" style="847" customWidth="1"/>
    <col min="1304" max="1304" width="7.7109375" style="847" customWidth="1"/>
    <col min="1305" max="1305" width="1.7109375" style="847" customWidth="1"/>
    <col min="1306" max="1536" width="9.140625" style="847"/>
    <col min="1537" max="1537" width="11.28515625" style="847" customWidth="1"/>
    <col min="1538" max="1539" width="7.7109375" style="847" customWidth="1"/>
    <col min="1540" max="1540" width="1.7109375" style="847" customWidth="1"/>
    <col min="1541" max="1542" width="7.7109375" style="847" customWidth="1"/>
    <col min="1543" max="1543" width="1.7109375" style="847" customWidth="1"/>
    <col min="1544" max="1544" width="6.7109375" style="847" customWidth="1"/>
    <col min="1545" max="1545" width="7.7109375" style="847" customWidth="1"/>
    <col min="1546" max="1546" width="1.7109375" style="847" customWidth="1"/>
    <col min="1547" max="1547" width="6.7109375" style="847" customWidth="1"/>
    <col min="1548" max="1548" width="7.7109375" style="847" customWidth="1"/>
    <col min="1549" max="1549" width="1.7109375" style="847" customWidth="1"/>
    <col min="1550" max="1550" width="6.7109375" style="847" customWidth="1"/>
    <col min="1551" max="1551" width="7.7109375" style="847" customWidth="1"/>
    <col min="1552" max="1552" width="1.7109375" style="847" customWidth="1"/>
    <col min="1553" max="1553" width="6.7109375" style="847" customWidth="1"/>
    <col min="1554" max="1554" width="7.7109375" style="847" customWidth="1"/>
    <col min="1555" max="1555" width="1.7109375" style="847" customWidth="1"/>
    <col min="1556" max="1556" width="6.7109375" style="847" customWidth="1"/>
    <col min="1557" max="1557" width="7.7109375" style="847" customWidth="1"/>
    <col min="1558" max="1558" width="1.85546875" style="847" customWidth="1"/>
    <col min="1559" max="1559" width="6.7109375" style="847" customWidth="1"/>
    <col min="1560" max="1560" width="7.7109375" style="847" customWidth="1"/>
    <col min="1561" max="1561" width="1.7109375" style="847" customWidth="1"/>
    <col min="1562" max="1792" width="9.140625" style="847"/>
    <col min="1793" max="1793" width="11.28515625" style="847" customWidth="1"/>
    <col min="1794" max="1795" width="7.7109375" style="847" customWidth="1"/>
    <col min="1796" max="1796" width="1.7109375" style="847" customWidth="1"/>
    <col min="1797" max="1798" width="7.7109375" style="847" customWidth="1"/>
    <col min="1799" max="1799" width="1.7109375" style="847" customWidth="1"/>
    <col min="1800" max="1800" width="6.7109375" style="847" customWidth="1"/>
    <col min="1801" max="1801" width="7.7109375" style="847" customWidth="1"/>
    <col min="1802" max="1802" width="1.7109375" style="847" customWidth="1"/>
    <col min="1803" max="1803" width="6.7109375" style="847" customWidth="1"/>
    <col min="1804" max="1804" width="7.7109375" style="847" customWidth="1"/>
    <col min="1805" max="1805" width="1.7109375" style="847" customWidth="1"/>
    <col min="1806" max="1806" width="6.7109375" style="847" customWidth="1"/>
    <col min="1807" max="1807" width="7.7109375" style="847" customWidth="1"/>
    <col min="1808" max="1808" width="1.7109375" style="847" customWidth="1"/>
    <col min="1809" max="1809" width="6.7109375" style="847" customWidth="1"/>
    <col min="1810" max="1810" width="7.7109375" style="847" customWidth="1"/>
    <col min="1811" max="1811" width="1.7109375" style="847" customWidth="1"/>
    <col min="1812" max="1812" width="6.7109375" style="847" customWidth="1"/>
    <col min="1813" max="1813" width="7.7109375" style="847" customWidth="1"/>
    <col min="1814" max="1814" width="1.85546875" style="847" customWidth="1"/>
    <col min="1815" max="1815" width="6.7109375" style="847" customWidth="1"/>
    <col min="1816" max="1816" width="7.7109375" style="847" customWidth="1"/>
    <col min="1817" max="1817" width="1.7109375" style="847" customWidth="1"/>
    <col min="1818" max="2048" width="9.140625" style="847"/>
    <col min="2049" max="2049" width="11.28515625" style="847" customWidth="1"/>
    <col min="2050" max="2051" width="7.7109375" style="847" customWidth="1"/>
    <col min="2052" max="2052" width="1.7109375" style="847" customWidth="1"/>
    <col min="2053" max="2054" width="7.7109375" style="847" customWidth="1"/>
    <col min="2055" max="2055" width="1.7109375" style="847" customWidth="1"/>
    <col min="2056" max="2056" width="6.7109375" style="847" customWidth="1"/>
    <col min="2057" max="2057" width="7.7109375" style="847" customWidth="1"/>
    <col min="2058" max="2058" width="1.7109375" style="847" customWidth="1"/>
    <col min="2059" max="2059" width="6.7109375" style="847" customWidth="1"/>
    <col min="2060" max="2060" width="7.7109375" style="847" customWidth="1"/>
    <col min="2061" max="2061" width="1.7109375" style="847" customWidth="1"/>
    <col min="2062" max="2062" width="6.7109375" style="847" customWidth="1"/>
    <col min="2063" max="2063" width="7.7109375" style="847" customWidth="1"/>
    <col min="2064" max="2064" width="1.7109375" style="847" customWidth="1"/>
    <col min="2065" max="2065" width="6.7109375" style="847" customWidth="1"/>
    <col min="2066" max="2066" width="7.7109375" style="847" customWidth="1"/>
    <col min="2067" max="2067" width="1.7109375" style="847" customWidth="1"/>
    <col min="2068" max="2068" width="6.7109375" style="847" customWidth="1"/>
    <col min="2069" max="2069" width="7.7109375" style="847" customWidth="1"/>
    <col min="2070" max="2070" width="1.85546875" style="847" customWidth="1"/>
    <col min="2071" max="2071" width="6.7109375" style="847" customWidth="1"/>
    <col min="2072" max="2072" width="7.7109375" style="847" customWidth="1"/>
    <col min="2073" max="2073" width="1.7109375" style="847" customWidth="1"/>
    <col min="2074" max="2304" width="9.140625" style="847"/>
    <col min="2305" max="2305" width="11.28515625" style="847" customWidth="1"/>
    <col min="2306" max="2307" width="7.7109375" style="847" customWidth="1"/>
    <col min="2308" max="2308" width="1.7109375" style="847" customWidth="1"/>
    <col min="2309" max="2310" width="7.7109375" style="847" customWidth="1"/>
    <col min="2311" max="2311" width="1.7109375" style="847" customWidth="1"/>
    <col min="2312" max="2312" width="6.7109375" style="847" customWidth="1"/>
    <col min="2313" max="2313" width="7.7109375" style="847" customWidth="1"/>
    <col min="2314" max="2314" width="1.7109375" style="847" customWidth="1"/>
    <col min="2315" max="2315" width="6.7109375" style="847" customWidth="1"/>
    <col min="2316" max="2316" width="7.7109375" style="847" customWidth="1"/>
    <col min="2317" max="2317" width="1.7109375" style="847" customWidth="1"/>
    <col min="2318" max="2318" width="6.7109375" style="847" customWidth="1"/>
    <col min="2319" max="2319" width="7.7109375" style="847" customWidth="1"/>
    <col min="2320" max="2320" width="1.7109375" style="847" customWidth="1"/>
    <col min="2321" max="2321" width="6.7109375" style="847" customWidth="1"/>
    <col min="2322" max="2322" width="7.7109375" style="847" customWidth="1"/>
    <col min="2323" max="2323" width="1.7109375" style="847" customWidth="1"/>
    <col min="2324" max="2324" width="6.7109375" style="847" customWidth="1"/>
    <col min="2325" max="2325" width="7.7109375" style="847" customWidth="1"/>
    <col min="2326" max="2326" width="1.85546875" style="847" customWidth="1"/>
    <col min="2327" max="2327" width="6.7109375" style="847" customWidth="1"/>
    <col min="2328" max="2328" width="7.7109375" style="847" customWidth="1"/>
    <col min="2329" max="2329" width="1.7109375" style="847" customWidth="1"/>
    <col min="2330" max="2560" width="9.140625" style="847"/>
    <col min="2561" max="2561" width="11.28515625" style="847" customWidth="1"/>
    <col min="2562" max="2563" width="7.7109375" style="847" customWidth="1"/>
    <col min="2564" max="2564" width="1.7109375" style="847" customWidth="1"/>
    <col min="2565" max="2566" width="7.7109375" style="847" customWidth="1"/>
    <col min="2567" max="2567" width="1.7109375" style="847" customWidth="1"/>
    <col min="2568" max="2568" width="6.7109375" style="847" customWidth="1"/>
    <col min="2569" max="2569" width="7.7109375" style="847" customWidth="1"/>
    <col min="2570" max="2570" width="1.7109375" style="847" customWidth="1"/>
    <col min="2571" max="2571" width="6.7109375" style="847" customWidth="1"/>
    <col min="2572" max="2572" width="7.7109375" style="847" customWidth="1"/>
    <col min="2573" max="2573" width="1.7109375" style="847" customWidth="1"/>
    <col min="2574" max="2574" width="6.7109375" style="847" customWidth="1"/>
    <col min="2575" max="2575" width="7.7109375" style="847" customWidth="1"/>
    <col min="2576" max="2576" width="1.7109375" style="847" customWidth="1"/>
    <col min="2577" max="2577" width="6.7109375" style="847" customWidth="1"/>
    <col min="2578" max="2578" width="7.7109375" style="847" customWidth="1"/>
    <col min="2579" max="2579" width="1.7109375" style="847" customWidth="1"/>
    <col min="2580" max="2580" width="6.7109375" style="847" customWidth="1"/>
    <col min="2581" max="2581" width="7.7109375" style="847" customWidth="1"/>
    <col min="2582" max="2582" width="1.85546875" style="847" customWidth="1"/>
    <col min="2583" max="2583" width="6.7109375" style="847" customWidth="1"/>
    <col min="2584" max="2584" width="7.7109375" style="847" customWidth="1"/>
    <col min="2585" max="2585" width="1.7109375" style="847" customWidth="1"/>
    <col min="2586" max="2816" width="9.140625" style="847"/>
    <col min="2817" max="2817" width="11.28515625" style="847" customWidth="1"/>
    <col min="2818" max="2819" width="7.7109375" style="847" customWidth="1"/>
    <col min="2820" max="2820" width="1.7109375" style="847" customWidth="1"/>
    <col min="2821" max="2822" width="7.7109375" style="847" customWidth="1"/>
    <col min="2823" max="2823" width="1.7109375" style="847" customWidth="1"/>
    <col min="2824" max="2824" width="6.7109375" style="847" customWidth="1"/>
    <col min="2825" max="2825" width="7.7109375" style="847" customWidth="1"/>
    <col min="2826" max="2826" width="1.7109375" style="847" customWidth="1"/>
    <col min="2827" max="2827" width="6.7109375" style="847" customWidth="1"/>
    <col min="2828" max="2828" width="7.7109375" style="847" customWidth="1"/>
    <col min="2829" max="2829" width="1.7109375" style="847" customWidth="1"/>
    <col min="2830" max="2830" width="6.7109375" style="847" customWidth="1"/>
    <col min="2831" max="2831" width="7.7109375" style="847" customWidth="1"/>
    <col min="2832" max="2832" width="1.7109375" style="847" customWidth="1"/>
    <col min="2833" max="2833" width="6.7109375" style="847" customWidth="1"/>
    <col min="2834" max="2834" width="7.7109375" style="847" customWidth="1"/>
    <col min="2835" max="2835" width="1.7109375" style="847" customWidth="1"/>
    <col min="2836" max="2836" width="6.7109375" style="847" customWidth="1"/>
    <col min="2837" max="2837" width="7.7109375" style="847" customWidth="1"/>
    <col min="2838" max="2838" width="1.85546875" style="847" customWidth="1"/>
    <col min="2839" max="2839" width="6.7109375" style="847" customWidth="1"/>
    <col min="2840" max="2840" width="7.7109375" style="847" customWidth="1"/>
    <col min="2841" max="2841" width="1.7109375" style="847" customWidth="1"/>
    <col min="2842" max="3072" width="9.140625" style="847"/>
    <col min="3073" max="3073" width="11.28515625" style="847" customWidth="1"/>
    <col min="3074" max="3075" width="7.7109375" style="847" customWidth="1"/>
    <col min="3076" max="3076" width="1.7109375" style="847" customWidth="1"/>
    <col min="3077" max="3078" width="7.7109375" style="847" customWidth="1"/>
    <col min="3079" max="3079" width="1.7109375" style="847" customWidth="1"/>
    <col min="3080" max="3080" width="6.7109375" style="847" customWidth="1"/>
    <col min="3081" max="3081" width="7.7109375" style="847" customWidth="1"/>
    <col min="3082" max="3082" width="1.7109375" style="847" customWidth="1"/>
    <col min="3083" max="3083" width="6.7109375" style="847" customWidth="1"/>
    <col min="3084" max="3084" width="7.7109375" style="847" customWidth="1"/>
    <col min="3085" max="3085" width="1.7109375" style="847" customWidth="1"/>
    <col min="3086" max="3086" width="6.7109375" style="847" customWidth="1"/>
    <col min="3087" max="3087" width="7.7109375" style="847" customWidth="1"/>
    <col min="3088" max="3088" width="1.7109375" style="847" customWidth="1"/>
    <col min="3089" max="3089" width="6.7109375" style="847" customWidth="1"/>
    <col min="3090" max="3090" width="7.7109375" style="847" customWidth="1"/>
    <col min="3091" max="3091" width="1.7109375" style="847" customWidth="1"/>
    <col min="3092" max="3092" width="6.7109375" style="847" customWidth="1"/>
    <col min="3093" max="3093" width="7.7109375" style="847" customWidth="1"/>
    <col min="3094" max="3094" width="1.85546875" style="847" customWidth="1"/>
    <col min="3095" max="3095" width="6.7109375" style="847" customWidth="1"/>
    <col min="3096" max="3096" width="7.7109375" style="847" customWidth="1"/>
    <col min="3097" max="3097" width="1.7109375" style="847" customWidth="1"/>
    <col min="3098" max="3328" width="9.140625" style="847"/>
    <col min="3329" max="3329" width="11.28515625" style="847" customWidth="1"/>
    <col min="3330" max="3331" width="7.7109375" style="847" customWidth="1"/>
    <col min="3332" max="3332" width="1.7109375" style="847" customWidth="1"/>
    <col min="3333" max="3334" width="7.7109375" style="847" customWidth="1"/>
    <col min="3335" max="3335" width="1.7109375" style="847" customWidth="1"/>
    <col min="3336" max="3336" width="6.7109375" style="847" customWidth="1"/>
    <col min="3337" max="3337" width="7.7109375" style="847" customWidth="1"/>
    <col min="3338" max="3338" width="1.7109375" style="847" customWidth="1"/>
    <col min="3339" max="3339" width="6.7109375" style="847" customWidth="1"/>
    <col min="3340" max="3340" width="7.7109375" style="847" customWidth="1"/>
    <col min="3341" max="3341" width="1.7109375" style="847" customWidth="1"/>
    <col min="3342" max="3342" width="6.7109375" style="847" customWidth="1"/>
    <col min="3343" max="3343" width="7.7109375" style="847" customWidth="1"/>
    <col min="3344" max="3344" width="1.7109375" style="847" customWidth="1"/>
    <col min="3345" max="3345" width="6.7109375" style="847" customWidth="1"/>
    <col min="3346" max="3346" width="7.7109375" style="847" customWidth="1"/>
    <col min="3347" max="3347" width="1.7109375" style="847" customWidth="1"/>
    <col min="3348" max="3348" width="6.7109375" style="847" customWidth="1"/>
    <col min="3349" max="3349" width="7.7109375" style="847" customWidth="1"/>
    <col min="3350" max="3350" width="1.85546875" style="847" customWidth="1"/>
    <col min="3351" max="3351" width="6.7109375" style="847" customWidth="1"/>
    <col min="3352" max="3352" width="7.7109375" style="847" customWidth="1"/>
    <col min="3353" max="3353" width="1.7109375" style="847" customWidth="1"/>
    <col min="3354" max="3584" width="9.140625" style="847"/>
    <col min="3585" max="3585" width="11.28515625" style="847" customWidth="1"/>
    <col min="3586" max="3587" width="7.7109375" style="847" customWidth="1"/>
    <col min="3588" max="3588" width="1.7109375" style="847" customWidth="1"/>
    <col min="3589" max="3590" width="7.7109375" style="847" customWidth="1"/>
    <col min="3591" max="3591" width="1.7109375" style="847" customWidth="1"/>
    <col min="3592" max="3592" width="6.7109375" style="847" customWidth="1"/>
    <col min="3593" max="3593" width="7.7109375" style="847" customWidth="1"/>
    <col min="3594" max="3594" width="1.7109375" style="847" customWidth="1"/>
    <col min="3595" max="3595" width="6.7109375" style="847" customWidth="1"/>
    <col min="3596" max="3596" width="7.7109375" style="847" customWidth="1"/>
    <col min="3597" max="3597" width="1.7109375" style="847" customWidth="1"/>
    <col min="3598" max="3598" width="6.7109375" style="847" customWidth="1"/>
    <col min="3599" max="3599" width="7.7109375" style="847" customWidth="1"/>
    <col min="3600" max="3600" width="1.7109375" style="847" customWidth="1"/>
    <col min="3601" max="3601" width="6.7109375" style="847" customWidth="1"/>
    <col min="3602" max="3602" width="7.7109375" style="847" customWidth="1"/>
    <col min="3603" max="3603" width="1.7109375" style="847" customWidth="1"/>
    <col min="3604" max="3604" width="6.7109375" style="847" customWidth="1"/>
    <col min="3605" max="3605" width="7.7109375" style="847" customWidth="1"/>
    <col min="3606" max="3606" width="1.85546875" style="847" customWidth="1"/>
    <col min="3607" max="3607" width="6.7109375" style="847" customWidth="1"/>
    <col min="3608" max="3608" width="7.7109375" style="847" customWidth="1"/>
    <col min="3609" max="3609" width="1.7109375" style="847" customWidth="1"/>
    <col min="3610" max="3840" width="9.140625" style="847"/>
    <col min="3841" max="3841" width="11.28515625" style="847" customWidth="1"/>
    <col min="3842" max="3843" width="7.7109375" style="847" customWidth="1"/>
    <col min="3844" max="3844" width="1.7109375" style="847" customWidth="1"/>
    <col min="3845" max="3846" width="7.7109375" style="847" customWidth="1"/>
    <col min="3847" max="3847" width="1.7109375" style="847" customWidth="1"/>
    <col min="3848" max="3848" width="6.7109375" style="847" customWidth="1"/>
    <col min="3849" max="3849" width="7.7109375" style="847" customWidth="1"/>
    <col min="3850" max="3850" width="1.7109375" style="847" customWidth="1"/>
    <col min="3851" max="3851" width="6.7109375" style="847" customWidth="1"/>
    <col min="3852" max="3852" width="7.7109375" style="847" customWidth="1"/>
    <col min="3853" max="3853" width="1.7109375" style="847" customWidth="1"/>
    <col min="3854" max="3854" width="6.7109375" style="847" customWidth="1"/>
    <col min="3855" max="3855" width="7.7109375" style="847" customWidth="1"/>
    <col min="3856" max="3856" width="1.7109375" style="847" customWidth="1"/>
    <col min="3857" max="3857" width="6.7109375" style="847" customWidth="1"/>
    <col min="3858" max="3858" width="7.7109375" style="847" customWidth="1"/>
    <col min="3859" max="3859" width="1.7109375" style="847" customWidth="1"/>
    <col min="3860" max="3860" width="6.7109375" style="847" customWidth="1"/>
    <col min="3861" max="3861" width="7.7109375" style="847" customWidth="1"/>
    <col min="3862" max="3862" width="1.85546875" style="847" customWidth="1"/>
    <col min="3863" max="3863" width="6.7109375" style="847" customWidth="1"/>
    <col min="3864" max="3864" width="7.7109375" style="847" customWidth="1"/>
    <col min="3865" max="3865" width="1.7109375" style="847" customWidth="1"/>
    <col min="3866" max="4096" width="9.140625" style="847"/>
    <col min="4097" max="4097" width="11.28515625" style="847" customWidth="1"/>
    <col min="4098" max="4099" width="7.7109375" style="847" customWidth="1"/>
    <col min="4100" max="4100" width="1.7109375" style="847" customWidth="1"/>
    <col min="4101" max="4102" width="7.7109375" style="847" customWidth="1"/>
    <col min="4103" max="4103" width="1.7109375" style="847" customWidth="1"/>
    <col min="4104" max="4104" width="6.7109375" style="847" customWidth="1"/>
    <col min="4105" max="4105" width="7.7109375" style="847" customWidth="1"/>
    <col min="4106" max="4106" width="1.7109375" style="847" customWidth="1"/>
    <col min="4107" max="4107" width="6.7109375" style="847" customWidth="1"/>
    <col min="4108" max="4108" width="7.7109375" style="847" customWidth="1"/>
    <col min="4109" max="4109" width="1.7109375" style="847" customWidth="1"/>
    <col min="4110" max="4110" width="6.7109375" style="847" customWidth="1"/>
    <col min="4111" max="4111" width="7.7109375" style="847" customWidth="1"/>
    <col min="4112" max="4112" width="1.7109375" style="847" customWidth="1"/>
    <col min="4113" max="4113" width="6.7109375" style="847" customWidth="1"/>
    <col min="4114" max="4114" width="7.7109375" style="847" customWidth="1"/>
    <col min="4115" max="4115" width="1.7109375" style="847" customWidth="1"/>
    <col min="4116" max="4116" width="6.7109375" style="847" customWidth="1"/>
    <col min="4117" max="4117" width="7.7109375" style="847" customWidth="1"/>
    <col min="4118" max="4118" width="1.85546875" style="847" customWidth="1"/>
    <col min="4119" max="4119" width="6.7109375" style="847" customWidth="1"/>
    <col min="4120" max="4120" width="7.7109375" style="847" customWidth="1"/>
    <col min="4121" max="4121" width="1.7109375" style="847" customWidth="1"/>
    <col min="4122" max="4352" width="9.140625" style="847"/>
    <col min="4353" max="4353" width="11.28515625" style="847" customWidth="1"/>
    <col min="4354" max="4355" width="7.7109375" style="847" customWidth="1"/>
    <col min="4356" max="4356" width="1.7109375" style="847" customWidth="1"/>
    <col min="4357" max="4358" width="7.7109375" style="847" customWidth="1"/>
    <col min="4359" max="4359" width="1.7109375" style="847" customWidth="1"/>
    <col min="4360" max="4360" width="6.7109375" style="847" customWidth="1"/>
    <col min="4361" max="4361" width="7.7109375" style="847" customWidth="1"/>
    <col min="4362" max="4362" width="1.7109375" style="847" customWidth="1"/>
    <col min="4363" max="4363" width="6.7109375" style="847" customWidth="1"/>
    <col min="4364" max="4364" width="7.7109375" style="847" customWidth="1"/>
    <col min="4365" max="4365" width="1.7109375" style="847" customWidth="1"/>
    <col min="4366" max="4366" width="6.7109375" style="847" customWidth="1"/>
    <col min="4367" max="4367" width="7.7109375" style="847" customWidth="1"/>
    <col min="4368" max="4368" width="1.7109375" style="847" customWidth="1"/>
    <col min="4369" max="4369" width="6.7109375" style="847" customWidth="1"/>
    <col min="4370" max="4370" width="7.7109375" style="847" customWidth="1"/>
    <col min="4371" max="4371" width="1.7109375" style="847" customWidth="1"/>
    <col min="4372" max="4372" width="6.7109375" style="847" customWidth="1"/>
    <col min="4373" max="4373" width="7.7109375" style="847" customWidth="1"/>
    <col min="4374" max="4374" width="1.85546875" style="847" customWidth="1"/>
    <col min="4375" max="4375" width="6.7109375" style="847" customWidth="1"/>
    <col min="4376" max="4376" width="7.7109375" style="847" customWidth="1"/>
    <col min="4377" max="4377" width="1.7109375" style="847" customWidth="1"/>
    <col min="4378" max="4608" width="9.140625" style="847"/>
    <col min="4609" max="4609" width="11.28515625" style="847" customWidth="1"/>
    <col min="4610" max="4611" width="7.7109375" style="847" customWidth="1"/>
    <col min="4612" max="4612" width="1.7109375" style="847" customWidth="1"/>
    <col min="4613" max="4614" width="7.7109375" style="847" customWidth="1"/>
    <col min="4615" max="4615" width="1.7109375" style="847" customWidth="1"/>
    <col min="4616" max="4616" width="6.7109375" style="847" customWidth="1"/>
    <col min="4617" max="4617" width="7.7109375" style="847" customWidth="1"/>
    <col min="4618" max="4618" width="1.7109375" style="847" customWidth="1"/>
    <col min="4619" max="4619" width="6.7109375" style="847" customWidth="1"/>
    <col min="4620" max="4620" width="7.7109375" style="847" customWidth="1"/>
    <col min="4621" max="4621" width="1.7109375" style="847" customWidth="1"/>
    <col min="4622" max="4622" width="6.7109375" style="847" customWidth="1"/>
    <col min="4623" max="4623" width="7.7109375" style="847" customWidth="1"/>
    <col min="4624" max="4624" width="1.7109375" style="847" customWidth="1"/>
    <col min="4625" max="4625" width="6.7109375" style="847" customWidth="1"/>
    <col min="4626" max="4626" width="7.7109375" style="847" customWidth="1"/>
    <col min="4627" max="4627" width="1.7109375" style="847" customWidth="1"/>
    <col min="4628" max="4628" width="6.7109375" style="847" customWidth="1"/>
    <col min="4629" max="4629" width="7.7109375" style="847" customWidth="1"/>
    <col min="4630" max="4630" width="1.85546875" style="847" customWidth="1"/>
    <col min="4631" max="4631" width="6.7109375" style="847" customWidth="1"/>
    <col min="4632" max="4632" width="7.7109375" style="847" customWidth="1"/>
    <col min="4633" max="4633" width="1.7109375" style="847" customWidth="1"/>
    <col min="4634" max="4864" width="9.140625" style="847"/>
    <col min="4865" max="4865" width="11.28515625" style="847" customWidth="1"/>
    <col min="4866" max="4867" width="7.7109375" style="847" customWidth="1"/>
    <col min="4868" max="4868" width="1.7109375" style="847" customWidth="1"/>
    <col min="4869" max="4870" width="7.7109375" style="847" customWidth="1"/>
    <col min="4871" max="4871" width="1.7109375" style="847" customWidth="1"/>
    <col min="4872" max="4872" width="6.7109375" style="847" customWidth="1"/>
    <col min="4873" max="4873" width="7.7109375" style="847" customWidth="1"/>
    <col min="4874" max="4874" width="1.7109375" style="847" customWidth="1"/>
    <col min="4875" max="4875" width="6.7109375" style="847" customWidth="1"/>
    <col min="4876" max="4876" width="7.7109375" style="847" customWidth="1"/>
    <col min="4877" max="4877" width="1.7109375" style="847" customWidth="1"/>
    <col min="4878" max="4878" width="6.7109375" style="847" customWidth="1"/>
    <col min="4879" max="4879" width="7.7109375" style="847" customWidth="1"/>
    <col min="4880" max="4880" width="1.7109375" style="847" customWidth="1"/>
    <col min="4881" max="4881" width="6.7109375" style="847" customWidth="1"/>
    <col min="4882" max="4882" width="7.7109375" style="847" customWidth="1"/>
    <col min="4883" max="4883" width="1.7109375" style="847" customWidth="1"/>
    <col min="4884" max="4884" width="6.7109375" style="847" customWidth="1"/>
    <col min="4885" max="4885" width="7.7109375" style="847" customWidth="1"/>
    <col min="4886" max="4886" width="1.85546875" style="847" customWidth="1"/>
    <col min="4887" max="4887" width="6.7109375" style="847" customWidth="1"/>
    <col min="4888" max="4888" width="7.7109375" style="847" customWidth="1"/>
    <col min="4889" max="4889" width="1.7109375" style="847" customWidth="1"/>
    <col min="4890" max="5120" width="9.140625" style="847"/>
    <col min="5121" max="5121" width="11.28515625" style="847" customWidth="1"/>
    <col min="5122" max="5123" width="7.7109375" style="847" customWidth="1"/>
    <col min="5124" max="5124" width="1.7109375" style="847" customWidth="1"/>
    <col min="5125" max="5126" width="7.7109375" style="847" customWidth="1"/>
    <col min="5127" max="5127" width="1.7109375" style="847" customWidth="1"/>
    <col min="5128" max="5128" width="6.7109375" style="847" customWidth="1"/>
    <col min="5129" max="5129" width="7.7109375" style="847" customWidth="1"/>
    <col min="5130" max="5130" width="1.7109375" style="847" customWidth="1"/>
    <col min="5131" max="5131" width="6.7109375" style="847" customWidth="1"/>
    <col min="5132" max="5132" width="7.7109375" style="847" customWidth="1"/>
    <col min="5133" max="5133" width="1.7109375" style="847" customWidth="1"/>
    <col min="5134" max="5134" width="6.7109375" style="847" customWidth="1"/>
    <col min="5135" max="5135" width="7.7109375" style="847" customWidth="1"/>
    <col min="5136" max="5136" width="1.7109375" style="847" customWidth="1"/>
    <col min="5137" max="5137" width="6.7109375" style="847" customWidth="1"/>
    <col min="5138" max="5138" width="7.7109375" style="847" customWidth="1"/>
    <col min="5139" max="5139" width="1.7109375" style="847" customWidth="1"/>
    <col min="5140" max="5140" width="6.7109375" style="847" customWidth="1"/>
    <col min="5141" max="5141" width="7.7109375" style="847" customWidth="1"/>
    <col min="5142" max="5142" width="1.85546875" style="847" customWidth="1"/>
    <col min="5143" max="5143" width="6.7109375" style="847" customWidth="1"/>
    <col min="5144" max="5144" width="7.7109375" style="847" customWidth="1"/>
    <col min="5145" max="5145" width="1.7109375" style="847" customWidth="1"/>
    <col min="5146" max="5376" width="9.140625" style="847"/>
    <col min="5377" max="5377" width="11.28515625" style="847" customWidth="1"/>
    <col min="5378" max="5379" width="7.7109375" style="847" customWidth="1"/>
    <col min="5380" max="5380" width="1.7109375" style="847" customWidth="1"/>
    <col min="5381" max="5382" width="7.7109375" style="847" customWidth="1"/>
    <col min="5383" max="5383" width="1.7109375" style="847" customWidth="1"/>
    <col min="5384" max="5384" width="6.7109375" style="847" customWidth="1"/>
    <col min="5385" max="5385" width="7.7109375" style="847" customWidth="1"/>
    <col min="5386" max="5386" width="1.7109375" style="847" customWidth="1"/>
    <col min="5387" max="5387" width="6.7109375" style="847" customWidth="1"/>
    <col min="5388" max="5388" width="7.7109375" style="847" customWidth="1"/>
    <col min="5389" max="5389" width="1.7109375" style="847" customWidth="1"/>
    <col min="5390" max="5390" width="6.7109375" style="847" customWidth="1"/>
    <col min="5391" max="5391" width="7.7109375" style="847" customWidth="1"/>
    <col min="5392" max="5392" width="1.7109375" style="847" customWidth="1"/>
    <col min="5393" max="5393" width="6.7109375" style="847" customWidth="1"/>
    <col min="5394" max="5394" width="7.7109375" style="847" customWidth="1"/>
    <col min="5395" max="5395" width="1.7109375" style="847" customWidth="1"/>
    <col min="5396" max="5396" width="6.7109375" style="847" customWidth="1"/>
    <col min="5397" max="5397" width="7.7109375" style="847" customWidth="1"/>
    <col min="5398" max="5398" width="1.85546875" style="847" customWidth="1"/>
    <col min="5399" max="5399" width="6.7109375" style="847" customWidth="1"/>
    <col min="5400" max="5400" width="7.7109375" style="847" customWidth="1"/>
    <col min="5401" max="5401" width="1.7109375" style="847" customWidth="1"/>
    <col min="5402" max="5632" width="9.140625" style="847"/>
    <col min="5633" max="5633" width="11.28515625" style="847" customWidth="1"/>
    <col min="5634" max="5635" width="7.7109375" style="847" customWidth="1"/>
    <col min="5636" max="5636" width="1.7109375" style="847" customWidth="1"/>
    <col min="5637" max="5638" width="7.7109375" style="847" customWidth="1"/>
    <col min="5639" max="5639" width="1.7109375" style="847" customWidth="1"/>
    <col min="5640" max="5640" width="6.7109375" style="847" customWidth="1"/>
    <col min="5641" max="5641" width="7.7109375" style="847" customWidth="1"/>
    <col min="5642" max="5642" width="1.7109375" style="847" customWidth="1"/>
    <col min="5643" max="5643" width="6.7109375" style="847" customWidth="1"/>
    <col min="5644" max="5644" width="7.7109375" style="847" customWidth="1"/>
    <col min="5645" max="5645" width="1.7109375" style="847" customWidth="1"/>
    <col min="5646" max="5646" width="6.7109375" style="847" customWidth="1"/>
    <col min="5647" max="5647" width="7.7109375" style="847" customWidth="1"/>
    <col min="5648" max="5648" width="1.7109375" style="847" customWidth="1"/>
    <col min="5649" max="5649" width="6.7109375" style="847" customWidth="1"/>
    <col min="5650" max="5650" width="7.7109375" style="847" customWidth="1"/>
    <col min="5651" max="5651" width="1.7109375" style="847" customWidth="1"/>
    <col min="5652" max="5652" width="6.7109375" style="847" customWidth="1"/>
    <col min="5653" max="5653" width="7.7109375" style="847" customWidth="1"/>
    <col min="5654" max="5654" width="1.85546875" style="847" customWidth="1"/>
    <col min="5655" max="5655" width="6.7109375" style="847" customWidth="1"/>
    <col min="5656" max="5656" width="7.7109375" style="847" customWidth="1"/>
    <col min="5657" max="5657" width="1.7109375" style="847" customWidth="1"/>
    <col min="5658" max="5888" width="9.140625" style="847"/>
    <col min="5889" max="5889" width="11.28515625" style="847" customWidth="1"/>
    <col min="5890" max="5891" width="7.7109375" style="847" customWidth="1"/>
    <col min="5892" max="5892" width="1.7109375" style="847" customWidth="1"/>
    <col min="5893" max="5894" width="7.7109375" style="847" customWidth="1"/>
    <col min="5895" max="5895" width="1.7109375" style="847" customWidth="1"/>
    <col min="5896" max="5896" width="6.7109375" style="847" customWidth="1"/>
    <col min="5897" max="5897" width="7.7109375" style="847" customWidth="1"/>
    <col min="5898" max="5898" width="1.7109375" style="847" customWidth="1"/>
    <col min="5899" max="5899" width="6.7109375" style="847" customWidth="1"/>
    <col min="5900" max="5900" width="7.7109375" style="847" customWidth="1"/>
    <col min="5901" max="5901" width="1.7109375" style="847" customWidth="1"/>
    <col min="5902" max="5902" width="6.7109375" style="847" customWidth="1"/>
    <col min="5903" max="5903" width="7.7109375" style="847" customWidth="1"/>
    <col min="5904" max="5904" width="1.7109375" style="847" customWidth="1"/>
    <col min="5905" max="5905" width="6.7109375" style="847" customWidth="1"/>
    <col min="5906" max="5906" width="7.7109375" style="847" customWidth="1"/>
    <col min="5907" max="5907" width="1.7109375" style="847" customWidth="1"/>
    <col min="5908" max="5908" width="6.7109375" style="847" customWidth="1"/>
    <col min="5909" max="5909" width="7.7109375" style="847" customWidth="1"/>
    <col min="5910" max="5910" width="1.85546875" style="847" customWidth="1"/>
    <col min="5911" max="5911" width="6.7109375" style="847" customWidth="1"/>
    <col min="5912" max="5912" width="7.7109375" style="847" customWidth="1"/>
    <col min="5913" max="5913" width="1.7109375" style="847" customWidth="1"/>
    <col min="5914" max="6144" width="9.140625" style="847"/>
    <col min="6145" max="6145" width="11.28515625" style="847" customWidth="1"/>
    <col min="6146" max="6147" width="7.7109375" style="847" customWidth="1"/>
    <col min="6148" max="6148" width="1.7109375" style="847" customWidth="1"/>
    <col min="6149" max="6150" width="7.7109375" style="847" customWidth="1"/>
    <col min="6151" max="6151" width="1.7109375" style="847" customWidth="1"/>
    <col min="6152" max="6152" width="6.7109375" style="847" customWidth="1"/>
    <col min="6153" max="6153" width="7.7109375" style="847" customWidth="1"/>
    <col min="6154" max="6154" width="1.7109375" style="847" customWidth="1"/>
    <col min="6155" max="6155" width="6.7109375" style="847" customWidth="1"/>
    <col min="6156" max="6156" width="7.7109375" style="847" customWidth="1"/>
    <col min="6157" max="6157" width="1.7109375" style="847" customWidth="1"/>
    <col min="6158" max="6158" width="6.7109375" style="847" customWidth="1"/>
    <col min="6159" max="6159" width="7.7109375" style="847" customWidth="1"/>
    <col min="6160" max="6160" width="1.7109375" style="847" customWidth="1"/>
    <col min="6161" max="6161" width="6.7109375" style="847" customWidth="1"/>
    <col min="6162" max="6162" width="7.7109375" style="847" customWidth="1"/>
    <col min="6163" max="6163" width="1.7109375" style="847" customWidth="1"/>
    <col min="6164" max="6164" width="6.7109375" style="847" customWidth="1"/>
    <col min="6165" max="6165" width="7.7109375" style="847" customWidth="1"/>
    <col min="6166" max="6166" width="1.85546875" style="847" customWidth="1"/>
    <col min="6167" max="6167" width="6.7109375" style="847" customWidth="1"/>
    <col min="6168" max="6168" width="7.7109375" style="847" customWidth="1"/>
    <col min="6169" max="6169" width="1.7109375" style="847" customWidth="1"/>
    <col min="6170" max="6400" width="9.140625" style="847"/>
    <col min="6401" max="6401" width="11.28515625" style="847" customWidth="1"/>
    <col min="6402" max="6403" width="7.7109375" style="847" customWidth="1"/>
    <col min="6404" max="6404" width="1.7109375" style="847" customWidth="1"/>
    <col min="6405" max="6406" width="7.7109375" style="847" customWidth="1"/>
    <col min="6407" max="6407" width="1.7109375" style="847" customWidth="1"/>
    <col min="6408" max="6408" width="6.7109375" style="847" customWidth="1"/>
    <col min="6409" max="6409" width="7.7109375" style="847" customWidth="1"/>
    <col min="6410" max="6410" width="1.7109375" style="847" customWidth="1"/>
    <col min="6411" max="6411" width="6.7109375" style="847" customWidth="1"/>
    <col min="6412" max="6412" width="7.7109375" style="847" customWidth="1"/>
    <col min="6413" max="6413" width="1.7109375" style="847" customWidth="1"/>
    <col min="6414" max="6414" width="6.7109375" style="847" customWidth="1"/>
    <col min="6415" max="6415" width="7.7109375" style="847" customWidth="1"/>
    <col min="6416" max="6416" width="1.7109375" style="847" customWidth="1"/>
    <col min="6417" max="6417" width="6.7109375" style="847" customWidth="1"/>
    <col min="6418" max="6418" width="7.7109375" style="847" customWidth="1"/>
    <col min="6419" max="6419" width="1.7109375" style="847" customWidth="1"/>
    <col min="6420" max="6420" width="6.7109375" style="847" customWidth="1"/>
    <col min="6421" max="6421" width="7.7109375" style="847" customWidth="1"/>
    <col min="6422" max="6422" width="1.85546875" style="847" customWidth="1"/>
    <col min="6423" max="6423" width="6.7109375" style="847" customWidth="1"/>
    <col min="6424" max="6424" width="7.7109375" style="847" customWidth="1"/>
    <col min="6425" max="6425" width="1.7109375" style="847" customWidth="1"/>
    <col min="6426" max="6656" width="9.140625" style="847"/>
    <col min="6657" max="6657" width="11.28515625" style="847" customWidth="1"/>
    <col min="6658" max="6659" width="7.7109375" style="847" customWidth="1"/>
    <col min="6660" max="6660" width="1.7109375" style="847" customWidth="1"/>
    <col min="6661" max="6662" width="7.7109375" style="847" customWidth="1"/>
    <col min="6663" max="6663" width="1.7109375" style="847" customWidth="1"/>
    <col min="6664" max="6664" width="6.7109375" style="847" customWidth="1"/>
    <col min="6665" max="6665" width="7.7109375" style="847" customWidth="1"/>
    <col min="6666" max="6666" width="1.7109375" style="847" customWidth="1"/>
    <col min="6667" max="6667" width="6.7109375" style="847" customWidth="1"/>
    <col min="6668" max="6668" width="7.7109375" style="847" customWidth="1"/>
    <col min="6669" max="6669" width="1.7109375" style="847" customWidth="1"/>
    <col min="6670" max="6670" width="6.7109375" style="847" customWidth="1"/>
    <col min="6671" max="6671" width="7.7109375" style="847" customWidth="1"/>
    <col min="6672" max="6672" width="1.7109375" style="847" customWidth="1"/>
    <col min="6673" max="6673" width="6.7109375" style="847" customWidth="1"/>
    <col min="6674" max="6674" width="7.7109375" style="847" customWidth="1"/>
    <col min="6675" max="6675" width="1.7109375" style="847" customWidth="1"/>
    <col min="6676" max="6676" width="6.7109375" style="847" customWidth="1"/>
    <col min="6677" max="6677" width="7.7109375" style="847" customWidth="1"/>
    <col min="6678" max="6678" width="1.85546875" style="847" customWidth="1"/>
    <col min="6679" max="6679" width="6.7109375" style="847" customWidth="1"/>
    <col min="6680" max="6680" width="7.7109375" style="847" customWidth="1"/>
    <col min="6681" max="6681" width="1.7109375" style="847" customWidth="1"/>
    <col min="6682" max="6912" width="9.140625" style="847"/>
    <col min="6913" max="6913" width="11.28515625" style="847" customWidth="1"/>
    <col min="6914" max="6915" width="7.7109375" style="847" customWidth="1"/>
    <col min="6916" max="6916" width="1.7109375" style="847" customWidth="1"/>
    <col min="6917" max="6918" width="7.7109375" style="847" customWidth="1"/>
    <col min="6919" max="6919" width="1.7109375" style="847" customWidth="1"/>
    <col min="6920" max="6920" width="6.7109375" style="847" customWidth="1"/>
    <col min="6921" max="6921" width="7.7109375" style="847" customWidth="1"/>
    <col min="6922" max="6922" width="1.7109375" style="847" customWidth="1"/>
    <col min="6923" max="6923" width="6.7109375" style="847" customWidth="1"/>
    <col min="6924" max="6924" width="7.7109375" style="847" customWidth="1"/>
    <col min="6925" max="6925" width="1.7109375" style="847" customWidth="1"/>
    <col min="6926" max="6926" width="6.7109375" style="847" customWidth="1"/>
    <col min="6927" max="6927" width="7.7109375" style="847" customWidth="1"/>
    <col min="6928" max="6928" width="1.7109375" style="847" customWidth="1"/>
    <col min="6929" max="6929" width="6.7109375" style="847" customWidth="1"/>
    <col min="6930" max="6930" width="7.7109375" style="847" customWidth="1"/>
    <col min="6931" max="6931" width="1.7109375" style="847" customWidth="1"/>
    <col min="6932" max="6932" width="6.7109375" style="847" customWidth="1"/>
    <col min="6933" max="6933" width="7.7109375" style="847" customWidth="1"/>
    <col min="6934" max="6934" width="1.85546875" style="847" customWidth="1"/>
    <col min="6935" max="6935" width="6.7109375" style="847" customWidth="1"/>
    <col min="6936" max="6936" width="7.7109375" style="847" customWidth="1"/>
    <col min="6937" max="6937" width="1.7109375" style="847" customWidth="1"/>
    <col min="6938" max="7168" width="9.140625" style="847"/>
    <col min="7169" max="7169" width="11.28515625" style="847" customWidth="1"/>
    <col min="7170" max="7171" width="7.7109375" style="847" customWidth="1"/>
    <col min="7172" max="7172" width="1.7109375" style="847" customWidth="1"/>
    <col min="7173" max="7174" width="7.7109375" style="847" customWidth="1"/>
    <col min="7175" max="7175" width="1.7109375" style="847" customWidth="1"/>
    <col min="7176" max="7176" width="6.7109375" style="847" customWidth="1"/>
    <col min="7177" max="7177" width="7.7109375" style="847" customWidth="1"/>
    <col min="7178" max="7178" width="1.7109375" style="847" customWidth="1"/>
    <col min="7179" max="7179" width="6.7109375" style="847" customWidth="1"/>
    <col min="7180" max="7180" width="7.7109375" style="847" customWidth="1"/>
    <col min="7181" max="7181" width="1.7109375" style="847" customWidth="1"/>
    <col min="7182" max="7182" width="6.7109375" style="847" customWidth="1"/>
    <col min="7183" max="7183" width="7.7109375" style="847" customWidth="1"/>
    <col min="7184" max="7184" width="1.7109375" style="847" customWidth="1"/>
    <col min="7185" max="7185" width="6.7109375" style="847" customWidth="1"/>
    <col min="7186" max="7186" width="7.7109375" style="847" customWidth="1"/>
    <col min="7187" max="7187" width="1.7109375" style="847" customWidth="1"/>
    <col min="7188" max="7188" width="6.7109375" style="847" customWidth="1"/>
    <col min="7189" max="7189" width="7.7109375" style="847" customWidth="1"/>
    <col min="7190" max="7190" width="1.85546875" style="847" customWidth="1"/>
    <col min="7191" max="7191" width="6.7109375" style="847" customWidth="1"/>
    <col min="7192" max="7192" width="7.7109375" style="847" customWidth="1"/>
    <col min="7193" max="7193" width="1.7109375" style="847" customWidth="1"/>
    <col min="7194" max="7424" width="9.140625" style="847"/>
    <col min="7425" max="7425" width="11.28515625" style="847" customWidth="1"/>
    <col min="7426" max="7427" width="7.7109375" style="847" customWidth="1"/>
    <col min="7428" max="7428" width="1.7109375" style="847" customWidth="1"/>
    <col min="7429" max="7430" width="7.7109375" style="847" customWidth="1"/>
    <col min="7431" max="7431" width="1.7109375" style="847" customWidth="1"/>
    <col min="7432" max="7432" width="6.7109375" style="847" customWidth="1"/>
    <col min="7433" max="7433" width="7.7109375" style="847" customWidth="1"/>
    <col min="7434" max="7434" width="1.7109375" style="847" customWidth="1"/>
    <col min="7435" max="7435" width="6.7109375" style="847" customWidth="1"/>
    <col min="7436" max="7436" width="7.7109375" style="847" customWidth="1"/>
    <col min="7437" max="7437" width="1.7109375" style="847" customWidth="1"/>
    <col min="7438" max="7438" width="6.7109375" style="847" customWidth="1"/>
    <col min="7439" max="7439" width="7.7109375" style="847" customWidth="1"/>
    <col min="7440" max="7440" width="1.7109375" style="847" customWidth="1"/>
    <col min="7441" max="7441" width="6.7109375" style="847" customWidth="1"/>
    <col min="7442" max="7442" width="7.7109375" style="847" customWidth="1"/>
    <col min="7443" max="7443" width="1.7109375" style="847" customWidth="1"/>
    <col min="7444" max="7444" width="6.7109375" style="847" customWidth="1"/>
    <col min="7445" max="7445" width="7.7109375" style="847" customWidth="1"/>
    <col min="7446" max="7446" width="1.85546875" style="847" customWidth="1"/>
    <col min="7447" max="7447" width="6.7109375" style="847" customWidth="1"/>
    <col min="7448" max="7448" width="7.7109375" style="847" customWidth="1"/>
    <col min="7449" max="7449" width="1.7109375" style="847" customWidth="1"/>
    <col min="7450" max="7680" width="9.140625" style="847"/>
    <col min="7681" max="7681" width="11.28515625" style="847" customWidth="1"/>
    <col min="7682" max="7683" width="7.7109375" style="847" customWidth="1"/>
    <col min="7684" max="7684" width="1.7109375" style="847" customWidth="1"/>
    <col min="7685" max="7686" width="7.7109375" style="847" customWidth="1"/>
    <col min="7687" max="7687" width="1.7109375" style="847" customWidth="1"/>
    <col min="7688" max="7688" width="6.7109375" style="847" customWidth="1"/>
    <col min="7689" max="7689" width="7.7109375" style="847" customWidth="1"/>
    <col min="7690" max="7690" width="1.7109375" style="847" customWidth="1"/>
    <col min="7691" max="7691" width="6.7109375" style="847" customWidth="1"/>
    <col min="7692" max="7692" width="7.7109375" style="847" customWidth="1"/>
    <col min="7693" max="7693" width="1.7109375" style="847" customWidth="1"/>
    <col min="7694" max="7694" width="6.7109375" style="847" customWidth="1"/>
    <col min="7695" max="7695" width="7.7109375" style="847" customWidth="1"/>
    <col min="7696" max="7696" width="1.7109375" style="847" customWidth="1"/>
    <col min="7697" max="7697" width="6.7109375" style="847" customWidth="1"/>
    <col min="7698" max="7698" width="7.7109375" style="847" customWidth="1"/>
    <col min="7699" max="7699" width="1.7109375" style="847" customWidth="1"/>
    <col min="7700" max="7700" width="6.7109375" style="847" customWidth="1"/>
    <col min="7701" max="7701" width="7.7109375" style="847" customWidth="1"/>
    <col min="7702" max="7702" width="1.85546875" style="847" customWidth="1"/>
    <col min="7703" max="7703" width="6.7109375" style="847" customWidth="1"/>
    <col min="7704" max="7704" width="7.7109375" style="847" customWidth="1"/>
    <col min="7705" max="7705" width="1.7109375" style="847" customWidth="1"/>
    <col min="7706" max="7936" width="9.140625" style="847"/>
    <col min="7937" max="7937" width="11.28515625" style="847" customWidth="1"/>
    <col min="7938" max="7939" width="7.7109375" style="847" customWidth="1"/>
    <col min="7940" max="7940" width="1.7109375" style="847" customWidth="1"/>
    <col min="7941" max="7942" width="7.7109375" style="847" customWidth="1"/>
    <col min="7943" max="7943" width="1.7109375" style="847" customWidth="1"/>
    <col min="7944" max="7944" width="6.7109375" style="847" customWidth="1"/>
    <col min="7945" max="7945" width="7.7109375" style="847" customWidth="1"/>
    <col min="7946" max="7946" width="1.7109375" style="847" customWidth="1"/>
    <col min="7947" max="7947" width="6.7109375" style="847" customWidth="1"/>
    <col min="7948" max="7948" width="7.7109375" style="847" customWidth="1"/>
    <col min="7949" max="7949" width="1.7109375" style="847" customWidth="1"/>
    <col min="7950" max="7950" width="6.7109375" style="847" customWidth="1"/>
    <col min="7951" max="7951" width="7.7109375" style="847" customWidth="1"/>
    <col min="7952" max="7952" width="1.7109375" style="847" customWidth="1"/>
    <col min="7953" max="7953" width="6.7109375" style="847" customWidth="1"/>
    <col min="7954" max="7954" width="7.7109375" style="847" customWidth="1"/>
    <col min="7955" max="7955" width="1.7109375" style="847" customWidth="1"/>
    <col min="7956" max="7956" width="6.7109375" style="847" customWidth="1"/>
    <col min="7957" max="7957" width="7.7109375" style="847" customWidth="1"/>
    <col min="7958" max="7958" width="1.85546875" style="847" customWidth="1"/>
    <col min="7959" max="7959" width="6.7109375" style="847" customWidth="1"/>
    <col min="7960" max="7960" width="7.7109375" style="847" customWidth="1"/>
    <col min="7961" max="7961" width="1.7109375" style="847" customWidth="1"/>
    <col min="7962" max="8192" width="9.140625" style="847"/>
    <col min="8193" max="8193" width="11.28515625" style="847" customWidth="1"/>
    <col min="8194" max="8195" width="7.7109375" style="847" customWidth="1"/>
    <col min="8196" max="8196" width="1.7109375" style="847" customWidth="1"/>
    <col min="8197" max="8198" width="7.7109375" style="847" customWidth="1"/>
    <col min="8199" max="8199" width="1.7109375" style="847" customWidth="1"/>
    <col min="8200" max="8200" width="6.7109375" style="847" customWidth="1"/>
    <col min="8201" max="8201" width="7.7109375" style="847" customWidth="1"/>
    <col min="8202" max="8202" width="1.7109375" style="847" customWidth="1"/>
    <col min="8203" max="8203" width="6.7109375" style="847" customWidth="1"/>
    <col min="8204" max="8204" width="7.7109375" style="847" customWidth="1"/>
    <col min="8205" max="8205" width="1.7109375" style="847" customWidth="1"/>
    <col min="8206" max="8206" width="6.7109375" style="847" customWidth="1"/>
    <col min="8207" max="8207" width="7.7109375" style="847" customWidth="1"/>
    <col min="8208" max="8208" width="1.7109375" style="847" customWidth="1"/>
    <col min="8209" max="8209" width="6.7109375" style="847" customWidth="1"/>
    <col min="8210" max="8210" width="7.7109375" style="847" customWidth="1"/>
    <col min="8211" max="8211" width="1.7109375" style="847" customWidth="1"/>
    <col min="8212" max="8212" width="6.7109375" style="847" customWidth="1"/>
    <col min="8213" max="8213" width="7.7109375" style="847" customWidth="1"/>
    <col min="8214" max="8214" width="1.85546875" style="847" customWidth="1"/>
    <col min="8215" max="8215" width="6.7109375" style="847" customWidth="1"/>
    <col min="8216" max="8216" width="7.7109375" style="847" customWidth="1"/>
    <col min="8217" max="8217" width="1.7109375" style="847" customWidth="1"/>
    <col min="8218" max="8448" width="9.140625" style="847"/>
    <col min="8449" max="8449" width="11.28515625" style="847" customWidth="1"/>
    <col min="8450" max="8451" width="7.7109375" style="847" customWidth="1"/>
    <col min="8452" max="8452" width="1.7109375" style="847" customWidth="1"/>
    <col min="8453" max="8454" width="7.7109375" style="847" customWidth="1"/>
    <col min="8455" max="8455" width="1.7109375" style="847" customWidth="1"/>
    <col min="8456" max="8456" width="6.7109375" style="847" customWidth="1"/>
    <col min="8457" max="8457" width="7.7109375" style="847" customWidth="1"/>
    <col min="8458" max="8458" width="1.7109375" style="847" customWidth="1"/>
    <col min="8459" max="8459" width="6.7109375" style="847" customWidth="1"/>
    <col min="8460" max="8460" width="7.7109375" style="847" customWidth="1"/>
    <col min="8461" max="8461" width="1.7109375" style="847" customWidth="1"/>
    <col min="8462" max="8462" width="6.7109375" style="847" customWidth="1"/>
    <col min="8463" max="8463" width="7.7109375" style="847" customWidth="1"/>
    <col min="8464" max="8464" width="1.7109375" style="847" customWidth="1"/>
    <col min="8465" max="8465" width="6.7109375" style="847" customWidth="1"/>
    <col min="8466" max="8466" width="7.7109375" style="847" customWidth="1"/>
    <col min="8467" max="8467" width="1.7109375" style="847" customWidth="1"/>
    <col min="8468" max="8468" width="6.7109375" style="847" customWidth="1"/>
    <col min="8469" max="8469" width="7.7109375" style="847" customWidth="1"/>
    <col min="8470" max="8470" width="1.85546875" style="847" customWidth="1"/>
    <col min="8471" max="8471" width="6.7109375" style="847" customWidth="1"/>
    <col min="8472" max="8472" width="7.7109375" style="847" customWidth="1"/>
    <col min="8473" max="8473" width="1.7109375" style="847" customWidth="1"/>
    <col min="8474" max="8704" width="9.140625" style="847"/>
    <col min="8705" max="8705" width="11.28515625" style="847" customWidth="1"/>
    <col min="8706" max="8707" width="7.7109375" style="847" customWidth="1"/>
    <col min="8708" max="8708" width="1.7109375" style="847" customWidth="1"/>
    <col min="8709" max="8710" width="7.7109375" style="847" customWidth="1"/>
    <col min="8711" max="8711" width="1.7109375" style="847" customWidth="1"/>
    <col min="8712" max="8712" width="6.7109375" style="847" customWidth="1"/>
    <col min="8713" max="8713" width="7.7109375" style="847" customWidth="1"/>
    <col min="8714" max="8714" width="1.7109375" style="847" customWidth="1"/>
    <col min="8715" max="8715" width="6.7109375" style="847" customWidth="1"/>
    <col min="8716" max="8716" width="7.7109375" style="847" customWidth="1"/>
    <col min="8717" max="8717" width="1.7109375" style="847" customWidth="1"/>
    <col min="8718" max="8718" width="6.7109375" style="847" customWidth="1"/>
    <col min="8719" max="8719" width="7.7109375" style="847" customWidth="1"/>
    <col min="8720" max="8720" width="1.7109375" style="847" customWidth="1"/>
    <col min="8721" max="8721" width="6.7109375" style="847" customWidth="1"/>
    <col min="8722" max="8722" width="7.7109375" style="847" customWidth="1"/>
    <col min="8723" max="8723" width="1.7109375" style="847" customWidth="1"/>
    <col min="8724" max="8724" width="6.7109375" style="847" customWidth="1"/>
    <col min="8725" max="8725" width="7.7109375" style="847" customWidth="1"/>
    <col min="8726" max="8726" width="1.85546875" style="847" customWidth="1"/>
    <col min="8727" max="8727" width="6.7109375" style="847" customWidth="1"/>
    <col min="8728" max="8728" width="7.7109375" style="847" customWidth="1"/>
    <col min="8729" max="8729" width="1.7109375" style="847" customWidth="1"/>
    <col min="8730" max="8960" width="9.140625" style="847"/>
    <col min="8961" max="8961" width="11.28515625" style="847" customWidth="1"/>
    <col min="8962" max="8963" width="7.7109375" style="847" customWidth="1"/>
    <col min="8964" max="8964" width="1.7109375" style="847" customWidth="1"/>
    <col min="8965" max="8966" width="7.7109375" style="847" customWidth="1"/>
    <col min="8967" max="8967" width="1.7109375" style="847" customWidth="1"/>
    <col min="8968" max="8968" width="6.7109375" style="847" customWidth="1"/>
    <col min="8969" max="8969" width="7.7109375" style="847" customWidth="1"/>
    <col min="8970" max="8970" width="1.7109375" style="847" customWidth="1"/>
    <col min="8971" max="8971" width="6.7109375" style="847" customWidth="1"/>
    <col min="8972" max="8972" width="7.7109375" style="847" customWidth="1"/>
    <col min="8973" max="8973" width="1.7109375" style="847" customWidth="1"/>
    <col min="8974" max="8974" width="6.7109375" style="847" customWidth="1"/>
    <col min="8975" max="8975" width="7.7109375" style="847" customWidth="1"/>
    <col min="8976" max="8976" width="1.7109375" style="847" customWidth="1"/>
    <col min="8977" max="8977" width="6.7109375" style="847" customWidth="1"/>
    <col min="8978" max="8978" width="7.7109375" style="847" customWidth="1"/>
    <col min="8979" max="8979" width="1.7109375" style="847" customWidth="1"/>
    <col min="8980" max="8980" width="6.7109375" style="847" customWidth="1"/>
    <col min="8981" max="8981" width="7.7109375" style="847" customWidth="1"/>
    <col min="8982" max="8982" width="1.85546875" style="847" customWidth="1"/>
    <col min="8983" max="8983" width="6.7109375" style="847" customWidth="1"/>
    <col min="8984" max="8984" width="7.7109375" style="847" customWidth="1"/>
    <col min="8985" max="8985" width="1.7109375" style="847" customWidth="1"/>
    <col min="8986" max="9216" width="9.140625" style="847"/>
    <col min="9217" max="9217" width="11.28515625" style="847" customWidth="1"/>
    <col min="9218" max="9219" width="7.7109375" style="847" customWidth="1"/>
    <col min="9220" max="9220" width="1.7109375" style="847" customWidth="1"/>
    <col min="9221" max="9222" width="7.7109375" style="847" customWidth="1"/>
    <col min="9223" max="9223" width="1.7109375" style="847" customWidth="1"/>
    <col min="9224" max="9224" width="6.7109375" style="847" customWidth="1"/>
    <col min="9225" max="9225" width="7.7109375" style="847" customWidth="1"/>
    <col min="9226" max="9226" width="1.7109375" style="847" customWidth="1"/>
    <col min="9227" max="9227" width="6.7109375" style="847" customWidth="1"/>
    <col min="9228" max="9228" width="7.7109375" style="847" customWidth="1"/>
    <col min="9229" max="9229" width="1.7109375" style="847" customWidth="1"/>
    <col min="9230" max="9230" width="6.7109375" style="847" customWidth="1"/>
    <col min="9231" max="9231" width="7.7109375" style="847" customWidth="1"/>
    <col min="9232" max="9232" width="1.7109375" style="847" customWidth="1"/>
    <col min="9233" max="9233" width="6.7109375" style="847" customWidth="1"/>
    <col min="9234" max="9234" width="7.7109375" style="847" customWidth="1"/>
    <col min="9235" max="9235" width="1.7109375" style="847" customWidth="1"/>
    <col min="9236" max="9236" width="6.7109375" style="847" customWidth="1"/>
    <col min="9237" max="9237" width="7.7109375" style="847" customWidth="1"/>
    <col min="9238" max="9238" width="1.85546875" style="847" customWidth="1"/>
    <col min="9239" max="9239" width="6.7109375" style="847" customWidth="1"/>
    <col min="9240" max="9240" width="7.7109375" style="847" customWidth="1"/>
    <col min="9241" max="9241" width="1.7109375" style="847" customWidth="1"/>
    <col min="9242" max="9472" width="9.140625" style="847"/>
    <col min="9473" max="9473" width="11.28515625" style="847" customWidth="1"/>
    <col min="9474" max="9475" width="7.7109375" style="847" customWidth="1"/>
    <col min="9476" max="9476" width="1.7109375" style="847" customWidth="1"/>
    <col min="9477" max="9478" width="7.7109375" style="847" customWidth="1"/>
    <col min="9479" max="9479" width="1.7109375" style="847" customWidth="1"/>
    <col min="9480" max="9480" width="6.7109375" style="847" customWidth="1"/>
    <col min="9481" max="9481" width="7.7109375" style="847" customWidth="1"/>
    <col min="9482" max="9482" width="1.7109375" style="847" customWidth="1"/>
    <col min="9483" max="9483" width="6.7109375" style="847" customWidth="1"/>
    <col min="9484" max="9484" width="7.7109375" style="847" customWidth="1"/>
    <col min="9485" max="9485" width="1.7109375" style="847" customWidth="1"/>
    <col min="9486" max="9486" width="6.7109375" style="847" customWidth="1"/>
    <col min="9487" max="9487" width="7.7109375" style="847" customWidth="1"/>
    <col min="9488" max="9488" width="1.7109375" style="847" customWidth="1"/>
    <col min="9489" max="9489" width="6.7109375" style="847" customWidth="1"/>
    <col min="9490" max="9490" width="7.7109375" style="847" customWidth="1"/>
    <col min="9491" max="9491" width="1.7109375" style="847" customWidth="1"/>
    <col min="9492" max="9492" width="6.7109375" style="847" customWidth="1"/>
    <col min="9493" max="9493" width="7.7109375" style="847" customWidth="1"/>
    <col min="9494" max="9494" width="1.85546875" style="847" customWidth="1"/>
    <col min="9495" max="9495" width="6.7109375" style="847" customWidth="1"/>
    <col min="9496" max="9496" width="7.7109375" style="847" customWidth="1"/>
    <col min="9497" max="9497" width="1.7109375" style="847" customWidth="1"/>
    <col min="9498" max="9728" width="9.140625" style="847"/>
    <col min="9729" max="9729" width="11.28515625" style="847" customWidth="1"/>
    <col min="9730" max="9731" width="7.7109375" style="847" customWidth="1"/>
    <col min="9732" max="9732" width="1.7109375" style="847" customWidth="1"/>
    <col min="9733" max="9734" width="7.7109375" style="847" customWidth="1"/>
    <col min="9735" max="9735" width="1.7109375" style="847" customWidth="1"/>
    <col min="9736" max="9736" width="6.7109375" style="847" customWidth="1"/>
    <col min="9737" max="9737" width="7.7109375" style="847" customWidth="1"/>
    <col min="9738" max="9738" width="1.7109375" style="847" customWidth="1"/>
    <col min="9739" max="9739" width="6.7109375" style="847" customWidth="1"/>
    <col min="9740" max="9740" width="7.7109375" style="847" customWidth="1"/>
    <col min="9741" max="9741" width="1.7109375" style="847" customWidth="1"/>
    <col min="9742" max="9742" width="6.7109375" style="847" customWidth="1"/>
    <col min="9743" max="9743" width="7.7109375" style="847" customWidth="1"/>
    <col min="9744" max="9744" width="1.7109375" style="847" customWidth="1"/>
    <col min="9745" max="9745" width="6.7109375" style="847" customWidth="1"/>
    <col min="9746" max="9746" width="7.7109375" style="847" customWidth="1"/>
    <col min="9747" max="9747" width="1.7109375" style="847" customWidth="1"/>
    <col min="9748" max="9748" width="6.7109375" style="847" customWidth="1"/>
    <col min="9749" max="9749" width="7.7109375" style="847" customWidth="1"/>
    <col min="9750" max="9750" width="1.85546875" style="847" customWidth="1"/>
    <col min="9751" max="9751" width="6.7109375" style="847" customWidth="1"/>
    <col min="9752" max="9752" width="7.7109375" style="847" customWidth="1"/>
    <col min="9753" max="9753" width="1.7109375" style="847" customWidth="1"/>
    <col min="9754" max="9984" width="9.140625" style="847"/>
    <col min="9985" max="9985" width="11.28515625" style="847" customWidth="1"/>
    <col min="9986" max="9987" width="7.7109375" style="847" customWidth="1"/>
    <col min="9988" max="9988" width="1.7109375" style="847" customWidth="1"/>
    <col min="9989" max="9990" width="7.7109375" style="847" customWidth="1"/>
    <col min="9991" max="9991" width="1.7109375" style="847" customWidth="1"/>
    <col min="9992" max="9992" width="6.7109375" style="847" customWidth="1"/>
    <col min="9993" max="9993" width="7.7109375" style="847" customWidth="1"/>
    <col min="9994" max="9994" width="1.7109375" style="847" customWidth="1"/>
    <col min="9995" max="9995" width="6.7109375" style="847" customWidth="1"/>
    <col min="9996" max="9996" width="7.7109375" style="847" customWidth="1"/>
    <col min="9997" max="9997" width="1.7109375" style="847" customWidth="1"/>
    <col min="9998" max="9998" width="6.7109375" style="847" customWidth="1"/>
    <col min="9999" max="9999" width="7.7109375" style="847" customWidth="1"/>
    <col min="10000" max="10000" width="1.7109375" style="847" customWidth="1"/>
    <col min="10001" max="10001" width="6.7109375" style="847" customWidth="1"/>
    <col min="10002" max="10002" width="7.7109375" style="847" customWidth="1"/>
    <col min="10003" max="10003" width="1.7109375" style="847" customWidth="1"/>
    <col min="10004" max="10004" width="6.7109375" style="847" customWidth="1"/>
    <col min="10005" max="10005" width="7.7109375" style="847" customWidth="1"/>
    <col min="10006" max="10006" width="1.85546875" style="847" customWidth="1"/>
    <col min="10007" max="10007" width="6.7109375" style="847" customWidth="1"/>
    <col min="10008" max="10008" width="7.7109375" style="847" customWidth="1"/>
    <col min="10009" max="10009" width="1.7109375" style="847" customWidth="1"/>
    <col min="10010" max="10240" width="9.140625" style="847"/>
    <col min="10241" max="10241" width="11.28515625" style="847" customWidth="1"/>
    <col min="10242" max="10243" width="7.7109375" style="847" customWidth="1"/>
    <col min="10244" max="10244" width="1.7109375" style="847" customWidth="1"/>
    <col min="10245" max="10246" width="7.7109375" style="847" customWidth="1"/>
    <col min="10247" max="10247" width="1.7109375" style="847" customWidth="1"/>
    <col min="10248" max="10248" width="6.7109375" style="847" customWidth="1"/>
    <col min="10249" max="10249" width="7.7109375" style="847" customWidth="1"/>
    <col min="10250" max="10250" width="1.7109375" style="847" customWidth="1"/>
    <col min="10251" max="10251" width="6.7109375" style="847" customWidth="1"/>
    <col min="10252" max="10252" width="7.7109375" style="847" customWidth="1"/>
    <col min="10253" max="10253" width="1.7109375" style="847" customWidth="1"/>
    <col min="10254" max="10254" width="6.7109375" style="847" customWidth="1"/>
    <col min="10255" max="10255" width="7.7109375" style="847" customWidth="1"/>
    <col min="10256" max="10256" width="1.7109375" style="847" customWidth="1"/>
    <col min="10257" max="10257" width="6.7109375" style="847" customWidth="1"/>
    <col min="10258" max="10258" width="7.7109375" style="847" customWidth="1"/>
    <col min="10259" max="10259" width="1.7109375" style="847" customWidth="1"/>
    <col min="10260" max="10260" width="6.7109375" style="847" customWidth="1"/>
    <col min="10261" max="10261" width="7.7109375" style="847" customWidth="1"/>
    <col min="10262" max="10262" width="1.85546875" style="847" customWidth="1"/>
    <col min="10263" max="10263" width="6.7109375" style="847" customWidth="1"/>
    <col min="10264" max="10264" width="7.7109375" style="847" customWidth="1"/>
    <col min="10265" max="10265" width="1.7109375" style="847" customWidth="1"/>
    <col min="10266" max="10496" width="9.140625" style="847"/>
    <col min="10497" max="10497" width="11.28515625" style="847" customWidth="1"/>
    <col min="10498" max="10499" width="7.7109375" style="847" customWidth="1"/>
    <col min="10500" max="10500" width="1.7109375" style="847" customWidth="1"/>
    <col min="10501" max="10502" width="7.7109375" style="847" customWidth="1"/>
    <col min="10503" max="10503" width="1.7109375" style="847" customWidth="1"/>
    <col min="10504" max="10504" width="6.7109375" style="847" customWidth="1"/>
    <col min="10505" max="10505" width="7.7109375" style="847" customWidth="1"/>
    <col min="10506" max="10506" width="1.7109375" style="847" customWidth="1"/>
    <col min="10507" max="10507" width="6.7109375" style="847" customWidth="1"/>
    <col min="10508" max="10508" width="7.7109375" style="847" customWidth="1"/>
    <col min="10509" max="10509" width="1.7109375" style="847" customWidth="1"/>
    <col min="10510" max="10510" width="6.7109375" style="847" customWidth="1"/>
    <col min="10511" max="10511" width="7.7109375" style="847" customWidth="1"/>
    <col min="10512" max="10512" width="1.7109375" style="847" customWidth="1"/>
    <col min="10513" max="10513" width="6.7109375" style="847" customWidth="1"/>
    <col min="10514" max="10514" width="7.7109375" style="847" customWidth="1"/>
    <col min="10515" max="10515" width="1.7109375" style="847" customWidth="1"/>
    <col min="10516" max="10516" width="6.7109375" style="847" customWidth="1"/>
    <col min="10517" max="10517" width="7.7109375" style="847" customWidth="1"/>
    <col min="10518" max="10518" width="1.85546875" style="847" customWidth="1"/>
    <col min="10519" max="10519" width="6.7109375" style="847" customWidth="1"/>
    <col min="10520" max="10520" width="7.7109375" style="847" customWidth="1"/>
    <col min="10521" max="10521" width="1.7109375" style="847" customWidth="1"/>
    <col min="10522" max="10752" width="9.140625" style="847"/>
    <col min="10753" max="10753" width="11.28515625" style="847" customWidth="1"/>
    <col min="10754" max="10755" width="7.7109375" style="847" customWidth="1"/>
    <col min="10756" max="10756" width="1.7109375" style="847" customWidth="1"/>
    <col min="10757" max="10758" width="7.7109375" style="847" customWidth="1"/>
    <col min="10759" max="10759" width="1.7109375" style="847" customWidth="1"/>
    <col min="10760" max="10760" width="6.7109375" style="847" customWidth="1"/>
    <col min="10761" max="10761" width="7.7109375" style="847" customWidth="1"/>
    <col min="10762" max="10762" width="1.7109375" style="847" customWidth="1"/>
    <col min="10763" max="10763" width="6.7109375" style="847" customWidth="1"/>
    <col min="10764" max="10764" width="7.7109375" style="847" customWidth="1"/>
    <col min="10765" max="10765" width="1.7109375" style="847" customWidth="1"/>
    <col min="10766" max="10766" width="6.7109375" style="847" customWidth="1"/>
    <col min="10767" max="10767" width="7.7109375" style="847" customWidth="1"/>
    <col min="10768" max="10768" width="1.7109375" style="847" customWidth="1"/>
    <col min="10769" max="10769" width="6.7109375" style="847" customWidth="1"/>
    <col min="10770" max="10770" width="7.7109375" style="847" customWidth="1"/>
    <col min="10771" max="10771" width="1.7109375" style="847" customWidth="1"/>
    <col min="10772" max="10772" width="6.7109375" style="847" customWidth="1"/>
    <col min="10773" max="10773" width="7.7109375" style="847" customWidth="1"/>
    <col min="10774" max="10774" width="1.85546875" style="847" customWidth="1"/>
    <col min="10775" max="10775" width="6.7109375" style="847" customWidth="1"/>
    <col min="10776" max="10776" width="7.7109375" style="847" customWidth="1"/>
    <col min="10777" max="10777" width="1.7109375" style="847" customWidth="1"/>
    <col min="10778" max="11008" width="9.140625" style="847"/>
    <col min="11009" max="11009" width="11.28515625" style="847" customWidth="1"/>
    <col min="11010" max="11011" width="7.7109375" style="847" customWidth="1"/>
    <col min="11012" max="11012" width="1.7109375" style="847" customWidth="1"/>
    <col min="11013" max="11014" width="7.7109375" style="847" customWidth="1"/>
    <col min="11015" max="11015" width="1.7109375" style="847" customWidth="1"/>
    <col min="11016" max="11016" width="6.7109375" style="847" customWidth="1"/>
    <col min="11017" max="11017" width="7.7109375" style="847" customWidth="1"/>
    <col min="11018" max="11018" width="1.7109375" style="847" customWidth="1"/>
    <col min="11019" max="11019" width="6.7109375" style="847" customWidth="1"/>
    <col min="11020" max="11020" width="7.7109375" style="847" customWidth="1"/>
    <col min="11021" max="11021" width="1.7109375" style="847" customWidth="1"/>
    <col min="11022" max="11022" width="6.7109375" style="847" customWidth="1"/>
    <col min="11023" max="11023" width="7.7109375" style="847" customWidth="1"/>
    <col min="11024" max="11024" width="1.7109375" style="847" customWidth="1"/>
    <col min="11025" max="11025" width="6.7109375" style="847" customWidth="1"/>
    <col min="11026" max="11026" width="7.7109375" style="847" customWidth="1"/>
    <col min="11027" max="11027" width="1.7109375" style="847" customWidth="1"/>
    <col min="11028" max="11028" width="6.7109375" style="847" customWidth="1"/>
    <col min="11029" max="11029" width="7.7109375" style="847" customWidth="1"/>
    <col min="11030" max="11030" width="1.85546875" style="847" customWidth="1"/>
    <col min="11031" max="11031" width="6.7109375" style="847" customWidth="1"/>
    <col min="11032" max="11032" width="7.7109375" style="847" customWidth="1"/>
    <col min="11033" max="11033" width="1.7109375" style="847" customWidth="1"/>
    <col min="11034" max="11264" width="9.140625" style="847"/>
    <col min="11265" max="11265" width="11.28515625" style="847" customWidth="1"/>
    <col min="11266" max="11267" width="7.7109375" style="847" customWidth="1"/>
    <col min="11268" max="11268" width="1.7109375" style="847" customWidth="1"/>
    <col min="11269" max="11270" width="7.7109375" style="847" customWidth="1"/>
    <col min="11271" max="11271" width="1.7109375" style="847" customWidth="1"/>
    <col min="11272" max="11272" width="6.7109375" style="847" customWidth="1"/>
    <col min="11273" max="11273" width="7.7109375" style="847" customWidth="1"/>
    <col min="11274" max="11274" width="1.7109375" style="847" customWidth="1"/>
    <col min="11275" max="11275" width="6.7109375" style="847" customWidth="1"/>
    <col min="11276" max="11276" width="7.7109375" style="847" customWidth="1"/>
    <col min="11277" max="11277" width="1.7109375" style="847" customWidth="1"/>
    <col min="11278" max="11278" width="6.7109375" style="847" customWidth="1"/>
    <col min="11279" max="11279" width="7.7109375" style="847" customWidth="1"/>
    <col min="11280" max="11280" width="1.7109375" style="847" customWidth="1"/>
    <col min="11281" max="11281" width="6.7109375" style="847" customWidth="1"/>
    <col min="11282" max="11282" width="7.7109375" style="847" customWidth="1"/>
    <col min="11283" max="11283" width="1.7109375" style="847" customWidth="1"/>
    <col min="11284" max="11284" width="6.7109375" style="847" customWidth="1"/>
    <col min="11285" max="11285" width="7.7109375" style="847" customWidth="1"/>
    <col min="11286" max="11286" width="1.85546875" style="847" customWidth="1"/>
    <col min="11287" max="11287" width="6.7109375" style="847" customWidth="1"/>
    <col min="11288" max="11288" width="7.7109375" style="847" customWidth="1"/>
    <col min="11289" max="11289" width="1.7109375" style="847" customWidth="1"/>
    <col min="11290" max="11520" width="9.140625" style="847"/>
    <col min="11521" max="11521" width="11.28515625" style="847" customWidth="1"/>
    <col min="11522" max="11523" width="7.7109375" style="847" customWidth="1"/>
    <col min="11524" max="11524" width="1.7109375" style="847" customWidth="1"/>
    <col min="11525" max="11526" width="7.7109375" style="847" customWidth="1"/>
    <col min="11527" max="11527" width="1.7109375" style="847" customWidth="1"/>
    <col min="11528" max="11528" width="6.7109375" style="847" customWidth="1"/>
    <col min="11529" max="11529" width="7.7109375" style="847" customWidth="1"/>
    <col min="11530" max="11530" width="1.7109375" style="847" customWidth="1"/>
    <col min="11531" max="11531" width="6.7109375" style="847" customWidth="1"/>
    <col min="11532" max="11532" width="7.7109375" style="847" customWidth="1"/>
    <col min="11533" max="11533" width="1.7109375" style="847" customWidth="1"/>
    <col min="11534" max="11534" width="6.7109375" style="847" customWidth="1"/>
    <col min="11535" max="11535" width="7.7109375" style="847" customWidth="1"/>
    <col min="11536" max="11536" width="1.7109375" style="847" customWidth="1"/>
    <col min="11537" max="11537" width="6.7109375" style="847" customWidth="1"/>
    <col min="11538" max="11538" width="7.7109375" style="847" customWidth="1"/>
    <col min="11539" max="11539" width="1.7109375" style="847" customWidth="1"/>
    <col min="11540" max="11540" width="6.7109375" style="847" customWidth="1"/>
    <col min="11541" max="11541" width="7.7109375" style="847" customWidth="1"/>
    <col min="11542" max="11542" width="1.85546875" style="847" customWidth="1"/>
    <col min="11543" max="11543" width="6.7109375" style="847" customWidth="1"/>
    <col min="11544" max="11544" width="7.7109375" style="847" customWidth="1"/>
    <col min="11545" max="11545" width="1.7109375" style="847" customWidth="1"/>
    <col min="11546" max="11776" width="9.140625" style="847"/>
    <col min="11777" max="11777" width="11.28515625" style="847" customWidth="1"/>
    <col min="11778" max="11779" width="7.7109375" style="847" customWidth="1"/>
    <col min="11780" max="11780" width="1.7109375" style="847" customWidth="1"/>
    <col min="11781" max="11782" width="7.7109375" style="847" customWidth="1"/>
    <col min="11783" max="11783" width="1.7109375" style="847" customWidth="1"/>
    <col min="11784" max="11784" width="6.7109375" style="847" customWidth="1"/>
    <col min="11785" max="11785" width="7.7109375" style="847" customWidth="1"/>
    <col min="11786" max="11786" width="1.7109375" style="847" customWidth="1"/>
    <col min="11787" max="11787" width="6.7109375" style="847" customWidth="1"/>
    <col min="11788" max="11788" width="7.7109375" style="847" customWidth="1"/>
    <col min="11789" max="11789" width="1.7109375" style="847" customWidth="1"/>
    <col min="11790" max="11790" width="6.7109375" style="847" customWidth="1"/>
    <col min="11791" max="11791" width="7.7109375" style="847" customWidth="1"/>
    <col min="11792" max="11792" width="1.7109375" style="847" customWidth="1"/>
    <col min="11793" max="11793" width="6.7109375" style="847" customWidth="1"/>
    <col min="11794" max="11794" width="7.7109375" style="847" customWidth="1"/>
    <col min="11795" max="11795" width="1.7109375" style="847" customWidth="1"/>
    <col min="11796" max="11796" width="6.7109375" style="847" customWidth="1"/>
    <col min="11797" max="11797" width="7.7109375" style="847" customWidth="1"/>
    <col min="11798" max="11798" width="1.85546875" style="847" customWidth="1"/>
    <col min="11799" max="11799" width="6.7109375" style="847" customWidth="1"/>
    <col min="11800" max="11800" width="7.7109375" style="847" customWidth="1"/>
    <col min="11801" max="11801" width="1.7109375" style="847" customWidth="1"/>
    <col min="11802" max="12032" width="9.140625" style="847"/>
    <col min="12033" max="12033" width="11.28515625" style="847" customWidth="1"/>
    <col min="12034" max="12035" width="7.7109375" style="847" customWidth="1"/>
    <col min="12036" max="12036" width="1.7109375" style="847" customWidth="1"/>
    <col min="12037" max="12038" width="7.7109375" style="847" customWidth="1"/>
    <col min="12039" max="12039" width="1.7109375" style="847" customWidth="1"/>
    <col min="12040" max="12040" width="6.7109375" style="847" customWidth="1"/>
    <col min="12041" max="12041" width="7.7109375" style="847" customWidth="1"/>
    <col min="12042" max="12042" width="1.7109375" style="847" customWidth="1"/>
    <col min="12043" max="12043" width="6.7109375" style="847" customWidth="1"/>
    <col min="12044" max="12044" width="7.7109375" style="847" customWidth="1"/>
    <col min="12045" max="12045" width="1.7109375" style="847" customWidth="1"/>
    <col min="12046" max="12046" width="6.7109375" style="847" customWidth="1"/>
    <col min="12047" max="12047" width="7.7109375" style="847" customWidth="1"/>
    <col min="12048" max="12048" width="1.7109375" style="847" customWidth="1"/>
    <col min="12049" max="12049" width="6.7109375" style="847" customWidth="1"/>
    <col min="12050" max="12050" width="7.7109375" style="847" customWidth="1"/>
    <col min="12051" max="12051" width="1.7109375" style="847" customWidth="1"/>
    <col min="12052" max="12052" width="6.7109375" style="847" customWidth="1"/>
    <col min="12053" max="12053" width="7.7109375" style="847" customWidth="1"/>
    <col min="12054" max="12054" width="1.85546875" style="847" customWidth="1"/>
    <col min="12055" max="12055" width="6.7109375" style="847" customWidth="1"/>
    <col min="12056" max="12056" width="7.7109375" style="847" customWidth="1"/>
    <col min="12057" max="12057" width="1.7109375" style="847" customWidth="1"/>
    <col min="12058" max="12288" width="9.140625" style="847"/>
    <col min="12289" max="12289" width="11.28515625" style="847" customWidth="1"/>
    <col min="12290" max="12291" width="7.7109375" style="847" customWidth="1"/>
    <col min="12292" max="12292" width="1.7109375" style="847" customWidth="1"/>
    <col min="12293" max="12294" width="7.7109375" style="847" customWidth="1"/>
    <col min="12295" max="12295" width="1.7109375" style="847" customWidth="1"/>
    <col min="12296" max="12296" width="6.7109375" style="847" customWidth="1"/>
    <col min="12297" max="12297" width="7.7109375" style="847" customWidth="1"/>
    <col min="12298" max="12298" width="1.7109375" style="847" customWidth="1"/>
    <col min="12299" max="12299" width="6.7109375" style="847" customWidth="1"/>
    <col min="12300" max="12300" width="7.7109375" style="847" customWidth="1"/>
    <col min="12301" max="12301" width="1.7109375" style="847" customWidth="1"/>
    <col min="12302" max="12302" width="6.7109375" style="847" customWidth="1"/>
    <col min="12303" max="12303" width="7.7109375" style="847" customWidth="1"/>
    <col min="12304" max="12304" width="1.7109375" style="847" customWidth="1"/>
    <col min="12305" max="12305" width="6.7109375" style="847" customWidth="1"/>
    <col min="12306" max="12306" width="7.7109375" style="847" customWidth="1"/>
    <col min="12307" max="12307" width="1.7109375" style="847" customWidth="1"/>
    <col min="12308" max="12308" width="6.7109375" style="847" customWidth="1"/>
    <col min="12309" max="12309" width="7.7109375" style="847" customWidth="1"/>
    <col min="12310" max="12310" width="1.85546875" style="847" customWidth="1"/>
    <col min="12311" max="12311" width="6.7109375" style="847" customWidth="1"/>
    <col min="12312" max="12312" width="7.7109375" style="847" customWidth="1"/>
    <col min="12313" max="12313" width="1.7109375" style="847" customWidth="1"/>
    <col min="12314" max="12544" width="9.140625" style="847"/>
    <col min="12545" max="12545" width="11.28515625" style="847" customWidth="1"/>
    <col min="12546" max="12547" width="7.7109375" style="847" customWidth="1"/>
    <col min="12548" max="12548" width="1.7109375" style="847" customWidth="1"/>
    <col min="12549" max="12550" width="7.7109375" style="847" customWidth="1"/>
    <col min="12551" max="12551" width="1.7109375" style="847" customWidth="1"/>
    <col min="12552" max="12552" width="6.7109375" style="847" customWidth="1"/>
    <col min="12553" max="12553" width="7.7109375" style="847" customWidth="1"/>
    <col min="12554" max="12554" width="1.7109375" style="847" customWidth="1"/>
    <col min="12555" max="12555" width="6.7109375" style="847" customWidth="1"/>
    <col min="12556" max="12556" width="7.7109375" style="847" customWidth="1"/>
    <col min="12557" max="12557" width="1.7109375" style="847" customWidth="1"/>
    <col min="12558" max="12558" width="6.7109375" style="847" customWidth="1"/>
    <col min="12559" max="12559" width="7.7109375" style="847" customWidth="1"/>
    <col min="12560" max="12560" width="1.7109375" style="847" customWidth="1"/>
    <col min="12561" max="12561" width="6.7109375" style="847" customWidth="1"/>
    <col min="12562" max="12562" width="7.7109375" style="847" customWidth="1"/>
    <col min="12563" max="12563" width="1.7109375" style="847" customWidth="1"/>
    <col min="12564" max="12564" width="6.7109375" style="847" customWidth="1"/>
    <col min="12565" max="12565" width="7.7109375" style="847" customWidth="1"/>
    <col min="12566" max="12566" width="1.85546875" style="847" customWidth="1"/>
    <col min="12567" max="12567" width="6.7109375" style="847" customWidth="1"/>
    <col min="12568" max="12568" width="7.7109375" style="847" customWidth="1"/>
    <col min="12569" max="12569" width="1.7109375" style="847" customWidth="1"/>
    <col min="12570" max="12800" width="9.140625" style="847"/>
    <col min="12801" max="12801" width="11.28515625" style="847" customWidth="1"/>
    <col min="12802" max="12803" width="7.7109375" style="847" customWidth="1"/>
    <col min="12804" max="12804" width="1.7109375" style="847" customWidth="1"/>
    <col min="12805" max="12806" width="7.7109375" style="847" customWidth="1"/>
    <col min="12807" max="12807" width="1.7109375" style="847" customWidth="1"/>
    <col min="12808" max="12808" width="6.7109375" style="847" customWidth="1"/>
    <col min="12809" max="12809" width="7.7109375" style="847" customWidth="1"/>
    <col min="12810" max="12810" width="1.7109375" style="847" customWidth="1"/>
    <col min="12811" max="12811" width="6.7109375" style="847" customWidth="1"/>
    <col min="12812" max="12812" width="7.7109375" style="847" customWidth="1"/>
    <col min="12813" max="12813" width="1.7109375" style="847" customWidth="1"/>
    <col min="12814" max="12814" width="6.7109375" style="847" customWidth="1"/>
    <col min="12815" max="12815" width="7.7109375" style="847" customWidth="1"/>
    <col min="12816" max="12816" width="1.7109375" style="847" customWidth="1"/>
    <col min="12817" max="12817" width="6.7109375" style="847" customWidth="1"/>
    <col min="12818" max="12818" width="7.7109375" style="847" customWidth="1"/>
    <col min="12819" max="12819" width="1.7109375" style="847" customWidth="1"/>
    <col min="12820" max="12820" width="6.7109375" style="847" customWidth="1"/>
    <col min="12821" max="12821" width="7.7109375" style="847" customWidth="1"/>
    <col min="12822" max="12822" width="1.85546875" style="847" customWidth="1"/>
    <col min="12823" max="12823" width="6.7109375" style="847" customWidth="1"/>
    <col min="12824" max="12824" width="7.7109375" style="847" customWidth="1"/>
    <col min="12825" max="12825" width="1.7109375" style="847" customWidth="1"/>
    <col min="12826" max="13056" width="9.140625" style="847"/>
    <col min="13057" max="13057" width="11.28515625" style="847" customWidth="1"/>
    <col min="13058" max="13059" width="7.7109375" style="847" customWidth="1"/>
    <col min="13060" max="13060" width="1.7109375" style="847" customWidth="1"/>
    <col min="13061" max="13062" width="7.7109375" style="847" customWidth="1"/>
    <col min="13063" max="13063" width="1.7109375" style="847" customWidth="1"/>
    <col min="13064" max="13064" width="6.7109375" style="847" customWidth="1"/>
    <col min="13065" max="13065" width="7.7109375" style="847" customWidth="1"/>
    <col min="13066" max="13066" width="1.7109375" style="847" customWidth="1"/>
    <col min="13067" max="13067" width="6.7109375" style="847" customWidth="1"/>
    <col min="13068" max="13068" width="7.7109375" style="847" customWidth="1"/>
    <col min="13069" max="13069" width="1.7109375" style="847" customWidth="1"/>
    <col min="13070" max="13070" width="6.7109375" style="847" customWidth="1"/>
    <col min="13071" max="13071" width="7.7109375" style="847" customWidth="1"/>
    <col min="13072" max="13072" width="1.7109375" style="847" customWidth="1"/>
    <col min="13073" max="13073" width="6.7109375" style="847" customWidth="1"/>
    <col min="13074" max="13074" width="7.7109375" style="847" customWidth="1"/>
    <col min="13075" max="13075" width="1.7109375" style="847" customWidth="1"/>
    <col min="13076" max="13076" width="6.7109375" style="847" customWidth="1"/>
    <col min="13077" max="13077" width="7.7109375" style="847" customWidth="1"/>
    <col min="13078" max="13078" width="1.85546875" style="847" customWidth="1"/>
    <col min="13079" max="13079" width="6.7109375" style="847" customWidth="1"/>
    <col min="13080" max="13080" width="7.7109375" style="847" customWidth="1"/>
    <col min="13081" max="13081" width="1.7109375" style="847" customWidth="1"/>
    <col min="13082" max="13312" width="9.140625" style="847"/>
    <col min="13313" max="13313" width="11.28515625" style="847" customWidth="1"/>
    <col min="13314" max="13315" width="7.7109375" style="847" customWidth="1"/>
    <col min="13316" max="13316" width="1.7109375" style="847" customWidth="1"/>
    <col min="13317" max="13318" width="7.7109375" style="847" customWidth="1"/>
    <col min="13319" max="13319" width="1.7109375" style="847" customWidth="1"/>
    <col min="13320" max="13320" width="6.7109375" style="847" customWidth="1"/>
    <col min="13321" max="13321" width="7.7109375" style="847" customWidth="1"/>
    <col min="13322" max="13322" width="1.7109375" style="847" customWidth="1"/>
    <col min="13323" max="13323" width="6.7109375" style="847" customWidth="1"/>
    <col min="13324" max="13324" width="7.7109375" style="847" customWidth="1"/>
    <col min="13325" max="13325" width="1.7109375" style="847" customWidth="1"/>
    <col min="13326" max="13326" width="6.7109375" style="847" customWidth="1"/>
    <col min="13327" max="13327" width="7.7109375" style="847" customWidth="1"/>
    <col min="13328" max="13328" width="1.7109375" style="847" customWidth="1"/>
    <col min="13329" max="13329" width="6.7109375" style="847" customWidth="1"/>
    <col min="13330" max="13330" width="7.7109375" style="847" customWidth="1"/>
    <col min="13331" max="13331" width="1.7109375" style="847" customWidth="1"/>
    <col min="13332" max="13332" width="6.7109375" style="847" customWidth="1"/>
    <col min="13333" max="13333" width="7.7109375" style="847" customWidth="1"/>
    <col min="13334" max="13334" width="1.85546875" style="847" customWidth="1"/>
    <col min="13335" max="13335" width="6.7109375" style="847" customWidth="1"/>
    <col min="13336" max="13336" width="7.7109375" style="847" customWidth="1"/>
    <col min="13337" max="13337" width="1.7109375" style="847" customWidth="1"/>
    <col min="13338" max="13568" width="9.140625" style="847"/>
    <col min="13569" max="13569" width="11.28515625" style="847" customWidth="1"/>
    <col min="13570" max="13571" width="7.7109375" style="847" customWidth="1"/>
    <col min="13572" max="13572" width="1.7109375" style="847" customWidth="1"/>
    <col min="13573" max="13574" width="7.7109375" style="847" customWidth="1"/>
    <col min="13575" max="13575" width="1.7109375" style="847" customWidth="1"/>
    <col min="13576" max="13576" width="6.7109375" style="847" customWidth="1"/>
    <col min="13577" max="13577" width="7.7109375" style="847" customWidth="1"/>
    <col min="13578" max="13578" width="1.7109375" style="847" customWidth="1"/>
    <col min="13579" max="13579" width="6.7109375" style="847" customWidth="1"/>
    <col min="13580" max="13580" width="7.7109375" style="847" customWidth="1"/>
    <col min="13581" max="13581" width="1.7109375" style="847" customWidth="1"/>
    <col min="13582" max="13582" width="6.7109375" style="847" customWidth="1"/>
    <col min="13583" max="13583" width="7.7109375" style="847" customWidth="1"/>
    <col min="13584" max="13584" width="1.7109375" style="847" customWidth="1"/>
    <col min="13585" max="13585" width="6.7109375" style="847" customWidth="1"/>
    <col min="13586" max="13586" width="7.7109375" style="847" customWidth="1"/>
    <col min="13587" max="13587" width="1.7109375" style="847" customWidth="1"/>
    <col min="13588" max="13588" width="6.7109375" style="847" customWidth="1"/>
    <col min="13589" max="13589" width="7.7109375" style="847" customWidth="1"/>
    <col min="13590" max="13590" width="1.85546875" style="847" customWidth="1"/>
    <col min="13591" max="13591" width="6.7109375" style="847" customWidth="1"/>
    <col min="13592" max="13592" width="7.7109375" style="847" customWidth="1"/>
    <col min="13593" max="13593" width="1.7109375" style="847" customWidth="1"/>
    <col min="13594" max="13824" width="9.140625" style="847"/>
    <col min="13825" max="13825" width="11.28515625" style="847" customWidth="1"/>
    <col min="13826" max="13827" width="7.7109375" style="847" customWidth="1"/>
    <col min="13828" max="13828" width="1.7109375" style="847" customWidth="1"/>
    <col min="13829" max="13830" width="7.7109375" style="847" customWidth="1"/>
    <col min="13831" max="13831" width="1.7109375" style="847" customWidth="1"/>
    <col min="13832" max="13832" width="6.7109375" style="847" customWidth="1"/>
    <col min="13833" max="13833" width="7.7109375" style="847" customWidth="1"/>
    <col min="13834" max="13834" width="1.7109375" style="847" customWidth="1"/>
    <col min="13835" max="13835" width="6.7109375" style="847" customWidth="1"/>
    <col min="13836" max="13836" width="7.7109375" style="847" customWidth="1"/>
    <col min="13837" max="13837" width="1.7109375" style="847" customWidth="1"/>
    <col min="13838" max="13838" width="6.7109375" style="847" customWidth="1"/>
    <col min="13839" max="13839" width="7.7109375" style="847" customWidth="1"/>
    <col min="13840" max="13840" width="1.7109375" style="847" customWidth="1"/>
    <col min="13841" max="13841" width="6.7109375" style="847" customWidth="1"/>
    <col min="13842" max="13842" width="7.7109375" style="847" customWidth="1"/>
    <col min="13843" max="13843" width="1.7109375" style="847" customWidth="1"/>
    <col min="13844" max="13844" width="6.7109375" style="847" customWidth="1"/>
    <col min="13845" max="13845" width="7.7109375" style="847" customWidth="1"/>
    <col min="13846" max="13846" width="1.85546875" style="847" customWidth="1"/>
    <col min="13847" max="13847" width="6.7109375" style="847" customWidth="1"/>
    <col min="13848" max="13848" width="7.7109375" style="847" customWidth="1"/>
    <col min="13849" max="13849" width="1.7109375" style="847" customWidth="1"/>
    <col min="13850" max="14080" width="9.140625" style="847"/>
    <col min="14081" max="14081" width="11.28515625" style="847" customWidth="1"/>
    <col min="14082" max="14083" width="7.7109375" style="847" customWidth="1"/>
    <col min="14084" max="14084" width="1.7109375" style="847" customWidth="1"/>
    <col min="14085" max="14086" width="7.7109375" style="847" customWidth="1"/>
    <col min="14087" max="14087" width="1.7109375" style="847" customWidth="1"/>
    <col min="14088" max="14088" width="6.7109375" style="847" customWidth="1"/>
    <col min="14089" max="14089" width="7.7109375" style="847" customWidth="1"/>
    <col min="14090" max="14090" width="1.7109375" style="847" customWidth="1"/>
    <col min="14091" max="14091" width="6.7109375" style="847" customWidth="1"/>
    <col min="14092" max="14092" width="7.7109375" style="847" customWidth="1"/>
    <col min="14093" max="14093" width="1.7109375" style="847" customWidth="1"/>
    <col min="14094" max="14094" width="6.7109375" style="847" customWidth="1"/>
    <col min="14095" max="14095" width="7.7109375" style="847" customWidth="1"/>
    <col min="14096" max="14096" width="1.7109375" style="847" customWidth="1"/>
    <col min="14097" max="14097" width="6.7109375" style="847" customWidth="1"/>
    <col min="14098" max="14098" width="7.7109375" style="847" customWidth="1"/>
    <col min="14099" max="14099" width="1.7109375" style="847" customWidth="1"/>
    <col min="14100" max="14100" width="6.7109375" style="847" customWidth="1"/>
    <col min="14101" max="14101" width="7.7109375" style="847" customWidth="1"/>
    <col min="14102" max="14102" width="1.85546875" style="847" customWidth="1"/>
    <col min="14103" max="14103" width="6.7109375" style="847" customWidth="1"/>
    <col min="14104" max="14104" width="7.7109375" style="847" customWidth="1"/>
    <col min="14105" max="14105" width="1.7109375" style="847" customWidth="1"/>
    <col min="14106" max="14336" width="9.140625" style="847"/>
    <col min="14337" max="14337" width="11.28515625" style="847" customWidth="1"/>
    <col min="14338" max="14339" width="7.7109375" style="847" customWidth="1"/>
    <col min="14340" max="14340" width="1.7109375" style="847" customWidth="1"/>
    <col min="14341" max="14342" width="7.7109375" style="847" customWidth="1"/>
    <col min="14343" max="14343" width="1.7109375" style="847" customWidth="1"/>
    <col min="14344" max="14344" width="6.7109375" style="847" customWidth="1"/>
    <col min="14345" max="14345" width="7.7109375" style="847" customWidth="1"/>
    <col min="14346" max="14346" width="1.7109375" style="847" customWidth="1"/>
    <col min="14347" max="14347" width="6.7109375" style="847" customWidth="1"/>
    <col min="14348" max="14348" width="7.7109375" style="847" customWidth="1"/>
    <col min="14349" max="14349" width="1.7109375" style="847" customWidth="1"/>
    <col min="14350" max="14350" width="6.7109375" style="847" customWidth="1"/>
    <col min="14351" max="14351" width="7.7109375" style="847" customWidth="1"/>
    <col min="14352" max="14352" width="1.7109375" style="847" customWidth="1"/>
    <col min="14353" max="14353" width="6.7109375" style="847" customWidth="1"/>
    <col min="14354" max="14354" width="7.7109375" style="847" customWidth="1"/>
    <col min="14355" max="14355" width="1.7109375" style="847" customWidth="1"/>
    <col min="14356" max="14356" width="6.7109375" style="847" customWidth="1"/>
    <col min="14357" max="14357" width="7.7109375" style="847" customWidth="1"/>
    <col min="14358" max="14358" width="1.85546875" style="847" customWidth="1"/>
    <col min="14359" max="14359" width="6.7109375" style="847" customWidth="1"/>
    <col min="14360" max="14360" width="7.7109375" style="847" customWidth="1"/>
    <col min="14361" max="14361" width="1.7109375" style="847" customWidth="1"/>
    <col min="14362" max="14592" width="9.140625" style="847"/>
    <col min="14593" max="14593" width="11.28515625" style="847" customWidth="1"/>
    <col min="14594" max="14595" width="7.7109375" style="847" customWidth="1"/>
    <col min="14596" max="14596" width="1.7109375" style="847" customWidth="1"/>
    <col min="14597" max="14598" width="7.7109375" style="847" customWidth="1"/>
    <col min="14599" max="14599" width="1.7109375" style="847" customWidth="1"/>
    <col min="14600" max="14600" width="6.7109375" style="847" customWidth="1"/>
    <col min="14601" max="14601" width="7.7109375" style="847" customWidth="1"/>
    <col min="14602" max="14602" width="1.7109375" style="847" customWidth="1"/>
    <col min="14603" max="14603" width="6.7109375" style="847" customWidth="1"/>
    <col min="14604" max="14604" width="7.7109375" style="847" customWidth="1"/>
    <col min="14605" max="14605" width="1.7109375" style="847" customWidth="1"/>
    <col min="14606" max="14606" width="6.7109375" style="847" customWidth="1"/>
    <col min="14607" max="14607" width="7.7109375" style="847" customWidth="1"/>
    <col min="14608" max="14608" width="1.7109375" style="847" customWidth="1"/>
    <col min="14609" max="14609" width="6.7109375" style="847" customWidth="1"/>
    <col min="14610" max="14610" width="7.7109375" style="847" customWidth="1"/>
    <col min="14611" max="14611" width="1.7109375" style="847" customWidth="1"/>
    <col min="14612" max="14612" width="6.7109375" style="847" customWidth="1"/>
    <col min="14613" max="14613" width="7.7109375" style="847" customWidth="1"/>
    <col min="14614" max="14614" width="1.85546875" style="847" customWidth="1"/>
    <col min="14615" max="14615" width="6.7109375" style="847" customWidth="1"/>
    <col min="14616" max="14616" width="7.7109375" style="847" customWidth="1"/>
    <col min="14617" max="14617" width="1.7109375" style="847" customWidth="1"/>
    <col min="14618" max="14848" width="9.140625" style="847"/>
    <col min="14849" max="14849" width="11.28515625" style="847" customWidth="1"/>
    <col min="14850" max="14851" width="7.7109375" style="847" customWidth="1"/>
    <col min="14852" max="14852" width="1.7109375" style="847" customWidth="1"/>
    <col min="14853" max="14854" width="7.7109375" style="847" customWidth="1"/>
    <col min="14855" max="14855" width="1.7109375" style="847" customWidth="1"/>
    <col min="14856" max="14856" width="6.7109375" style="847" customWidth="1"/>
    <col min="14857" max="14857" width="7.7109375" style="847" customWidth="1"/>
    <col min="14858" max="14858" width="1.7109375" style="847" customWidth="1"/>
    <col min="14859" max="14859" width="6.7109375" style="847" customWidth="1"/>
    <col min="14860" max="14860" width="7.7109375" style="847" customWidth="1"/>
    <col min="14861" max="14861" width="1.7109375" style="847" customWidth="1"/>
    <col min="14862" max="14862" width="6.7109375" style="847" customWidth="1"/>
    <col min="14863" max="14863" width="7.7109375" style="847" customWidth="1"/>
    <col min="14864" max="14864" width="1.7109375" style="847" customWidth="1"/>
    <col min="14865" max="14865" width="6.7109375" style="847" customWidth="1"/>
    <col min="14866" max="14866" width="7.7109375" style="847" customWidth="1"/>
    <col min="14867" max="14867" width="1.7109375" style="847" customWidth="1"/>
    <col min="14868" max="14868" width="6.7109375" style="847" customWidth="1"/>
    <col min="14869" max="14869" width="7.7109375" style="847" customWidth="1"/>
    <col min="14870" max="14870" width="1.85546875" style="847" customWidth="1"/>
    <col min="14871" max="14871" width="6.7109375" style="847" customWidth="1"/>
    <col min="14872" max="14872" width="7.7109375" style="847" customWidth="1"/>
    <col min="14873" max="14873" width="1.7109375" style="847" customWidth="1"/>
    <col min="14874" max="15104" width="9.140625" style="847"/>
    <col min="15105" max="15105" width="11.28515625" style="847" customWidth="1"/>
    <col min="15106" max="15107" width="7.7109375" style="847" customWidth="1"/>
    <col min="15108" max="15108" width="1.7109375" style="847" customWidth="1"/>
    <col min="15109" max="15110" width="7.7109375" style="847" customWidth="1"/>
    <col min="15111" max="15111" width="1.7109375" style="847" customWidth="1"/>
    <col min="15112" max="15112" width="6.7109375" style="847" customWidth="1"/>
    <col min="15113" max="15113" width="7.7109375" style="847" customWidth="1"/>
    <col min="15114" max="15114" width="1.7109375" style="847" customWidth="1"/>
    <col min="15115" max="15115" width="6.7109375" style="847" customWidth="1"/>
    <col min="15116" max="15116" width="7.7109375" style="847" customWidth="1"/>
    <col min="15117" max="15117" width="1.7109375" style="847" customWidth="1"/>
    <col min="15118" max="15118" width="6.7109375" style="847" customWidth="1"/>
    <col min="15119" max="15119" width="7.7109375" style="847" customWidth="1"/>
    <col min="15120" max="15120" width="1.7109375" style="847" customWidth="1"/>
    <col min="15121" max="15121" width="6.7109375" style="847" customWidth="1"/>
    <col min="15122" max="15122" width="7.7109375" style="847" customWidth="1"/>
    <col min="15123" max="15123" width="1.7109375" style="847" customWidth="1"/>
    <col min="15124" max="15124" width="6.7109375" style="847" customWidth="1"/>
    <col min="15125" max="15125" width="7.7109375" style="847" customWidth="1"/>
    <col min="15126" max="15126" width="1.85546875" style="847" customWidth="1"/>
    <col min="15127" max="15127" width="6.7109375" style="847" customWidth="1"/>
    <col min="15128" max="15128" width="7.7109375" style="847" customWidth="1"/>
    <col min="15129" max="15129" width="1.7109375" style="847" customWidth="1"/>
    <col min="15130" max="15360" width="9.140625" style="847"/>
    <col min="15361" max="15361" width="11.28515625" style="847" customWidth="1"/>
    <col min="15362" max="15363" width="7.7109375" style="847" customWidth="1"/>
    <col min="15364" max="15364" width="1.7109375" style="847" customWidth="1"/>
    <col min="15365" max="15366" width="7.7109375" style="847" customWidth="1"/>
    <col min="15367" max="15367" width="1.7109375" style="847" customWidth="1"/>
    <col min="15368" max="15368" width="6.7109375" style="847" customWidth="1"/>
    <col min="15369" max="15369" width="7.7109375" style="847" customWidth="1"/>
    <col min="15370" max="15370" width="1.7109375" style="847" customWidth="1"/>
    <col min="15371" max="15371" width="6.7109375" style="847" customWidth="1"/>
    <col min="15372" max="15372" width="7.7109375" style="847" customWidth="1"/>
    <col min="15373" max="15373" width="1.7109375" style="847" customWidth="1"/>
    <col min="15374" max="15374" width="6.7109375" style="847" customWidth="1"/>
    <col min="15375" max="15375" width="7.7109375" style="847" customWidth="1"/>
    <col min="15376" max="15376" width="1.7109375" style="847" customWidth="1"/>
    <col min="15377" max="15377" width="6.7109375" style="847" customWidth="1"/>
    <col min="15378" max="15378" width="7.7109375" style="847" customWidth="1"/>
    <col min="15379" max="15379" width="1.7109375" style="847" customWidth="1"/>
    <col min="15380" max="15380" width="6.7109375" style="847" customWidth="1"/>
    <col min="15381" max="15381" width="7.7109375" style="847" customWidth="1"/>
    <col min="15382" max="15382" width="1.85546875" style="847" customWidth="1"/>
    <col min="15383" max="15383" width="6.7109375" style="847" customWidth="1"/>
    <col min="15384" max="15384" width="7.7109375" style="847" customWidth="1"/>
    <col min="15385" max="15385" width="1.7109375" style="847" customWidth="1"/>
    <col min="15386" max="15616" width="9.140625" style="847"/>
    <col min="15617" max="15617" width="11.28515625" style="847" customWidth="1"/>
    <col min="15618" max="15619" width="7.7109375" style="847" customWidth="1"/>
    <col min="15620" max="15620" width="1.7109375" style="847" customWidth="1"/>
    <col min="15621" max="15622" width="7.7109375" style="847" customWidth="1"/>
    <col min="15623" max="15623" width="1.7109375" style="847" customWidth="1"/>
    <col min="15624" max="15624" width="6.7109375" style="847" customWidth="1"/>
    <col min="15625" max="15625" width="7.7109375" style="847" customWidth="1"/>
    <col min="15626" max="15626" width="1.7109375" style="847" customWidth="1"/>
    <col min="15627" max="15627" width="6.7109375" style="847" customWidth="1"/>
    <col min="15628" max="15628" width="7.7109375" style="847" customWidth="1"/>
    <col min="15629" max="15629" width="1.7109375" style="847" customWidth="1"/>
    <col min="15630" max="15630" width="6.7109375" style="847" customWidth="1"/>
    <col min="15631" max="15631" width="7.7109375" style="847" customWidth="1"/>
    <col min="15632" max="15632" width="1.7109375" style="847" customWidth="1"/>
    <col min="15633" max="15633" width="6.7109375" style="847" customWidth="1"/>
    <col min="15634" max="15634" width="7.7109375" style="847" customWidth="1"/>
    <col min="15635" max="15635" width="1.7109375" style="847" customWidth="1"/>
    <col min="15636" max="15636" width="6.7109375" style="847" customWidth="1"/>
    <col min="15637" max="15637" width="7.7109375" style="847" customWidth="1"/>
    <col min="15638" max="15638" width="1.85546875" style="847" customWidth="1"/>
    <col min="15639" max="15639" width="6.7109375" style="847" customWidth="1"/>
    <col min="15640" max="15640" width="7.7109375" style="847" customWidth="1"/>
    <col min="15641" max="15641" width="1.7109375" style="847" customWidth="1"/>
    <col min="15642" max="15872" width="9.140625" style="847"/>
    <col min="15873" max="15873" width="11.28515625" style="847" customWidth="1"/>
    <col min="15874" max="15875" width="7.7109375" style="847" customWidth="1"/>
    <col min="15876" max="15876" width="1.7109375" style="847" customWidth="1"/>
    <col min="15877" max="15878" width="7.7109375" style="847" customWidth="1"/>
    <col min="15879" max="15879" width="1.7109375" style="847" customWidth="1"/>
    <col min="15880" max="15880" width="6.7109375" style="847" customWidth="1"/>
    <col min="15881" max="15881" width="7.7109375" style="847" customWidth="1"/>
    <col min="15882" max="15882" width="1.7109375" style="847" customWidth="1"/>
    <col min="15883" max="15883" width="6.7109375" style="847" customWidth="1"/>
    <col min="15884" max="15884" width="7.7109375" style="847" customWidth="1"/>
    <col min="15885" max="15885" width="1.7109375" style="847" customWidth="1"/>
    <col min="15886" max="15886" width="6.7109375" style="847" customWidth="1"/>
    <col min="15887" max="15887" width="7.7109375" style="847" customWidth="1"/>
    <col min="15888" max="15888" width="1.7109375" style="847" customWidth="1"/>
    <col min="15889" max="15889" width="6.7109375" style="847" customWidth="1"/>
    <col min="15890" max="15890" width="7.7109375" style="847" customWidth="1"/>
    <col min="15891" max="15891" width="1.7109375" style="847" customWidth="1"/>
    <col min="15892" max="15892" width="6.7109375" style="847" customWidth="1"/>
    <col min="15893" max="15893" width="7.7109375" style="847" customWidth="1"/>
    <col min="15894" max="15894" width="1.85546875" style="847" customWidth="1"/>
    <col min="15895" max="15895" width="6.7109375" style="847" customWidth="1"/>
    <col min="15896" max="15896" width="7.7109375" style="847" customWidth="1"/>
    <col min="15897" max="15897" width="1.7109375" style="847" customWidth="1"/>
    <col min="15898" max="16128" width="9.140625" style="847"/>
    <col min="16129" max="16129" width="11.28515625" style="847" customWidth="1"/>
    <col min="16130" max="16131" width="7.7109375" style="847" customWidth="1"/>
    <col min="16132" max="16132" width="1.7109375" style="847" customWidth="1"/>
    <col min="16133" max="16134" width="7.7109375" style="847" customWidth="1"/>
    <col min="16135" max="16135" width="1.7109375" style="847" customWidth="1"/>
    <col min="16136" max="16136" width="6.7109375" style="847" customWidth="1"/>
    <col min="16137" max="16137" width="7.7109375" style="847" customWidth="1"/>
    <col min="16138" max="16138" width="1.7109375" style="847" customWidth="1"/>
    <col min="16139" max="16139" width="6.7109375" style="847" customWidth="1"/>
    <col min="16140" max="16140" width="7.7109375" style="847" customWidth="1"/>
    <col min="16141" max="16141" width="1.7109375" style="847" customWidth="1"/>
    <col min="16142" max="16142" width="6.7109375" style="847" customWidth="1"/>
    <col min="16143" max="16143" width="7.7109375" style="847" customWidth="1"/>
    <col min="16144" max="16144" width="1.7109375" style="847" customWidth="1"/>
    <col min="16145" max="16145" width="6.7109375" style="847" customWidth="1"/>
    <col min="16146" max="16146" width="7.7109375" style="847" customWidth="1"/>
    <col min="16147" max="16147" width="1.7109375" style="847" customWidth="1"/>
    <col min="16148" max="16148" width="6.7109375" style="847" customWidth="1"/>
    <col min="16149" max="16149" width="7.7109375" style="847" customWidth="1"/>
    <col min="16150" max="16150" width="1.85546875" style="847" customWidth="1"/>
    <col min="16151" max="16151" width="6.7109375" style="847" customWidth="1"/>
    <col min="16152" max="16152" width="7.7109375" style="847" customWidth="1"/>
    <col min="16153" max="16153" width="1.7109375" style="847" customWidth="1"/>
    <col min="16154" max="16384" width="9.140625" style="847"/>
  </cols>
  <sheetData>
    <row r="1" spans="1:25">
      <c r="A1" s="847" t="s">
        <v>379</v>
      </c>
    </row>
    <row r="2" spans="1:25">
      <c r="A2" s="847" t="s">
        <v>380</v>
      </c>
      <c r="E2" s="1158"/>
      <c r="F2" s="1159"/>
    </row>
    <row r="3" spans="1:25" ht="10.5" customHeight="1"/>
    <row r="4" spans="1:25" ht="12.95" customHeight="1">
      <c r="A4" s="854" t="s">
        <v>2155</v>
      </c>
    </row>
    <row r="5" spans="1:25" ht="6.75" customHeight="1" thickBot="1">
      <c r="L5" s="943"/>
      <c r="O5" s="943"/>
      <c r="P5" s="943"/>
      <c r="R5" s="943"/>
      <c r="S5" s="943"/>
    </row>
    <row r="6" spans="1:25" ht="12.95" customHeight="1">
      <c r="A6" s="850"/>
      <c r="B6" s="1170"/>
      <c r="C6" s="993"/>
      <c r="D6" s="850"/>
      <c r="E6" s="992"/>
      <c r="F6" s="993"/>
      <c r="G6" s="850"/>
      <c r="H6" s="992"/>
      <c r="I6" s="993"/>
      <c r="J6" s="993"/>
      <c r="K6" s="992"/>
      <c r="L6" s="993"/>
      <c r="M6" s="850"/>
      <c r="N6" s="992"/>
      <c r="O6" s="993"/>
      <c r="P6" s="993"/>
      <c r="Q6" s="992"/>
      <c r="R6" s="993"/>
      <c r="S6" s="993"/>
      <c r="T6" s="993"/>
      <c r="U6" s="993"/>
      <c r="V6" s="993"/>
      <c r="W6" s="993"/>
      <c r="X6" s="993"/>
      <c r="Y6" s="993"/>
    </row>
    <row r="7" spans="1:25" ht="12.95" customHeight="1">
      <c r="A7" s="849" t="s">
        <v>1789</v>
      </c>
      <c r="B7" s="1323" t="s">
        <v>1790</v>
      </c>
      <c r="C7" s="1323"/>
      <c r="D7" s="849"/>
      <c r="E7" s="1323" t="s">
        <v>1447</v>
      </c>
      <c r="F7" s="1323"/>
      <c r="G7" s="849"/>
      <c r="H7" s="1323" t="s">
        <v>1791</v>
      </c>
      <c r="I7" s="1323"/>
      <c r="J7" s="999"/>
      <c r="K7" s="1323" t="s">
        <v>1792</v>
      </c>
      <c r="L7" s="1323"/>
      <c r="M7" s="849"/>
      <c r="N7" s="1323" t="s">
        <v>1793</v>
      </c>
      <c r="O7" s="1323"/>
      <c r="Q7" s="1322" t="s">
        <v>1794</v>
      </c>
      <c r="R7" s="1323"/>
      <c r="T7" s="1323" t="s">
        <v>1795</v>
      </c>
      <c r="U7" s="1323"/>
      <c r="W7" s="1323" t="s">
        <v>1796</v>
      </c>
      <c r="X7" s="1323"/>
    </row>
    <row r="8" spans="1:25" ht="12.95" customHeight="1">
      <c r="A8" s="847" t="s">
        <v>1797</v>
      </c>
      <c r="B8" s="1177" t="s">
        <v>323</v>
      </c>
      <c r="C8" s="1029" t="s">
        <v>324</v>
      </c>
      <c r="D8" s="849"/>
      <c r="E8" s="1160" t="s">
        <v>323</v>
      </c>
      <c r="F8" s="1029" t="s">
        <v>324</v>
      </c>
      <c r="G8" s="849"/>
      <c r="H8" s="1160" t="s">
        <v>323</v>
      </c>
      <c r="I8" s="1029" t="s">
        <v>324</v>
      </c>
      <c r="J8" s="1029"/>
      <c r="K8" s="1160" t="s">
        <v>323</v>
      </c>
      <c r="L8" s="1029" t="s">
        <v>324</v>
      </c>
      <c r="M8" s="849"/>
      <c r="N8" s="1160" t="s">
        <v>323</v>
      </c>
      <c r="O8" s="1029" t="s">
        <v>324</v>
      </c>
      <c r="Q8" s="1160" t="s">
        <v>323</v>
      </c>
      <c r="R8" s="1029" t="s">
        <v>324</v>
      </c>
      <c r="T8" s="1160" t="s">
        <v>323</v>
      </c>
      <c r="U8" s="1029" t="s">
        <v>324</v>
      </c>
      <c r="W8" s="1160" t="s">
        <v>323</v>
      </c>
      <c r="X8" s="1029" t="s">
        <v>324</v>
      </c>
    </row>
    <row r="9" spans="1:25" ht="12.95" customHeight="1" thickBot="1">
      <c r="A9" s="848"/>
      <c r="B9" s="1178"/>
      <c r="C9" s="996"/>
      <c r="D9" s="848"/>
      <c r="E9" s="995"/>
      <c r="F9" s="996"/>
      <c r="G9" s="848"/>
      <c r="H9" s="995"/>
      <c r="I9" s="996"/>
      <c r="J9" s="996"/>
      <c r="K9" s="995"/>
      <c r="L9" s="996"/>
      <c r="M9" s="848"/>
      <c r="N9" s="995"/>
      <c r="O9" s="996"/>
      <c r="P9" s="996"/>
      <c r="Q9" s="995"/>
      <c r="R9" s="996"/>
      <c r="S9" s="996"/>
      <c r="T9" s="996"/>
      <c r="U9" s="996"/>
      <c r="V9" s="996"/>
      <c r="W9" s="996"/>
      <c r="X9" s="996"/>
      <c r="Y9" s="996"/>
    </row>
    <row r="10" spans="1:25" ht="12.95" customHeight="1">
      <c r="A10" s="849"/>
      <c r="B10" s="1167"/>
      <c r="C10" s="999"/>
      <c r="D10" s="849"/>
      <c r="E10" s="997"/>
      <c r="F10" s="999"/>
      <c r="G10" s="849"/>
      <c r="H10" s="997"/>
      <c r="I10" s="999"/>
      <c r="J10" s="999"/>
      <c r="K10" s="997"/>
      <c r="L10" s="999"/>
      <c r="M10" s="849"/>
      <c r="N10" s="997"/>
      <c r="O10" s="999"/>
      <c r="Q10" s="997"/>
      <c r="R10" s="999"/>
    </row>
    <row r="11" spans="1:25" ht="12.95" customHeight="1">
      <c r="A11" s="1099" t="s">
        <v>5</v>
      </c>
      <c r="B11" s="1167">
        <f>IF($A11&lt;&gt;0,SUM(B12:B21),"")</f>
        <v>2440</v>
      </c>
      <c r="C11" s="998">
        <f>IF($A11&lt;&gt;0,SUM(C12:C21),"")</f>
        <v>100</v>
      </c>
      <c r="D11" s="849"/>
      <c r="E11" s="997">
        <f>IF($A11&lt;&gt;0,SUM(E12:E21),"")</f>
        <v>1735</v>
      </c>
      <c r="F11" s="998">
        <f>IF($A11&lt;&gt;0,SUM(F12:F21),"")</f>
        <v>100</v>
      </c>
      <c r="G11" s="849"/>
      <c r="H11" s="997">
        <f>IF($A11&lt;&gt;0,SUM(H12:H21),"")</f>
        <v>225</v>
      </c>
      <c r="I11" s="998">
        <f>IF($A11&lt;&gt;0,SUM(I15:I21),"")</f>
        <v>100</v>
      </c>
      <c r="J11" s="999"/>
      <c r="K11" s="997">
        <f>IF($A11&lt;&gt;0,SUM(K12:K21),"")</f>
        <v>176</v>
      </c>
      <c r="L11" s="998">
        <f>IF($A11&lt;&gt;0,SUM(L15:L21),"")</f>
        <v>100</v>
      </c>
      <c r="M11" s="849"/>
      <c r="N11" s="997">
        <f>IF($A11&lt;&gt;0,SUM(N12:N21),"")</f>
        <v>189</v>
      </c>
      <c r="O11" s="998">
        <f>IF($A11&lt;&gt;0,SUM(O15:O21),"")</f>
        <v>100</v>
      </c>
      <c r="Q11" s="997">
        <f>IF($A11&lt;&gt;0,SUM(Q12:Q21),"")</f>
        <v>58</v>
      </c>
      <c r="R11" s="998">
        <f>IF($A11&lt;&gt;0,SUM(R15:R21),"")</f>
        <v>100</v>
      </c>
      <c r="T11" s="997">
        <f>IF($A11&lt;&gt;0,SUM(T12:T21),"")</f>
        <v>52</v>
      </c>
      <c r="U11" s="998">
        <f>IF($A11&lt;&gt;0,SUM(U15:U21),"")</f>
        <v>100</v>
      </c>
      <c r="W11" s="997">
        <f>IF($A11&lt;&gt;0,SUM(W12:W21),"")</f>
        <v>5</v>
      </c>
      <c r="X11" s="998">
        <f>IF($A11&lt;&gt;0,SUM(X15:X21),"")</f>
        <v>100</v>
      </c>
    </row>
    <row r="12" spans="1:25" ht="12.95" customHeight="1">
      <c r="A12" s="954"/>
      <c r="B12" s="1167" t="str">
        <f>IF(A12&lt;&gt;0,E12+H12+K12+N12+Q12+T12,"")</f>
        <v/>
      </c>
      <c r="C12" s="998" t="str">
        <f>IF($A12&lt;&gt;0,SUM(C16:C22),"")</f>
        <v/>
      </c>
      <c r="D12" s="849"/>
      <c r="E12" s="997"/>
      <c r="F12" s="998" t="str">
        <f>IF($A12&lt;&gt;0,SUM(F16:F22),"")</f>
        <v/>
      </c>
      <c r="G12" s="849"/>
      <c r="H12" s="997"/>
      <c r="I12" s="998" t="str">
        <f>IF($A12&lt;&gt;0,SUM(I16:I22),"")</f>
        <v/>
      </c>
      <c r="J12" s="999"/>
      <c r="K12" s="997"/>
      <c r="L12" s="999" t="str">
        <f t="shared" ref="L12:L17" si="0">IF($A12&lt;&gt;"",K12/$K$11*100,"")</f>
        <v/>
      </c>
      <c r="M12" s="849"/>
      <c r="N12" s="997"/>
      <c r="O12" s="999" t="str">
        <f t="shared" ref="O12:O18" si="1">IF($A12&lt;&gt;"",N12/$N$11*100,"")</f>
        <v/>
      </c>
      <c r="Q12" s="997"/>
      <c r="R12" s="999" t="str">
        <f t="shared" ref="R12:R19" si="2">IF($A12&lt;&gt;"",Q12/$Q$11*100,"")</f>
        <v/>
      </c>
      <c r="T12" s="942"/>
      <c r="U12" s="999" t="str">
        <f t="shared" ref="U12:U18" si="3">IF($A12&lt;&gt;"",T12/$T$11*100,"")</f>
        <v/>
      </c>
      <c r="W12" s="942"/>
      <c r="X12" s="999" t="str">
        <f t="shared" ref="X12:X20" si="4">IF($A12&lt;&gt;"",W12/$W$11*100,"")</f>
        <v/>
      </c>
    </row>
    <row r="13" spans="1:25" ht="12.95" customHeight="1">
      <c r="A13" s="1163" t="s">
        <v>2156</v>
      </c>
      <c r="B13" s="1167">
        <f>IF(A13&lt;&gt;"",E13+H13+K13+N13+Q13+T13+W13,"")</f>
        <v>1</v>
      </c>
      <c r="C13" s="999">
        <f>IF($A13&lt;&gt;"",B13/$B$11*100,"")</f>
        <v>4.0983606557377046E-2</v>
      </c>
      <c r="D13" s="849"/>
      <c r="E13" s="1183">
        <v>1</v>
      </c>
      <c r="F13" s="999">
        <f t="shared" ref="F13:F21" si="5">IF($A13&lt;&gt;"",E13/$E$11*100,"")</f>
        <v>5.7636887608069169E-2</v>
      </c>
      <c r="G13" s="849"/>
      <c r="H13" s="1183">
        <v>0</v>
      </c>
      <c r="I13" s="999">
        <f t="shared" ref="I13:I21" si="6">IF($A13&lt;&gt;"",H13/$H$11*100,"")</f>
        <v>0</v>
      </c>
      <c r="J13" s="999"/>
      <c r="K13" s="1183">
        <v>0</v>
      </c>
      <c r="L13" s="999">
        <f t="shared" si="0"/>
        <v>0</v>
      </c>
      <c r="M13" s="849"/>
      <c r="N13" s="1183">
        <v>0</v>
      </c>
      <c r="O13" s="999">
        <f t="shared" si="1"/>
        <v>0</v>
      </c>
      <c r="Q13" s="1183">
        <v>0</v>
      </c>
      <c r="R13" s="999">
        <f t="shared" si="2"/>
        <v>0</v>
      </c>
      <c r="T13" s="1183">
        <v>0</v>
      </c>
      <c r="U13" s="999">
        <f t="shared" si="3"/>
        <v>0</v>
      </c>
      <c r="W13" s="1183">
        <v>0</v>
      </c>
      <c r="X13" s="999">
        <f t="shared" si="4"/>
        <v>0</v>
      </c>
    </row>
    <row r="14" spans="1:25" ht="12.95" customHeight="1">
      <c r="A14" s="954"/>
      <c r="B14" s="1167"/>
      <c r="C14" s="999" t="str">
        <f t="shared" ref="C14:C21" si="7">IF($A14&lt;&gt;"",B14/$B$11*100,"")</f>
        <v/>
      </c>
      <c r="D14" s="849"/>
      <c r="E14" s="1183"/>
      <c r="F14" s="999" t="str">
        <f t="shared" si="5"/>
        <v/>
      </c>
      <c r="G14" s="849"/>
      <c r="H14" s="1183"/>
      <c r="I14" s="999" t="str">
        <f t="shared" si="6"/>
        <v/>
      </c>
      <c r="J14" s="999"/>
      <c r="K14" s="1183"/>
      <c r="L14" s="999" t="str">
        <f t="shared" si="0"/>
        <v/>
      </c>
      <c r="M14" s="849"/>
      <c r="N14" s="1183"/>
      <c r="O14" s="999" t="str">
        <f t="shared" si="1"/>
        <v/>
      </c>
      <c r="Q14" s="1183"/>
      <c r="R14" s="999" t="str">
        <f t="shared" si="2"/>
        <v/>
      </c>
      <c r="T14" s="1183"/>
      <c r="U14" s="999" t="str">
        <f t="shared" si="3"/>
        <v/>
      </c>
      <c r="W14" s="1183"/>
      <c r="X14" s="999" t="str">
        <f t="shared" si="4"/>
        <v/>
      </c>
    </row>
    <row r="15" spans="1:25" ht="12.95" customHeight="1">
      <c r="A15" s="1163" t="s">
        <v>2157</v>
      </c>
      <c r="B15" s="1167">
        <f>IF(A15&lt;&gt;"",E15+H15+K15+N15+Q15+T15+W15,"")</f>
        <v>4</v>
      </c>
      <c r="C15" s="999">
        <f t="shared" si="7"/>
        <v>0.16393442622950818</v>
      </c>
      <c r="D15" s="849"/>
      <c r="E15" s="1183">
        <v>4</v>
      </c>
      <c r="F15" s="999">
        <f t="shared" si="5"/>
        <v>0.23054755043227668</v>
      </c>
      <c r="G15" s="849"/>
      <c r="H15" s="1183">
        <v>0</v>
      </c>
      <c r="I15" s="999">
        <f t="shared" si="6"/>
        <v>0</v>
      </c>
      <c r="J15" s="999"/>
      <c r="K15" s="1183">
        <v>0</v>
      </c>
      <c r="L15" s="999">
        <f t="shared" si="0"/>
        <v>0</v>
      </c>
      <c r="M15" s="849"/>
      <c r="N15" s="1183">
        <v>0</v>
      </c>
      <c r="O15" s="999">
        <f t="shared" si="1"/>
        <v>0</v>
      </c>
      <c r="Q15" s="1183">
        <v>0</v>
      </c>
      <c r="R15" s="999">
        <f t="shared" si="2"/>
        <v>0</v>
      </c>
      <c r="T15" s="1183">
        <v>0</v>
      </c>
      <c r="U15" s="999">
        <f t="shared" si="3"/>
        <v>0</v>
      </c>
      <c r="W15" s="1183">
        <v>0</v>
      </c>
      <c r="X15" s="999">
        <f t="shared" si="4"/>
        <v>0</v>
      </c>
    </row>
    <row r="16" spans="1:25" ht="12.95" customHeight="1">
      <c r="A16" s="1163"/>
      <c r="B16" s="1167" t="str">
        <f t="shared" ref="B16:B21" si="8">IF(A16&lt;&gt;"",E16+H16+K16+N16+Q16+T16+W16,"")</f>
        <v/>
      </c>
      <c r="C16" s="999" t="str">
        <f t="shared" si="7"/>
        <v/>
      </c>
      <c r="D16" s="849"/>
      <c r="E16" s="1183"/>
      <c r="F16" s="999" t="str">
        <f t="shared" si="5"/>
        <v/>
      </c>
      <c r="G16" s="849"/>
      <c r="H16" s="1183"/>
      <c r="I16" s="999" t="str">
        <f t="shared" si="6"/>
        <v/>
      </c>
      <c r="J16" s="999"/>
      <c r="K16" s="1183"/>
      <c r="L16" s="999" t="str">
        <f t="shared" si="0"/>
        <v/>
      </c>
      <c r="M16" s="849"/>
      <c r="N16" s="1183"/>
      <c r="O16" s="999" t="str">
        <f t="shared" si="1"/>
        <v/>
      </c>
      <c r="Q16" s="1183"/>
      <c r="R16" s="999" t="str">
        <f t="shared" si="2"/>
        <v/>
      </c>
      <c r="T16" s="1183"/>
      <c r="U16" s="999" t="str">
        <f t="shared" si="3"/>
        <v/>
      </c>
      <c r="W16" s="1183"/>
      <c r="X16" s="999" t="str">
        <f t="shared" si="4"/>
        <v/>
      </c>
    </row>
    <row r="17" spans="1:25" ht="12.95" customHeight="1">
      <c r="A17" s="1163">
        <v>3</v>
      </c>
      <c r="B17" s="1167">
        <f t="shared" si="8"/>
        <v>176</v>
      </c>
      <c r="C17" s="999">
        <f t="shared" si="7"/>
        <v>7.2131147540983616</v>
      </c>
      <c r="D17" s="849"/>
      <c r="E17" s="1183">
        <v>153</v>
      </c>
      <c r="F17" s="999">
        <f t="shared" si="5"/>
        <v>8.8184438040345832</v>
      </c>
      <c r="G17" s="849"/>
      <c r="H17" s="1183">
        <v>7</v>
      </c>
      <c r="I17" s="999">
        <f t="shared" si="6"/>
        <v>3.1111111111111112</v>
      </c>
      <c r="J17" s="999"/>
      <c r="K17" s="1183">
        <v>9</v>
      </c>
      <c r="L17" s="999">
        <f t="shared" si="0"/>
        <v>5.1136363636363642</v>
      </c>
      <c r="M17" s="849"/>
      <c r="N17" s="1183">
        <v>5</v>
      </c>
      <c r="O17" s="999">
        <f t="shared" si="1"/>
        <v>2.6455026455026456</v>
      </c>
      <c r="Q17" s="1183">
        <v>2</v>
      </c>
      <c r="R17" s="999">
        <f t="shared" si="2"/>
        <v>3.4482758620689653</v>
      </c>
      <c r="T17" s="1183">
        <v>0</v>
      </c>
      <c r="U17" s="999">
        <f t="shared" si="3"/>
        <v>0</v>
      </c>
      <c r="W17" s="1183">
        <v>0</v>
      </c>
      <c r="X17" s="999">
        <f t="shared" si="4"/>
        <v>0</v>
      </c>
    </row>
    <row r="18" spans="1:25" ht="12.95" customHeight="1">
      <c r="A18" s="1163"/>
      <c r="B18" s="1167" t="str">
        <f t="shared" si="8"/>
        <v/>
      </c>
      <c r="C18" s="999" t="str">
        <f t="shared" si="7"/>
        <v/>
      </c>
      <c r="D18" s="849"/>
      <c r="E18" s="1183"/>
      <c r="F18" s="999" t="str">
        <f t="shared" si="5"/>
        <v/>
      </c>
      <c r="G18" s="849"/>
      <c r="H18" s="1183"/>
      <c r="I18" s="999" t="str">
        <f t="shared" si="6"/>
        <v/>
      </c>
      <c r="J18" s="999"/>
      <c r="K18" s="1183"/>
      <c r="L18" s="999" t="str">
        <f>IF(A18&lt;&gt;0,K18/B18*100,"")</f>
        <v/>
      </c>
      <c r="M18" s="849"/>
      <c r="N18" s="1183"/>
      <c r="O18" s="999" t="str">
        <f t="shared" si="1"/>
        <v/>
      </c>
      <c r="Q18" s="1183"/>
      <c r="R18" s="999" t="str">
        <f t="shared" si="2"/>
        <v/>
      </c>
      <c r="T18" s="1183"/>
      <c r="U18" s="999" t="str">
        <f t="shared" si="3"/>
        <v/>
      </c>
      <c r="W18" s="1183"/>
      <c r="X18" s="999" t="str">
        <f t="shared" si="4"/>
        <v/>
      </c>
    </row>
    <row r="19" spans="1:25" ht="12.95" customHeight="1">
      <c r="A19" s="1163">
        <v>4</v>
      </c>
      <c r="B19" s="1167">
        <f t="shared" si="8"/>
        <v>260</v>
      </c>
      <c r="C19" s="999">
        <f>IF($A19&lt;&gt;"",B19/$B$11*100,"")</f>
        <v>10.655737704918032</v>
      </c>
      <c r="D19" s="849"/>
      <c r="E19" s="1183">
        <v>205</v>
      </c>
      <c r="F19" s="999">
        <f t="shared" si="5"/>
        <v>11.815561959654179</v>
      </c>
      <c r="G19" s="1045"/>
      <c r="H19" s="1183">
        <v>17</v>
      </c>
      <c r="I19" s="999">
        <f t="shared" si="6"/>
        <v>7.5555555555555554</v>
      </c>
      <c r="J19" s="1044"/>
      <c r="K19" s="1183">
        <v>15</v>
      </c>
      <c r="L19" s="999">
        <f>IF($A19&lt;&gt;"",K19/$K$11*100,"")</f>
        <v>8.5227272727272716</v>
      </c>
      <c r="M19" s="1045"/>
      <c r="N19" s="1183">
        <v>17</v>
      </c>
      <c r="O19" s="999">
        <f>IF($A19&lt;&gt;"",N19/$N$11*100,"")</f>
        <v>8.9947089947089935</v>
      </c>
      <c r="P19" s="1046"/>
      <c r="Q19" s="1183">
        <v>4</v>
      </c>
      <c r="R19" s="999">
        <f t="shared" si="2"/>
        <v>6.8965517241379306</v>
      </c>
      <c r="T19" s="1183">
        <v>2</v>
      </c>
      <c r="U19" s="999">
        <f>IF($A19&lt;&gt;"",T19/$T$11*100,"")</f>
        <v>3.8461538461538463</v>
      </c>
      <c r="W19" s="1183">
        <v>0</v>
      </c>
      <c r="X19" s="999">
        <f t="shared" si="4"/>
        <v>0</v>
      </c>
    </row>
    <row r="20" spans="1:25" ht="12.95" customHeight="1">
      <c r="A20" s="1163"/>
      <c r="B20" s="1167" t="str">
        <f t="shared" si="8"/>
        <v/>
      </c>
      <c r="C20" s="999" t="str">
        <f t="shared" si="7"/>
        <v/>
      </c>
      <c r="D20" s="849"/>
      <c r="E20" s="1183"/>
      <c r="F20" s="999" t="str">
        <f t="shared" si="5"/>
        <v/>
      </c>
      <c r="G20" s="1045"/>
      <c r="H20" s="1183"/>
      <c r="I20" s="999" t="str">
        <f t="shared" si="6"/>
        <v/>
      </c>
      <c r="J20" s="1044"/>
      <c r="K20" s="1183"/>
      <c r="L20" s="999" t="str">
        <f>IF($A20&lt;&gt;"",K20/$K$11*100,"")</f>
        <v/>
      </c>
      <c r="M20" s="1045"/>
      <c r="N20" s="1183"/>
      <c r="O20" s="999" t="str">
        <f>IF($A20&lt;&gt;"",N20/$N$11*100,"")</f>
        <v/>
      </c>
      <c r="P20" s="1046"/>
      <c r="Q20" s="1183"/>
      <c r="R20" s="999" t="str">
        <f>IF($A20&lt;&gt;"",Q20/$Q$11*100,"")</f>
        <v/>
      </c>
      <c r="T20" s="1183"/>
      <c r="U20" s="999" t="str">
        <f>IF($A20&lt;&gt;"",T20/$T$11*100,"")</f>
        <v/>
      </c>
      <c r="W20" s="1183"/>
      <c r="X20" s="999" t="str">
        <f t="shared" si="4"/>
        <v/>
      </c>
    </row>
    <row r="21" spans="1:25" ht="12.95" customHeight="1">
      <c r="A21" s="1163">
        <v>5</v>
      </c>
      <c r="B21" s="1167">
        <f t="shared" si="8"/>
        <v>1999</v>
      </c>
      <c r="C21" s="999">
        <f t="shared" si="7"/>
        <v>81.926229508196727</v>
      </c>
      <c r="D21" s="849"/>
      <c r="E21" s="1184">
        <v>1372</v>
      </c>
      <c r="F21" s="999">
        <f t="shared" si="5"/>
        <v>79.077809798270891</v>
      </c>
      <c r="G21" s="1045"/>
      <c r="H21" s="1184">
        <v>201</v>
      </c>
      <c r="I21" s="999">
        <f t="shared" si="6"/>
        <v>89.333333333333329</v>
      </c>
      <c r="J21" s="1044"/>
      <c r="K21" s="1184">
        <v>152</v>
      </c>
      <c r="L21" s="999">
        <f>IF($A21&lt;&gt;"",K21/$K$11*100,"")</f>
        <v>86.36363636363636</v>
      </c>
      <c r="M21" s="1045"/>
      <c r="N21" s="1184">
        <v>167</v>
      </c>
      <c r="O21" s="999">
        <f>IF($A21&lt;&gt;"",N21/$N$11*100,"")</f>
        <v>88.359788359788354</v>
      </c>
      <c r="P21" s="1046"/>
      <c r="Q21" s="1184">
        <v>52</v>
      </c>
      <c r="R21" s="999">
        <f>IF($A21&lt;&gt;"",Q21/$Q$11*100,"")</f>
        <v>89.65517241379311</v>
      </c>
      <c r="T21" s="1184">
        <v>50</v>
      </c>
      <c r="U21" s="999">
        <f>IF($A21&lt;&gt;"",T21/$T$11*100,"")</f>
        <v>96.15384615384616</v>
      </c>
      <c r="W21" s="1184">
        <v>5</v>
      </c>
      <c r="X21" s="999">
        <f>IF($A21&lt;&gt;"",W21/$W$11*100,"")</f>
        <v>100</v>
      </c>
    </row>
    <row r="22" spans="1:25" ht="7.5" customHeight="1" thickBot="1"/>
    <row r="23" spans="1:25" ht="7.5" customHeight="1">
      <c r="A23" s="850"/>
      <c r="B23" s="1170"/>
      <c r="C23" s="993"/>
      <c r="D23" s="850"/>
      <c r="E23" s="992"/>
      <c r="F23" s="993"/>
      <c r="G23" s="850"/>
      <c r="H23" s="992"/>
      <c r="I23" s="993"/>
      <c r="J23" s="993"/>
      <c r="K23" s="992"/>
      <c r="L23" s="850"/>
      <c r="M23" s="850"/>
      <c r="N23" s="992"/>
      <c r="O23" s="850"/>
      <c r="P23" s="850"/>
      <c r="Q23" s="992"/>
      <c r="R23" s="850"/>
      <c r="S23" s="850"/>
      <c r="T23" s="850"/>
      <c r="U23" s="850"/>
      <c r="V23" s="850"/>
      <c r="W23" s="850"/>
      <c r="X23" s="850"/>
      <c r="Y23" s="850"/>
    </row>
    <row r="24" spans="1:25">
      <c r="A24" s="854" t="s">
        <v>1828</v>
      </c>
      <c r="B24" s="1167"/>
      <c r="C24" s="999"/>
      <c r="D24" s="849"/>
      <c r="E24" s="997"/>
      <c r="F24" s="999"/>
      <c r="G24" s="849"/>
      <c r="H24" s="997"/>
      <c r="I24" s="999"/>
      <c r="J24" s="999"/>
      <c r="K24" s="997"/>
      <c r="L24" s="849"/>
      <c r="M24" s="849"/>
      <c r="N24" s="997"/>
      <c r="O24" s="849"/>
      <c r="P24" s="849"/>
      <c r="Q24" s="997"/>
      <c r="R24" s="849"/>
      <c r="S24" s="849"/>
      <c r="T24" s="849"/>
      <c r="U24" s="849"/>
      <c r="V24" s="849"/>
      <c r="W24" s="849"/>
      <c r="X24" s="849"/>
      <c r="Y24" s="849"/>
    </row>
    <row r="25" spans="1:25">
      <c r="A25" s="854" t="s">
        <v>1829</v>
      </c>
      <c r="B25" s="1167"/>
      <c r="C25" s="999"/>
      <c r="D25" s="849"/>
      <c r="E25" s="997"/>
      <c r="F25" s="999"/>
      <c r="G25" s="849"/>
      <c r="H25" s="997"/>
      <c r="I25" s="999"/>
      <c r="J25" s="999"/>
      <c r="K25" s="997"/>
      <c r="L25" s="849"/>
      <c r="M25" s="849"/>
      <c r="N25" s="997"/>
      <c r="O25" s="849"/>
      <c r="P25" s="849"/>
      <c r="Q25" s="997"/>
      <c r="R25" s="849"/>
      <c r="S25" s="849"/>
      <c r="T25" s="849"/>
      <c r="U25" s="849"/>
      <c r="V25" s="849"/>
      <c r="W25" s="849"/>
      <c r="X25" s="849"/>
      <c r="Y25" s="849"/>
    </row>
    <row r="26" spans="1:25">
      <c r="A26" s="849"/>
      <c r="B26" s="1167"/>
      <c r="C26" s="999"/>
      <c r="D26" s="849"/>
      <c r="E26" s="997"/>
      <c r="F26" s="999"/>
      <c r="G26" s="849"/>
      <c r="H26" s="997"/>
      <c r="I26" s="999"/>
      <c r="J26" s="999"/>
      <c r="K26" s="997"/>
      <c r="L26" s="849"/>
      <c r="M26" s="849"/>
      <c r="N26" s="997"/>
      <c r="O26" s="849"/>
      <c r="P26" s="849"/>
      <c r="Q26" s="997"/>
      <c r="R26" s="849"/>
      <c r="S26" s="849"/>
      <c r="T26" s="849"/>
      <c r="U26" s="849"/>
      <c r="V26" s="849"/>
      <c r="W26" s="849"/>
      <c r="X26" s="849"/>
      <c r="Y26" s="849"/>
    </row>
    <row r="27" spans="1:25">
      <c r="A27" s="847" t="s">
        <v>1743</v>
      </c>
    </row>
    <row r="28" spans="1:25">
      <c r="A28" s="847" t="s">
        <v>365</v>
      </c>
    </row>
  </sheetData>
  <mergeCells count="8">
    <mergeCell ref="T7:U7"/>
    <mergeCell ref="W7:X7"/>
    <mergeCell ref="B7:C7"/>
    <mergeCell ref="E7:F7"/>
    <mergeCell ref="H7:I7"/>
    <mergeCell ref="K7:L7"/>
    <mergeCell ref="N7:O7"/>
    <mergeCell ref="Q7:R7"/>
  </mergeCells>
  <printOptions horizontalCentered="1" verticalCentered="1"/>
  <pageMargins left="0" right="0" top="0.74803149606299213" bottom="0.74803149606299213" header="0.31496062992125984" footer="0.31496062992125984"/>
  <pageSetup paperSize="9" scale="90" orientation="landscape" r:id="rId1"/>
</worksheet>
</file>

<file path=xl/worksheets/sheet128.xml><?xml version="1.0" encoding="utf-8"?>
<worksheet xmlns="http://schemas.openxmlformats.org/spreadsheetml/2006/main" xmlns:r="http://schemas.openxmlformats.org/officeDocument/2006/relationships">
  <dimension ref="A1:H45"/>
  <sheetViews>
    <sheetView workbookViewId="0">
      <selection activeCell="I34" sqref="I34"/>
    </sheetView>
  </sheetViews>
  <sheetFormatPr baseColWidth="10" defaultColWidth="9.140625" defaultRowHeight="12.75"/>
  <cols>
    <col min="1" max="1" width="17.140625" style="434" customWidth="1"/>
    <col min="2" max="2" width="4" style="434" customWidth="1"/>
    <col min="3" max="3" width="9.85546875" style="435" customWidth="1"/>
    <col min="4" max="4" width="13.42578125" style="434" customWidth="1"/>
    <col min="5" max="5" width="3.7109375" style="434" customWidth="1"/>
    <col min="6" max="256" width="9.140625" style="434"/>
    <col min="257" max="257" width="17.140625" style="434" customWidth="1"/>
    <col min="258" max="258" width="4" style="434" customWidth="1"/>
    <col min="259" max="259" width="9.85546875" style="434" customWidth="1"/>
    <col min="260" max="260" width="13.42578125" style="434" customWidth="1"/>
    <col min="261" max="261" width="3.7109375" style="434" customWidth="1"/>
    <col min="262" max="512" width="9.140625" style="434"/>
    <col min="513" max="513" width="17.140625" style="434" customWidth="1"/>
    <col min="514" max="514" width="4" style="434" customWidth="1"/>
    <col min="515" max="515" width="9.85546875" style="434" customWidth="1"/>
    <col min="516" max="516" width="13.42578125" style="434" customWidth="1"/>
    <col min="517" max="517" width="3.7109375" style="434" customWidth="1"/>
    <col min="518" max="768" width="9.140625" style="434"/>
    <col min="769" max="769" width="17.140625" style="434" customWidth="1"/>
    <col min="770" max="770" width="4" style="434" customWidth="1"/>
    <col min="771" max="771" width="9.85546875" style="434" customWidth="1"/>
    <col min="772" max="772" width="13.42578125" style="434" customWidth="1"/>
    <col min="773" max="773" width="3.7109375" style="434" customWidth="1"/>
    <col min="774" max="1024" width="9.140625" style="434"/>
    <col min="1025" max="1025" width="17.140625" style="434" customWidth="1"/>
    <col min="1026" max="1026" width="4" style="434" customWidth="1"/>
    <col min="1027" max="1027" width="9.85546875" style="434" customWidth="1"/>
    <col min="1028" max="1028" width="13.42578125" style="434" customWidth="1"/>
    <col min="1029" max="1029" width="3.7109375" style="434" customWidth="1"/>
    <col min="1030" max="1280" width="9.140625" style="434"/>
    <col min="1281" max="1281" width="17.140625" style="434" customWidth="1"/>
    <col min="1282" max="1282" width="4" style="434" customWidth="1"/>
    <col min="1283" max="1283" width="9.85546875" style="434" customWidth="1"/>
    <col min="1284" max="1284" width="13.42578125" style="434" customWidth="1"/>
    <col min="1285" max="1285" width="3.7109375" style="434" customWidth="1"/>
    <col min="1286" max="1536" width="9.140625" style="434"/>
    <col min="1537" max="1537" width="17.140625" style="434" customWidth="1"/>
    <col min="1538" max="1538" width="4" style="434" customWidth="1"/>
    <col min="1539" max="1539" width="9.85546875" style="434" customWidth="1"/>
    <col min="1540" max="1540" width="13.42578125" style="434" customWidth="1"/>
    <col min="1541" max="1541" width="3.7109375" style="434" customWidth="1"/>
    <col min="1542" max="1792" width="9.140625" style="434"/>
    <col min="1793" max="1793" width="17.140625" style="434" customWidth="1"/>
    <col min="1794" max="1794" width="4" style="434" customWidth="1"/>
    <col min="1795" max="1795" width="9.85546875" style="434" customWidth="1"/>
    <col min="1796" max="1796" width="13.42578125" style="434" customWidth="1"/>
    <col min="1797" max="1797" width="3.7109375" style="434" customWidth="1"/>
    <col min="1798" max="2048" width="9.140625" style="434"/>
    <col min="2049" max="2049" width="17.140625" style="434" customWidth="1"/>
    <col min="2050" max="2050" width="4" style="434" customWidth="1"/>
    <col min="2051" max="2051" width="9.85546875" style="434" customWidth="1"/>
    <col min="2052" max="2052" width="13.42578125" style="434" customWidth="1"/>
    <col min="2053" max="2053" width="3.7109375" style="434" customWidth="1"/>
    <col min="2054" max="2304" width="9.140625" style="434"/>
    <col min="2305" max="2305" width="17.140625" style="434" customWidth="1"/>
    <col min="2306" max="2306" width="4" style="434" customWidth="1"/>
    <col min="2307" max="2307" width="9.85546875" style="434" customWidth="1"/>
    <col min="2308" max="2308" width="13.42578125" style="434" customWidth="1"/>
    <col min="2309" max="2309" width="3.7109375" style="434" customWidth="1"/>
    <col min="2310" max="2560" width="9.140625" style="434"/>
    <col min="2561" max="2561" width="17.140625" style="434" customWidth="1"/>
    <col min="2562" max="2562" width="4" style="434" customWidth="1"/>
    <col min="2563" max="2563" width="9.85546875" style="434" customWidth="1"/>
    <col min="2564" max="2564" width="13.42578125" style="434" customWidth="1"/>
    <col min="2565" max="2565" width="3.7109375" style="434" customWidth="1"/>
    <col min="2566" max="2816" width="9.140625" style="434"/>
    <col min="2817" max="2817" width="17.140625" style="434" customWidth="1"/>
    <col min="2818" max="2818" width="4" style="434" customWidth="1"/>
    <col min="2819" max="2819" width="9.85546875" style="434" customWidth="1"/>
    <col min="2820" max="2820" width="13.42578125" style="434" customWidth="1"/>
    <col min="2821" max="2821" width="3.7109375" style="434" customWidth="1"/>
    <col min="2822" max="3072" width="9.140625" style="434"/>
    <col min="3073" max="3073" width="17.140625" style="434" customWidth="1"/>
    <col min="3074" max="3074" width="4" style="434" customWidth="1"/>
    <col min="3075" max="3075" width="9.85546875" style="434" customWidth="1"/>
    <col min="3076" max="3076" width="13.42578125" style="434" customWidth="1"/>
    <col min="3077" max="3077" width="3.7109375" style="434" customWidth="1"/>
    <col min="3078" max="3328" width="9.140625" style="434"/>
    <col min="3329" max="3329" width="17.140625" style="434" customWidth="1"/>
    <col min="3330" max="3330" width="4" style="434" customWidth="1"/>
    <col min="3331" max="3331" width="9.85546875" style="434" customWidth="1"/>
    <col min="3332" max="3332" width="13.42578125" style="434" customWidth="1"/>
    <col min="3333" max="3333" width="3.7109375" style="434" customWidth="1"/>
    <col min="3334" max="3584" width="9.140625" style="434"/>
    <col min="3585" max="3585" width="17.140625" style="434" customWidth="1"/>
    <col min="3586" max="3586" width="4" style="434" customWidth="1"/>
    <col min="3587" max="3587" width="9.85546875" style="434" customWidth="1"/>
    <col min="3588" max="3588" width="13.42578125" style="434" customWidth="1"/>
    <col min="3589" max="3589" width="3.7109375" style="434" customWidth="1"/>
    <col min="3590" max="3840" width="9.140625" style="434"/>
    <col min="3841" max="3841" width="17.140625" style="434" customWidth="1"/>
    <col min="3842" max="3842" width="4" style="434" customWidth="1"/>
    <col min="3843" max="3843" width="9.85546875" style="434" customWidth="1"/>
    <col min="3844" max="3844" width="13.42578125" style="434" customWidth="1"/>
    <col min="3845" max="3845" width="3.7109375" style="434" customWidth="1"/>
    <col min="3846" max="4096" width="9.140625" style="434"/>
    <col min="4097" max="4097" width="17.140625" style="434" customWidth="1"/>
    <col min="4098" max="4098" width="4" style="434" customWidth="1"/>
    <col min="4099" max="4099" width="9.85546875" style="434" customWidth="1"/>
    <col min="4100" max="4100" width="13.42578125" style="434" customWidth="1"/>
    <col min="4101" max="4101" width="3.7109375" style="434" customWidth="1"/>
    <col min="4102" max="4352" width="9.140625" style="434"/>
    <col min="4353" max="4353" width="17.140625" style="434" customWidth="1"/>
    <col min="4354" max="4354" width="4" style="434" customWidth="1"/>
    <col min="4355" max="4355" width="9.85546875" style="434" customWidth="1"/>
    <col min="4356" max="4356" width="13.42578125" style="434" customWidth="1"/>
    <col min="4357" max="4357" width="3.7109375" style="434" customWidth="1"/>
    <col min="4358" max="4608" width="9.140625" style="434"/>
    <col min="4609" max="4609" width="17.140625" style="434" customWidth="1"/>
    <col min="4610" max="4610" width="4" style="434" customWidth="1"/>
    <col min="4611" max="4611" width="9.85546875" style="434" customWidth="1"/>
    <col min="4612" max="4612" width="13.42578125" style="434" customWidth="1"/>
    <col min="4613" max="4613" width="3.7109375" style="434" customWidth="1"/>
    <col min="4614" max="4864" width="9.140625" style="434"/>
    <col min="4865" max="4865" width="17.140625" style="434" customWidth="1"/>
    <col min="4866" max="4866" width="4" style="434" customWidth="1"/>
    <col min="4867" max="4867" width="9.85546875" style="434" customWidth="1"/>
    <col min="4868" max="4868" width="13.42578125" style="434" customWidth="1"/>
    <col min="4869" max="4869" width="3.7109375" style="434" customWidth="1"/>
    <col min="4870" max="5120" width="9.140625" style="434"/>
    <col min="5121" max="5121" width="17.140625" style="434" customWidth="1"/>
    <col min="5122" max="5122" width="4" style="434" customWidth="1"/>
    <col min="5123" max="5123" width="9.85546875" style="434" customWidth="1"/>
    <col min="5124" max="5124" width="13.42578125" style="434" customWidth="1"/>
    <col min="5125" max="5125" width="3.7109375" style="434" customWidth="1"/>
    <col min="5126" max="5376" width="9.140625" style="434"/>
    <col min="5377" max="5377" width="17.140625" style="434" customWidth="1"/>
    <col min="5378" max="5378" width="4" style="434" customWidth="1"/>
    <col min="5379" max="5379" width="9.85546875" style="434" customWidth="1"/>
    <col min="5380" max="5380" width="13.42578125" style="434" customWidth="1"/>
    <col min="5381" max="5381" width="3.7109375" style="434" customWidth="1"/>
    <col min="5382" max="5632" width="9.140625" style="434"/>
    <col min="5633" max="5633" width="17.140625" style="434" customWidth="1"/>
    <col min="5634" max="5634" width="4" style="434" customWidth="1"/>
    <col min="5635" max="5635" width="9.85546875" style="434" customWidth="1"/>
    <col min="5636" max="5636" width="13.42578125" style="434" customWidth="1"/>
    <col min="5637" max="5637" width="3.7109375" style="434" customWidth="1"/>
    <col min="5638" max="5888" width="9.140625" style="434"/>
    <col min="5889" max="5889" width="17.140625" style="434" customWidth="1"/>
    <col min="5890" max="5890" width="4" style="434" customWidth="1"/>
    <col min="5891" max="5891" width="9.85546875" style="434" customWidth="1"/>
    <col min="5892" max="5892" width="13.42578125" style="434" customWidth="1"/>
    <col min="5893" max="5893" width="3.7109375" style="434" customWidth="1"/>
    <col min="5894" max="6144" width="9.140625" style="434"/>
    <col min="6145" max="6145" width="17.140625" style="434" customWidth="1"/>
    <col min="6146" max="6146" width="4" style="434" customWidth="1"/>
    <col min="6147" max="6147" width="9.85546875" style="434" customWidth="1"/>
    <col min="6148" max="6148" width="13.42578125" style="434" customWidth="1"/>
    <col min="6149" max="6149" width="3.7109375" style="434" customWidth="1"/>
    <col min="6150" max="6400" width="9.140625" style="434"/>
    <col min="6401" max="6401" width="17.140625" style="434" customWidth="1"/>
    <col min="6402" max="6402" width="4" style="434" customWidth="1"/>
    <col min="6403" max="6403" width="9.85546875" style="434" customWidth="1"/>
    <col min="6404" max="6404" width="13.42578125" style="434" customWidth="1"/>
    <col min="6405" max="6405" width="3.7109375" style="434" customWidth="1"/>
    <col min="6406" max="6656" width="9.140625" style="434"/>
    <col min="6657" max="6657" width="17.140625" style="434" customWidth="1"/>
    <col min="6658" max="6658" width="4" style="434" customWidth="1"/>
    <col min="6659" max="6659" width="9.85546875" style="434" customWidth="1"/>
    <col min="6660" max="6660" width="13.42578125" style="434" customWidth="1"/>
    <col min="6661" max="6661" width="3.7109375" style="434" customWidth="1"/>
    <col min="6662" max="6912" width="9.140625" style="434"/>
    <col min="6913" max="6913" width="17.140625" style="434" customWidth="1"/>
    <col min="6914" max="6914" width="4" style="434" customWidth="1"/>
    <col min="6915" max="6915" width="9.85546875" style="434" customWidth="1"/>
    <col min="6916" max="6916" width="13.42578125" style="434" customWidth="1"/>
    <col min="6917" max="6917" width="3.7109375" style="434" customWidth="1"/>
    <col min="6918" max="7168" width="9.140625" style="434"/>
    <col min="7169" max="7169" width="17.140625" style="434" customWidth="1"/>
    <col min="7170" max="7170" width="4" style="434" customWidth="1"/>
    <col min="7171" max="7171" width="9.85546875" style="434" customWidth="1"/>
    <col min="7172" max="7172" width="13.42578125" style="434" customWidth="1"/>
    <col min="7173" max="7173" width="3.7109375" style="434" customWidth="1"/>
    <col min="7174" max="7424" width="9.140625" style="434"/>
    <col min="7425" max="7425" width="17.140625" style="434" customWidth="1"/>
    <col min="7426" max="7426" width="4" style="434" customWidth="1"/>
    <col min="7427" max="7427" width="9.85546875" style="434" customWidth="1"/>
    <col min="7428" max="7428" width="13.42578125" style="434" customWidth="1"/>
    <col min="7429" max="7429" width="3.7109375" style="434" customWidth="1"/>
    <col min="7430" max="7680" width="9.140625" style="434"/>
    <col min="7681" max="7681" width="17.140625" style="434" customWidth="1"/>
    <col min="7682" max="7682" width="4" style="434" customWidth="1"/>
    <col min="7683" max="7683" width="9.85546875" style="434" customWidth="1"/>
    <col min="7684" max="7684" width="13.42578125" style="434" customWidth="1"/>
    <col min="7685" max="7685" width="3.7109375" style="434" customWidth="1"/>
    <col min="7686" max="7936" width="9.140625" style="434"/>
    <col min="7937" max="7937" width="17.140625" style="434" customWidth="1"/>
    <col min="7938" max="7938" width="4" style="434" customWidth="1"/>
    <col min="7939" max="7939" width="9.85546875" style="434" customWidth="1"/>
    <col min="7940" max="7940" width="13.42578125" style="434" customWidth="1"/>
    <col min="7941" max="7941" width="3.7109375" style="434" customWidth="1"/>
    <col min="7942" max="8192" width="9.140625" style="434"/>
    <col min="8193" max="8193" width="17.140625" style="434" customWidth="1"/>
    <col min="8194" max="8194" width="4" style="434" customWidth="1"/>
    <col min="8195" max="8195" width="9.85546875" style="434" customWidth="1"/>
    <col min="8196" max="8196" width="13.42578125" style="434" customWidth="1"/>
    <col min="8197" max="8197" width="3.7109375" style="434" customWidth="1"/>
    <col min="8198" max="8448" width="9.140625" style="434"/>
    <col min="8449" max="8449" width="17.140625" style="434" customWidth="1"/>
    <col min="8450" max="8450" width="4" style="434" customWidth="1"/>
    <col min="8451" max="8451" width="9.85546875" style="434" customWidth="1"/>
    <col min="8452" max="8452" width="13.42578125" style="434" customWidth="1"/>
    <col min="8453" max="8453" width="3.7109375" style="434" customWidth="1"/>
    <col min="8454" max="8704" width="9.140625" style="434"/>
    <col min="8705" max="8705" width="17.140625" style="434" customWidth="1"/>
    <col min="8706" max="8706" width="4" style="434" customWidth="1"/>
    <col min="8707" max="8707" width="9.85546875" style="434" customWidth="1"/>
    <col min="8708" max="8708" width="13.42578125" style="434" customWidth="1"/>
    <col min="8709" max="8709" width="3.7109375" style="434" customWidth="1"/>
    <col min="8710" max="8960" width="9.140625" style="434"/>
    <col min="8961" max="8961" width="17.140625" style="434" customWidth="1"/>
    <col min="8962" max="8962" width="4" style="434" customWidth="1"/>
    <col min="8963" max="8963" width="9.85546875" style="434" customWidth="1"/>
    <col min="8964" max="8964" width="13.42578125" style="434" customWidth="1"/>
    <col min="8965" max="8965" width="3.7109375" style="434" customWidth="1"/>
    <col min="8966" max="9216" width="9.140625" style="434"/>
    <col min="9217" max="9217" width="17.140625" style="434" customWidth="1"/>
    <col min="9218" max="9218" width="4" style="434" customWidth="1"/>
    <col min="9219" max="9219" width="9.85546875" style="434" customWidth="1"/>
    <col min="9220" max="9220" width="13.42578125" style="434" customWidth="1"/>
    <col min="9221" max="9221" width="3.7109375" style="434" customWidth="1"/>
    <col min="9222" max="9472" width="9.140625" style="434"/>
    <col min="9473" max="9473" width="17.140625" style="434" customWidth="1"/>
    <col min="9474" max="9474" width="4" style="434" customWidth="1"/>
    <col min="9475" max="9475" width="9.85546875" style="434" customWidth="1"/>
    <col min="9476" max="9476" width="13.42578125" style="434" customWidth="1"/>
    <col min="9477" max="9477" width="3.7109375" style="434" customWidth="1"/>
    <col min="9478" max="9728" width="9.140625" style="434"/>
    <col min="9729" max="9729" width="17.140625" style="434" customWidth="1"/>
    <col min="9730" max="9730" width="4" style="434" customWidth="1"/>
    <col min="9731" max="9731" width="9.85546875" style="434" customWidth="1"/>
    <col min="9732" max="9732" width="13.42578125" style="434" customWidth="1"/>
    <col min="9733" max="9733" width="3.7109375" style="434" customWidth="1"/>
    <col min="9734" max="9984" width="9.140625" style="434"/>
    <col min="9985" max="9985" width="17.140625" style="434" customWidth="1"/>
    <col min="9986" max="9986" width="4" style="434" customWidth="1"/>
    <col min="9987" max="9987" width="9.85546875" style="434" customWidth="1"/>
    <col min="9988" max="9988" width="13.42578125" style="434" customWidth="1"/>
    <col min="9989" max="9989" width="3.7109375" style="434" customWidth="1"/>
    <col min="9990" max="10240" width="9.140625" style="434"/>
    <col min="10241" max="10241" width="17.140625" style="434" customWidth="1"/>
    <col min="10242" max="10242" width="4" style="434" customWidth="1"/>
    <col min="10243" max="10243" width="9.85546875" style="434" customWidth="1"/>
    <col min="10244" max="10244" width="13.42578125" style="434" customWidth="1"/>
    <col min="10245" max="10245" width="3.7109375" style="434" customWidth="1"/>
    <col min="10246" max="10496" width="9.140625" style="434"/>
    <col min="10497" max="10497" width="17.140625" style="434" customWidth="1"/>
    <col min="10498" max="10498" width="4" style="434" customWidth="1"/>
    <col min="10499" max="10499" width="9.85546875" style="434" customWidth="1"/>
    <col min="10500" max="10500" width="13.42578125" style="434" customWidth="1"/>
    <col min="10501" max="10501" width="3.7109375" style="434" customWidth="1"/>
    <col min="10502" max="10752" width="9.140625" style="434"/>
    <col min="10753" max="10753" width="17.140625" style="434" customWidth="1"/>
    <col min="10754" max="10754" width="4" style="434" customWidth="1"/>
    <col min="10755" max="10755" width="9.85546875" style="434" customWidth="1"/>
    <col min="10756" max="10756" width="13.42578125" style="434" customWidth="1"/>
    <col min="10757" max="10757" width="3.7109375" style="434" customWidth="1"/>
    <col min="10758" max="11008" width="9.140625" style="434"/>
    <col min="11009" max="11009" width="17.140625" style="434" customWidth="1"/>
    <col min="11010" max="11010" width="4" style="434" customWidth="1"/>
    <col min="11011" max="11011" width="9.85546875" style="434" customWidth="1"/>
    <col min="11012" max="11012" width="13.42578125" style="434" customWidth="1"/>
    <col min="11013" max="11013" width="3.7109375" style="434" customWidth="1"/>
    <col min="11014" max="11264" width="9.140625" style="434"/>
    <col min="11265" max="11265" width="17.140625" style="434" customWidth="1"/>
    <col min="11266" max="11266" width="4" style="434" customWidth="1"/>
    <col min="11267" max="11267" width="9.85546875" style="434" customWidth="1"/>
    <col min="11268" max="11268" width="13.42578125" style="434" customWidth="1"/>
    <col min="11269" max="11269" width="3.7109375" style="434" customWidth="1"/>
    <col min="11270" max="11520" width="9.140625" style="434"/>
    <col min="11521" max="11521" width="17.140625" style="434" customWidth="1"/>
    <col min="11522" max="11522" width="4" style="434" customWidth="1"/>
    <col min="11523" max="11523" width="9.85546875" style="434" customWidth="1"/>
    <col min="11524" max="11524" width="13.42578125" style="434" customWidth="1"/>
    <col min="11525" max="11525" width="3.7109375" style="434" customWidth="1"/>
    <col min="11526" max="11776" width="9.140625" style="434"/>
    <col min="11777" max="11777" width="17.140625" style="434" customWidth="1"/>
    <col min="11778" max="11778" width="4" style="434" customWidth="1"/>
    <col min="11779" max="11779" width="9.85546875" style="434" customWidth="1"/>
    <col min="11780" max="11780" width="13.42578125" style="434" customWidth="1"/>
    <col min="11781" max="11781" width="3.7109375" style="434" customWidth="1"/>
    <col min="11782" max="12032" width="9.140625" style="434"/>
    <col min="12033" max="12033" width="17.140625" style="434" customWidth="1"/>
    <col min="12034" max="12034" width="4" style="434" customWidth="1"/>
    <col min="12035" max="12035" width="9.85546875" style="434" customWidth="1"/>
    <col min="12036" max="12036" width="13.42578125" style="434" customWidth="1"/>
    <col min="12037" max="12037" width="3.7109375" style="434" customWidth="1"/>
    <col min="12038" max="12288" width="9.140625" style="434"/>
    <col min="12289" max="12289" width="17.140625" style="434" customWidth="1"/>
    <col min="12290" max="12290" width="4" style="434" customWidth="1"/>
    <col min="12291" max="12291" width="9.85546875" style="434" customWidth="1"/>
    <col min="12292" max="12292" width="13.42578125" style="434" customWidth="1"/>
    <col min="12293" max="12293" width="3.7109375" style="434" customWidth="1"/>
    <col min="12294" max="12544" width="9.140625" style="434"/>
    <col min="12545" max="12545" width="17.140625" style="434" customWidth="1"/>
    <col min="12546" max="12546" width="4" style="434" customWidth="1"/>
    <col min="12547" max="12547" width="9.85546875" style="434" customWidth="1"/>
    <col min="12548" max="12548" width="13.42578125" style="434" customWidth="1"/>
    <col min="12549" max="12549" width="3.7109375" style="434" customWidth="1"/>
    <col min="12550" max="12800" width="9.140625" style="434"/>
    <col min="12801" max="12801" width="17.140625" style="434" customWidth="1"/>
    <col min="12802" max="12802" width="4" style="434" customWidth="1"/>
    <col min="12803" max="12803" width="9.85546875" style="434" customWidth="1"/>
    <col min="12804" max="12804" width="13.42578125" style="434" customWidth="1"/>
    <col min="12805" max="12805" width="3.7109375" style="434" customWidth="1"/>
    <col min="12806" max="13056" width="9.140625" style="434"/>
    <col min="13057" max="13057" width="17.140625" style="434" customWidth="1"/>
    <col min="13058" max="13058" width="4" style="434" customWidth="1"/>
    <col min="13059" max="13059" width="9.85546875" style="434" customWidth="1"/>
    <col min="13060" max="13060" width="13.42578125" style="434" customWidth="1"/>
    <col min="13061" max="13061" width="3.7109375" style="434" customWidth="1"/>
    <col min="13062" max="13312" width="9.140625" style="434"/>
    <col min="13313" max="13313" width="17.140625" style="434" customWidth="1"/>
    <col min="13314" max="13314" width="4" style="434" customWidth="1"/>
    <col min="13315" max="13315" width="9.85546875" style="434" customWidth="1"/>
    <col min="13316" max="13316" width="13.42578125" style="434" customWidth="1"/>
    <col min="13317" max="13317" width="3.7109375" style="434" customWidth="1"/>
    <col min="13318" max="13568" width="9.140625" style="434"/>
    <col min="13569" max="13569" width="17.140625" style="434" customWidth="1"/>
    <col min="13570" max="13570" width="4" style="434" customWidth="1"/>
    <col min="13571" max="13571" width="9.85546875" style="434" customWidth="1"/>
    <col min="13572" max="13572" width="13.42578125" style="434" customWidth="1"/>
    <col min="13573" max="13573" width="3.7109375" style="434" customWidth="1"/>
    <col min="13574" max="13824" width="9.140625" style="434"/>
    <col min="13825" max="13825" width="17.140625" style="434" customWidth="1"/>
    <col min="13826" max="13826" width="4" style="434" customWidth="1"/>
    <col min="13827" max="13827" width="9.85546875" style="434" customWidth="1"/>
    <col min="13828" max="13828" width="13.42578125" style="434" customWidth="1"/>
    <col min="13829" max="13829" width="3.7109375" style="434" customWidth="1"/>
    <col min="13830" max="14080" width="9.140625" style="434"/>
    <col min="14081" max="14081" width="17.140625" style="434" customWidth="1"/>
    <col min="14082" max="14082" width="4" style="434" customWidth="1"/>
    <col min="14083" max="14083" width="9.85546875" style="434" customWidth="1"/>
    <col min="14084" max="14084" width="13.42578125" style="434" customWidth="1"/>
    <col min="14085" max="14085" width="3.7109375" style="434" customWidth="1"/>
    <col min="14086" max="14336" width="9.140625" style="434"/>
    <col min="14337" max="14337" width="17.140625" style="434" customWidth="1"/>
    <col min="14338" max="14338" width="4" style="434" customWidth="1"/>
    <col min="14339" max="14339" width="9.85546875" style="434" customWidth="1"/>
    <col min="14340" max="14340" width="13.42578125" style="434" customWidth="1"/>
    <col min="14341" max="14341" width="3.7109375" style="434" customWidth="1"/>
    <col min="14342" max="14592" width="9.140625" style="434"/>
    <col min="14593" max="14593" width="17.140625" style="434" customWidth="1"/>
    <col min="14594" max="14594" width="4" style="434" customWidth="1"/>
    <col min="14595" max="14595" width="9.85546875" style="434" customWidth="1"/>
    <col min="14596" max="14596" width="13.42578125" style="434" customWidth="1"/>
    <col min="14597" max="14597" width="3.7109375" style="434" customWidth="1"/>
    <col min="14598" max="14848" width="9.140625" style="434"/>
    <col min="14849" max="14849" width="17.140625" style="434" customWidth="1"/>
    <col min="14850" max="14850" width="4" style="434" customWidth="1"/>
    <col min="14851" max="14851" width="9.85546875" style="434" customWidth="1"/>
    <col min="14852" max="14852" width="13.42578125" style="434" customWidth="1"/>
    <col min="14853" max="14853" width="3.7109375" style="434" customWidth="1"/>
    <col min="14854" max="15104" width="9.140625" style="434"/>
    <col min="15105" max="15105" width="17.140625" style="434" customWidth="1"/>
    <col min="15106" max="15106" width="4" style="434" customWidth="1"/>
    <col min="15107" max="15107" width="9.85546875" style="434" customWidth="1"/>
    <col min="15108" max="15108" width="13.42578125" style="434" customWidth="1"/>
    <col min="15109" max="15109" width="3.7109375" style="434" customWidth="1"/>
    <col min="15110" max="15360" width="9.140625" style="434"/>
    <col min="15361" max="15361" width="17.140625" style="434" customWidth="1"/>
    <col min="15362" max="15362" width="4" style="434" customWidth="1"/>
    <col min="15363" max="15363" width="9.85546875" style="434" customWidth="1"/>
    <col min="15364" max="15364" width="13.42578125" style="434" customWidth="1"/>
    <col min="15365" max="15365" width="3.7109375" style="434" customWidth="1"/>
    <col min="15366" max="15616" width="9.140625" style="434"/>
    <col min="15617" max="15617" width="17.140625" style="434" customWidth="1"/>
    <col min="15618" max="15618" width="4" style="434" customWidth="1"/>
    <col min="15619" max="15619" width="9.85546875" style="434" customWidth="1"/>
    <col min="15620" max="15620" width="13.42578125" style="434" customWidth="1"/>
    <col min="15621" max="15621" width="3.7109375" style="434" customWidth="1"/>
    <col min="15622" max="15872" width="9.140625" style="434"/>
    <col min="15873" max="15873" width="17.140625" style="434" customWidth="1"/>
    <col min="15874" max="15874" width="4" style="434" customWidth="1"/>
    <col min="15875" max="15875" width="9.85546875" style="434" customWidth="1"/>
    <col min="15876" max="15876" width="13.42578125" style="434" customWidth="1"/>
    <col min="15877" max="15877" width="3.7109375" style="434" customWidth="1"/>
    <col min="15878" max="16128" width="9.140625" style="434"/>
    <col min="16129" max="16129" width="17.140625" style="434" customWidth="1"/>
    <col min="16130" max="16130" width="4" style="434" customWidth="1"/>
    <col min="16131" max="16131" width="9.85546875" style="434" customWidth="1"/>
    <col min="16132" max="16132" width="13.42578125" style="434" customWidth="1"/>
    <col min="16133" max="16133" width="3.7109375" style="434" customWidth="1"/>
    <col min="16134" max="16384" width="9.140625" style="434"/>
  </cols>
  <sheetData>
    <row r="1" spans="1:8">
      <c r="A1" s="434" t="s">
        <v>379</v>
      </c>
    </row>
    <row r="2" spans="1:8">
      <c r="A2" s="434" t="s">
        <v>380</v>
      </c>
    </row>
    <row r="3" spans="1:8" ht="10.5" customHeight="1"/>
    <row r="4" spans="1:8" ht="12.95" customHeight="1">
      <c r="A4" s="42" t="s">
        <v>1830</v>
      </c>
    </row>
    <row r="5" spans="1:8" ht="12.95" customHeight="1">
      <c r="A5" s="434" t="s">
        <v>1831</v>
      </c>
    </row>
    <row r="6" spans="1:8" ht="12.95" customHeight="1">
      <c r="A6" s="42" t="s">
        <v>1832</v>
      </c>
    </row>
    <row r="7" spans="1:8" ht="12.95" customHeight="1" thickBot="1">
      <c r="D7" s="436"/>
    </row>
    <row r="8" spans="1:8" ht="12.95" customHeight="1">
      <c r="A8" s="437"/>
      <c r="B8" s="437"/>
      <c r="C8" s="438"/>
      <c r="D8" s="439"/>
      <c r="E8" s="437"/>
    </row>
    <row r="9" spans="1:8" ht="12.95" customHeight="1">
      <c r="A9" s="453" t="s">
        <v>1812</v>
      </c>
      <c r="B9" s="440"/>
      <c r="C9" s="1334" t="s">
        <v>1833</v>
      </c>
      <c r="D9" s="1334"/>
      <c r="E9" s="440"/>
    </row>
    <row r="10" spans="1:8" ht="12.95" customHeight="1">
      <c r="A10" s="440"/>
      <c r="B10" s="440"/>
      <c r="C10" s="443" t="s">
        <v>323</v>
      </c>
      <c r="D10" s="444" t="s">
        <v>324</v>
      </c>
      <c r="E10" s="440"/>
    </row>
    <row r="11" spans="1:8" ht="12.95" customHeight="1" thickBot="1">
      <c r="A11" s="445"/>
      <c r="B11" s="445"/>
      <c r="C11" s="446"/>
      <c r="D11" s="447"/>
      <c r="E11" s="445"/>
    </row>
    <row r="12" spans="1:8" ht="12.95" customHeight="1">
      <c r="A12" s="440"/>
      <c r="B12" s="440"/>
      <c r="C12" s="441"/>
      <c r="D12" s="442"/>
      <c r="E12" s="440"/>
      <c r="G12" s="1186"/>
      <c r="H12" s="1187"/>
    </row>
    <row r="13" spans="1:8" ht="12.95" customHeight="1">
      <c r="A13" s="690" t="s">
        <v>5</v>
      </c>
      <c r="B13" s="440"/>
      <c r="C13" s="441">
        <f>IF($A13&lt;&gt;0,SUM(C15:C25),"")</f>
        <v>814</v>
      </c>
      <c r="D13" s="785">
        <f>IF($A13&lt;&gt;0,SUM(D15:D25),"")</f>
        <v>99.999999999999972</v>
      </c>
      <c r="E13" s="440"/>
      <c r="F13" s="1188"/>
      <c r="G13" s="1186"/>
      <c r="H13" s="1187"/>
    </row>
    <row r="14" spans="1:8" ht="12.95" customHeight="1">
      <c r="A14" s="1057"/>
      <c r="B14" s="440"/>
      <c r="C14" s="441"/>
      <c r="D14" s="442" t="str">
        <f>IF(A14&lt;&gt;0,C14/#REF!*100,"")</f>
        <v/>
      </c>
      <c r="E14" s="440"/>
      <c r="F14" s="78"/>
      <c r="G14" s="1186"/>
      <c r="H14" s="1187"/>
    </row>
    <row r="15" spans="1:8" ht="12.95" customHeight="1">
      <c r="A15" s="180" t="s">
        <v>1834</v>
      </c>
      <c r="B15" s="440"/>
      <c r="C15" s="1185">
        <v>479</v>
      </c>
      <c r="D15" s="442">
        <f t="shared" ref="D15:D25" si="0">IF($A15&lt;&gt;"",C15/$C$13*100,"")</f>
        <v>58.845208845208838</v>
      </c>
      <c r="E15" s="440"/>
      <c r="F15" s="115"/>
      <c r="G15" s="1186"/>
      <c r="H15" s="1187"/>
    </row>
    <row r="16" spans="1:8" ht="12.95" customHeight="1">
      <c r="A16" s="180"/>
      <c r="B16" s="440"/>
      <c r="C16" s="1185"/>
      <c r="D16" s="442" t="str">
        <f t="shared" si="0"/>
        <v/>
      </c>
      <c r="E16" s="440"/>
      <c r="F16" s="78"/>
      <c r="G16" s="1186"/>
      <c r="H16" s="1187"/>
    </row>
    <row r="17" spans="1:8" ht="12.95" customHeight="1">
      <c r="A17" s="180" t="s">
        <v>1791</v>
      </c>
      <c r="B17" s="440"/>
      <c r="C17" s="1185">
        <v>109</v>
      </c>
      <c r="D17" s="442">
        <f t="shared" si="0"/>
        <v>13.39066339066339</v>
      </c>
      <c r="E17" s="440"/>
      <c r="F17" s="115"/>
      <c r="G17" s="1186"/>
      <c r="H17" s="1187"/>
    </row>
    <row r="18" spans="1:8" ht="12.95" customHeight="1">
      <c r="A18" s="180"/>
      <c r="B18" s="440"/>
      <c r="C18" s="1185"/>
      <c r="D18" s="442" t="str">
        <f t="shared" si="0"/>
        <v/>
      </c>
      <c r="E18" s="440"/>
      <c r="F18" s="78"/>
    </row>
    <row r="19" spans="1:8" ht="12.95" customHeight="1">
      <c r="A19" s="180" t="s">
        <v>1792</v>
      </c>
      <c r="B19" s="440"/>
      <c r="C19" s="1185">
        <v>52</v>
      </c>
      <c r="D19" s="442">
        <f t="shared" si="0"/>
        <v>6.3882063882063882</v>
      </c>
      <c r="E19" s="440"/>
    </row>
    <row r="20" spans="1:8" ht="12.95" customHeight="1">
      <c r="A20" s="180"/>
      <c r="B20" s="440"/>
      <c r="C20" s="1185"/>
      <c r="D20" s="442" t="str">
        <f t="shared" si="0"/>
        <v/>
      </c>
      <c r="E20" s="440"/>
    </row>
    <row r="21" spans="1:8" ht="12.95" customHeight="1">
      <c r="A21" s="180" t="s">
        <v>1793</v>
      </c>
      <c r="B21" s="440"/>
      <c r="C21" s="1185">
        <v>78</v>
      </c>
      <c r="D21" s="442">
        <f t="shared" si="0"/>
        <v>9.5823095823095823</v>
      </c>
      <c r="E21" s="440"/>
    </row>
    <row r="22" spans="1:8" ht="12.95" customHeight="1">
      <c r="A22" s="180"/>
      <c r="B22" s="440"/>
      <c r="C22" s="1185"/>
      <c r="D22" s="442" t="str">
        <f t="shared" si="0"/>
        <v/>
      </c>
      <c r="E22" s="440"/>
    </row>
    <row r="23" spans="1:8" ht="12.95" customHeight="1">
      <c r="A23" s="180" t="s">
        <v>1794</v>
      </c>
      <c r="B23" s="440"/>
      <c r="C23" s="1185">
        <v>60</v>
      </c>
      <c r="D23" s="442">
        <f t="shared" si="0"/>
        <v>7.3710073710073711</v>
      </c>
      <c r="E23" s="440"/>
    </row>
    <row r="24" spans="1:8" ht="12.95" customHeight="1">
      <c r="A24" s="180"/>
      <c r="B24" s="440"/>
      <c r="C24" s="1185"/>
      <c r="D24" s="442" t="str">
        <f t="shared" si="0"/>
        <v/>
      </c>
      <c r="E24" s="440"/>
    </row>
    <row r="25" spans="1:8" ht="12.95" customHeight="1">
      <c r="A25" s="180" t="s">
        <v>1835</v>
      </c>
      <c r="B25" s="312"/>
      <c r="C25" s="1185">
        <v>36</v>
      </c>
      <c r="D25" s="442">
        <f t="shared" si="0"/>
        <v>4.4226044226044223</v>
      </c>
      <c r="E25" s="312"/>
    </row>
    <row r="26" spans="1:8" ht="12.95" customHeight="1" thickBot="1"/>
    <row r="27" spans="1:8" ht="12.95" customHeight="1">
      <c r="A27" s="437"/>
      <c r="B27" s="437"/>
      <c r="C27" s="438"/>
      <c r="D27" s="437"/>
      <c r="E27" s="437"/>
    </row>
    <row r="28" spans="1:8" ht="12.95" customHeight="1">
      <c r="A28" s="95" t="s">
        <v>1836</v>
      </c>
      <c r="B28" s="440"/>
      <c r="C28" s="441"/>
      <c r="D28" s="440"/>
      <c r="E28" s="440"/>
    </row>
    <row r="29" spans="1:8" ht="9" customHeight="1">
      <c r="A29" s="440"/>
      <c r="B29" s="440"/>
      <c r="C29" s="441"/>
      <c r="D29" s="440"/>
      <c r="E29" s="440"/>
    </row>
    <row r="30" spans="1:8" ht="12.95" customHeight="1">
      <c r="A30" s="434" t="s">
        <v>1743</v>
      </c>
    </row>
    <row r="31" spans="1:8" ht="12.95" customHeight="1">
      <c r="A31" s="434" t="s">
        <v>365</v>
      </c>
    </row>
    <row r="32" spans="1:8">
      <c r="A32" s="440"/>
      <c r="B32" s="440"/>
      <c r="C32" s="441"/>
    </row>
    <row r="33" spans="1:4">
      <c r="A33" s="1336"/>
      <c r="B33" s="1336"/>
      <c r="C33" s="1336"/>
    </row>
    <row r="35" spans="1:4">
      <c r="C35" s="431"/>
    </row>
    <row r="36" spans="1:4">
      <c r="C36" s="431"/>
    </row>
    <row r="37" spans="1:4">
      <c r="C37" s="431"/>
    </row>
    <row r="38" spans="1:4">
      <c r="C38" s="434"/>
      <c r="D38" s="431"/>
    </row>
    <row r="39" spans="1:4">
      <c r="C39" s="434"/>
      <c r="D39" s="431"/>
    </row>
    <row r="40" spans="1:4">
      <c r="C40" s="434"/>
      <c r="D40" s="431"/>
    </row>
    <row r="41" spans="1:4">
      <c r="C41" s="434"/>
      <c r="D41" s="431"/>
    </row>
    <row r="42" spans="1:4">
      <c r="C42" s="434"/>
      <c r="D42" s="431"/>
    </row>
    <row r="43" spans="1:4">
      <c r="C43" s="434"/>
      <c r="D43" s="704"/>
    </row>
    <row r="44" spans="1:4">
      <c r="C44" s="704"/>
    </row>
    <row r="45" spans="1:4">
      <c r="C45" s="431"/>
    </row>
  </sheetData>
  <mergeCells count="2">
    <mergeCell ref="C9:D9"/>
    <mergeCell ref="A33:C3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129.xml><?xml version="1.0" encoding="utf-8"?>
<worksheet xmlns="http://schemas.openxmlformats.org/spreadsheetml/2006/main" xmlns:r="http://schemas.openxmlformats.org/officeDocument/2006/relationships">
  <dimension ref="A1:H69"/>
  <sheetViews>
    <sheetView topLeftCell="A3" workbookViewId="0">
      <selection activeCell="A5" sqref="A5"/>
    </sheetView>
  </sheetViews>
  <sheetFormatPr baseColWidth="10" defaultColWidth="8.85546875" defaultRowHeight="14.25"/>
  <cols>
    <col min="1" max="1" width="63.140625" style="208" customWidth="1"/>
    <col min="2" max="2" width="5.42578125" style="208" customWidth="1"/>
    <col min="3" max="3" width="10.85546875" style="208" customWidth="1"/>
    <col min="4" max="4" width="3.28515625" style="208" customWidth="1"/>
    <col min="5" max="5" width="11.5703125" style="705" customWidth="1"/>
    <col min="6" max="6" width="3.7109375" style="208" customWidth="1"/>
    <col min="7" max="256" width="8.85546875" style="208"/>
    <col min="257" max="257" width="63.140625" style="208" customWidth="1"/>
    <col min="258" max="258" width="5.42578125" style="208" customWidth="1"/>
    <col min="259" max="259" width="10.85546875" style="208" customWidth="1"/>
    <col min="260" max="260" width="3.28515625" style="208" customWidth="1"/>
    <col min="261" max="261" width="11.5703125" style="208" customWidth="1"/>
    <col min="262" max="262" width="3.7109375" style="208" customWidth="1"/>
    <col min="263" max="512" width="8.85546875" style="208"/>
    <col min="513" max="513" width="63.140625" style="208" customWidth="1"/>
    <col min="514" max="514" width="5.42578125" style="208" customWidth="1"/>
    <col min="515" max="515" width="10.85546875" style="208" customWidth="1"/>
    <col min="516" max="516" width="3.28515625" style="208" customWidth="1"/>
    <col min="517" max="517" width="11.5703125" style="208" customWidth="1"/>
    <col min="518" max="518" width="3.7109375" style="208" customWidth="1"/>
    <col min="519" max="768" width="8.85546875" style="208"/>
    <col min="769" max="769" width="63.140625" style="208" customWidth="1"/>
    <col min="770" max="770" width="5.42578125" style="208" customWidth="1"/>
    <col min="771" max="771" width="10.85546875" style="208" customWidth="1"/>
    <col min="772" max="772" width="3.28515625" style="208" customWidth="1"/>
    <col min="773" max="773" width="11.5703125" style="208" customWidth="1"/>
    <col min="774" max="774" width="3.7109375" style="208" customWidth="1"/>
    <col min="775" max="1024" width="8.85546875" style="208"/>
    <col min="1025" max="1025" width="63.140625" style="208" customWidth="1"/>
    <col min="1026" max="1026" width="5.42578125" style="208" customWidth="1"/>
    <col min="1027" max="1027" width="10.85546875" style="208" customWidth="1"/>
    <col min="1028" max="1028" width="3.28515625" style="208" customWidth="1"/>
    <col min="1029" max="1029" width="11.5703125" style="208" customWidth="1"/>
    <col min="1030" max="1030" width="3.7109375" style="208" customWidth="1"/>
    <col min="1031" max="1280" width="8.85546875" style="208"/>
    <col min="1281" max="1281" width="63.140625" style="208" customWidth="1"/>
    <col min="1282" max="1282" width="5.42578125" style="208" customWidth="1"/>
    <col min="1283" max="1283" width="10.85546875" style="208" customWidth="1"/>
    <col min="1284" max="1284" width="3.28515625" style="208" customWidth="1"/>
    <col min="1285" max="1285" width="11.5703125" style="208" customWidth="1"/>
    <col min="1286" max="1286" width="3.7109375" style="208" customWidth="1"/>
    <col min="1287" max="1536" width="8.85546875" style="208"/>
    <col min="1537" max="1537" width="63.140625" style="208" customWidth="1"/>
    <col min="1538" max="1538" width="5.42578125" style="208" customWidth="1"/>
    <col min="1539" max="1539" width="10.85546875" style="208" customWidth="1"/>
    <col min="1540" max="1540" width="3.28515625" style="208" customWidth="1"/>
    <col min="1541" max="1541" width="11.5703125" style="208" customWidth="1"/>
    <col min="1542" max="1542" width="3.7109375" style="208" customWidth="1"/>
    <col min="1543" max="1792" width="8.85546875" style="208"/>
    <col min="1793" max="1793" width="63.140625" style="208" customWidth="1"/>
    <col min="1794" max="1794" width="5.42578125" style="208" customWidth="1"/>
    <col min="1795" max="1795" width="10.85546875" style="208" customWidth="1"/>
    <col min="1796" max="1796" width="3.28515625" style="208" customWidth="1"/>
    <col min="1797" max="1797" width="11.5703125" style="208" customWidth="1"/>
    <col min="1798" max="1798" width="3.7109375" style="208" customWidth="1"/>
    <col min="1799" max="2048" width="8.85546875" style="208"/>
    <col min="2049" max="2049" width="63.140625" style="208" customWidth="1"/>
    <col min="2050" max="2050" width="5.42578125" style="208" customWidth="1"/>
    <col min="2051" max="2051" width="10.85546875" style="208" customWidth="1"/>
    <col min="2052" max="2052" width="3.28515625" style="208" customWidth="1"/>
    <col min="2053" max="2053" width="11.5703125" style="208" customWidth="1"/>
    <col min="2054" max="2054" width="3.7109375" style="208" customWidth="1"/>
    <col min="2055" max="2304" width="8.85546875" style="208"/>
    <col min="2305" max="2305" width="63.140625" style="208" customWidth="1"/>
    <col min="2306" max="2306" width="5.42578125" style="208" customWidth="1"/>
    <col min="2307" max="2307" width="10.85546875" style="208" customWidth="1"/>
    <col min="2308" max="2308" width="3.28515625" style="208" customWidth="1"/>
    <col min="2309" max="2309" width="11.5703125" style="208" customWidth="1"/>
    <col min="2310" max="2310" width="3.7109375" style="208" customWidth="1"/>
    <col min="2311" max="2560" width="8.85546875" style="208"/>
    <col min="2561" max="2561" width="63.140625" style="208" customWidth="1"/>
    <col min="2562" max="2562" width="5.42578125" style="208" customWidth="1"/>
    <col min="2563" max="2563" width="10.85546875" style="208" customWidth="1"/>
    <col min="2564" max="2564" width="3.28515625" style="208" customWidth="1"/>
    <col min="2565" max="2565" width="11.5703125" style="208" customWidth="1"/>
    <col min="2566" max="2566" width="3.7109375" style="208" customWidth="1"/>
    <col min="2567" max="2816" width="8.85546875" style="208"/>
    <col min="2817" max="2817" width="63.140625" style="208" customWidth="1"/>
    <col min="2818" max="2818" width="5.42578125" style="208" customWidth="1"/>
    <col min="2819" max="2819" width="10.85546875" style="208" customWidth="1"/>
    <col min="2820" max="2820" width="3.28515625" style="208" customWidth="1"/>
    <col min="2821" max="2821" width="11.5703125" style="208" customWidth="1"/>
    <col min="2822" max="2822" width="3.7109375" style="208" customWidth="1"/>
    <col min="2823" max="3072" width="8.85546875" style="208"/>
    <col min="3073" max="3073" width="63.140625" style="208" customWidth="1"/>
    <col min="3074" max="3074" width="5.42578125" style="208" customWidth="1"/>
    <col min="3075" max="3075" width="10.85546875" style="208" customWidth="1"/>
    <col min="3076" max="3076" width="3.28515625" style="208" customWidth="1"/>
    <col min="3077" max="3077" width="11.5703125" style="208" customWidth="1"/>
    <col min="3078" max="3078" width="3.7109375" style="208" customWidth="1"/>
    <col min="3079" max="3328" width="8.85546875" style="208"/>
    <col min="3329" max="3329" width="63.140625" style="208" customWidth="1"/>
    <col min="3330" max="3330" width="5.42578125" style="208" customWidth="1"/>
    <col min="3331" max="3331" width="10.85546875" style="208" customWidth="1"/>
    <col min="3332" max="3332" width="3.28515625" style="208" customWidth="1"/>
    <col min="3333" max="3333" width="11.5703125" style="208" customWidth="1"/>
    <col min="3334" max="3334" width="3.7109375" style="208" customWidth="1"/>
    <col min="3335" max="3584" width="8.85546875" style="208"/>
    <col min="3585" max="3585" width="63.140625" style="208" customWidth="1"/>
    <col min="3586" max="3586" width="5.42578125" style="208" customWidth="1"/>
    <col min="3587" max="3587" width="10.85546875" style="208" customWidth="1"/>
    <col min="3588" max="3588" width="3.28515625" style="208" customWidth="1"/>
    <col min="3589" max="3589" width="11.5703125" style="208" customWidth="1"/>
    <col min="3590" max="3590" width="3.7109375" style="208" customWidth="1"/>
    <col min="3591" max="3840" width="8.85546875" style="208"/>
    <col min="3841" max="3841" width="63.140625" style="208" customWidth="1"/>
    <col min="3842" max="3842" width="5.42578125" style="208" customWidth="1"/>
    <col min="3843" max="3843" width="10.85546875" style="208" customWidth="1"/>
    <col min="3844" max="3844" width="3.28515625" style="208" customWidth="1"/>
    <col min="3845" max="3845" width="11.5703125" style="208" customWidth="1"/>
    <col min="3846" max="3846" width="3.7109375" style="208" customWidth="1"/>
    <col min="3847" max="4096" width="8.85546875" style="208"/>
    <col min="4097" max="4097" width="63.140625" style="208" customWidth="1"/>
    <col min="4098" max="4098" width="5.42578125" style="208" customWidth="1"/>
    <col min="4099" max="4099" width="10.85546875" style="208" customWidth="1"/>
    <col min="4100" max="4100" width="3.28515625" style="208" customWidth="1"/>
    <col min="4101" max="4101" width="11.5703125" style="208" customWidth="1"/>
    <col min="4102" max="4102" width="3.7109375" style="208" customWidth="1"/>
    <col min="4103" max="4352" width="8.85546875" style="208"/>
    <col min="4353" max="4353" width="63.140625" style="208" customWidth="1"/>
    <col min="4354" max="4354" width="5.42578125" style="208" customWidth="1"/>
    <col min="4355" max="4355" width="10.85546875" style="208" customWidth="1"/>
    <col min="4356" max="4356" width="3.28515625" style="208" customWidth="1"/>
    <col min="4357" max="4357" width="11.5703125" style="208" customWidth="1"/>
    <col min="4358" max="4358" width="3.7109375" style="208" customWidth="1"/>
    <col min="4359" max="4608" width="8.85546875" style="208"/>
    <col min="4609" max="4609" width="63.140625" style="208" customWidth="1"/>
    <col min="4610" max="4610" width="5.42578125" style="208" customWidth="1"/>
    <col min="4611" max="4611" width="10.85546875" style="208" customWidth="1"/>
    <col min="4612" max="4612" width="3.28515625" style="208" customWidth="1"/>
    <col min="4613" max="4613" width="11.5703125" style="208" customWidth="1"/>
    <col min="4614" max="4614" width="3.7109375" style="208" customWidth="1"/>
    <col min="4615" max="4864" width="8.85546875" style="208"/>
    <col min="4865" max="4865" width="63.140625" style="208" customWidth="1"/>
    <col min="4866" max="4866" width="5.42578125" style="208" customWidth="1"/>
    <col min="4867" max="4867" width="10.85546875" style="208" customWidth="1"/>
    <col min="4868" max="4868" width="3.28515625" style="208" customWidth="1"/>
    <col min="4869" max="4869" width="11.5703125" style="208" customWidth="1"/>
    <col min="4870" max="4870" width="3.7109375" style="208" customWidth="1"/>
    <col min="4871" max="5120" width="8.85546875" style="208"/>
    <col min="5121" max="5121" width="63.140625" style="208" customWidth="1"/>
    <col min="5122" max="5122" width="5.42578125" style="208" customWidth="1"/>
    <col min="5123" max="5123" width="10.85546875" style="208" customWidth="1"/>
    <col min="5124" max="5124" width="3.28515625" style="208" customWidth="1"/>
    <col min="5125" max="5125" width="11.5703125" style="208" customWidth="1"/>
    <col min="5126" max="5126" width="3.7109375" style="208" customWidth="1"/>
    <col min="5127" max="5376" width="8.85546875" style="208"/>
    <col min="5377" max="5377" width="63.140625" style="208" customWidth="1"/>
    <col min="5378" max="5378" width="5.42578125" style="208" customWidth="1"/>
    <col min="5379" max="5379" width="10.85546875" style="208" customWidth="1"/>
    <col min="5380" max="5380" width="3.28515625" style="208" customWidth="1"/>
    <col min="5381" max="5381" width="11.5703125" style="208" customWidth="1"/>
    <col min="5382" max="5382" width="3.7109375" style="208" customWidth="1"/>
    <col min="5383" max="5632" width="8.85546875" style="208"/>
    <col min="5633" max="5633" width="63.140625" style="208" customWidth="1"/>
    <col min="5634" max="5634" width="5.42578125" style="208" customWidth="1"/>
    <col min="5635" max="5635" width="10.85546875" style="208" customWidth="1"/>
    <col min="5636" max="5636" width="3.28515625" style="208" customWidth="1"/>
    <col min="5637" max="5637" width="11.5703125" style="208" customWidth="1"/>
    <col min="5638" max="5638" width="3.7109375" style="208" customWidth="1"/>
    <col min="5639" max="5888" width="8.85546875" style="208"/>
    <col min="5889" max="5889" width="63.140625" style="208" customWidth="1"/>
    <col min="5890" max="5890" width="5.42578125" style="208" customWidth="1"/>
    <col min="5891" max="5891" width="10.85546875" style="208" customWidth="1"/>
    <col min="5892" max="5892" width="3.28515625" style="208" customWidth="1"/>
    <col min="5893" max="5893" width="11.5703125" style="208" customWidth="1"/>
    <col min="5894" max="5894" width="3.7109375" style="208" customWidth="1"/>
    <col min="5895" max="6144" width="8.85546875" style="208"/>
    <col min="6145" max="6145" width="63.140625" style="208" customWidth="1"/>
    <col min="6146" max="6146" width="5.42578125" style="208" customWidth="1"/>
    <col min="6147" max="6147" width="10.85546875" style="208" customWidth="1"/>
    <col min="6148" max="6148" width="3.28515625" style="208" customWidth="1"/>
    <col min="6149" max="6149" width="11.5703125" style="208" customWidth="1"/>
    <col min="6150" max="6150" width="3.7109375" style="208" customWidth="1"/>
    <col min="6151" max="6400" width="8.85546875" style="208"/>
    <col min="6401" max="6401" width="63.140625" style="208" customWidth="1"/>
    <col min="6402" max="6402" width="5.42578125" style="208" customWidth="1"/>
    <col min="6403" max="6403" width="10.85546875" style="208" customWidth="1"/>
    <col min="6404" max="6404" width="3.28515625" style="208" customWidth="1"/>
    <col min="6405" max="6405" width="11.5703125" style="208" customWidth="1"/>
    <col min="6406" max="6406" width="3.7109375" style="208" customWidth="1"/>
    <col min="6407" max="6656" width="8.85546875" style="208"/>
    <col min="6657" max="6657" width="63.140625" style="208" customWidth="1"/>
    <col min="6658" max="6658" width="5.42578125" style="208" customWidth="1"/>
    <col min="6659" max="6659" width="10.85546875" style="208" customWidth="1"/>
    <col min="6660" max="6660" width="3.28515625" style="208" customWidth="1"/>
    <col min="6661" max="6661" width="11.5703125" style="208" customWidth="1"/>
    <col min="6662" max="6662" width="3.7109375" style="208" customWidth="1"/>
    <col min="6663" max="6912" width="8.85546875" style="208"/>
    <col min="6913" max="6913" width="63.140625" style="208" customWidth="1"/>
    <col min="6914" max="6914" width="5.42578125" style="208" customWidth="1"/>
    <col min="6915" max="6915" width="10.85546875" style="208" customWidth="1"/>
    <col min="6916" max="6916" width="3.28515625" style="208" customWidth="1"/>
    <col min="6917" max="6917" width="11.5703125" style="208" customWidth="1"/>
    <col min="6918" max="6918" width="3.7109375" style="208" customWidth="1"/>
    <col min="6919" max="7168" width="8.85546875" style="208"/>
    <col min="7169" max="7169" width="63.140625" style="208" customWidth="1"/>
    <col min="7170" max="7170" width="5.42578125" style="208" customWidth="1"/>
    <col min="7171" max="7171" width="10.85546875" style="208" customWidth="1"/>
    <col min="7172" max="7172" width="3.28515625" style="208" customWidth="1"/>
    <col min="7173" max="7173" width="11.5703125" style="208" customWidth="1"/>
    <col min="7174" max="7174" width="3.7109375" style="208" customWidth="1"/>
    <col min="7175" max="7424" width="8.85546875" style="208"/>
    <col min="7425" max="7425" width="63.140625" style="208" customWidth="1"/>
    <col min="7426" max="7426" width="5.42578125" style="208" customWidth="1"/>
    <col min="7427" max="7427" width="10.85546875" style="208" customWidth="1"/>
    <col min="7428" max="7428" width="3.28515625" style="208" customWidth="1"/>
    <col min="7429" max="7429" width="11.5703125" style="208" customWidth="1"/>
    <col min="7430" max="7430" width="3.7109375" style="208" customWidth="1"/>
    <col min="7431" max="7680" width="8.85546875" style="208"/>
    <col min="7681" max="7681" width="63.140625" style="208" customWidth="1"/>
    <col min="7682" max="7682" width="5.42578125" style="208" customWidth="1"/>
    <col min="7683" max="7683" width="10.85546875" style="208" customWidth="1"/>
    <col min="7684" max="7684" width="3.28515625" style="208" customWidth="1"/>
    <col min="7685" max="7685" width="11.5703125" style="208" customWidth="1"/>
    <col min="7686" max="7686" width="3.7109375" style="208" customWidth="1"/>
    <col min="7687" max="7936" width="8.85546875" style="208"/>
    <col min="7937" max="7937" width="63.140625" style="208" customWidth="1"/>
    <col min="7938" max="7938" width="5.42578125" style="208" customWidth="1"/>
    <col min="7939" max="7939" width="10.85546875" style="208" customWidth="1"/>
    <col min="7940" max="7940" width="3.28515625" style="208" customWidth="1"/>
    <col min="7941" max="7941" width="11.5703125" style="208" customWidth="1"/>
    <col min="7942" max="7942" width="3.7109375" style="208" customWidth="1"/>
    <col min="7943" max="8192" width="8.85546875" style="208"/>
    <col min="8193" max="8193" width="63.140625" style="208" customWidth="1"/>
    <col min="8194" max="8194" width="5.42578125" style="208" customWidth="1"/>
    <col min="8195" max="8195" width="10.85546875" style="208" customWidth="1"/>
    <col min="8196" max="8196" width="3.28515625" style="208" customWidth="1"/>
    <col min="8197" max="8197" width="11.5703125" style="208" customWidth="1"/>
    <col min="8198" max="8198" width="3.7109375" style="208" customWidth="1"/>
    <col min="8199" max="8448" width="8.85546875" style="208"/>
    <col min="8449" max="8449" width="63.140625" style="208" customWidth="1"/>
    <col min="8450" max="8450" width="5.42578125" style="208" customWidth="1"/>
    <col min="8451" max="8451" width="10.85546875" style="208" customWidth="1"/>
    <col min="8452" max="8452" width="3.28515625" style="208" customWidth="1"/>
    <col min="8453" max="8453" width="11.5703125" style="208" customWidth="1"/>
    <col min="8454" max="8454" width="3.7109375" style="208" customWidth="1"/>
    <col min="8455" max="8704" width="8.85546875" style="208"/>
    <col min="8705" max="8705" width="63.140625" style="208" customWidth="1"/>
    <col min="8706" max="8706" width="5.42578125" style="208" customWidth="1"/>
    <col min="8707" max="8707" width="10.85546875" style="208" customWidth="1"/>
    <col min="8708" max="8708" width="3.28515625" style="208" customWidth="1"/>
    <col min="8709" max="8709" width="11.5703125" style="208" customWidth="1"/>
    <col min="8710" max="8710" width="3.7109375" style="208" customWidth="1"/>
    <col min="8711" max="8960" width="8.85546875" style="208"/>
    <col min="8961" max="8961" width="63.140625" style="208" customWidth="1"/>
    <col min="8962" max="8962" width="5.42578125" style="208" customWidth="1"/>
    <col min="8963" max="8963" width="10.85546875" style="208" customWidth="1"/>
    <col min="8964" max="8964" width="3.28515625" style="208" customWidth="1"/>
    <col min="8965" max="8965" width="11.5703125" style="208" customWidth="1"/>
    <col min="8966" max="8966" width="3.7109375" style="208" customWidth="1"/>
    <col min="8967" max="9216" width="8.85546875" style="208"/>
    <col min="9217" max="9217" width="63.140625" style="208" customWidth="1"/>
    <col min="9218" max="9218" width="5.42578125" style="208" customWidth="1"/>
    <col min="9219" max="9219" width="10.85546875" style="208" customWidth="1"/>
    <col min="9220" max="9220" width="3.28515625" style="208" customWidth="1"/>
    <col min="9221" max="9221" width="11.5703125" style="208" customWidth="1"/>
    <col min="9222" max="9222" width="3.7109375" style="208" customWidth="1"/>
    <col min="9223" max="9472" width="8.85546875" style="208"/>
    <col min="9473" max="9473" width="63.140625" style="208" customWidth="1"/>
    <col min="9474" max="9474" width="5.42578125" style="208" customWidth="1"/>
    <col min="9475" max="9475" width="10.85546875" style="208" customWidth="1"/>
    <col min="9476" max="9476" width="3.28515625" style="208" customWidth="1"/>
    <col min="9477" max="9477" width="11.5703125" style="208" customWidth="1"/>
    <col min="9478" max="9478" width="3.7109375" style="208" customWidth="1"/>
    <col min="9479" max="9728" width="8.85546875" style="208"/>
    <col min="9729" max="9729" width="63.140625" style="208" customWidth="1"/>
    <col min="9730" max="9730" width="5.42578125" style="208" customWidth="1"/>
    <col min="9731" max="9731" width="10.85546875" style="208" customWidth="1"/>
    <col min="9732" max="9732" width="3.28515625" style="208" customWidth="1"/>
    <col min="9733" max="9733" width="11.5703125" style="208" customWidth="1"/>
    <col min="9734" max="9734" width="3.7109375" style="208" customWidth="1"/>
    <col min="9735" max="9984" width="8.85546875" style="208"/>
    <col min="9985" max="9985" width="63.140625" style="208" customWidth="1"/>
    <col min="9986" max="9986" width="5.42578125" style="208" customWidth="1"/>
    <col min="9987" max="9987" width="10.85546875" style="208" customWidth="1"/>
    <col min="9988" max="9988" width="3.28515625" style="208" customWidth="1"/>
    <col min="9989" max="9989" width="11.5703125" style="208" customWidth="1"/>
    <col min="9990" max="9990" width="3.7109375" style="208" customWidth="1"/>
    <col min="9991" max="10240" width="8.85546875" style="208"/>
    <col min="10241" max="10241" width="63.140625" style="208" customWidth="1"/>
    <col min="10242" max="10242" width="5.42578125" style="208" customWidth="1"/>
    <col min="10243" max="10243" width="10.85546875" style="208" customWidth="1"/>
    <col min="10244" max="10244" width="3.28515625" style="208" customWidth="1"/>
    <col min="10245" max="10245" width="11.5703125" style="208" customWidth="1"/>
    <col min="10246" max="10246" width="3.7109375" style="208" customWidth="1"/>
    <col min="10247" max="10496" width="8.85546875" style="208"/>
    <col min="10497" max="10497" width="63.140625" style="208" customWidth="1"/>
    <col min="10498" max="10498" width="5.42578125" style="208" customWidth="1"/>
    <col min="10499" max="10499" width="10.85546875" style="208" customWidth="1"/>
    <col min="10500" max="10500" width="3.28515625" style="208" customWidth="1"/>
    <col min="10501" max="10501" width="11.5703125" style="208" customWidth="1"/>
    <col min="10502" max="10502" width="3.7109375" style="208" customWidth="1"/>
    <col min="10503" max="10752" width="8.85546875" style="208"/>
    <col min="10753" max="10753" width="63.140625" style="208" customWidth="1"/>
    <col min="10754" max="10754" width="5.42578125" style="208" customWidth="1"/>
    <col min="10755" max="10755" width="10.85546875" style="208" customWidth="1"/>
    <col min="10756" max="10756" width="3.28515625" style="208" customWidth="1"/>
    <col min="10757" max="10757" width="11.5703125" style="208" customWidth="1"/>
    <col min="10758" max="10758" width="3.7109375" style="208" customWidth="1"/>
    <col min="10759" max="11008" width="8.85546875" style="208"/>
    <col min="11009" max="11009" width="63.140625" style="208" customWidth="1"/>
    <col min="11010" max="11010" width="5.42578125" style="208" customWidth="1"/>
    <col min="11011" max="11011" width="10.85546875" style="208" customWidth="1"/>
    <col min="11012" max="11012" width="3.28515625" style="208" customWidth="1"/>
    <col min="11013" max="11013" width="11.5703125" style="208" customWidth="1"/>
    <col min="11014" max="11014" width="3.7109375" style="208" customWidth="1"/>
    <col min="11015" max="11264" width="8.85546875" style="208"/>
    <col min="11265" max="11265" width="63.140625" style="208" customWidth="1"/>
    <col min="11266" max="11266" width="5.42578125" style="208" customWidth="1"/>
    <col min="11267" max="11267" width="10.85546875" style="208" customWidth="1"/>
    <col min="11268" max="11268" width="3.28515625" style="208" customWidth="1"/>
    <col min="11269" max="11269" width="11.5703125" style="208" customWidth="1"/>
    <col min="11270" max="11270" width="3.7109375" style="208" customWidth="1"/>
    <col min="11271" max="11520" width="8.85546875" style="208"/>
    <col min="11521" max="11521" width="63.140625" style="208" customWidth="1"/>
    <col min="11522" max="11522" width="5.42578125" style="208" customWidth="1"/>
    <col min="11523" max="11523" width="10.85546875" style="208" customWidth="1"/>
    <col min="11524" max="11524" width="3.28515625" style="208" customWidth="1"/>
    <col min="11525" max="11525" width="11.5703125" style="208" customWidth="1"/>
    <col min="11526" max="11526" width="3.7109375" style="208" customWidth="1"/>
    <col min="11527" max="11776" width="8.85546875" style="208"/>
    <col min="11777" max="11777" width="63.140625" style="208" customWidth="1"/>
    <col min="11778" max="11778" width="5.42578125" style="208" customWidth="1"/>
    <col min="11779" max="11779" width="10.85546875" style="208" customWidth="1"/>
    <col min="11780" max="11780" width="3.28515625" style="208" customWidth="1"/>
    <col min="11781" max="11781" width="11.5703125" style="208" customWidth="1"/>
    <col min="11782" max="11782" width="3.7109375" style="208" customWidth="1"/>
    <col min="11783" max="12032" width="8.85546875" style="208"/>
    <col min="12033" max="12033" width="63.140625" style="208" customWidth="1"/>
    <col min="12034" max="12034" width="5.42578125" style="208" customWidth="1"/>
    <col min="12035" max="12035" width="10.85546875" style="208" customWidth="1"/>
    <col min="12036" max="12036" width="3.28515625" style="208" customWidth="1"/>
    <col min="12037" max="12037" width="11.5703125" style="208" customWidth="1"/>
    <col min="12038" max="12038" width="3.7109375" style="208" customWidth="1"/>
    <col min="12039" max="12288" width="8.85546875" style="208"/>
    <col min="12289" max="12289" width="63.140625" style="208" customWidth="1"/>
    <col min="12290" max="12290" width="5.42578125" style="208" customWidth="1"/>
    <col min="12291" max="12291" width="10.85546875" style="208" customWidth="1"/>
    <col min="12292" max="12292" width="3.28515625" style="208" customWidth="1"/>
    <col min="12293" max="12293" width="11.5703125" style="208" customWidth="1"/>
    <col min="12294" max="12294" width="3.7109375" style="208" customWidth="1"/>
    <col min="12295" max="12544" width="8.85546875" style="208"/>
    <col min="12545" max="12545" width="63.140625" style="208" customWidth="1"/>
    <col min="12546" max="12546" width="5.42578125" style="208" customWidth="1"/>
    <col min="12547" max="12547" width="10.85546875" style="208" customWidth="1"/>
    <col min="12548" max="12548" width="3.28515625" style="208" customWidth="1"/>
    <col min="12549" max="12549" width="11.5703125" style="208" customWidth="1"/>
    <col min="12550" max="12550" width="3.7109375" style="208" customWidth="1"/>
    <col min="12551" max="12800" width="8.85546875" style="208"/>
    <col min="12801" max="12801" width="63.140625" style="208" customWidth="1"/>
    <col min="12802" max="12802" width="5.42578125" style="208" customWidth="1"/>
    <col min="12803" max="12803" width="10.85546875" style="208" customWidth="1"/>
    <col min="12804" max="12804" width="3.28515625" style="208" customWidth="1"/>
    <col min="12805" max="12805" width="11.5703125" style="208" customWidth="1"/>
    <col min="12806" max="12806" width="3.7109375" style="208" customWidth="1"/>
    <col min="12807" max="13056" width="8.85546875" style="208"/>
    <col min="13057" max="13057" width="63.140625" style="208" customWidth="1"/>
    <col min="13058" max="13058" width="5.42578125" style="208" customWidth="1"/>
    <col min="13059" max="13059" width="10.85546875" style="208" customWidth="1"/>
    <col min="13060" max="13060" width="3.28515625" style="208" customWidth="1"/>
    <col min="13061" max="13061" width="11.5703125" style="208" customWidth="1"/>
    <col min="13062" max="13062" width="3.7109375" style="208" customWidth="1"/>
    <col min="13063" max="13312" width="8.85546875" style="208"/>
    <col min="13313" max="13313" width="63.140625" style="208" customWidth="1"/>
    <col min="13314" max="13314" width="5.42578125" style="208" customWidth="1"/>
    <col min="13315" max="13315" width="10.85546875" style="208" customWidth="1"/>
    <col min="13316" max="13316" width="3.28515625" style="208" customWidth="1"/>
    <col min="13317" max="13317" width="11.5703125" style="208" customWidth="1"/>
    <col min="13318" max="13318" width="3.7109375" style="208" customWidth="1"/>
    <col min="13319" max="13568" width="8.85546875" style="208"/>
    <col min="13569" max="13569" width="63.140625" style="208" customWidth="1"/>
    <col min="13570" max="13570" width="5.42578125" style="208" customWidth="1"/>
    <col min="13571" max="13571" width="10.85546875" style="208" customWidth="1"/>
    <col min="13572" max="13572" width="3.28515625" style="208" customWidth="1"/>
    <col min="13573" max="13573" width="11.5703125" style="208" customWidth="1"/>
    <col min="13574" max="13574" width="3.7109375" style="208" customWidth="1"/>
    <col min="13575" max="13824" width="8.85546875" style="208"/>
    <col min="13825" max="13825" width="63.140625" style="208" customWidth="1"/>
    <col min="13826" max="13826" width="5.42578125" style="208" customWidth="1"/>
    <col min="13827" max="13827" width="10.85546875" style="208" customWidth="1"/>
    <col min="13828" max="13828" width="3.28515625" style="208" customWidth="1"/>
    <col min="13829" max="13829" width="11.5703125" style="208" customWidth="1"/>
    <col min="13830" max="13830" width="3.7109375" style="208" customWidth="1"/>
    <col min="13831" max="14080" width="8.85546875" style="208"/>
    <col min="14081" max="14081" width="63.140625" style="208" customWidth="1"/>
    <col min="14082" max="14082" width="5.42578125" style="208" customWidth="1"/>
    <col min="14083" max="14083" width="10.85546875" style="208" customWidth="1"/>
    <col min="14084" max="14084" width="3.28515625" style="208" customWidth="1"/>
    <col min="14085" max="14085" width="11.5703125" style="208" customWidth="1"/>
    <col min="14086" max="14086" width="3.7109375" style="208" customWidth="1"/>
    <col min="14087" max="14336" width="8.85546875" style="208"/>
    <col min="14337" max="14337" width="63.140625" style="208" customWidth="1"/>
    <col min="14338" max="14338" width="5.42578125" style="208" customWidth="1"/>
    <col min="14339" max="14339" width="10.85546875" style="208" customWidth="1"/>
    <col min="14340" max="14340" width="3.28515625" style="208" customWidth="1"/>
    <col min="14341" max="14341" width="11.5703125" style="208" customWidth="1"/>
    <col min="14342" max="14342" width="3.7109375" style="208" customWidth="1"/>
    <col min="14343" max="14592" width="8.85546875" style="208"/>
    <col min="14593" max="14593" width="63.140625" style="208" customWidth="1"/>
    <col min="14594" max="14594" width="5.42578125" style="208" customWidth="1"/>
    <col min="14595" max="14595" width="10.85546875" style="208" customWidth="1"/>
    <col min="14596" max="14596" width="3.28515625" style="208" customWidth="1"/>
    <col min="14597" max="14597" width="11.5703125" style="208" customWidth="1"/>
    <col min="14598" max="14598" width="3.7109375" style="208" customWidth="1"/>
    <col min="14599" max="14848" width="8.85546875" style="208"/>
    <col min="14849" max="14849" width="63.140625" style="208" customWidth="1"/>
    <col min="14850" max="14850" width="5.42578125" style="208" customWidth="1"/>
    <col min="14851" max="14851" width="10.85546875" style="208" customWidth="1"/>
    <col min="14852" max="14852" width="3.28515625" style="208" customWidth="1"/>
    <col min="14853" max="14853" width="11.5703125" style="208" customWidth="1"/>
    <col min="14854" max="14854" width="3.7109375" style="208" customWidth="1"/>
    <col min="14855" max="15104" width="8.85546875" style="208"/>
    <col min="15105" max="15105" width="63.140625" style="208" customWidth="1"/>
    <col min="15106" max="15106" width="5.42578125" style="208" customWidth="1"/>
    <col min="15107" max="15107" width="10.85546875" style="208" customWidth="1"/>
    <col min="15108" max="15108" width="3.28515625" style="208" customWidth="1"/>
    <col min="15109" max="15109" width="11.5703125" style="208" customWidth="1"/>
    <col min="15110" max="15110" width="3.7109375" style="208" customWidth="1"/>
    <col min="15111" max="15360" width="8.85546875" style="208"/>
    <col min="15361" max="15361" width="63.140625" style="208" customWidth="1"/>
    <col min="15362" max="15362" width="5.42578125" style="208" customWidth="1"/>
    <col min="15363" max="15363" width="10.85546875" style="208" customWidth="1"/>
    <col min="15364" max="15364" width="3.28515625" style="208" customWidth="1"/>
    <col min="15365" max="15365" width="11.5703125" style="208" customWidth="1"/>
    <col min="15366" max="15366" width="3.7109375" style="208" customWidth="1"/>
    <col min="15367" max="15616" width="8.85546875" style="208"/>
    <col min="15617" max="15617" width="63.140625" style="208" customWidth="1"/>
    <col min="15618" max="15618" width="5.42578125" style="208" customWidth="1"/>
    <col min="15619" max="15619" width="10.85546875" style="208" customWidth="1"/>
    <col min="15620" max="15620" width="3.28515625" style="208" customWidth="1"/>
    <col min="15621" max="15621" width="11.5703125" style="208" customWidth="1"/>
    <col min="15622" max="15622" width="3.7109375" style="208" customWidth="1"/>
    <col min="15623" max="15872" width="8.85546875" style="208"/>
    <col min="15873" max="15873" width="63.140625" style="208" customWidth="1"/>
    <col min="15874" max="15874" width="5.42578125" style="208" customWidth="1"/>
    <col min="15875" max="15875" width="10.85546875" style="208" customWidth="1"/>
    <col min="15876" max="15876" width="3.28515625" style="208" customWidth="1"/>
    <col min="15877" max="15877" width="11.5703125" style="208" customWidth="1"/>
    <col min="15878" max="15878" width="3.7109375" style="208" customWidth="1"/>
    <col min="15879" max="16128" width="8.85546875" style="208"/>
    <col min="16129" max="16129" width="63.140625" style="208" customWidth="1"/>
    <col min="16130" max="16130" width="5.42578125" style="208" customWidth="1"/>
    <col min="16131" max="16131" width="10.85546875" style="208" customWidth="1"/>
    <col min="16132" max="16132" width="3.28515625" style="208" customWidth="1"/>
    <col min="16133" max="16133" width="11.5703125" style="208" customWidth="1"/>
    <col min="16134" max="16134" width="3.7109375" style="208" customWidth="1"/>
    <col min="16135" max="16384" width="8.85546875" style="208"/>
  </cols>
  <sheetData>
    <row r="1" spans="1:8">
      <c r="A1" s="208" t="s">
        <v>496</v>
      </c>
    </row>
    <row r="2" spans="1:8">
      <c r="A2" s="208" t="s">
        <v>497</v>
      </c>
    </row>
    <row r="3" spans="1:8" ht="12" customHeight="1"/>
    <row r="4" spans="1:8">
      <c r="A4" s="208" t="s">
        <v>2158</v>
      </c>
    </row>
    <row r="5" spans="1:8">
      <c r="A5" s="208" t="s">
        <v>1837</v>
      </c>
    </row>
    <row r="6" spans="1:8" ht="12" customHeight="1" thickBot="1">
      <c r="A6" s="234"/>
      <c r="B6" s="234"/>
      <c r="C6" s="234"/>
      <c r="D6" s="234"/>
      <c r="E6" s="706"/>
      <c r="F6" s="706"/>
    </row>
    <row r="7" spans="1:8">
      <c r="A7" s="707"/>
      <c r="B7" s="707"/>
      <c r="C7" s="707"/>
      <c r="D7" s="707"/>
      <c r="E7" s="708"/>
      <c r="F7" s="708"/>
    </row>
    <row r="8" spans="1:8">
      <c r="A8" s="208" t="s">
        <v>1838</v>
      </c>
      <c r="C8" s="1337" t="s">
        <v>1839</v>
      </c>
      <c r="D8" s="1337"/>
      <c r="E8" s="1337"/>
      <c r="F8" s="707"/>
    </row>
    <row r="9" spans="1:8">
      <c r="A9" s="208" t="s">
        <v>1840</v>
      </c>
      <c r="C9" s="1338" t="s">
        <v>1841</v>
      </c>
      <c r="D9" s="1338"/>
      <c r="E9" s="1338"/>
      <c r="F9" s="707"/>
    </row>
    <row r="10" spans="1:8">
      <c r="C10" s="709" t="s">
        <v>1842</v>
      </c>
      <c r="D10" s="710"/>
      <c r="E10" s="711" t="s">
        <v>1843</v>
      </c>
      <c r="F10" s="707"/>
    </row>
    <row r="11" spans="1:8" ht="15" thickBot="1">
      <c r="A11" s="234"/>
      <c r="B11" s="234"/>
      <c r="C11" s="234"/>
      <c r="D11" s="234"/>
      <c r="E11" s="706"/>
      <c r="F11" s="706"/>
    </row>
    <row r="12" spans="1:8" ht="12" customHeight="1">
      <c r="A12" s="707"/>
      <c r="B12" s="707"/>
      <c r="C12" s="712"/>
      <c r="D12" s="707"/>
      <c r="E12" s="708"/>
      <c r="F12" s="713"/>
      <c r="G12" s="1189"/>
      <c r="H12" s="1189"/>
    </row>
    <row r="13" spans="1:8" ht="15.75" customHeight="1">
      <c r="A13" s="713" t="s">
        <v>1844</v>
      </c>
      <c r="B13" s="707"/>
      <c r="C13" s="714">
        <f>C15+C45</f>
        <v>411304</v>
      </c>
      <c r="D13" s="713"/>
      <c r="E13" s="715">
        <f>E15+E45</f>
        <v>100</v>
      </c>
      <c r="F13" s="713"/>
      <c r="G13" s="1189"/>
      <c r="H13" s="1189"/>
    </row>
    <row r="14" spans="1:8" ht="12" customHeight="1">
      <c r="A14" s="707"/>
      <c r="B14" s="707"/>
      <c r="C14" s="712"/>
      <c r="D14" s="707"/>
      <c r="E14" s="705" t="str">
        <f>IF($A14&lt;&gt;0,C14/$C$13*100,"")</f>
        <v/>
      </c>
      <c r="F14" s="713"/>
      <c r="G14" s="1189"/>
      <c r="H14" s="1189"/>
    </row>
    <row r="15" spans="1:8" ht="13.5" customHeight="1">
      <c r="A15" s="224" t="s">
        <v>1845</v>
      </c>
      <c r="C15" s="716">
        <f>SUM(C17:C43)</f>
        <v>74269</v>
      </c>
      <c r="E15" s="717">
        <f t="shared" ref="E15:E57" si="0">IF($A15&lt;&gt;0,C15/$C$13*100,"")</f>
        <v>18.056960301869175</v>
      </c>
      <c r="F15" s="707"/>
      <c r="G15" s="844"/>
      <c r="H15" s="844"/>
    </row>
    <row r="16" spans="1:8" ht="5.25" customHeight="1">
      <c r="C16" s="718"/>
      <c r="E16" s="705" t="str">
        <f t="shared" si="0"/>
        <v/>
      </c>
      <c r="F16" s="707"/>
      <c r="G16" s="844"/>
      <c r="H16" s="844"/>
    </row>
    <row r="17" spans="1:8">
      <c r="A17" s="196" t="s">
        <v>1846</v>
      </c>
      <c r="C17" s="718">
        <v>23204</v>
      </c>
      <c r="E17" s="719">
        <f t="shared" si="0"/>
        <v>5.6415692529126877</v>
      </c>
      <c r="F17" s="707"/>
      <c r="G17" s="844"/>
      <c r="H17" s="844"/>
    </row>
    <row r="18" spans="1:8" ht="6.95" customHeight="1">
      <c r="A18" s="196"/>
      <c r="C18" s="718"/>
      <c r="E18" s="719" t="str">
        <f t="shared" si="0"/>
        <v/>
      </c>
      <c r="F18" s="707"/>
      <c r="G18" s="844"/>
      <c r="H18" s="844"/>
    </row>
    <row r="19" spans="1:8" hidden="1">
      <c r="A19" s="196" t="s">
        <v>1847</v>
      </c>
      <c r="C19" s="718"/>
      <c r="E19" s="719">
        <f t="shared" si="0"/>
        <v>0</v>
      </c>
      <c r="F19" s="707"/>
      <c r="G19" s="844"/>
      <c r="H19" s="844"/>
    </row>
    <row r="20" spans="1:8" ht="6" hidden="1" customHeight="1">
      <c r="A20" s="196"/>
      <c r="C20" s="720"/>
      <c r="E20" s="719" t="str">
        <f t="shared" si="0"/>
        <v/>
      </c>
      <c r="F20" s="707"/>
      <c r="G20" s="707"/>
      <c r="H20" s="844"/>
    </row>
    <row r="21" spans="1:8" ht="12.75" customHeight="1">
      <c r="A21" s="196" t="s">
        <v>1848</v>
      </c>
      <c r="C21" s="720">
        <v>479</v>
      </c>
      <c r="E21" s="719">
        <f t="shared" si="0"/>
        <v>0.11645887226965942</v>
      </c>
      <c r="F21" s="707"/>
      <c r="G21" s="707"/>
      <c r="H21" s="844"/>
    </row>
    <row r="22" spans="1:8" ht="6" customHeight="1">
      <c r="A22" s="196"/>
      <c r="C22" s="720"/>
      <c r="E22" s="719" t="str">
        <f t="shared" si="0"/>
        <v/>
      </c>
      <c r="F22" s="707"/>
      <c r="G22" s="707"/>
      <c r="H22" s="844"/>
    </row>
    <row r="23" spans="1:8">
      <c r="A23" s="196" t="s">
        <v>2223</v>
      </c>
      <c r="C23" s="720">
        <v>3538</v>
      </c>
      <c r="E23" s="719">
        <f t="shared" si="0"/>
        <v>0.86019100227568912</v>
      </c>
      <c r="F23" s="707"/>
      <c r="G23" s="707"/>
      <c r="H23" s="844"/>
    </row>
    <row r="24" spans="1:8" ht="6" customHeight="1">
      <c r="A24" s="196"/>
      <c r="C24" s="720"/>
      <c r="E24" s="719" t="str">
        <f t="shared" si="0"/>
        <v/>
      </c>
      <c r="F24" s="707"/>
      <c r="G24" s="707"/>
      <c r="H24" s="844"/>
    </row>
    <row r="25" spans="1:8">
      <c r="A25" s="196" t="s">
        <v>1849</v>
      </c>
      <c r="C25" s="720">
        <v>209</v>
      </c>
      <c r="E25" s="719">
        <f t="shared" si="0"/>
        <v>5.0813996460039298E-2</v>
      </c>
      <c r="F25" s="707"/>
      <c r="G25" s="707"/>
      <c r="H25" s="844"/>
    </row>
    <row r="26" spans="1:8" ht="6.95" customHeight="1">
      <c r="A26" s="196"/>
      <c r="C26" s="718"/>
      <c r="E26" s="719" t="str">
        <f t="shared" si="0"/>
        <v/>
      </c>
      <c r="F26" s="707"/>
      <c r="G26" s="844"/>
      <c r="H26" s="844"/>
    </row>
    <row r="27" spans="1:8">
      <c r="A27" s="196" t="s">
        <v>1850</v>
      </c>
      <c r="C27" s="718">
        <v>5030</v>
      </c>
      <c r="E27" s="719">
        <f t="shared" si="0"/>
        <v>1.2229397234162565</v>
      </c>
    </row>
    <row r="28" spans="1:8" ht="6.95" customHeight="1">
      <c r="A28" s="196"/>
      <c r="C28" s="718"/>
      <c r="E28" s="719" t="str">
        <f t="shared" si="0"/>
        <v/>
      </c>
    </row>
    <row r="29" spans="1:8" ht="14.25" customHeight="1">
      <c r="A29" s="196" t="s">
        <v>1851</v>
      </c>
      <c r="C29" s="718">
        <v>2676</v>
      </c>
      <c r="E29" s="719">
        <f t="shared" si="0"/>
        <v>0.6506136580242351</v>
      </c>
    </row>
    <row r="30" spans="1:8" ht="4.5" customHeight="1">
      <c r="A30" s="196"/>
      <c r="C30" s="718"/>
      <c r="E30" s="719" t="str">
        <f t="shared" si="0"/>
        <v/>
      </c>
    </row>
    <row r="31" spans="1:8">
      <c r="A31" s="196" t="s">
        <v>2224</v>
      </c>
      <c r="C31" s="718">
        <v>227</v>
      </c>
      <c r="E31" s="719">
        <f t="shared" si="0"/>
        <v>5.5190321514013964E-2</v>
      </c>
    </row>
    <row r="32" spans="1:8" ht="6.95" customHeight="1">
      <c r="A32" s="196"/>
      <c r="C32" s="718"/>
      <c r="E32" s="719" t="str">
        <f t="shared" si="0"/>
        <v/>
      </c>
    </row>
    <row r="33" spans="1:8">
      <c r="A33" s="196" t="s">
        <v>2225</v>
      </c>
      <c r="C33" s="720">
        <v>2780</v>
      </c>
      <c r="E33" s="719">
        <f t="shared" si="0"/>
        <v>0.67589909166942219</v>
      </c>
      <c r="F33" s="707"/>
      <c r="G33" s="707"/>
      <c r="H33" s="844"/>
    </row>
    <row r="34" spans="1:8" ht="6.95" customHeight="1">
      <c r="A34" s="196"/>
      <c r="C34" s="720"/>
      <c r="E34" s="719" t="str">
        <f t="shared" si="0"/>
        <v/>
      </c>
      <c r="F34" s="707"/>
      <c r="G34" s="707"/>
      <c r="H34" s="844"/>
    </row>
    <row r="35" spans="1:8" ht="28.5">
      <c r="A35" s="721" t="s">
        <v>2226</v>
      </c>
      <c r="C35" s="718">
        <v>3168</v>
      </c>
      <c r="E35" s="719">
        <f t="shared" si="0"/>
        <v>0.77023320949954288</v>
      </c>
    </row>
    <row r="36" spans="1:8" ht="6.95" customHeight="1">
      <c r="A36" s="196"/>
      <c r="C36" s="718"/>
      <c r="E36" s="719" t="str">
        <f t="shared" si="0"/>
        <v/>
      </c>
    </row>
    <row r="37" spans="1:8">
      <c r="A37" s="196" t="s">
        <v>1852</v>
      </c>
      <c r="C37" s="718">
        <v>8258</v>
      </c>
      <c r="E37" s="719">
        <f t="shared" si="0"/>
        <v>2.0077606830957153</v>
      </c>
    </row>
    <row r="38" spans="1:8" ht="6.95" customHeight="1">
      <c r="A38" s="196"/>
      <c r="C38" s="718"/>
      <c r="E38" s="719" t="str">
        <f t="shared" si="0"/>
        <v/>
      </c>
    </row>
    <row r="39" spans="1:8">
      <c r="A39" s="722" t="s">
        <v>1853</v>
      </c>
      <c r="C39" s="718">
        <v>22640</v>
      </c>
      <c r="E39" s="719">
        <f t="shared" si="0"/>
        <v>5.5044444012214813</v>
      </c>
    </row>
    <row r="40" spans="1:8" ht="5.25" customHeight="1">
      <c r="A40" s="722"/>
      <c r="C40" s="718"/>
      <c r="E40" s="719" t="str">
        <f t="shared" si="0"/>
        <v/>
      </c>
    </row>
    <row r="41" spans="1:8">
      <c r="A41" s="722" t="s">
        <v>2227</v>
      </c>
      <c r="C41" s="718">
        <v>2060</v>
      </c>
      <c r="E41" s="719">
        <f t="shared" si="0"/>
        <v>0.50084608951043508</v>
      </c>
    </row>
    <row r="42" spans="1:8" ht="8.25" customHeight="1">
      <c r="A42" s="722"/>
      <c r="C42" s="718"/>
      <c r="E42" s="719" t="str">
        <f t="shared" si="0"/>
        <v/>
      </c>
    </row>
    <row r="43" spans="1:8" ht="31.5" hidden="1" customHeight="1">
      <c r="A43" s="722" t="s">
        <v>1854</v>
      </c>
      <c r="C43" s="718"/>
      <c r="E43" s="719">
        <f t="shared" si="0"/>
        <v>0</v>
      </c>
    </row>
    <row r="44" spans="1:8" ht="6.95" customHeight="1">
      <c r="A44" s="196"/>
      <c r="C44" s="718"/>
      <c r="E44" s="719" t="str">
        <f t="shared" si="0"/>
        <v/>
      </c>
    </row>
    <row r="45" spans="1:8" ht="12.75" customHeight="1">
      <c r="A45" s="205" t="s">
        <v>1855</v>
      </c>
      <c r="C45" s="716">
        <f>SUM(C47:C57)</f>
        <v>337035</v>
      </c>
      <c r="E45" s="719">
        <f t="shared" si="0"/>
        <v>81.943039698130832</v>
      </c>
    </row>
    <row r="46" spans="1:8" ht="6.75" customHeight="1">
      <c r="A46" s="196"/>
      <c r="C46" s="718"/>
      <c r="E46" s="719" t="str">
        <f t="shared" si="0"/>
        <v/>
      </c>
    </row>
    <row r="47" spans="1:8">
      <c r="A47" s="723" t="s">
        <v>1856</v>
      </c>
      <c r="C47" s="718">
        <v>15000</v>
      </c>
      <c r="E47" s="719">
        <f t="shared" si="0"/>
        <v>3.6469375449788961</v>
      </c>
    </row>
    <row r="48" spans="1:8" ht="6.75" customHeight="1">
      <c r="A48" s="723"/>
      <c r="C48" s="718"/>
      <c r="E48" s="719" t="str">
        <f t="shared" si="0"/>
        <v/>
      </c>
    </row>
    <row r="49" spans="1:6">
      <c r="A49" s="723" t="s">
        <v>1857</v>
      </c>
      <c r="C49" s="718">
        <v>20456</v>
      </c>
      <c r="E49" s="719">
        <f t="shared" si="0"/>
        <v>4.9734502946725536</v>
      </c>
    </row>
    <row r="50" spans="1:6" ht="6.95" customHeight="1">
      <c r="A50" s="196"/>
      <c r="C50" s="718"/>
      <c r="E50" s="719" t="str">
        <f t="shared" si="0"/>
        <v/>
      </c>
    </row>
    <row r="51" spans="1:6">
      <c r="A51" s="196" t="s">
        <v>2228</v>
      </c>
      <c r="C51" s="718">
        <v>65746</v>
      </c>
      <c r="E51" s="719">
        <f t="shared" si="0"/>
        <v>15.984770388812169</v>
      </c>
    </row>
    <row r="52" spans="1:6" ht="6.95" customHeight="1">
      <c r="A52" s="196"/>
      <c r="C52" s="718"/>
      <c r="E52" s="719" t="str">
        <f t="shared" si="0"/>
        <v/>
      </c>
    </row>
    <row r="53" spans="1:6" hidden="1">
      <c r="A53" s="196" t="s">
        <v>1858</v>
      </c>
      <c r="C53" s="718"/>
      <c r="E53" s="719">
        <f t="shared" si="0"/>
        <v>0</v>
      </c>
    </row>
    <row r="54" spans="1:6" ht="6.95" hidden="1" customHeight="1">
      <c r="A54" s="196"/>
      <c r="C54" s="718"/>
      <c r="E54" s="719" t="str">
        <f t="shared" si="0"/>
        <v/>
      </c>
    </row>
    <row r="55" spans="1:6" ht="28.5">
      <c r="A55" s="721" t="s">
        <v>2229</v>
      </c>
      <c r="C55" s="718">
        <v>9483</v>
      </c>
      <c r="E55" s="719">
        <f t="shared" si="0"/>
        <v>2.3055939159356584</v>
      </c>
    </row>
    <row r="56" spans="1:6" ht="6.95" customHeight="1">
      <c r="A56" s="196"/>
      <c r="C56" s="718"/>
      <c r="E56" s="719" t="str">
        <f t="shared" si="0"/>
        <v/>
      </c>
    </row>
    <row r="57" spans="1:6">
      <c r="A57" s="722" t="s">
        <v>2230</v>
      </c>
      <c r="C57" s="718">
        <v>226350</v>
      </c>
      <c r="E57" s="719">
        <f t="shared" si="0"/>
        <v>55.03228755373155</v>
      </c>
    </row>
    <row r="58" spans="1:6" ht="12" customHeight="1" thickBot="1">
      <c r="F58" s="706"/>
    </row>
    <row r="59" spans="1:6" ht="9.75" customHeight="1">
      <c r="A59" s="724"/>
      <c r="B59" s="724"/>
      <c r="C59" s="724"/>
      <c r="D59" s="724"/>
      <c r="E59" s="725"/>
    </row>
    <row r="60" spans="1:6" ht="12" customHeight="1">
      <c r="A60" s="707" t="s">
        <v>1859</v>
      </c>
      <c r="B60" s="707"/>
      <c r="C60" s="707"/>
      <c r="D60" s="707"/>
      <c r="E60" s="708"/>
    </row>
    <row r="61" spans="1:6" ht="10.5" customHeight="1">
      <c r="A61" s="707"/>
      <c r="B61" s="707"/>
      <c r="C61" s="707"/>
      <c r="D61" s="707"/>
      <c r="E61" s="708"/>
    </row>
    <row r="62" spans="1:6">
      <c r="A62" s="208" t="s">
        <v>1860</v>
      </c>
    </row>
    <row r="63" spans="1:6">
      <c r="A63" s="208" t="s">
        <v>365</v>
      </c>
    </row>
    <row r="68" spans="1:4">
      <c r="A68" s="1190"/>
      <c r="B68" s="1190"/>
      <c r="C68" s="1190"/>
      <c r="D68" s="1190"/>
    </row>
    <row r="69" spans="1:4">
      <c r="A69" s="1190"/>
      <c r="B69" s="1190"/>
      <c r="C69" s="1190"/>
      <c r="D69" s="1190"/>
    </row>
  </sheetData>
  <mergeCells count="2">
    <mergeCell ref="C8:E8"/>
    <mergeCell ref="C9:E9"/>
  </mergeCells>
  <printOptions horizontalCentered="1" verticalCentered="1"/>
  <pageMargins left="0" right="0" top="0" bottom="0" header="0.31496062992125984" footer="0.31496062992125984"/>
  <pageSetup paperSize="9" scale="80" orientation="portrait" r:id="rId1"/>
</worksheet>
</file>

<file path=xl/worksheets/sheet13.xml><?xml version="1.0" encoding="utf-8"?>
<worksheet xmlns="http://schemas.openxmlformats.org/spreadsheetml/2006/main" xmlns:r="http://schemas.openxmlformats.org/officeDocument/2006/relationships">
  <dimension ref="A1:S120"/>
  <sheetViews>
    <sheetView workbookViewId="0">
      <selection activeCell="A85" sqref="A85"/>
    </sheetView>
  </sheetViews>
  <sheetFormatPr baseColWidth="10" defaultColWidth="9.140625" defaultRowHeight="12.75"/>
  <cols>
    <col min="1" max="1" width="36" style="434" customWidth="1"/>
    <col min="2" max="2" width="8.42578125" style="810" customWidth="1"/>
    <col min="3" max="3" width="8.28515625" style="436" customWidth="1"/>
    <col min="4" max="4" width="2.5703125" style="434" customWidth="1"/>
    <col min="5" max="5" width="7.5703125" style="435" customWidth="1"/>
    <col min="6" max="6" width="7.7109375" style="436" customWidth="1"/>
    <col min="7" max="7" width="2.5703125" style="434" customWidth="1"/>
    <col min="8" max="8" width="8.28515625" style="435" customWidth="1"/>
    <col min="9" max="9" width="8.42578125" style="436" customWidth="1"/>
    <col min="10" max="10" width="2.5703125" style="436" customWidth="1"/>
    <col min="11" max="11" width="7.7109375" style="435" customWidth="1"/>
    <col min="12" max="12" width="7.5703125" style="436" customWidth="1"/>
    <col min="13" max="13" width="2.5703125" style="434" customWidth="1"/>
    <col min="14" max="14" width="7.85546875" style="435" customWidth="1"/>
    <col min="15" max="15" width="7.85546875" style="434" customWidth="1"/>
    <col min="16" max="16" width="2.7109375" style="434" customWidth="1"/>
    <col min="17" max="18" width="7.85546875" style="434" customWidth="1"/>
    <col min="19" max="19" width="1.85546875" style="434" customWidth="1"/>
    <col min="20" max="256" width="9.140625" style="434"/>
    <col min="257" max="257" width="36" style="434" customWidth="1"/>
    <col min="258" max="258" width="8.42578125" style="434" customWidth="1"/>
    <col min="259" max="259" width="8.28515625" style="434" customWidth="1"/>
    <col min="260" max="260" width="2.5703125" style="434" customWidth="1"/>
    <col min="261" max="261" width="7.5703125" style="434" customWidth="1"/>
    <col min="262" max="262" width="7.7109375" style="434" customWidth="1"/>
    <col min="263" max="263" width="2.5703125" style="434" customWidth="1"/>
    <col min="264" max="264" width="8.28515625" style="434" customWidth="1"/>
    <col min="265" max="265" width="8.42578125" style="434" customWidth="1"/>
    <col min="266" max="266" width="2.5703125" style="434" customWidth="1"/>
    <col min="267" max="267" width="7.7109375" style="434" customWidth="1"/>
    <col min="268" max="268" width="7.5703125" style="434" customWidth="1"/>
    <col min="269" max="269" width="2.5703125" style="434" customWidth="1"/>
    <col min="270" max="271" width="7.85546875" style="434" customWidth="1"/>
    <col min="272" max="272" width="2.7109375" style="434" customWidth="1"/>
    <col min="273" max="274" width="7.85546875" style="434" customWidth="1"/>
    <col min="275" max="275" width="1.85546875" style="434" customWidth="1"/>
    <col min="276" max="512" width="9.140625" style="434"/>
    <col min="513" max="513" width="36" style="434" customWidth="1"/>
    <col min="514" max="514" width="8.42578125" style="434" customWidth="1"/>
    <col min="515" max="515" width="8.28515625" style="434" customWidth="1"/>
    <col min="516" max="516" width="2.5703125" style="434" customWidth="1"/>
    <col min="517" max="517" width="7.5703125" style="434" customWidth="1"/>
    <col min="518" max="518" width="7.7109375" style="434" customWidth="1"/>
    <col min="519" max="519" width="2.5703125" style="434" customWidth="1"/>
    <col min="520" max="520" width="8.28515625" style="434" customWidth="1"/>
    <col min="521" max="521" width="8.42578125" style="434" customWidth="1"/>
    <col min="522" max="522" width="2.5703125" style="434" customWidth="1"/>
    <col min="523" max="523" width="7.7109375" style="434" customWidth="1"/>
    <col min="524" max="524" width="7.5703125" style="434" customWidth="1"/>
    <col min="525" max="525" width="2.5703125" style="434" customWidth="1"/>
    <col min="526" max="527" width="7.85546875" style="434" customWidth="1"/>
    <col min="528" max="528" width="2.7109375" style="434" customWidth="1"/>
    <col min="529" max="530" width="7.85546875" style="434" customWidth="1"/>
    <col min="531" max="531" width="1.85546875" style="434" customWidth="1"/>
    <col min="532" max="768" width="9.140625" style="434"/>
    <col min="769" max="769" width="36" style="434" customWidth="1"/>
    <col min="770" max="770" width="8.42578125" style="434" customWidth="1"/>
    <col min="771" max="771" width="8.28515625" style="434" customWidth="1"/>
    <col min="772" max="772" width="2.5703125" style="434" customWidth="1"/>
    <col min="773" max="773" width="7.5703125" style="434" customWidth="1"/>
    <col min="774" max="774" width="7.7109375" style="434" customWidth="1"/>
    <col min="775" max="775" width="2.5703125" style="434" customWidth="1"/>
    <col min="776" max="776" width="8.28515625" style="434" customWidth="1"/>
    <col min="777" max="777" width="8.42578125" style="434" customWidth="1"/>
    <col min="778" max="778" width="2.5703125" style="434" customWidth="1"/>
    <col min="779" max="779" width="7.7109375" style="434" customWidth="1"/>
    <col min="780" max="780" width="7.5703125" style="434" customWidth="1"/>
    <col min="781" max="781" width="2.5703125" style="434" customWidth="1"/>
    <col min="782" max="783" width="7.85546875" style="434" customWidth="1"/>
    <col min="784" max="784" width="2.7109375" style="434" customWidth="1"/>
    <col min="785" max="786" width="7.85546875" style="434" customWidth="1"/>
    <col min="787" max="787" width="1.85546875" style="434" customWidth="1"/>
    <col min="788" max="1024" width="9.140625" style="434"/>
    <col min="1025" max="1025" width="36" style="434" customWidth="1"/>
    <col min="1026" max="1026" width="8.42578125" style="434" customWidth="1"/>
    <col min="1027" max="1027" width="8.28515625" style="434" customWidth="1"/>
    <col min="1028" max="1028" width="2.5703125" style="434" customWidth="1"/>
    <col min="1029" max="1029" width="7.5703125" style="434" customWidth="1"/>
    <col min="1030" max="1030" width="7.7109375" style="434" customWidth="1"/>
    <col min="1031" max="1031" width="2.5703125" style="434" customWidth="1"/>
    <col min="1032" max="1032" width="8.28515625" style="434" customWidth="1"/>
    <col min="1033" max="1033" width="8.42578125" style="434" customWidth="1"/>
    <col min="1034" max="1034" width="2.5703125" style="434" customWidth="1"/>
    <col min="1035" max="1035" width="7.7109375" style="434" customWidth="1"/>
    <col min="1036" max="1036" width="7.5703125" style="434" customWidth="1"/>
    <col min="1037" max="1037" width="2.5703125" style="434" customWidth="1"/>
    <col min="1038" max="1039" width="7.85546875" style="434" customWidth="1"/>
    <col min="1040" max="1040" width="2.7109375" style="434" customWidth="1"/>
    <col min="1041" max="1042" width="7.85546875" style="434" customWidth="1"/>
    <col min="1043" max="1043" width="1.85546875" style="434" customWidth="1"/>
    <col min="1044" max="1280" width="9.140625" style="434"/>
    <col min="1281" max="1281" width="36" style="434" customWidth="1"/>
    <col min="1282" max="1282" width="8.42578125" style="434" customWidth="1"/>
    <col min="1283" max="1283" width="8.28515625" style="434" customWidth="1"/>
    <col min="1284" max="1284" width="2.5703125" style="434" customWidth="1"/>
    <col min="1285" max="1285" width="7.5703125" style="434" customWidth="1"/>
    <col min="1286" max="1286" width="7.7109375" style="434" customWidth="1"/>
    <col min="1287" max="1287" width="2.5703125" style="434" customWidth="1"/>
    <col min="1288" max="1288" width="8.28515625" style="434" customWidth="1"/>
    <col min="1289" max="1289" width="8.42578125" style="434" customWidth="1"/>
    <col min="1290" max="1290" width="2.5703125" style="434" customWidth="1"/>
    <col min="1291" max="1291" width="7.7109375" style="434" customWidth="1"/>
    <col min="1292" max="1292" width="7.5703125" style="434" customWidth="1"/>
    <col min="1293" max="1293" width="2.5703125" style="434" customWidth="1"/>
    <col min="1294" max="1295" width="7.85546875" style="434" customWidth="1"/>
    <col min="1296" max="1296" width="2.7109375" style="434" customWidth="1"/>
    <col min="1297" max="1298" width="7.85546875" style="434" customWidth="1"/>
    <col min="1299" max="1299" width="1.85546875" style="434" customWidth="1"/>
    <col min="1300" max="1536" width="9.140625" style="434"/>
    <col min="1537" max="1537" width="36" style="434" customWidth="1"/>
    <col min="1538" max="1538" width="8.42578125" style="434" customWidth="1"/>
    <col min="1539" max="1539" width="8.28515625" style="434" customWidth="1"/>
    <col min="1540" max="1540" width="2.5703125" style="434" customWidth="1"/>
    <col min="1541" max="1541" width="7.5703125" style="434" customWidth="1"/>
    <col min="1542" max="1542" width="7.7109375" style="434" customWidth="1"/>
    <col min="1543" max="1543" width="2.5703125" style="434" customWidth="1"/>
    <col min="1544" max="1544" width="8.28515625" style="434" customWidth="1"/>
    <col min="1545" max="1545" width="8.42578125" style="434" customWidth="1"/>
    <col min="1546" max="1546" width="2.5703125" style="434" customWidth="1"/>
    <col min="1547" max="1547" width="7.7109375" style="434" customWidth="1"/>
    <col min="1548" max="1548" width="7.5703125" style="434" customWidth="1"/>
    <col min="1549" max="1549" width="2.5703125" style="434" customWidth="1"/>
    <col min="1550" max="1551" width="7.85546875" style="434" customWidth="1"/>
    <col min="1552" max="1552" width="2.7109375" style="434" customWidth="1"/>
    <col min="1553" max="1554" width="7.85546875" style="434" customWidth="1"/>
    <col min="1555" max="1555" width="1.85546875" style="434" customWidth="1"/>
    <col min="1556" max="1792" width="9.140625" style="434"/>
    <col min="1793" max="1793" width="36" style="434" customWidth="1"/>
    <col min="1794" max="1794" width="8.42578125" style="434" customWidth="1"/>
    <col min="1795" max="1795" width="8.28515625" style="434" customWidth="1"/>
    <col min="1796" max="1796" width="2.5703125" style="434" customWidth="1"/>
    <col min="1797" max="1797" width="7.5703125" style="434" customWidth="1"/>
    <col min="1798" max="1798" width="7.7109375" style="434" customWidth="1"/>
    <col min="1799" max="1799" width="2.5703125" style="434" customWidth="1"/>
    <col min="1800" max="1800" width="8.28515625" style="434" customWidth="1"/>
    <col min="1801" max="1801" width="8.42578125" style="434" customWidth="1"/>
    <col min="1802" max="1802" width="2.5703125" style="434" customWidth="1"/>
    <col min="1803" max="1803" width="7.7109375" style="434" customWidth="1"/>
    <col min="1804" max="1804" width="7.5703125" style="434" customWidth="1"/>
    <col min="1805" max="1805" width="2.5703125" style="434" customWidth="1"/>
    <col min="1806" max="1807" width="7.85546875" style="434" customWidth="1"/>
    <col min="1808" max="1808" width="2.7109375" style="434" customWidth="1"/>
    <col min="1809" max="1810" width="7.85546875" style="434" customWidth="1"/>
    <col min="1811" max="1811" width="1.85546875" style="434" customWidth="1"/>
    <col min="1812" max="2048" width="9.140625" style="434"/>
    <col min="2049" max="2049" width="36" style="434" customWidth="1"/>
    <col min="2050" max="2050" width="8.42578125" style="434" customWidth="1"/>
    <col min="2051" max="2051" width="8.28515625" style="434" customWidth="1"/>
    <col min="2052" max="2052" width="2.5703125" style="434" customWidth="1"/>
    <col min="2053" max="2053" width="7.5703125" style="434" customWidth="1"/>
    <col min="2054" max="2054" width="7.7109375" style="434" customWidth="1"/>
    <col min="2055" max="2055" width="2.5703125" style="434" customWidth="1"/>
    <col min="2056" max="2056" width="8.28515625" style="434" customWidth="1"/>
    <col min="2057" max="2057" width="8.42578125" style="434" customWidth="1"/>
    <col min="2058" max="2058" width="2.5703125" style="434" customWidth="1"/>
    <col min="2059" max="2059" width="7.7109375" style="434" customWidth="1"/>
    <col min="2060" max="2060" width="7.5703125" style="434" customWidth="1"/>
    <col min="2061" max="2061" width="2.5703125" style="434" customWidth="1"/>
    <col min="2062" max="2063" width="7.85546875" style="434" customWidth="1"/>
    <col min="2064" max="2064" width="2.7109375" style="434" customWidth="1"/>
    <col min="2065" max="2066" width="7.85546875" style="434" customWidth="1"/>
    <col min="2067" max="2067" width="1.85546875" style="434" customWidth="1"/>
    <col min="2068" max="2304" width="9.140625" style="434"/>
    <col min="2305" max="2305" width="36" style="434" customWidth="1"/>
    <col min="2306" max="2306" width="8.42578125" style="434" customWidth="1"/>
    <col min="2307" max="2307" width="8.28515625" style="434" customWidth="1"/>
    <col min="2308" max="2308" width="2.5703125" style="434" customWidth="1"/>
    <col min="2309" max="2309" width="7.5703125" style="434" customWidth="1"/>
    <col min="2310" max="2310" width="7.7109375" style="434" customWidth="1"/>
    <col min="2311" max="2311" width="2.5703125" style="434" customWidth="1"/>
    <col min="2312" max="2312" width="8.28515625" style="434" customWidth="1"/>
    <col min="2313" max="2313" width="8.42578125" style="434" customWidth="1"/>
    <col min="2314" max="2314" width="2.5703125" style="434" customWidth="1"/>
    <col min="2315" max="2315" width="7.7109375" style="434" customWidth="1"/>
    <col min="2316" max="2316" width="7.5703125" style="434" customWidth="1"/>
    <col min="2317" max="2317" width="2.5703125" style="434" customWidth="1"/>
    <col min="2318" max="2319" width="7.85546875" style="434" customWidth="1"/>
    <col min="2320" max="2320" width="2.7109375" style="434" customWidth="1"/>
    <col min="2321" max="2322" width="7.85546875" style="434" customWidth="1"/>
    <col min="2323" max="2323" width="1.85546875" style="434" customWidth="1"/>
    <col min="2324" max="2560" width="9.140625" style="434"/>
    <col min="2561" max="2561" width="36" style="434" customWidth="1"/>
    <col min="2562" max="2562" width="8.42578125" style="434" customWidth="1"/>
    <col min="2563" max="2563" width="8.28515625" style="434" customWidth="1"/>
    <col min="2564" max="2564" width="2.5703125" style="434" customWidth="1"/>
    <col min="2565" max="2565" width="7.5703125" style="434" customWidth="1"/>
    <col min="2566" max="2566" width="7.7109375" style="434" customWidth="1"/>
    <col min="2567" max="2567" width="2.5703125" style="434" customWidth="1"/>
    <col min="2568" max="2568" width="8.28515625" style="434" customWidth="1"/>
    <col min="2569" max="2569" width="8.42578125" style="434" customWidth="1"/>
    <col min="2570" max="2570" width="2.5703125" style="434" customWidth="1"/>
    <col min="2571" max="2571" width="7.7109375" style="434" customWidth="1"/>
    <col min="2572" max="2572" width="7.5703125" style="434" customWidth="1"/>
    <col min="2573" max="2573" width="2.5703125" style="434" customWidth="1"/>
    <col min="2574" max="2575" width="7.85546875" style="434" customWidth="1"/>
    <col min="2576" max="2576" width="2.7109375" style="434" customWidth="1"/>
    <col min="2577" max="2578" width="7.85546875" style="434" customWidth="1"/>
    <col min="2579" max="2579" width="1.85546875" style="434" customWidth="1"/>
    <col min="2580" max="2816" width="9.140625" style="434"/>
    <col min="2817" max="2817" width="36" style="434" customWidth="1"/>
    <col min="2818" max="2818" width="8.42578125" style="434" customWidth="1"/>
    <col min="2819" max="2819" width="8.28515625" style="434" customWidth="1"/>
    <col min="2820" max="2820" width="2.5703125" style="434" customWidth="1"/>
    <col min="2821" max="2821" width="7.5703125" style="434" customWidth="1"/>
    <col min="2822" max="2822" width="7.7109375" style="434" customWidth="1"/>
    <col min="2823" max="2823" width="2.5703125" style="434" customWidth="1"/>
    <col min="2824" max="2824" width="8.28515625" style="434" customWidth="1"/>
    <col min="2825" max="2825" width="8.42578125" style="434" customWidth="1"/>
    <col min="2826" max="2826" width="2.5703125" style="434" customWidth="1"/>
    <col min="2827" max="2827" width="7.7109375" style="434" customWidth="1"/>
    <col min="2828" max="2828" width="7.5703125" style="434" customWidth="1"/>
    <col min="2829" max="2829" width="2.5703125" style="434" customWidth="1"/>
    <col min="2830" max="2831" width="7.85546875" style="434" customWidth="1"/>
    <col min="2832" max="2832" width="2.7109375" style="434" customWidth="1"/>
    <col min="2833" max="2834" width="7.85546875" style="434" customWidth="1"/>
    <col min="2835" max="2835" width="1.85546875" style="434" customWidth="1"/>
    <col min="2836" max="3072" width="9.140625" style="434"/>
    <col min="3073" max="3073" width="36" style="434" customWidth="1"/>
    <col min="3074" max="3074" width="8.42578125" style="434" customWidth="1"/>
    <col min="3075" max="3075" width="8.28515625" style="434" customWidth="1"/>
    <col min="3076" max="3076" width="2.5703125" style="434" customWidth="1"/>
    <col min="3077" max="3077" width="7.5703125" style="434" customWidth="1"/>
    <col min="3078" max="3078" width="7.7109375" style="434" customWidth="1"/>
    <col min="3079" max="3079" width="2.5703125" style="434" customWidth="1"/>
    <col min="3080" max="3080" width="8.28515625" style="434" customWidth="1"/>
    <col min="3081" max="3081" width="8.42578125" style="434" customWidth="1"/>
    <col min="3082" max="3082" width="2.5703125" style="434" customWidth="1"/>
    <col min="3083" max="3083" width="7.7109375" style="434" customWidth="1"/>
    <col min="3084" max="3084" width="7.5703125" style="434" customWidth="1"/>
    <col min="3085" max="3085" width="2.5703125" style="434" customWidth="1"/>
    <col min="3086" max="3087" width="7.85546875" style="434" customWidth="1"/>
    <col min="3088" max="3088" width="2.7109375" style="434" customWidth="1"/>
    <col min="3089" max="3090" width="7.85546875" style="434" customWidth="1"/>
    <col min="3091" max="3091" width="1.85546875" style="434" customWidth="1"/>
    <col min="3092" max="3328" width="9.140625" style="434"/>
    <col min="3329" max="3329" width="36" style="434" customWidth="1"/>
    <col min="3330" max="3330" width="8.42578125" style="434" customWidth="1"/>
    <col min="3331" max="3331" width="8.28515625" style="434" customWidth="1"/>
    <col min="3332" max="3332" width="2.5703125" style="434" customWidth="1"/>
    <col min="3333" max="3333" width="7.5703125" style="434" customWidth="1"/>
    <col min="3334" max="3334" width="7.7109375" style="434" customWidth="1"/>
    <col min="3335" max="3335" width="2.5703125" style="434" customWidth="1"/>
    <col min="3336" max="3336" width="8.28515625" style="434" customWidth="1"/>
    <col min="3337" max="3337" width="8.42578125" style="434" customWidth="1"/>
    <col min="3338" max="3338" width="2.5703125" style="434" customWidth="1"/>
    <col min="3339" max="3339" width="7.7109375" style="434" customWidth="1"/>
    <col min="3340" max="3340" width="7.5703125" style="434" customWidth="1"/>
    <col min="3341" max="3341" width="2.5703125" style="434" customWidth="1"/>
    <col min="3342" max="3343" width="7.85546875" style="434" customWidth="1"/>
    <col min="3344" max="3344" width="2.7109375" style="434" customWidth="1"/>
    <col min="3345" max="3346" width="7.85546875" style="434" customWidth="1"/>
    <col min="3347" max="3347" width="1.85546875" style="434" customWidth="1"/>
    <col min="3348" max="3584" width="9.140625" style="434"/>
    <col min="3585" max="3585" width="36" style="434" customWidth="1"/>
    <col min="3586" max="3586" width="8.42578125" style="434" customWidth="1"/>
    <col min="3587" max="3587" width="8.28515625" style="434" customWidth="1"/>
    <col min="3588" max="3588" width="2.5703125" style="434" customWidth="1"/>
    <col min="3589" max="3589" width="7.5703125" style="434" customWidth="1"/>
    <col min="3590" max="3590" width="7.7109375" style="434" customWidth="1"/>
    <col min="3591" max="3591" width="2.5703125" style="434" customWidth="1"/>
    <col min="3592" max="3592" width="8.28515625" style="434" customWidth="1"/>
    <col min="3593" max="3593" width="8.42578125" style="434" customWidth="1"/>
    <col min="3594" max="3594" width="2.5703125" style="434" customWidth="1"/>
    <col min="3595" max="3595" width="7.7109375" style="434" customWidth="1"/>
    <col min="3596" max="3596" width="7.5703125" style="434" customWidth="1"/>
    <col min="3597" max="3597" width="2.5703125" style="434" customWidth="1"/>
    <col min="3598" max="3599" width="7.85546875" style="434" customWidth="1"/>
    <col min="3600" max="3600" width="2.7109375" style="434" customWidth="1"/>
    <col min="3601" max="3602" width="7.85546875" style="434" customWidth="1"/>
    <col min="3603" max="3603" width="1.85546875" style="434" customWidth="1"/>
    <col min="3604" max="3840" width="9.140625" style="434"/>
    <col min="3841" max="3841" width="36" style="434" customWidth="1"/>
    <col min="3842" max="3842" width="8.42578125" style="434" customWidth="1"/>
    <col min="3843" max="3843" width="8.28515625" style="434" customWidth="1"/>
    <col min="3844" max="3844" width="2.5703125" style="434" customWidth="1"/>
    <col min="3845" max="3845" width="7.5703125" style="434" customWidth="1"/>
    <col min="3846" max="3846" width="7.7109375" style="434" customWidth="1"/>
    <col min="3847" max="3847" width="2.5703125" style="434" customWidth="1"/>
    <col min="3848" max="3848" width="8.28515625" style="434" customWidth="1"/>
    <col min="3849" max="3849" width="8.42578125" style="434" customWidth="1"/>
    <col min="3850" max="3850" width="2.5703125" style="434" customWidth="1"/>
    <col min="3851" max="3851" width="7.7109375" style="434" customWidth="1"/>
    <col min="3852" max="3852" width="7.5703125" style="434" customWidth="1"/>
    <col min="3853" max="3853" width="2.5703125" style="434" customWidth="1"/>
    <col min="3854" max="3855" width="7.85546875" style="434" customWidth="1"/>
    <col min="3856" max="3856" width="2.7109375" style="434" customWidth="1"/>
    <col min="3857" max="3858" width="7.85546875" style="434" customWidth="1"/>
    <col min="3859" max="3859" width="1.85546875" style="434" customWidth="1"/>
    <col min="3860" max="4096" width="9.140625" style="434"/>
    <col min="4097" max="4097" width="36" style="434" customWidth="1"/>
    <col min="4098" max="4098" width="8.42578125" style="434" customWidth="1"/>
    <col min="4099" max="4099" width="8.28515625" style="434" customWidth="1"/>
    <col min="4100" max="4100" width="2.5703125" style="434" customWidth="1"/>
    <col min="4101" max="4101" width="7.5703125" style="434" customWidth="1"/>
    <col min="4102" max="4102" width="7.7109375" style="434" customWidth="1"/>
    <col min="4103" max="4103" width="2.5703125" style="434" customWidth="1"/>
    <col min="4104" max="4104" width="8.28515625" style="434" customWidth="1"/>
    <col min="4105" max="4105" width="8.42578125" style="434" customWidth="1"/>
    <col min="4106" max="4106" width="2.5703125" style="434" customWidth="1"/>
    <col min="4107" max="4107" width="7.7109375" style="434" customWidth="1"/>
    <col min="4108" max="4108" width="7.5703125" style="434" customWidth="1"/>
    <col min="4109" max="4109" width="2.5703125" style="434" customWidth="1"/>
    <col min="4110" max="4111" width="7.85546875" style="434" customWidth="1"/>
    <col min="4112" max="4112" width="2.7109375" style="434" customWidth="1"/>
    <col min="4113" max="4114" width="7.85546875" style="434" customWidth="1"/>
    <col min="4115" max="4115" width="1.85546875" style="434" customWidth="1"/>
    <col min="4116" max="4352" width="9.140625" style="434"/>
    <col min="4353" max="4353" width="36" style="434" customWidth="1"/>
    <col min="4354" max="4354" width="8.42578125" style="434" customWidth="1"/>
    <col min="4355" max="4355" width="8.28515625" style="434" customWidth="1"/>
    <col min="4356" max="4356" width="2.5703125" style="434" customWidth="1"/>
    <col min="4357" max="4357" width="7.5703125" style="434" customWidth="1"/>
    <col min="4358" max="4358" width="7.7109375" style="434" customWidth="1"/>
    <col min="4359" max="4359" width="2.5703125" style="434" customWidth="1"/>
    <col min="4360" max="4360" width="8.28515625" style="434" customWidth="1"/>
    <col min="4361" max="4361" width="8.42578125" style="434" customWidth="1"/>
    <col min="4362" max="4362" width="2.5703125" style="434" customWidth="1"/>
    <col min="4363" max="4363" width="7.7109375" style="434" customWidth="1"/>
    <col min="4364" max="4364" width="7.5703125" style="434" customWidth="1"/>
    <col min="4365" max="4365" width="2.5703125" style="434" customWidth="1"/>
    <col min="4366" max="4367" width="7.85546875" style="434" customWidth="1"/>
    <col min="4368" max="4368" width="2.7109375" style="434" customWidth="1"/>
    <col min="4369" max="4370" width="7.85546875" style="434" customWidth="1"/>
    <col min="4371" max="4371" width="1.85546875" style="434" customWidth="1"/>
    <col min="4372" max="4608" width="9.140625" style="434"/>
    <col min="4609" max="4609" width="36" style="434" customWidth="1"/>
    <col min="4610" max="4610" width="8.42578125" style="434" customWidth="1"/>
    <col min="4611" max="4611" width="8.28515625" style="434" customWidth="1"/>
    <col min="4612" max="4612" width="2.5703125" style="434" customWidth="1"/>
    <col min="4613" max="4613" width="7.5703125" style="434" customWidth="1"/>
    <col min="4614" max="4614" width="7.7109375" style="434" customWidth="1"/>
    <col min="4615" max="4615" width="2.5703125" style="434" customWidth="1"/>
    <col min="4616" max="4616" width="8.28515625" style="434" customWidth="1"/>
    <col min="4617" max="4617" width="8.42578125" style="434" customWidth="1"/>
    <col min="4618" max="4618" width="2.5703125" style="434" customWidth="1"/>
    <col min="4619" max="4619" width="7.7109375" style="434" customWidth="1"/>
    <col min="4620" max="4620" width="7.5703125" style="434" customWidth="1"/>
    <col min="4621" max="4621" width="2.5703125" style="434" customWidth="1"/>
    <col min="4622" max="4623" width="7.85546875" style="434" customWidth="1"/>
    <col min="4624" max="4624" width="2.7109375" style="434" customWidth="1"/>
    <col min="4625" max="4626" width="7.85546875" style="434" customWidth="1"/>
    <col min="4627" max="4627" width="1.85546875" style="434" customWidth="1"/>
    <col min="4628" max="4864" width="9.140625" style="434"/>
    <col min="4865" max="4865" width="36" style="434" customWidth="1"/>
    <col min="4866" max="4866" width="8.42578125" style="434" customWidth="1"/>
    <col min="4867" max="4867" width="8.28515625" style="434" customWidth="1"/>
    <col min="4868" max="4868" width="2.5703125" style="434" customWidth="1"/>
    <col min="4869" max="4869" width="7.5703125" style="434" customWidth="1"/>
    <col min="4870" max="4870" width="7.7109375" style="434" customWidth="1"/>
    <col min="4871" max="4871" width="2.5703125" style="434" customWidth="1"/>
    <col min="4872" max="4872" width="8.28515625" style="434" customWidth="1"/>
    <col min="4873" max="4873" width="8.42578125" style="434" customWidth="1"/>
    <col min="4874" max="4874" width="2.5703125" style="434" customWidth="1"/>
    <col min="4875" max="4875" width="7.7109375" style="434" customWidth="1"/>
    <col min="4876" max="4876" width="7.5703125" style="434" customWidth="1"/>
    <col min="4877" max="4877" width="2.5703125" style="434" customWidth="1"/>
    <col min="4878" max="4879" width="7.85546875" style="434" customWidth="1"/>
    <col min="4880" max="4880" width="2.7109375" style="434" customWidth="1"/>
    <col min="4881" max="4882" width="7.85546875" style="434" customWidth="1"/>
    <col min="4883" max="4883" width="1.85546875" style="434" customWidth="1"/>
    <col min="4884" max="5120" width="9.140625" style="434"/>
    <col min="5121" max="5121" width="36" style="434" customWidth="1"/>
    <col min="5122" max="5122" width="8.42578125" style="434" customWidth="1"/>
    <col min="5123" max="5123" width="8.28515625" style="434" customWidth="1"/>
    <col min="5124" max="5124" width="2.5703125" style="434" customWidth="1"/>
    <col min="5125" max="5125" width="7.5703125" style="434" customWidth="1"/>
    <col min="5126" max="5126" width="7.7109375" style="434" customWidth="1"/>
    <col min="5127" max="5127" width="2.5703125" style="434" customWidth="1"/>
    <col min="5128" max="5128" width="8.28515625" style="434" customWidth="1"/>
    <col min="5129" max="5129" width="8.42578125" style="434" customWidth="1"/>
    <col min="5130" max="5130" width="2.5703125" style="434" customWidth="1"/>
    <col min="5131" max="5131" width="7.7109375" style="434" customWidth="1"/>
    <col min="5132" max="5132" width="7.5703125" style="434" customWidth="1"/>
    <col min="5133" max="5133" width="2.5703125" style="434" customWidth="1"/>
    <col min="5134" max="5135" width="7.85546875" style="434" customWidth="1"/>
    <col min="5136" max="5136" width="2.7109375" style="434" customWidth="1"/>
    <col min="5137" max="5138" width="7.85546875" style="434" customWidth="1"/>
    <col min="5139" max="5139" width="1.85546875" style="434" customWidth="1"/>
    <col min="5140" max="5376" width="9.140625" style="434"/>
    <col min="5377" max="5377" width="36" style="434" customWidth="1"/>
    <col min="5378" max="5378" width="8.42578125" style="434" customWidth="1"/>
    <col min="5379" max="5379" width="8.28515625" style="434" customWidth="1"/>
    <col min="5380" max="5380" width="2.5703125" style="434" customWidth="1"/>
    <col min="5381" max="5381" width="7.5703125" style="434" customWidth="1"/>
    <col min="5382" max="5382" width="7.7109375" style="434" customWidth="1"/>
    <col min="5383" max="5383" width="2.5703125" style="434" customWidth="1"/>
    <col min="5384" max="5384" width="8.28515625" style="434" customWidth="1"/>
    <col min="5385" max="5385" width="8.42578125" style="434" customWidth="1"/>
    <col min="5386" max="5386" width="2.5703125" style="434" customWidth="1"/>
    <col min="5387" max="5387" width="7.7109375" style="434" customWidth="1"/>
    <col min="5388" max="5388" width="7.5703125" style="434" customWidth="1"/>
    <col min="5389" max="5389" width="2.5703125" style="434" customWidth="1"/>
    <col min="5390" max="5391" width="7.85546875" style="434" customWidth="1"/>
    <col min="5392" max="5392" width="2.7109375" style="434" customWidth="1"/>
    <col min="5393" max="5394" width="7.85546875" style="434" customWidth="1"/>
    <col min="5395" max="5395" width="1.85546875" style="434" customWidth="1"/>
    <col min="5396" max="5632" width="9.140625" style="434"/>
    <col min="5633" max="5633" width="36" style="434" customWidth="1"/>
    <col min="5634" max="5634" width="8.42578125" style="434" customWidth="1"/>
    <col min="5635" max="5635" width="8.28515625" style="434" customWidth="1"/>
    <col min="5636" max="5636" width="2.5703125" style="434" customWidth="1"/>
    <col min="5637" max="5637" width="7.5703125" style="434" customWidth="1"/>
    <col min="5638" max="5638" width="7.7109375" style="434" customWidth="1"/>
    <col min="5639" max="5639" width="2.5703125" style="434" customWidth="1"/>
    <col min="5640" max="5640" width="8.28515625" style="434" customWidth="1"/>
    <col min="5641" max="5641" width="8.42578125" style="434" customWidth="1"/>
    <col min="5642" max="5642" width="2.5703125" style="434" customWidth="1"/>
    <col min="5643" max="5643" width="7.7109375" style="434" customWidth="1"/>
    <col min="5644" max="5644" width="7.5703125" style="434" customWidth="1"/>
    <col min="5645" max="5645" width="2.5703125" style="434" customWidth="1"/>
    <col min="5646" max="5647" width="7.85546875" style="434" customWidth="1"/>
    <col min="5648" max="5648" width="2.7109375" style="434" customWidth="1"/>
    <col min="5649" max="5650" width="7.85546875" style="434" customWidth="1"/>
    <col min="5651" max="5651" width="1.85546875" style="434" customWidth="1"/>
    <col min="5652" max="5888" width="9.140625" style="434"/>
    <col min="5889" max="5889" width="36" style="434" customWidth="1"/>
    <col min="5890" max="5890" width="8.42578125" style="434" customWidth="1"/>
    <col min="5891" max="5891" width="8.28515625" style="434" customWidth="1"/>
    <col min="5892" max="5892" width="2.5703125" style="434" customWidth="1"/>
    <col min="5893" max="5893" width="7.5703125" style="434" customWidth="1"/>
    <col min="5894" max="5894" width="7.7109375" style="434" customWidth="1"/>
    <col min="5895" max="5895" width="2.5703125" style="434" customWidth="1"/>
    <col min="5896" max="5896" width="8.28515625" style="434" customWidth="1"/>
    <col min="5897" max="5897" width="8.42578125" style="434" customWidth="1"/>
    <col min="5898" max="5898" width="2.5703125" style="434" customWidth="1"/>
    <col min="5899" max="5899" width="7.7109375" style="434" customWidth="1"/>
    <col min="5900" max="5900" width="7.5703125" style="434" customWidth="1"/>
    <col min="5901" max="5901" width="2.5703125" style="434" customWidth="1"/>
    <col min="5902" max="5903" width="7.85546875" style="434" customWidth="1"/>
    <col min="5904" max="5904" width="2.7109375" style="434" customWidth="1"/>
    <col min="5905" max="5906" width="7.85546875" style="434" customWidth="1"/>
    <col min="5907" max="5907" width="1.85546875" style="434" customWidth="1"/>
    <col min="5908" max="6144" width="9.140625" style="434"/>
    <col min="6145" max="6145" width="36" style="434" customWidth="1"/>
    <col min="6146" max="6146" width="8.42578125" style="434" customWidth="1"/>
    <col min="6147" max="6147" width="8.28515625" style="434" customWidth="1"/>
    <col min="6148" max="6148" width="2.5703125" style="434" customWidth="1"/>
    <col min="6149" max="6149" width="7.5703125" style="434" customWidth="1"/>
    <col min="6150" max="6150" width="7.7109375" style="434" customWidth="1"/>
    <col min="6151" max="6151" width="2.5703125" style="434" customWidth="1"/>
    <col min="6152" max="6152" width="8.28515625" style="434" customWidth="1"/>
    <col min="6153" max="6153" width="8.42578125" style="434" customWidth="1"/>
    <col min="6154" max="6154" width="2.5703125" style="434" customWidth="1"/>
    <col min="6155" max="6155" width="7.7109375" style="434" customWidth="1"/>
    <col min="6156" max="6156" width="7.5703125" style="434" customWidth="1"/>
    <col min="6157" max="6157" width="2.5703125" style="434" customWidth="1"/>
    <col min="6158" max="6159" width="7.85546875" style="434" customWidth="1"/>
    <col min="6160" max="6160" width="2.7109375" style="434" customWidth="1"/>
    <col min="6161" max="6162" width="7.85546875" style="434" customWidth="1"/>
    <col min="6163" max="6163" width="1.85546875" style="434" customWidth="1"/>
    <col min="6164" max="6400" width="9.140625" style="434"/>
    <col min="6401" max="6401" width="36" style="434" customWidth="1"/>
    <col min="6402" max="6402" width="8.42578125" style="434" customWidth="1"/>
    <col min="6403" max="6403" width="8.28515625" style="434" customWidth="1"/>
    <col min="6404" max="6404" width="2.5703125" style="434" customWidth="1"/>
    <col min="6405" max="6405" width="7.5703125" style="434" customWidth="1"/>
    <col min="6406" max="6406" width="7.7109375" style="434" customWidth="1"/>
    <col min="6407" max="6407" width="2.5703125" style="434" customWidth="1"/>
    <col min="6408" max="6408" width="8.28515625" style="434" customWidth="1"/>
    <col min="6409" max="6409" width="8.42578125" style="434" customWidth="1"/>
    <col min="6410" max="6410" width="2.5703125" style="434" customWidth="1"/>
    <col min="6411" max="6411" width="7.7109375" style="434" customWidth="1"/>
    <col min="6412" max="6412" width="7.5703125" style="434" customWidth="1"/>
    <col min="6413" max="6413" width="2.5703125" style="434" customWidth="1"/>
    <col min="6414" max="6415" width="7.85546875" style="434" customWidth="1"/>
    <col min="6416" max="6416" width="2.7109375" style="434" customWidth="1"/>
    <col min="6417" max="6418" width="7.85546875" style="434" customWidth="1"/>
    <col min="6419" max="6419" width="1.85546875" style="434" customWidth="1"/>
    <col min="6420" max="6656" width="9.140625" style="434"/>
    <col min="6657" max="6657" width="36" style="434" customWidth="1"/>
    <col min="6658" max="6658" width="8.42578125" style="434" customWidth="1"/>
    <col min="6659" max="6659" width="8.28515625" style="434" customWidth="1"/>
    <col min="6660" max="6660" width="2.5703125" style="434" customWidth="1"/>
    <col min="6661" max="6661" width="7.5703125" style="434" customWidth="1"/>
    <col min="6662" max="6662" width="7.7109375" style="434" customWidth="1"/>
    <col min="6663" max="6663" width="2.5703125" style="434" customWidth="1"/>
    <col min="6664" max="6664" width="8.28515625" style="434" customWidth="1"/>
    <col min="6665" max="6665" width="8.42578125" style="434" customWidth="1"/>
    <col min="6666" max="6666" width="2.5703125" style="434" customWidth="1"/>
    <col min="6667" max="6667" width="7.7109375" style="434" customWidth="1"/>
    <col min="6668" max="6668" width="7.5703125" style="434" customWidth="1"/>
    <col min="6669" max="6669" width="2.5703125" style="434" customWidth="1"/>
    <col min="6670" max="6671" width="7.85546875" style="434" customWidth="1"/>
    <col min="6672" max="6672" width="2.7109375" style="434" customWidth="1"/>
    <col min="6673" max="6674" width="7.85546875" style="434" customWidth="1"/>
    <col min="6675" max="6675" width="1.85546875" style="434" customWidth="1"/>
    <col min="6676" max="6912" width="9.140625" style="434"/>
    <col min="6913" max="6913" width="36" style="434" customWidth="1"/>
    <col min="6914" max="6914" width="8.42578125" style="434" customWidth="1"/>
    <col min="6915" max="6915" width="8.28515625" style="434" customWidth="1"/>
    <col min="6916" max="6916" width="2.5703125" style="434" customWidth="1"/>
    <col min="6917" max="6917" width="7.5703125" style="434" customWidth="1"/>
    <col min="6918" max="6918" width="7.7109375" style="434" customWidth="1"/>
    <col min="6919" max="6919" width="2.5703125" style="434" customWidth="1"/>
    <col min="6920" max="6920" width="8.28515625" style="434" customWidth="1"/>
    <col min="6921" max="6921" width="8.42578125" style="434" customWidth="1"/>
    <col min="6922" max="6922" width="2.5703125" style="434" customWidth="1"/>
    <col min="6923" max="6923" width="7.7109375" style="434" customWidth="1"/>
    <col min="6924" max="6924" width="7.5703125" style="434" customWidth="1"/>
    <col min="6925" max="6925" width="2.5703125" style="434" customWidth="1"/>
    <col min="6926" max="6927" width="7.85546875" style="434" customWidth="1"/>
    <col min="6928" max="6928" width="2.7109375" style="434" customWidth="1"/>
    <col min="6929" max="6930" width="7.85546875" style="434" customWidth="1"/>
    <col min="6931" max="6931" width="1.85546875" style="434" customWidth="1"/>
    <col min="6932" max="7168" width="9.140625" style="434"/>
    <col min="7169" max="7169" width="36" style="434" customWidth="1"/>
    <col min="7170" max="7170" width="8.42578125" style="434" customWidth="1"/>
    <col min="7171" max="7171" width="8.28515625" style="434" customWidth="1"/>
    <col min="7172" max="7172" width="2.5703125" style="434" customWidth="1"/>
    <col min="7173" max="7173" width="7.5703125" style="434" customWidth="1"/>
    <col min="7174" max="7174" width="7.7109375" style="434" customWidth="1"/>
    <col min="7175" max="7175" width="2.5703125" style="434" customWidth="1"/>
    <col min="7176" max="7176" width="8.28515625" style="434" customWidth="1"/>
    <col min="7177" max="7177" width="8.42578125" style="434" customWidth="1"/>
    <col min="7178" max="7178" width="2.5703125" style="434" customWidth="1"/>
    <col min="7179" max="7179" width="7.7109375" style="434" customWidth="1"/>
    <col min="7180" max="7180" width="7.5703125" style="434" customWidth="1"/>
    <col min="7181" max="7181" width="2.5703125" style="434" customWidth="1"/>
    <col min="7182" max="7183" width="7.85546875" style="434" customWidth="1"/>
    <col min="7184" max="7184" width="2.7109375" style="434" customWidth="1"/>
    <col min="7185" max="7186" width="7.85546875" style="434" customWidth="1"/>
    <col min="7187" max="7187" width="1.85546875" style="434" customWidth="1"/>
    <col min="7188" max="7424" width="9.140625" style="434"/>
    <col min="7425" max="7425" width="36" style="434" customWidth="1"/>
    <col min="7426" max="7426" width="8.42578125" style="434" customWidth="1"/>
    <col min="7427" max="7427" width="8.28515625" style="434" customWidth="1"/>
    <col min="7428" max="7428" width="2.5703125" style="434" customWidth="1"/>
    <col min="7429" max="7429" width="7.5703125" style="434" customWidth="1"/>
    <col min="7430" max="7430" width="7.7109375" style="434" customWidth="1"/>
    <col min="7431" max="7431" width="2.5703125" style="434" customWidth="1"/>
    <col min="7432" max="7432" width="8.28515625" style="434" customWidth="1"/>
    <col min="7433" max="7433" width="8.42578125" style="434" customWidth="1"/>
    <col min="7434" max="7434" width="2.5703125" style="434" customWidth="1"/>
    <col min="7435" max="7435" width="7.7109375" style="434" customWidth="1"/>
    <col min="7436" max="7436" width="7.5703125" style="434" customWidth="1"/>
    <col min="7437" max="7437" width="2.5703125" style="434" customWidth="1"/>
    <col min="7438" max="7439" width="7.85546875" style="434" customWidth="1"/>
    <col min="7440" max="7440" width="2.7109375" style="434" customWidth="1"/>
    <col min="7441" max="7442" width="7.85546875" style="434" customWidth="1"/>
    <col min="7443" max="7443" width="1.85546875" style="434" customWidth="1"/>
    <col min="7444" max="7680" width="9.140625" style="434"/>
    <col min="7681" max="7681" width="36" style="434" customWidth="1"/>
    <col min="7682" max="7682" width="8.42578125" style="434" customWidth="1"/>
    <col min="7683" max="7683" width="8.28515625" style="434" customWidth="1"/>
    <col min="7684" max="7684" width="2.5703125" style="434" customWidth="1"/>
    <col min="7685" max="7685" width="7.5703125" style="434" customWidth="1"/>
    <col min="7686" max="7686" width="7.7109375" style="434" customWidth="1"/>
    <col min="7687" max="7687" width="2.5703125" style="434" customWidth="1"/>
    <col min="7688" max="7688" width="8.28515625" style="434" customWidth="1"/>
    <col min="7689" max="7689" width="8.42578125" style="434" customWidth="1"/>
    <col min="7690" max="7690" width="2.5703125" style="434" customWidth="1"/>
    <col min="7691" max="7691" width="7.7109375" style="434" customWidth="1"/>
    <col min="7692" max="7692" width="7.5703125" style="434" customWidth="1"/>
    <col min="7693" max="7693" width="2.5703125" style="434" customWidth="1"/>
    <col min="7694" max="7695" width="7.85546875" style="434" customWidth="1"/>
    <col min="7696" max="7696" width="2.7109375" style="434" customWidth="1"/>
    <col min="7697" max="7698" width="7.85546875" style="434" customWidth="1"/>
    <col min="7699" max="7699" width="1.85546875" style="434" customWidth="1"/>
    <col min="7700" max="7936" width="9.140625" style="434"/>
    <col min="7937" max="7937" width="36" style="434" customWidth="1"/>
    <col min="7938" max="7938" width="8.42578125" style="434" customWidth="1"/>
    <col min="7939" max="7939" width="8.28515625" style="434" customWidth="1"/>
    <col min="7940" max="7940" width="2.5703125" style="434" customWidth="1"/>
    <col min="7941" max="7941" width="7.5703125" style="434" customWidth="1"/>
    <col min="7942" max="7942" width="7.7109375" style="434" customWidth="1"/>
    <col min="7943" max="7943" width="2.5703125" style="434" customWidth="1"/>
    <col min="7944" max="7944" width="8.28515625" style="434" customWidth="1"/>
    <col min="7945" max="7945" width="8.42578125" style="434" customWidth="1"/>
    <col min="7946" max="7946" width="2.5703125" style="434" customWidth="1"/>
    <col min="7947" max="7947" width="7.7109375" style="434" customWidth="1"/>
    <col min="7948" max="7948" width="7.5703125" style="434" customWidth="1"/>
    <col min="7949" max="7949" width="2.5703125" style="434" customWidth="1"/>
    <col min="7950" max="7951" width="7.85546875" style="434" customWidth="1"/>
    <col min="7952" max="7952" width="2.7109375" style="434" customWidth="1"/>
    <col min="7953" max="7954" width="7.85546875" style="434" customWidth="1"/>
    <col min="7955" max="7955" width="1.85546875" style="434" customWidth="1"/>
    <col min="7956" max="8192" width="9.140625" style="434"/>
    <col min="8193" max="8193" width="36" style="434" customWidth="1"/>
    <col min="8194" max="8194" width="8.42578125" style="434" customWidth="1"/>
    <col min="8195" max="8195" width="8.28515625" style="434" customWidth="1"/>
    <col min="8196" max="8196" width="2.5703125" style="434" customWidth="1"/>
    <col min="8197" max="8197" width="7.5703125" style="434" customWidth="1"/>
    <col min="8198" max="8198" width="7.7109375" style="434" customWidth="1"/>
    <col min="8199" max="8199" width="2.5703125" style="434" customWidth="1"/>
    <col min="8200" max="8200" width="8.28515625" style="434" customWidth="1"/>
    <col min="8201" max="8201" width="8.42578125" style="434" customWidth="1"/>
    <col min="8202" max="8202" width="2.5703125" style="434" customWidth="1"/>
    <col min="8203" max="8203" width="7.7109375" style="434" customWidth="1"/>
    <col min="8204" max="8204" width="7.5703125" style="434" customWidth="1"/>
    <col min="8205" max="8205" width="2.5703125" style="434" customWidth="1"/>
    <col min="8206" max="8207" width="7.85546875" style="434" customWidth="1"/>
    <col min="8208" max="8208" width="2.7109375" style="434" customWidth="1"/>
    <col min="8209" max="8210" width="7.85546875" style="434" customWidth="1"/>
    <col min="8211" max="8211" width="1.85546875" style="434" customWidth="1"/>
    <col min="8212" max="8448" width="9.140625" style="434"/>
    <col min="8449" max="8449" width="36" style="434" customWidth="1"/>
    <col min="8450" max="8450" width="8.42578125" style="434" customWidth="1"/>
    <col min="8451" max="8451" width="8.28515625" style="434" customWidth="1"/>
    <col min="8452" max="8452" width="2.5703125" style="434" customWidth="1"/>
    <col min="8453" max="8453" width="7.5703125" style="434" customWidth="1"/>
    <col min="8454" max="8454" width="7.7109375" style="434" customWidth="1"/>
    <col min="8455" max="8455" width="2.5703125" style="434" customWidth="1"/>
    <col min="8456" max="8456" width="8.28515625" style="434" customWidth="1"/>
    <col min="8457" max="8457" width="8.42578125" style="434" customWidth="1"/>
    <col min="8458" max="8458" width="2.5703125" style="434" customWidth="1"/>
    <col min="8459" max="8459" width="7.7109375" style="434" customWidth="1"/>
    <col min="8460" max="8460" width="7.5703125" style="434" customWidth="1"/>
    <col min="8461" max="8461" width="2.5703125" style="434" customWidth="1"/>
    <col min="8462" max="8463" width="7.85546875" style="434" customWidth="1"/>
    <col min="8464" max="8464" width="2.7109375" style="434" customWidth="1"/>
    <col min="8465" max="8466" width="7.85546875" style="434" customWidth="1"/>
    <col min="8467" max="8467" width="1.85546875" style="434" customWidth="1"/>
    <col min="8468" max="8704" width="9.140625" style="434"/>
    <col min="8705" max="8705" width="36" style="434" customWidth="1"/>
    <col min="8706" max="8706" width="8.42578125" style="434" customWidth="1"/>
    <col min="8707" max="8707" width="8.28515625" style="434" customWidth="1"/>
    <col min="8708" max="8708" width="2.5703125" style="434" customWidth="1"/>
    <col min="8709" max="8709" width="7.5703125" style="434" customWidth="1"/>
    <col min="8710" max="8710" width="7.7109375" style="434" customWidth="1"/>
    <col min="8711" max="8711" width="2.5703125" style="434" customWidth="1"/>
    <col min="8712" max="8712" width="8.28515625" style="434" customWidth="1"/>
    <col min="8713" max="8713" width="8.42578125" style="434" customWidth="1"/>
    <col min="8714" max="8714" width="2.5703125" style="434" customWidth="1"/>
    <col min="8715" max="8715" width="7.7109375" style="434" customWidth="1"/>
    <col min="8716" max="8716" width="7.5703125" style="434" customWidth="1"/>
    <col min="8717" max="8717" width="2.5703125" style="434" customWidth="1"/>
    <col min="8718" max="8719" width="7.85546875" style="434" customWidth="1"/>
    <col min="8720" max="8720" width="2.7109375" style="434" customWidth="1"/>
    <col min="8721" max="8722" width="7.85546875" style="434" customWidth="1"/>
    <col min="8723" max="8723" width="1.85546875" style="434" customWidth="1"/>
    <col min="8724" max="8960" width="9.140625" style="434"/>
    <col min="8961" max="8961" width="36" style="434" customWidth="1"/>
    <col min="8962" max="8962" width="8.42578125" style="434" customWidth="1"/>
    <col min="8963" max="8963" width="8.28515625" style="434" customWidth="1"/>
    <col min="8964" max="8964" width="2.5703125" style="434" customWidth="1"/>
    <col min="8965" max="8965" width="7.5703125" style="434" customWidth="1"/>
    <col min="8966" max="8966" width="7.7109375" style="434" customWidth="1"/>
    <col min="8967" max="8967" width="2.5703125" style="434" customWidth="1"/>
    <col min="8968" max="8968" width="8.28515625" style="434" customWidth="1"/>
    <col min="8969" max="8969" width="8.42578125" style="434" customWidth="1"/>
    <col min="8970" max="8970" width="2.5703125" style="434" customWidth="1"/>
    <col min="8971" max="8971" width="7.7109375" style="434" customWidth="1"/>
    <col min="8972" max="8972" width="7.5703125" style="434" customWidth="1"/>
    <col min="8973" max="8973" width="2.5703125" style="434" customWidth="1"/>
    <col min="8974" max="8975" width="7.85546875" style="434" customWidth="1"/>
    <col min="8976" max="8976" width="2.7109375" style="434" customWidth="1"/>
    <col min="8977" max="8978" width="7.85546875" style="434" customWidth="1"/>
    <col min="8979" max="8979" width="1.85546875" style="434" customWidth="1"/>
    <col min="8980" max="9216" width="9.140625" style="434"/>
    <col min="9217" max="9217" width="36" style="434" customWidth="1"/>
    <col min="9218" max="9218" width="8.42578125" style="434" customWidth="1"/>
    <col min="9219" max="9219" width="8.28515625" style="434" customWidth="1"/>
    <col min="9220" max="9220" width="2.5703125" style="434" customWidth="1"/>
    <col min="9221" max="9221" width="7.5703125" style="434" customWidth="1"/>
    <col min="9222" max="9222" width="7.7109375" style="434" customWidth="1"/>
    <col min="9223" max="9223" width="2.5703125" style="434" customWidth="1"/>
    <col min="9224" max="9224" width="8.28515625" style="434" customWidth="1"/>
    <col min="9225" max="9225" width="8.42578125" style="434" customWidth="1"/>
    <col min="9226" max="9226" width="2.5703125" style="434" customWidth="1"/>
    <col min="9227" max="9227" width="7.7109375" style="434" customWidth="1"/>
    <col min="9228" max="9228" width="7.5703125" style="434" customWidth="1"/>
    <col min="9229" max="9229" width="2.5703125" style="434" customWidth="1"/>
    <col min="9230" max="9231" width="7.85546875" style="434" customWidth="1"/>
    <col min="9232" max="9232" width="2.7109375" style="434" customWidth="1"/>
    <col min="9233" max="9234" width="7.85546875" style="434" customWidth="1"/>
    <col min="9235" max="9235" width="1.85546875" style="434" customWidth="1"/>
    <col min="9236" max="9472" width="9.140625" style="434"/>
    <col min="9473" max="9473" width="36" style="434" customWidth="1"/>
    <col min="9474" max="9474" width="8.42578125" style="434" customWidth="1"/>
    <col min="9475" max="9475" width="8.28515625" style="434" customWidth="1"/>
    <col min="9476" max="9476" width="2.5703125" style="434" customWidth="1"/>
    <col min="9477" max="9477" width="7.5703125" style="434" customWidth="1"/>
    <col min="9478" max="9478" width="7.7109375" style="434" customWidth="1"/>
    <col min="9479" max="9479" width="2.5703125" style="434" customWidth="1"/>
    <col min="9480" max="9480" width="8.28515625" style="434" customWidth="1"/>
    <col min="9481" max="9481" width="8.42578125" style="434" customWidth="1"/>
    <col min="9482" max="9482" width="2.5703125" style="434" customWidth="1"/>
    <col min="9483" max="9483" width="7.7109375" style="434" customWidth="1"/>
    <col min="9484" max="9484" width="7.5703125" style="434" customWidth="1"/>
    <col min="9485" max="9485" width="2.5703125" style="434" customWidth="1"/>
    <col min="9486" max="9487" width="7.85546875" style="434" customWidth="1"/>
    <col min="9488" max="9488" width="2.7109375" style="434" customWidth="1"/>
    <col min="9489" max="9490" width="7.85546875" style="434" customWidth="1"/>
    <col min="9491" max="9491" width="1.85546875" style="434" customWidth="1"/>
    <col min="9492" max="9728" width="9.140625" style="434"/>
    <col min="9729" max="9729" width="36" style="434" customWidth="1"/>
    <col min="9730" max="9730" width="8.42578125" style="434" customWidth="1"/>
    <col min="9731" max="9731" width="8.28515625" style="434" customWidth="1"/>
    <col min="9732" max="9732" width="2.5703125" style="434" customWidth="1"/>
    <col min="9733" max="9733" width="7.5703125" style="434" customWidth="1"/>
    <col min="9734" max="9734" width="7.7109375" style="434" customWidth="1"/>
    <col min="9735" max="9735" width="2.5703125" style="434" customWidth="1"/>
    <col min="9736" max="9736" width="8.28515625" style="434" customWidth="1"/>
    <col min="9737" max="9737" width="8.42578125" style="434" customWidth="1"/>
    <col min="9738" max="9738" width="2.5703125" style="434" customWidth="1"/>
    <col min="9739" max="9739" width="7.7109375" style="434" customWidth="1"/>
    <col min="9740" max="9740" width="7.5703125" style="434" customWidth="1"/>
    <col min="9741" max="9741" width="2.5703125" style="434" customWidth="1"/>
    <col min="9742" max="9743" width="7.85546875" style="434" customWidth="1"/>
    <col min="9744" max="9744" width="2.7109375" style="434" customWidth="1"/>
    <col min="9745" max="9746" width="7.85546875" style="434" customWidth="1"/>
    <col min="9747" max="9747" width="1.85546875" style="434" customWidth="1"/>
    <col min="9748" max="9984" width="9.140625" style="434"/>
    <col min="9985" max="9985" width="36" style="434" customWidth="1"/>
    <col min="9986" max="9986" width="8.42578125" style="434" customWidth="1"/>
    <col min="9987" max="9987" width="8.28515625" style="434" customWidth="1"/>
    <col min="9988" max="9988" width="2.5703125" style="434" customWidth="1"/>
    <col min="9989" max="9989" width="7.5703125" style="434" customWidth="1"/>
    <col min="9990" max="9990" width="7.7109375" style="434" customWidth="1"/>
    <col min="9991" max="9991" width="2.5703125" style="434" customWidth="1"/>
    <col min="9992" max="9992" width="8.28515625" style="434" customWidth="1"/>
    <col min="9993" max="9993" width="8.42578125" style="434" customWidth="1"/>
    <col min="9994" max="9994" width="2.5703125" style="434" customWidth="1"/>
    <col min="9995" max="9995" width="7.7109375" style="434" customWidth="1"/>
    <col min="9996" max="9996" width="7.5703125" style="434" customWidth="1"/>
    <col min="9997" max="9997" width="2.5703125" style="434" customWidth="1"/>
    <col min="9998" max="9999" width="7.85546875" style="434" customWidth="1"/>
    <col min="10000" max="10000" width="2.7109375" style="434" customWidth="1"/>
    <col min="10001" max="10002" width="7.85546875" style="434" customWidth="1"/>
    <col min="10003" max="10003" width="1.85546875" style="434" customWidth="1"/>
    <col min="10004" max="10240" width="9.140625" style="434"/>
    <col min="10241" max="10241" width="36" style="434" customWidth="1"/>
    <col min="10242" max="10242" width="8.42578125" style="434" customWidth="1"/>
    <col min="10243" max="10243" width="8.28515625" style="434" customWidth="1"/>
    <col min="10244" max="10244" width="2.5703125" style="434" customWidth="1"/>
    <col min="10245" max="10245" width="7.5703125" style="434" customWidth="1"/>
    <col min="10246" max="10246" width="7.7109375" style="434" customWidth="1"/>
    <col min="10247" max="10247" width="2.5703125" style="434" customWidth="1"/>
    <col min="10248" max="10248" width="8.28515625" style="434" customWidth="1"/>
    <col min="10249" max="10249" width="8.42578125" style="434" customWidth="1"/>
    <col min="10250" max="10250" width="2.5703125" style="434" customWidth="1"/>
    <col min="10251" max="10251" width="7.7109375" style="434" customWidth="1"/>
    <col min="10252" max="10252" width="7.5703125" style="434" customWidth="1"/>
    <col min="10253" max="10253" width="2.5703125" style="434" customWidth="1"/>
    <col min="10254" max="10255" width="7.85546875" style="434" customWidth="1"/>
    <col min="10256" max="10256" width="2.7109375" style="434" customWidth="1"/>
    <col min="10257" max="10258" width="7.85546875" style="434" customWidth="1"/>
    <col min="10259" max="10259" width="1.85546875" style="434" customWidth="1"/>
    <col min="10260" max="10496" width="9.140625" style="434"/>
    <col min="10497" max="10497" width="36" style="434" customWidth="1"/>
    <col min="10498" max="10498" width="8.42578125" style="434" customWidth="1"/>
    <col min="10499" max="10499" width="8.28515625" style="434" customWidth="1"/>
    <col min="10500" max="10500" width="2.5703125" style="434" customWidth="1"/>
    <col min="10501" max="10501" width="7.5703125" style="434" customWidth="1"/>
    <col min="10502" max="10502" width="7.7109375" style="434" customWidth="1"/>
    <col min="10503" max="10503" width="2.5703125" style="434" customWidth="1"/>
    <col min="10504" max="10504" width="8.28515625" style="434" customWidth="1"/>
    <col min="10505" max="10505" width="8.42578125" style="434" customWidth="1"/>
    <col min="10506" max="10506" width="2.5703125" style="434" customWidth="1"/>
    <col min="10507" max="10507" width="7.7109375" style="434" customWidth="1"/>
    <col min="10508" max="10508" width="7.5703125" style="434" customWidth="1"/>
    <col min="10509" max="10509" width="2.5703125" style="434" customWidth="1"/>
    <col min="10510" max="10511" width="7.85546875" style="434" customWidth="1"/>
    <col min="10512" max="10512" width="2.7109375" style="434" customWidth="1"/>
    <col min="10513" max="10514" width="7.85546875" style="434" customWidth="1"/>
    <col min="10515" max="10515" width="1.85546875" style="434" customWidth="1"/>
    <col min="10516" max="10752" width="9.140625" style="434"/>
    <col min="10753" max="10753" width="36" style="434" customWidth="1"/>
    <col min="10754" max="10754" width="8.42578125" style="434" customWidth="1"/>
    <col min="10755" max="10755" width="8.28515625" style="434" customWidth="1"/>
    <col min="10756" max="10756" width="2.5703125" style="434" customWidth="1"/>
    <col min="10757" max="10757" width="7.5703125" style="434" customWidth="1"/>
    <col min="10758" max="10758" width="7.7109375" style="434" customWidth="1"/>
    <col min="10759" max="10759" width="2.5703125" style="434" customWidth="1"/>
    <col min="10760" max="10760" width="8.28515625" style="434" customWidth="1"/>
    <col min="10761" max="10761" width="8.42578125" style="434" customWidth="1"/>
    <col min="10762" max="10762" width="2.5703125" style="434" customWidth="1"/>
    <col min="10763" max="10763" width="7.7109375" style="434" customWidth="1"/>
    <col min="10764" max="10764" width="7.5703125" style="434" customWidth="1"/>
    <col min="10765" max="10765" width="2.5703125" style="434" customWidth="1"/>
    <col min="10766" max="10767" width="7.85546875" style="434" customWidth="1"/>
    <col min="10768" max="10768" width="2.7109375" style="434" customWidth="1"/>
    <col min="10769" max="10770" width="7.85546875" style="434" customWidth="1"/>
    <col min="10771" max="10771" width="1.85546875" style="434" customWidth="1"/>
    <col min="10772" max="11008" width="9.140625" style="434"/>
    <col min="11009" max="11009" width="36" style="434" customWidth="1"/>
    <col min="11010" max="11010" width="8.42578125" style="434" customWidth="1"/>
    <col min="11011" max="11011" width="8.28515625" style="434" customWidth="1"/>
    <col min="11012" max="11012" width="2.5703125" style="434" customWidth="1"/>
    <col min="11013" max="11013" width="7.5703125" style="434" customWidth="1"/>
    <col min="11014" max="11014" width="7.7109375" style="434" customWidth="1"/>
    <col min="11015" max="11015" width="2.5703125" style="434" customWidth="1"/>
    <col min="11016" max="11016" width="8.28515625" style="434" customWidth="1"/>
    <col min="11017" max="11017" width="8.42578125" style="434" customWidth="1"/>
    <col min="11018" max="11018" width="2.5703125" style="434" customWidth="1"/>
    <col min="11019" max="11019" width="7.7109375" style="434" customWidth="1"/>
    <col min="11020" max="11020" width="7.5703125" style="434" customWidth="1"/>
    <col min="11021" max="11021" width="2.5703125" style="434" customWidth="1"/>
    <col min="11022" max="11023" width="7.85546875" style="434" customWidth="1"/>
    <col min="11024" max="11024" width="2.7109375" style="434" customWidth="1"/>
    <col min="11025" max="11026" width="7.85546875" style="434" customWidth="1"/>
    <col min="11027" max="11027" width="1.85546875" style="434" customWidth="1"/>
    <col min="11028" max="11264" width="9.140625" style="434"/>
    <col min="11265" max="11265" width="36" style="434" customWidth="1"/>
    <col min="11266" max="11266" width="8.42578125" style="434" customWidth="1"/>
    <col min="11267" max="11267" width="8.28515625" style="434" customWidth="1"/>
    <col min="11268" max="11268" width="2.5703125" style="434" customWidth="1"/>
    <col min="11269" max="11269" width="7.5703125" style="434" customWidth="1"/>
    <col min="11270" max="11270" width="7.7109375" style="434" customWidth="1"/>
    <col min="11271" max="11271" width="2.5703125" style="434" customWidth="1"/>
    <col min="11272" max="11272" width="8.28515625" style="434" customWidth="1"/>
    <col min="11273" max="11273" width="8.42578125" style="434" customWidth="1"/>
    <col min="11274" max="11274" width="2.5703125" style="434" customWidth="1"/>
    <col min="11275" max="11275" width="7.7109375" style="434" customWidth="1"/>
    <col min="11276" max="11276" width="7.5703125" style="434" customWidth="1"/>
    <col min="11277" max="11277" width="2.5703125" style="434" customWidth="1"/>
    <col min="11278" max="11279" width="7.85546875" style="434" customWidth="1"/>
    <col min="11280" max="11280" width="2.7109375" style="434" customWidth="1"/>
    <col min="11281" max="11282" width="7.85546875" style="434" customWidth="1"/>
    <col min="11283" max="11283" width="1.85546875" style="434" customWidth="1"/>
    <col min="11284" max="11520" width="9.140625" style="434"/>
    <col min="11521" max="11521" width="36" style="434" customWidth="1"/>
    <col min="11522" max="11522" width="8.42578125" style="434" customWidth="1"/>
    <col min="11523" max="11523" width="8.28515625" style="434" customWidth="1"/>
    <col min="11524" max="11524" width="2.5703125" style="434" customWidth="1"/>
    <col min="11525" max="11525" width="7.5703125" style="434" customWidth="1"/>
    <col min="11526" max="11526" width="7.7109375" style="434" customWidth="1"/>
    <col min="11527" max="11527" width="2.5703125" style="434" customWidth="1"/>
    <col min="11528" max="11528" width="8.28515625" style="434" customWidth="1"/>
    <col min="11529" max="11529" width="8.42578125" style="434" customWidth="1"/>
    <col min="11530" max="11530" width="2.5703125" style="434" customWidth="1"/>
    <col min="11531" max="11531" width="7.7109375" style="434" customWidth="1"/>
    <col min="11532" max="11532" width="7.5703125" style="434" customWidth="1"/>
    <col min="11533" max="11533" width="2.5703125" style="434" customWidth="1"/>
    <col min="11534" max="11535" width="7.85546875" style="434" customWidth="1"/>
    <col min="11536" max="11536" width="2.7109375" style="434" customWidth="1"/>
    <col min="11537" max="11538" width="7.85546875" style="434" customWidth="1"/>
    <col min="11539" max="11539" width="1.85546875" style="434" customWidth="1"/>
    <col min="11540" max="11776" width="9.140625" style="434"/>
    <col min="11777" max="11777" width="36" style="434" customWidth="1"/>
    <col min="11778" max="11778" width="8.42578125" style="434" customWidth="1"/>
    <col min="11779" max="11779" width="8.28515625" style="434" customWidth="1"/>
    <col min="11780" max="11780" width="2.5703125" style="434" customWidth="1"/>
    <col min="11781" max="11781" width="7.5703125" style="434" customWidth="1"/>
    <col min="11782" max="11782" width="7.7109375" style="434" customWidth="1"/>
    <col min="11783" max="11783" width="2.5703125" style="434" customWidth="1"/>
    <col min="11784" max="11784" width="8.28515625" style="434" customWidth="1"/>
    <col min="11785" max="11785" width="8.42578125" style="434" customWidth="1"/>
    <col min="11786" max="11786" width="2.5703125" style="434" customWidth="1"/>
    <col min="11787" max="11787" width="7.7109375" style="434" customWidth="1"/>
    <col min="11788" max="11788" width="7.5703125" style="434" customWidth="1"/>
    <col min="11789" max="11789" width="2.5703125" style="434" customWidth="1"/>
    <col min="11790" max="11791" width="7.85546875" style="434" customWidth="1"/>
    <col min="11792" max="11792" width="2.7109375" style="434" customWidth="1"/>
    <col min="11793" max="11794" width="7.85546875" style="434" customWidth="1"/>
    <col min="11795" max="11795" width="1.85546875" style="434" customWidth="1"/>
    <col min="11796" max="12032" width="9.140625" style="434"/>
    <col min="12033" max="12033" width="36" style="434" customWidth="1"/>
    <col min="12034" max="12034" width="8.42578125" style="434" customWidth="1"/>
    <col min="12035" max="12035" width="8.28515625" style="434" customWidth="1"/>
    <col min="12036" max="12036" width="2.5703125" style="434" customWidth="1"/>
    <col min="12037" max="12037" width="7.5703125" style="434" customWidth="1"/>
    <col min="12038" max="12038" width="7.7109375" style="434" customWidth="1"/>
    <col min="12039" max="12039" width="2.5703125" style="434" customWidth="1"/>
    <col min="12040" max="12040" width="8.28515625" style="434" customWidth="1"/>
    <col min="12041" max="12041" width="8.42578125" style="434" customWidth="1"/>
    <col min="12042" max="12042" width="2.5703125" style="434" customWidth="1"/>
    <col min="12043" max="12043" width="7.7109375" style="434" customWidth="1"/>
    <col min="12044" max="12044" width="7.5703125" style="434" customWidth="1"/>
    <col min="12045" max="12045" width="2.5703125" style="434" customWidth="1"/>
    <col min="12046" max="12047" width="7.85546875" style="434" customWidth="1"/>
    <col min="12048" max="12048" width="2.7109375" style="434" customWidth="1"/>
    <col min="12049" max="12050" width="7.85546875" style="434" customWidth="1"/>
    <col min="12051" max="12051" width="1.85546875" style="434" customWidth="1"/>
    <col min="12052" max="12288" width="9.140625" style="434"/>
    <col min="12289" max="12289" width="36" style="434" customWidth="1"/>
    <col min="12290" max="12290" width="8.42578125" style="434" customWidth="1"/>
    <col min="12291" max="12291" width="8.28515625" style="434" customWidth="1"/>
    <col min="12292" max="12292" width="2.5703125" style="434" customWidth="1"/>
    <col min="12293" max="12293" width="7.5703125" style="434" customWidth="1"/>
    <col min="12294" max="12294" width="7.7109375" style="434" customWidth="1"/>
    <col min="12295" max="12295" width="2.5703125" style="434" customWidth="1"/>
    <col min="12296" max="12296" width="8.28515625" style="434" customWidth="1"/>
    <col min="12297" max="12297" width="8.42578125" style="434" customWidth="1"/>
    <col min="12298" max="12298" width="2.5703125" style="434" customWidth="1"/>
    <col min="12299" max="12299" width="7.7109375" style="434" customWidth="1"/>
    <col min="12300" max="12300" width="7.5703125" style="434" customWidth="1"/>
    <col min="12301" max="12301" width="2.5703125" style="434" customWidth="1"/>
    <col min="12302" max="12303" width="7.85546875" style="434" customWidth="1"/>
    <col min="12304" max="12304" width="2.7109375" style="434" customWidth="1"/>
    <col min="12305" max="12306" width="7.85546875" style="434" customWidth="1"/>
    <col min="12307" max="12307" width="1.85546875" style="434" customWidth="1"/>
    <col min="12308" max="12544" width="9.140625" style="434"/>
    <col min="12545" max="12545" width="36" style="434" customWidth="1"/>
    <col min="12546" max="12546" width="8.42578125" style="434" customWidth="1"/>
    <col min="12547" max="12547" width="8.28515625" style="434" customWidth="1"/>
    <col min="12548" max="12548" width="2.5703125" style="434" customWidth="1"/>
    <col min="12549" max="12549" width="7.5703125" style="434" customWidth="1"/>
    <col min="12550" max="12550" width="7.7109375" style="434" customWidth="1"/>
    <col min="12551" max="12551" width="2.5703125" style="434" customWidth="1"/>
    <col min="12552" max="12552" width="8.28515625" style="434" customWidth="1"/>
    <col min="12553" max="12553" width="8.42578125" style="434" customWidth="1"/>
    <col min="12554" max="12554" width="2.5703125" style="434" customWidth="1"/>
    <col min="12555" max="12555" width="7.7109375" style="434" customWidth="1"/>
    <col min="12556" max="12556" width="7.5703125" style="434" customWidth="1"/>
    <col min="12557" max="12557" width="2.5703125" style="434" customWidth="1"/>
    <col min="12558" max="12559" width="7.85546875" style="434" customWidth="1"/>
    <col min="12560" max="12560" width="2.7109375" style="434" customWidth="1"/>
    <col min="12561" max="12562" width="7.85546875" style="434" customWidth="1"/>
    <col min="12563" max="12563" width="1.85546875" style="434" customWidth="1"/>
    <col min="12564" max="12800" width="9.140625" style="434"/>
    <col min="12801" max="12801" width="36" style="434" customWidth="1"/>
    <col min="12802" max="12802" width="8.42578125" style="434" customWidth="1"/>
    <col min="12803" max="12803" width="8.28515625" style="434" customWidth="1"/>
    <col min="12804" max="12804" width="2.5703125" style="434" customWidth="1"/>
    <col min="12805" max="12805" width="7.5703125" style="434" customWidth="1"/>
    <col min="12806" max="12806" width="7.7109375" style="434" customWidth="1"/>
    <col min="12807" max="12807" width="2.5703125" style="434" customWidth="1"/>
    <col min="12808" max="12808" width="8.28515625" style="434" customWidth="1"/>
    <col min="12809" max="12809" width="8.42578125" style="434" customWidth="1"/>
    <col min="12810" max="12810" width="2.5703125" style="434" customWidth="1"/>
    <col min="12811" max="12811" width="7.7109375" style="434" customWidth="1"/>
    <col min="12812" max="12812" width="7.5703125" style="434" customWidth="1"/>
    <col min="12813" max="12813" width="2.5703125" style="434" customWidth="1"/>
    <col min="12814" max="12815" width="7.85546875" style="434" customWidth="1"/>
    <col min="12816" max="12816" width="2.7109375" style="434" customWidth="1"/>
    <col min="12817" max="12818" width="7.85546875" style="434" customWidth="1"/>
    <col min="12819" max="12819" width="1.85546875" style="434" customWidth="1"/>
    <col min="12820" max="13056" width="9.140625" style="434"/>
    <col min="13057" max="13057" width="36" style="434" customWidth="1"/>
    <col min="13058" max="13058" width="8.42578125" style="434" customWidth="1"/>
    <col min="13059" max="13059" width="8.28515625" style="434" customWidth="1"/>
    <col min="13060" max="13060" width="2.5703125" style="434" customWidth="1"/>
    <col min="13061" max="13061" width="7.5703125" style="434" customWidth="1"/>
    <col min="13062" max="13062" width="7.7109375" style="434" customWidth="1"/>
    <col min="13063" max="13063" width="2.5703125" style="434" customWidth="1"/>
    <col min="13064" max="13064" width="8.28515625" style="434" customWidth="1"/>
    <col min="13065" max="13065" width="8.42578125" style="434" customWidth="1"/>
    <col min="13066" max="13066" width="2.5703125" style="434" customWidth="1"/>
    <col min="13067" max="13067" width="7.7109375" style="434" customWidth="1"/>
    <col min="13068" max="13068" width="7.5703125" style="434" customWidth="1"/>
    <col min="13069" max="13069" width="2.5703125" style="434" customWidth="1"/>
    <col min="13070" max="13071" width="7.85546875" style="434" customWidth="1"/>
    <col min="13072" max="13072" width="2.7109375" style="434" customWidth="1"/>
    <col min="13073" max="13074" width="7.85546875" style="434" customWidth="1"/>
    <col min="13075" max="13075" width="1.85546875" style="434" customWidth="1"/>
    <col min="13076" max="13312" width="9.140625" style="434"/>
    <col min="13313" max="13313" width="36" style="434" customWidth="1"/>
    <col min="13314" max="13314" width="8.42578125" style="434" customWidth="1"/>
    <col min="13315" max="13315" width="8.28515625" style="434" customWidth="1"/>
    <col min="13316" max="13316" width="2.5703125" style="434" customWidth="1"/>
    <col min="13317" max="13317" width="7.5703125" style="434" customWidth="1"/>
    <col min="13318" max="13318" width="7.7109375" style="434" customWidth="1"/>
    <col min="13319" max="13319" width="2.5703125" style="434" customWidth="1"/>
    <col min="13320" max="13320" width="8.28515625" style="434" customWidth="1"/>
    <col min="13321" max="13321" width="8.42578125" style="434" customWidth="1"/>
    <col min="13322" max="13322" width="2.5703125" style="434" customWidth="1"/>
    <col min="13323" max="13323" width="7.7109375" style="434" customWidth="1"/>
    <col min="13324" max="13324" width="7.5703125" style="434" customWidth="1"/>
    <col min="13325" max="13325" width="2.5703125" style="434" customWidth="1"/>
    <col min="13326" max="13327" width="7.85546875" style="434" customWidth="1"/>
    <col min="13328" max="13328" width="2.7109375" style="434" customWidth="1"/>
    <col min="13329" max="13330" width="7.85546875" style="434" customWidth="1"/>
    <col min="13331" max="13331" width="1.85546875" style="434" customWidth="1"/>
    <col min="13332" max="13568" width="9.140625" style="434"/>
    <col min="13569" max="13569" width="36" style="434" customWidth="1"/>
    <col min="13570" max="13570" width="8.42578125" style="434" customWidth="1"/>
    <col min="13571" max="13571" width="8.28515625" style="434" customWidth="1"/>
    <col min="13572" max="13572" width="2.5703125" style="434" customWidth="1"/>
    <col min="13573" max="13573" width="7.5703125" style="434" customWidth="1"/>
    <col min="13574" max="13574" width="7.7109375" style="434" customWidth="1"/>
    <col min="13575" max="13575" width="2.5703125" style="434" customWidth="1"/>
    <col min="13576" max="13576" width="8.28515625" style="434" customWidth="1"/>
    <col min="13577" max="13577" width="8.42578125" style="434" customWidth="1"/>
    <col min="13578" max="13578" width="2.5703125" style="434" customWidth="1"/>
    <col min="13579" max="13579" width="7.7109375" style="434" customWidth="1"/>
    <col min="13580" max="13580" width="7.5703125" style="434" customWidth="1"/>
    <col min="13581" max="13581" width="2.5703125" style="434" customWidth="1"/>
    <col min="13582" max="13583" width="7.85546875" style="434" customWidth="1"/>
    <col min="13584" max="13584" width="2.7109375" style="434" customWidth="1"/>
    <col min="13585" max="13586" width="7.85546875" style="434" customWidth="1"/>
    <col min="13587" max="13587" width="1.85546875" style="434" customWidth="1"/>
    <col min="13588" max="13824" width="9.140625" style="434"/>
    <col min="13825" max="13825" width="36" style="434" customWidth="1"/>
    <col min="13826" max="13826" width="8.42578125" style="434" customWidth="1"/>
    <col min="13827" max="13827" width="8.28515625" style="434" customWidth="1"/>
    <col min="13828" max="13828" width="2.5703125" style="434" customWidth="1"/>
    <col min="13829" max="13829" width="7.5703125" style="434" customWidth="1"/>
    <col min="13830" max="13830" width="7.7109375" style="434" customWidth="1"/>
    <col min="13831" max="13831" width="2.5703125" style="434" customWidth="1"/>
    <col min="13832" max="13832" width="8.28515625" style="434" customWidth="1"/>
    <col min="13833" max="13833" width="8.42578125" style="434" customWidth="1"/>
    <col min="13834" max="13834" width="2.5703125" style="434" customWidth="1"/>
    <col min="13835" max="13835" width="7.7109375" style="434" customWidth="1"/>
    <col min="13836" max="13836" width="7.5703125" style="434" customWidth="1"/>
    <col min="13837" max="13837" width="2.5703125" style="434" customWidth="1"/>
    <col min="13838" max="13839" width="7.85546875" style="434" customWidth="1"/>
    <col min="13840" max="13840" width="2.7109375" style="434" customWidth="1"/>
    <col min="13841" max="13842" width="7.85546875" style="434" customWidth="1"/>
    <col min="13843" max="13843" width="1.85546875" style="434" customWidth="1"/>
    <col min="13844" max="14080" width="9.140625" style="434"/>
    <col min="14081" max="14081" width="36" style="434" customWidth="1"/>
    <col min="14082" max="14082" width="8.42578125" style="434" customWidth="1"/>
    <col min="14083" max="14083" width="8.28515625" style="434" customWidth="1"/>
    <col min="14084" max="14084" width="2.5703125" style="434" customWidth="1"/>
    <col min="14085" max="14085" width="7.5703125" style="434" customWidth="1"/>
    <col min="14086" max="14086" width="7.7109375" style="434" customWidth="1"/>
    <col min="14087" max="14087" width="2.5703125" style="434" customWidth="1"/>
    <col min="14088" max="14088" width="8.28515625" style="434" customWidth="1"/>
    <col min="14089" max="14089" width="8.42578125" style="434" customWidth="1"/>
    <col min="14090" max="14090" width="2.5703125" style="434" customWidth="1"/>
    <col min="14091" max="14091" width="7.7109375" style="434" customWidth="1"/>
    <col min="14092" max="14092" width="7.5703125" style="434" customWidth="1"/>
    <col min="14093" max="14093" width="2.5703125" style="434" customWidth="1"/>
    <col min="14094" max="14095" width="7.85546875" style="434" customWidth="1"/>
    <col min="14096" max="14096" width="2.7109375" style="434" customWidth="1"/>
    <col min="14097" max="14098" width="7.85546875" style="434" customWidth="1"/>
    <col min="14099" max="14099" width="1.85546875" style="434" customWidth="1"/>
    <col min="14100" max="14336" width="9.140625" style="434"/>
    <col min="14337" max="14337" width="36" style="434" customWidth="1"/>
    <col min="14338" max="14338" width="8.42578125" style="434" customWidth="1"/>
    <col min="14339" max="14339" width="8.28515625" style="434" customWidth="1"/>
    <col min="14340" max="14340" width="2.5703125" style="434" customWidth="1"/>
    <col min="14341" max="14341" width="7.5703125" style="434" customWidth="1"/>
    <col min="14342" max="14342" width="7.7109375" style="434" customWidth="1"/>
    <col min="14343" max="14343" width="2.5703125" style="434" customWidth="1"/>
    <col min="14344" max="14344" width="8.28515625" style="434" customWidth="1"/>
    <col min="14345" max="14345" width="8.42578125" style="434" customWidth="1"/>
    <col min="14346" max="14346" width="2.5703125" style="434" customWidth="1"/>
    <col min="14347" max="14347" width="7.7109375" style="434" customWidth="1"/>
    <col min="14348" max="14348" width="7.5703125" style="434" customWidth="1"/>
    <col min="14349" max="14349" width="2.5703125" style="434" customWidth="1"/>
    <col min="14350" max="14351" width="7.85546875" style="434" customWidth="1"/>
    <col min="14352" max="14352" width="2.7109375" style="434" customWidth="1"/>
    <col min="14353" max="14354" width="7.85546875" style="434" customWidth="1"/>
    <col min="14355" max="14355" width="1.85546875" style="434" customWidth="1"/>
    <col min="14356" max="14592" width="9.140625" style="434"/>
    <col min="14593" max="14593" width="36" style="434" customWidth="1"/>
    <col min="14594" max="14594" width="8.42578125" style="434" customWidth="1"/>
    <col min="14595" max="14595" width="8.28515625" style="434" customWidth="1"/>
    <col min="14596" max="14596" width="2.5703125" style="434" customWidth="1"/>
    <col min="14597" max="14597" width="7.5703125" style="434" customWidth="1"/>
    <col min="14598" max="14598" width="7.7109375" style="434" customWidth="1"/>
    <col min="14599" max="14599" width="2.5703125" style="434" customWidth="1"/>
    <col min="14600" max="14600" width="8.28515625" style="434" customWidth="1"/>
    <col min="14601" max="14601" width="8.42578125" style="434" customWidth="1"/>
    <col min="14602" max="14602" width="2.5703125" style="434" customWidth="1"/>
    <col min="14603" max="14603" width="7.7109375" style="434" customWidth="1"/>
    <col min="14604" max="14604" width="7.5703125" style="434" customWidth="1"/>
    <col min="14605" max="14605" width="2.5703125" style="434" customWidth="1"/>
    <col min="14606" max="14607" width="7.85546875" style="434" customWidth="1"/>
    <col min="14608" max="14608" width="2.7109375" style="434" customWidth="1"/>
    <col min="14609" max="14610" width="7.85546875" style="434" customWidth="1"/>
    <col min="14611" max="14611" width="1.85546875" style="434" customWidth="1"/>
    <col min="14612" max="14848" width="9.140625" style="434"/>
    <col min="14849" max="14849" width="36" style="434" customWidth="1"/>
    <col min="14850" max="14850" width="8.42578125" style="434" customWidth="1"/>
    <col min="14851" max="14851" width="8.28515625" style="434" customWidth="1"/>
    <col min="14852" max="14852" width="2.5703125" style="434" customWidth="1"/>
    <col min="14853" max="14853" width="7.5703125" style="434" customWidth="1"/>
    <col min="14854" max="14854" width="7.7109375" style="434" customWidth="1"/>
    <col min="14855" max="14855" width="2.5703125" style="434" customWidth="1"/>
    <col min="14856" max="14856" width="8.28515625" style="434" customWidth="1"/>
    <col min="14857" max="14857" width="8.42578125" style="434" customWidth="1"/>
    <col min="14858" max="14858" width="2.5703125" style="434" customWidth="1"/>
    <col min="14859" max="14859" width="7.7109375" style="434" customWidth="1"/>
    <col min="14860" max="14860" width="7.5703125" style="434" customWidth="1"/>
    <col min="14861" max="14861" width="2.5703125" style="434" customWidth="1"/>
    <col min="14862" max="14863" width="7.85546875" style="434" customWidth="1"/>
    <col min="14864" max="14864" width="2.7109375" style="434" customWidth="1"/>
    <col min="14865" max="14866" width="7.85546875" style="434" customWidth="1"/>
    <col min="14867" max="14867" width="1.85546875" style="434" customWidth="1"/>
    <col min="14868" max="15104" width="9.140625" style="434"/>
    <col min="15105" max="15105" width="36" style="434" customWidth="1"/>
    <col min="15106" max="15106" width="8.42578125" style="434" customWidth="1"/>
    <col min="15107" max="15107" width="8.28515625" style="434" customWidth="1"/>
    <col min="15108" max="15108" width="2.5703125" style="434" customWidth="1"/>
    <col min="15109" max="15109" width="7.5703125" style="434" customWidth="1"/>
    <col min="15110" max="15110" width="7.7109375" style="434" customWidth="1"/>
    <col min="15111" max="15111" width="2.5703125" style="434" customWidth="1"/>
    <col min="15112" max="15112" width="8.28515625" style="434" customWidth="1"/>
    <col min="15113" max="15113" width="8.42578125" style="434" customWidth="1"/>
    <col min="15114" max="15114" width="2.5703125" style="434" customWidth="1"/>
    <col min="15115" max="15115" width="7.7109375" style="434" customWidth="1"/>
    <col min="15116" max="15116" width="7.5703125" style="434" customWidth="1"/>
    <col min="15117" max="15117" width="2.5703125" style="434" customWidth="1"/>
    <col min="15118" max="15119" width="7.85546875" style="434" customWidth="1"/>
    <col min="15120" max="15120" width="2.7109375" style="434" customWidth="1"/>
    <col min="15121" max="15122" width="7.85546875" style="434" customWidth="1"/>
    <col min="15123" max="15123" width="1.85546875" style="434" customWidth="1"/>
    <col min="15124" max="15360" width="9.140625" style="434"/>
    <col min="15361" max="15361" width="36" style="434" customWidth="1"/>
    <col min="15362" max="15362" width="8.42578125" style="434" customWidth="1"/>
    <col min="15363" max="15363" width="8.28515625" style="434" customWidth="1"/>
    <col min="15364" max="15364" width="2.5703125" style="434" customWidth="1"/>
    <col min="15365" max="15365" width="7.5703125" style="434" customWidth="1"/>
    <col min="15366" max="15366" width="7.7109375" style="434" customWidth="1"/>
    <col min="15367" max="15367" width="2.5703125" style="434" customWidth="1"/>
    <col min="15368" max="15368" width="8.28515625" style="434" customWidth="1"/>
    <col min="15369" max="15369" width="8.42578125" style="434" customWidth="1"/>
    <col min="15370" max="15370" width="2.5703125" style="434" customWidth="1"/>
    <col min="15371" max="15371" width="7.7109375" style="434" customWidth="1"/>
    <col min="15372" max="15372" width="7.5703125" style="434" customWidth="1"/>
    <col min="15373" max="15373" width="2.5703125" style="434" customWidth="1"/>
    <col min="15374" max="15375" width="7.85546875" style="434" customWidth="1"/>
    <col min="15376" max="15376" width="2.7109375" style="434" customWidth="1"/>
    <col min="15377" max="15378" width="7.85546875" style="434" customWidth="1"/>
    <col min="15379" max="15379" width="1.85546875" style="434" customWidth="1"/>
    <col min="15380" max="15616" width="9.140625" style="434"/>
    <col min="15617" max="15617" width="36" style="434" customWidth="1"/>
    <col min="15618" max="15618" width="8.42578125" style="434" customWidth="1"/>
    <col min="15619" max="15619" width="8.28515625" style="434" customWidth="1"/>
    <col min="15620" max="15620" width="2.5703125" style="434" customWidth="1"/>
    <col min="15621" max="15621" width="7.5703125" style="434" customWidth="1"/>
    <col min="15622" max="15622" width="7.7109375" style="434" customWidth="1"/>
    <col min="15623" max="15623" width="2.5703125" style="434" customWidth="1"/>
    <col min="15624" max="15624" width="8.28515625" style="434" customWidth="1"/>
    <col min="15625" max="15625" width="8.42578125" style="434" customWidth="1"/>
    <col min="15626" max="15626" width="2.5703125" style="434" customWidth="1"/>
    <col min="15627" max="15627" width="7.7109375" style="434" customWidth="1"/>
    <col min="15628" max="15628" width="7.5703125" style="434" customWidth="1"/>
    <col min="15629" max="15629" width="2.5703125" style="434" customWidth="1"/>
    <col min="15630" max="15631" width="7.85546875" style="434" customWidth="1"/>
    <col min="15632" max="15632" width="2.7109375" style="434" customWidth="1"/>
    <col min="15633" max="15634" width="7.85546875" style="434" customWidth="1"/>
    <col min="15635" max="15635" width="1.85546875" style="434" customWidth="1"/>
    <col min="15636" max="15872" width="9.140625" style="434"/>
    <col min="15873" max="15873" width="36" style="434" customWidth="1"/>
    <col min="15874" max="15874" width="8.42578125" style="434" customWidth="1"/>
    <col min="15875" max="15875" width="8.28515625" style="434" customWidth="1"/>
    <col min="15876" max="15876" width="2.5703125" style="434" customWidth="1"/>
    <col min="15877" max="15877" width="7.5703125" style="434" customWidth="1"/>
    <col min="15878" max="15878" width="7.7109375" style="434" customWidth="1"/>
    <col min="15879" max="15879" width="2.5703125" style="434" customWidth="1"/>
    <col min="15880" max="15880" width="8.28515625" style="434" customWidth="1"/>
    <col min="15881" max="15881" width="8.42578125" style="434" customWidth="1"/>
    <col min="15882" max="15882" width="2.5703125" style="434" customWidth="1"/>
    <col min="15883" max="15883" width="7.7109375" style="434" customWidth="1"/>
    <col min="15884" max="15884" width="7.5703125" style="434" customWidth="1"/>
    <col min="15885" max="15885" width="2.5703125" style="434" customWidth="1"/>
    <col min="15886" max="15887" width="7.85546875" style="434" customWidth="1"/>
    <col min="15888" max="15888" width="2.7109375" style="434" customWidth="1"/>
    <col min="15889" max="15890" width="7.85546875" style="434" customWidth="1"/>
    <col min="15891" max="15891" width="1.85546875" style="434" customWidth="1"/>
    <col min="15892" max="16128" width="9.140625" style="434"/>
    <col min="16129" max="16129" width="36" style="434" customWidth="1"/>
    <col min="16130" max="16130" width="8.42578125" style="434" customWidth="1"/>
    <col min="16131" max="16131" width="8.28515625" style="434" customWidth="1"/>
    <col min="16132" max="16132" width="2.5703125" style="434" customWidth="1"/>
    <col min="16133" max="16133" width="7.5703125" style="434" customWidth="1"/>
    <col min="16134" max="16134" width="7.7109375" style="434" customWidth="1"/>
    <col min="16135" max="16135" width="2.5703125" style="434" customWidth="1"/>
    <col min="16136" max="16136" width="8.28515625" style="434" customWidth="1"/>
    <col min="16137" max="16137" width="8.42578125" style="434" customWidth="1"/>
    <col min="16138" max="16138" width="2.5703125" style="434" customWidth="1"/>
    <col min="16139" max="16139" width="7.7109375" style="434" customWidth="1"/>
    <col min="16140" max="16140" width="7.5703125" style="434" customWidth="1"/>
    <col min="16141" max="16141" width="2.5703125" style="434" customWidth="1"/>
    <col min="16142" max="16143" width="7.85546875" style="434" customWidth="1"/>
    <col min="16144" max="16144" width="2.7109375" style="434" customWidth="1"/>
    <col min="16145" max="16146" width="7.85546875" style="434" customWidth="1"/>
    <col min="16147" max="16147" width="1.85546875" style="434" customWidth="1"/>
    <col min="16148" max="16384" width="9.140625" style="434"/>
  </cols>
  <sheetData>
    <row r="1" spans="1:19">
      <c r="A1" s="434" t="s">
        <v>366</v>
      </c>
    </row>
    <row r="2" spans="1:19">
      <c r="A2" s="434" t="s">
        <v>367</v>
      </c>
    </row>
    <row r="3" spans="1:19" ht="9.9499999999999993" customHeight="1"/>
    <row r="4" spans="1:19">
      <c r="A4" s="42" t="s">
        <v>405</v>
      </c>
      <c r="L4" s="810"/>
      <c r="O4" s="810"/>
    </row>
    <row r="5" spans="1:19" ht="9.9499999999999993" customHeight="1" thickBot="1">
      <c r="O5" s="436"/>
      <c r="Q5" s="435"/>
      <c r="R5" s="436"/>
    </row>
    <row r="6" spans="1:19" ht="9.9499999999999993" customHeight="1">
      <c r="A6" s="437" t="s">
        <v>386</v>
      </c>
      <c r="B6" s="811"/>
      <c r="C6" s="439"/>
      <c r="D6" s="437"/>
      <c r="E6" s="438"/>
      <c r="F6" s="439"/>
      <c r="G6" s="437"/>
      <c r="H6" s="438"/>
      <c r="I6" s="439"/>
      <c r="J6" s="439"/>
      <c r="K6" s="438"/>
      <c r="L6" s="439"/>
      <c r="M6" s="437"/>
      <c r="N6" s="438"/>
      <c r="O6" s="439"/>
      <c r="P6" s="439"/>
      <c r="Q6" s="438"/>
      <c r="R6" s="439"/>
      <c r="S6" s="439"/>
    </row>
    <row r="7" spans="1:19" ht="13.5" customHeight="1">
      <c r="A7" s="440" t="s">
        <v>387</v>
      </c>
      <c r="B7" s="448" t="s">
        <v>371</v>
      </c>
      <c r="C7" s="442"/>
      <c r="D7" s="440"/>
      <c r="E7" s="812" t="s">
        <v>388</v>
      </c>
      <c r="F7" s="442"/>
      <c r="G7" s="440"/>
      <c r="H7" s="441" t="s">
        <v>389</v>
      </c>
      <c r="I7" s="442"/>
      <c r="J7" s="442"/>
      <c r="K7" s="812" t="s">
        <v>390</v>
      </c>
      <c r="L7" s="442"/>
      <c r="M7" s="440"/>
      <c r="N7" s="1268" t="s">
        <v>406</v>
      </c>
      <c r="O7" s="1268"/>
      <c r="Q7" s="1268" t="s">
        <v>407</v>
      </c>
      <c r="R7" s="1268"/>
    </row>
    <row r="8" spans="1:19" ht="15" customHeight="1">
      <c r="A8" s="434" t="s">
        <v>392</v>
      </c>
      <c r="B8" s="813"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19" ht="9.9499999999999993" customHeight="1" thickBot="1">
      <c r="A9" s="445" t="s">
        <v>393</v>
      </c>
      <c r="B9" s="814"/>
      <c r="C9" s="447"/>
      <c r="D9" s="445"/>
      <c r="E9" s="446"/>
      <c r="F9" s="447"/>
      <c r="G9" s="445"/>
      <c r="H9" s="446"/>
      <c r="I9" s="447"/>
      <c r="J9" s="447"/>
      <c r="K9" s="446"/>
      <c r="L9" s="447"/>
      <c r="M9" s="445"/>
      <c r="N9" s="446"/>
      <c r="O9" s="447"/>
      <c r="P9" s="447"/>
      <c r="Q9" s="446"/>
      <c r="R9" s="447"/>
      <c r="S9" s="447"/>
    </row>
    <row r="10" spans="1:19" ht="9.9499999999999993" customHeight="1">
      <c r="Q10" s="435"/>
    </row>
    <row r="11" spans="1:19" ht="14.1" customHeight="1">
      <c r="A11" s="90" t="s">
        <v>394</v>
      </c>
      <c r="B11" s="810">
        <f>IF($A11&lt;&gt;"",E11+H11+K11+N11+Q11,"")</f>
        <v>1866</v>
      </c>
      <c r="C11" s="436">
        <f>SUM(C13+C107)</f>
        <v>100</v>
      </c>
      <c r="E11" s="435">
        <f>E13+E107</f>
        <v>583</v>
      </c>
      <c r="F11" s="436">
        <f>IF($A11&lt;&gt;0,E11/$B11*100,"")</f>
        <v>31.2433011789925</v>
      </c>
      <c r="H11" s="435">
        <f>H13+H107</f>
        <v>1056</v>
      </c>
      <c r="I11" s="436">
        <f t="shared" ref="I11:I76" si="0">IF($A11&lt;&gt;0,H11/$B11*100,"")</f>
        <v>56.59163987138264</v>
      </c>
      <c r="K11" s="435">
        <f>K13+K107</f>
        <v>213</v>
      </c>
      <c r="L11" s="436">
        <f t="shared" ref="L11:L76" si="1">IF($A11&lt;&gt;0,K11/$B11*100,"")</f>
        <v>11.414790996784566</v>
      </c>
      <c r="M11" s="440"/>
      <c r="N11" s="435">
        <f>N13+N107</f>
        <v>3</v>
      </c>
      <c r="O11" s="436">
        <f t="shared" ref="O11:O74" si="2">IF($A11&lt;&gt;0,N11/$B11*100,"")</f>
        <v>0.16077170418006431</v>
      </c>
      <c r="P11" s="442"/>
      <c r="Q11" s="435">
        <f>Q13+Q107</f>
        <v>11</v>
      </c>
      <c r="R11" s="436">
        <f t="shared" ref="R11:R74" si="3">IF($A11&lt;&gt;0,Q11/$B11*100,"")</f>
        <v>0.58949624866023587</v>
      </c>
    </row>
    <row r="12" spans="1:19" ht="9.9499999999999993" customHeight="1">
      <c r="C12" s="436" t="str">
        <f>IF(A12&lt;&gt;0,B12/$B$10*100,"")</f>
        <v/>
      </c>
      <c r="E12" s="434"/>
      <c r="F12" s="434"/>
      <c r="H12" s="434"/>
      <c r="I12" s="434"/>
      <c r="J12" s="434"/>
      <c r="K12" s="434"/>
      <c r="L12" s="434"/>
      <c r="N12" s="434"/>
    </row>
    <row r="13" spans="1:19" ht="14.1" customHeight="1">
      <c r="A13" s="63" t="s">
        <v>326</v>
      </c>
      <c r="B13" s="810">
        <f t="shared" ref="B13:B76" si="4">IF($A13&lt;&gt;"",E13+H13+K13+N13+Q13,"")</f>
        <v>1663</v>
      </c>
      <c r="C13" s="436">
        <f>IF(A13&lt;&gt;0,B13/$B$11*100,"")</f>
        <v>89.121114683815648</v>
      </c>
      <c r="E13" s="435">
        <f>E15+E98</f>
        <v>545</v>
      </c>
      <c r="F13" s="436">
        <f t="shared" ref="F13:F76" si="5">IF($A13&lt;&gt;0,E13/$B13*100,"")</f>
        <v>32.772098616957308</v>
      </c>
      <c r="H13" s="435">
        <f>H15+H98</f>
        <v>916</v>
      </c>
      <c r="I13" s="436">
        <f t="shared" si="0"/>
        <v>55.081178592904386</v>
      </c>
      <c r="K13" s="435">
        <f>K15+K98</f>
        <v>188</v>
      </c>
      <c r="L13" s="436">
        <f t="shared" si="1"/>
        <v>11.304870715574264</v>
      </c>
      <c r="M13" s="440"/>
      <c r="N13" s="435">
        <f>N15+N98</f>
        <v>3</v>
      </c>
      <c r="O13" s="436">
        <f t="shared" si="2"/>
        <v>0.18039687312086591</v>
      </c>
      <c r="P13" s="442"/>
      <c r="Q13" s="435">
        <f>Q15+Q98</f>
        <v>11</v>
      </c>
      <c r="R13" s="436">
        <f t="shared" si="3"/>
        <v>0.66145520144317504</v>
      </c>
    </row>
    <row r="14" spans="1:19" ht="9" customHeight="1">
      <c r="A14" s="63"/>
      <c r="B14" s="810" t="str">
        <f t="shared" si="4"/>
        <v/>
      </c>
      <c r="C14" s="436" t="str">
        <f t="shared" ref="C14:C77" si="6">IF(A14&lt;&gt;0,B14/$B$11*100,"")</f>
        <v/>
      </c>
      <c r="F14" s="436" t="str">
        <f t="shared" si="5"/>
        <v/>
      </c>
      <c r="I14" s="436" t="str">
        <f t="shared" si="0"/>
        <v/>
      </c>
      <c r="L14" s="436" t="str">
        <f t="shared" si="1"/>
        <v/>
      </c>
      <c r="M14" s="440"/>
      <c r="O14" s="436" t="str">
        <f t="shared" si="2"/>
        <v/>
      </c>
      <c r="P14" s="442"/>
      <c r="Q14" s="435"/>
      <c r="R14" s="436" t="str">
        <f t="shared" si="3"/>
        <v/>
      </c>
    </row>
    <row r="15" spans="1:19" ht="14.1" customHeight="1">
      <c r="A15" s="63" t="s">
        <v>12</v>
      </c>
      <c r="B15" s="810">
        <f t="shared" si="4"/>
        <v>1526</v>
      </c>
      <c r="C15" s="436">
        <f t="shared" si="6"/>
        <v>81.779206859592719</v>
      </c>
      <c r="E15" s="435">
        <f>E17+E28+E36+E62+E76+E83+E95+E96</f>
        <v>449</v>
      </c>
      <c r="F15" s="436">
        <f t="shared" si="5"/>
        <v>29.423328964613365</v>
      </c>
      <c r="H15" s="435">
        <f>H17+H28+H36+H62+H76+H83+H95+H96</f>
        <v>883</v>
      </c>
      <c r="I15" s="436">
        <f t="shared" si="0"/>
        <v>57.863695937090434</v>
      </c>
      <c r="K15" s="435">
        <f>K17+K28+K36+K62+K76+K83+K95+K96</f>
        <v>181</v>
      </c>
      <c r="L15" s="436">
        <f t="shared" si="1"/>
        <v>11.861074705111402</v>
      </c>
      <c r="M15" s="440"/>
      <c r="N15" s="435">
        <f>N17+N28+N36+N62+N76+N83+N95+N96</f>
        <v>3</v>
      </c>
      <c r="O15" s="436">
        <f t="shared" si="2"/>
        <v>0.19659239842726078</v>
      </c>
      <c r="P15" s="442"/>
      <c r="Q15" s="435">
        <f>Q17+Q28+Q36+Q62+Q76+Q83+Q95+Q96</f>
        <v>10</v>
      </c>
      <c r="R15" s="436">
        <f t="shared" si="3"/>
        <v>0.65530799475753598</v>
      </c>
    </row>
    <row r="16" spans="1:19" ht="9.9499999999999993" customHeight="1">
      <c r="B16" s="810" t="str">
        <f t="shared" si="4"/>
        <v/>
      </c>
      <c r="C16" s="436" t="str">
        <f t="shared" si="6"/>
        <v/>
      </c>
      <c r="F16" s="436" t="str">
        <f t="shared" si="5"/>
        <v/>
      </c>
      <c r="I16" s="436" t="str">
        <f t="shared" si="0"/>
        <v/>
      </c>
      <c r="L16" s="436" t="str">
        <f t="shared" si="1"/>
        <v/>
      </c>
      <c r="M16" s="440"/>
      <c r="O16" s="436" t="str">
        <f t="shared" si="2"/>
        <v/>
      </c>
      <c r="P16" s="442"/>
      <c r="Q16" s="435"/>
      <c r="R16" s="436" t="str">
        <f t="shared" si="3"/>
        <v/>
      </c>
    </row>
    <row r="17" spans="1:18" ht="13.15" customHeight="1">
      <c r="A17" s="63" t="s">
        <v>327</v>
      </c>
      <c r="B17" s="810">
        <f t="shared" si="4"/>
        <v>154</v>
      </c>
      <c r="C17" s="436">
        <f t="shared" si="6"/>
        <v>8.2529474812433019</v>
      </c>
      <c r="E17" s="435">
        <f>E18+E23</f>
        <v>39</v>
      </c>
      <c r="F17" s="436">
        <f t="shared" si="5"/>
        <v>25.324675324675322</v>
      </c>
      <c r="H17" s="435">
        <f>H18+H23</f>
        <v>103</v>
      </c>
      <c r="I17" s="436">
        <f t="shared" si="0"/>
        <v>66.883116883116884</v>
      </c>
      <c r="K17" s="435">
        <f>K18+K23</f>
        <v>11</v>
      </c>
      <c r="L17" s="436">
        <f t="shared" si="1"/>
        <v>7.1428571428571423</v>
      </c>
      <c r="M17" s="440"/>
      <c r="N17" s="435">
        <f>N18+N23</f>
        <v>1</v>
      </c>
      <c r="O17" s="436">
        <f t="shared" si="2"/>
        <v>0.64935064935064934</v>
      </c>
      <c r="P17" s="442"/>
      <c r="Q17" s="435">
        <f>Q18+Q23</f>
        <v>0</v>
      </c>
      <c r="R17" s="436">
        <f t="shared" si="3"/>
        <v>0</v>
      </c>
    </row>
    <row r="18" spans="1:18" ht="13.15" customHeight="1">
      <c r="A18" s="434" t="s">
        <v>20</v>
      </c>
      <c r="B18" s="810">
        <f t="shared" si="4"/>
        <v>62</v>
      </c>
      <c r="C18" s="436">
        <f t="shared" si="6"/>
        <v>3.322615219721329</v>
      </c>
      <c r="E18" s="435">
        <f>SUM(E19:E21)</f>
        <v>13</v>
      </c>
      <c r="F18" s="436">
        <f t="shared" si="5"/>
        <v>20.967741935483872</v>
      </c>
      <c r="H18" s="435">
        <f>SUM(H19:H21)</f>
        <v>43</v>
      </c>
      <c r="I18" s="436">
        <f t="shared" si="0"/>
        <v>69.354838709677423</v>
      </c>
      <c r="K18" s="435">
        <f>SUM(K19:K21)</f>
        <v>6</v>
      </c>
      <c r="L18" s="436">
        <f t="shared" si="1"/>
        <v>9.67741935483871</v>
      </c>
      <c r="M18" s="440"/>
      <c r="N18" s="435">
        <f>SUM(N19:N21)</f>
        <v>0</v>
      </c>
      <c r="O18" s="436">
        <f t="shared" si="2"/>
        <v>0</v>
      </c>
      <c r="P18" s="442"/>
      <c r="Q18" s="435">
        <f>SUM(Q19:Q21)</f>
        <v>0</v>
      </c>
      <c r="R18" s="436">
        <f t="shared" si="3"/>
        <v>0</v>
      </c>
    </row>
    <row r="19" spans="1:18" ht="13.15" customHeight="1">
      <c r="A19" s="434" t="s">
        <v>21</v>
      </c>
      <c r="B19" s="810">
        <f t="shared" si="4"/>
        <v>4</v>
      </c>
      <c r="C19" s="436">
        <f t="shared" si="6"/>
        <v>0.21436227224008575</v>
      </c>
      <c r="E19" s="434">
        <v>1</v>
      </c>
      <c r="F19" s="436">
        <f t="shared" si="5"/>
        <v>25</v>
      </c>
      <c r="H19" s="434">
        <v>3</v>
      </c>
      <c r="I19" s="436">
        <f t="shared" si="0"/>
        <v>75</v>
      </c>
      <c r="J19" s="434"/>
      <c r="K19" s="434">
        <v>0</v>
      </c>
      <c r="L19" s="436">
        <f t="shared" si="1"/>
        <v>0</v>
      </c>
      <c r="N19" s="434">
        <v>0</v>
      </c>
      <c r="O19" s="436">
        <f t="shared" si="2"/>
        <v>0</v>
      </c>
      <c r="Q19" s="455">
        <v>0</v>
      </c>
      <c r="R19" s="436">
        <f t="shared" si="3"/>
        <v>0</v>
      </c>
    </row>
    <row r="20" spans="1:18" ht="13.15" customHeight="1">
      <c r="A20" s="434" t="s">
        <v>22</v>
      </c>
      <c r="B20" s="810">
        <f t="shared" si="4"/>
        <v>38</v>
      </c>
      <c r="C20" s="436">
        <f t="shared" si="6"/>
        <v>2.0364415862808145</v>
      </c>
      <c r="E20" s="434">
        <v>8</v>
      </c>
      <c r="F20" s="436">
        <f t="shared" si="5"/>
        <v>21.052631578947366</v>
      </c>
      <c r="H20" s="434">
        <v>24</v>
      </c>
      <c r="I20" s="436">
        <f t="shared" si="0"/>
        <v>63.157894736842103</v>
      </c>
      <c r="J20" s="434"/>
      <c r="K20" s="434">
        <v>6</v>
      </c>
      <c r="L20" s="436">
        <f t="shared" si="1"/>
        <v>15.789473684210526</v>
      </c>
      <c r="N20" s="434">
        <v>0</v>
      </c>
      <c r="O20" s="436">
        <f t="shared" si="2"/>
        <v>0</v>
      </c>
      <c r="Q20" s="455">
        <v>0</v>
      </c>
      <c r="R20" s="436">
        <f t="shared" si="3"/>
        <v>0</v>
      </c>
    </row>
    <row r="21" spans="1:18" ht="12" customHeight="1">
      <c r="A21" s="434" t="s">
        <v>23</v>
      </c>
      <c r="B21" s="810">
        <f t="shared" si="4"/>
        <v>20</v>
      </c>
      <c r="C21" s="436">
        <f t="shared" si="6"/>
        <v>1.0718113612004287</v>
      </c>
      <c r="E21" s="434">
        <v>4</v>
      </c>
      <c r="F21" s="436">
        <f t="shared" si="5"/>
        <v>20</v>
      </c>
      <c r="H21" s="434">
        <v>16</v>
      </c>
      <c r="I21" s="436">
        <f t="shared" si="0"/>
        <v>80</v>
      </c>
      <c r="J21" s="434"/>
      <c r="K21" s="434">
        <v>0</v>
      </c>
      <c r="L21" s="436">
        <f t="shared" si="1"/>
        <v>0</v>
      </c>
      <c r="N21" s="434">
        <v>0</v>
      </c>
      <c r="O21" s="436">
        <f t="shared" si="2"/>
        <v>0</v>
      </c>
      <c r="Q21" s="455">
        <v>0</v>
      </c>
      <c r="R21" s="436">
        <f t="shared" si="3"/>
        <v>0</v>
      </c>
    </row>
    <row r="22" spans="1:18" ht="9.9499999999999993" customHeight="1">
      <c r="B22" s="810" t="str">
        <f t="shared" si="4"/>
        <v/>
      </c>
      <c r="C22" s="436" t="str">
        <f t="shared" si="6"/>
        <v/>
      </c>
      <c r="F22" s="436" t="str">
        <f t="shared" si="5"/>
        <v/>
      </c>
      <c r="I22" s="436" t="str">
        <f t="shared" si="0"/>
        <v/>
      </c>
      <c r="L22" s="436" t="str">
        <f t="shared" si="1"/>
        <v/>
      </c>
      <c r="M22" s="440"/>
      <c r="O22" s="436" t="str">
        <f t="shared" si="2"/>
        <v/>
      </c>
      <c r="P22" s="442"/>
      <c r="Q22" s="435"/>
      <c r="R22" s="436" t="str">
        <f t="shared" si="3"/>
        <v/>
      </c>
    </row>
    <row r="23" spans="1:18" ht="13.15" customHeight="1">
      <c r="A23" s="434" t="s">
        <v>24</v>
      </c>
      <c r="B23" s="810">
        <f t="shared" si="4"/>
        <v>92</v>
      </c>
      <c r="C23" s="436">
        <f t="shared" si="6"/>
        <v>4.930332261521972</v>
      </c>
      <c r="E23" s="435">
        <f>SUM(E24:E26)</f>
        <v>26</v>
      </c>
      <c r="F23" s="436">
        <f t="shared" si="5"/>
        <v>28.260869565217391</v>
      </c>
      <c r="H23" s="435">
        <f>SUM(H24:H26)</f>
        <v>60</v>
      </c>
      <c r="I23" s="436">
        <f t="shared" si="0"/>
        <v>65.217391304347828</v>
      </c>
      <c r="K23" s="435">
        <f>SUM(K24:K26)</f>
        <v>5</v>
      </c>
      <c r="L23" s="436">
        <f t="shared" si="1"/>
        <v>5.4347826086956523</v>
      </c>
      <c r="M23" s="440"/>
      <c r="N23" s="435">
        <f>SUM(N24:N26)</f>
        <v>1</v>
      </c>
      <c r="O23" s="436">
        <f t="shared" si="2"/>
        <v>1.0869565217391304</v>
      </c>
      <c r="P23" s="442"/>
      <c r="Q23" s="435">
        <f>SUM(Q24:Q26)</f>
        <v>0</v>
      </c>
      <c r="R23" s="436">
        <f t="shared" si="3"/>
        <v>0</v>
      </c>
    </row>
    <row r="24" spans="1:18" ht="13.15" customHeight="1">
      <c r="A24" s="434" t="s">
        <v>25</v>
      </c>
      <c r="B24" s="810">
        <f t="shared" si="4"/>
        <v>25</v>
      </c>
      <c r="C24" s="436">
        <f t="shared" si="6"/>
        <v>1.339764201500536</v>
      </c>
      <c r="E24" s="434">
        <v>8</v>
      </c>
      <c r="F24" s="436">
        <f t="shared" si="5"/>
        <v>32</v>
      </c>
      <c r="H24" s="434">
        <v>15</v>
      </c>
      <c r="I24" s="436">
        <f t="shared" si="0"/>
        <v>60</v>
      </c>
      <c r="J24" s="434"/>
      <c r="K24" s="434">
        <v>1</v>
      </c>
      <c r="L24" s="436">
        <f t="shared" si="1"/>
        <v>4</v>
      </c>
      <c r="N24" s="434">
        <v>1</v>
      </c>
      <c r="O24" s="436">
        <f t="shared" si="2"/>
        <v>4</v>
      </c>
      <c r="Q24" s="455">
        <v>0</v>
      </c>
      <c r="R24" s="436">
        <f t="shared" si="3"/>
        <v>0</v>
      </c>
    </row>
    <row r="25" spans="1:18" ht="13.15" customHeight="1">
      <c r="A25" s="434" t="s">
        <v>26</v>
      </c>
      <c r="B25" s="810">
        <f t="shared" si="4"/>
        <v>19</v>
      </c>
      <c r="C25" s="436">
        <f t="shared" si="6"/>
        <v>1.0182207931404073</v>
      </c>
      <c r="E25" s="434">
        <v>10</v>
      </c>
      <c r="F25" s="436">
        <f t="shared" si="5"/>
        <v>52.631578947368418</v>
      </c>
      <c r="H25" s="434">
        <v>6</v>
      </c>
      <c r="I25" s="436">
        <f t="shared" si="0"/>
        <v>31.578947368421051</v>
      </c>
      <c r="J25" s="434"/>
      <c r="K25" s="434">
        <v>3</v>
      </c>
      <c r="L25" s="436">
        <f t="shared" si="1"/>
        <v>15.789473684210526</v>
      </c>
      <c r="N25" s="434">
        <v>0</v>
      </c>
      <c r="O25" s="436">
        <f t="shared" si="2"/>
        <v>0</v>
      </c>
      <c r="Q25" s="455">
        <v>0</v>
      </c>
      <c r="R25" s="436">
        <f t="shared" si="3"/>
        <v>0</v>
      </c>
    </row>
    <row r="26" spans="1:18" ht="12" customHeight="1">
      <c r="A26" s="434" t="s">
        <v>27</v>
      </c>
      <c r="B26" s="810">
        <f t="shared" si="4"/>
        <v>48</v>
      </c>
      <c r="C26" s="436">
        <f t="shared" si="6"/>
        <v>2.572347266881029</v>
      </c>
      <c r="E26" s="434">
        <v>8</v>
      </c>
      <c r="F26" s="436">
        <f t="shared" si="5"/>
        <v>16.666666666666664</v>
      </c>
      <c r="H26" s="434">
        <v>39</v>
      </c>
      <c r="I26" s="436">
        <f t="shared" si="0"/>
        <v>81.25</v>
      </c>
      <c r="J26" s="434"/>
      <c r="K26" s="434">
        <v>1</v>
      </c>
      <c r="L26" s="436">
        <f t="shared" si="1"/>
        <v>2.083333333333333</v>
      </c>
      <c r="N26" s="434">
        <v>0</v>
      </c>
      <c r="O26" s="436">
        <f t="shared" si="2"/>
        <v>0</v>
      </c>
      <c r="Q26" s="455">
        <v>0</v>
      </c>
      <c r="R26" s="436">
        <f t="shared" si="3"/>
        <v>0</v>
      </c>
    </row>
    <row r="27" spans="1:18" ht="9.9499999999999993" customHeight="1">
      <c r="B27" s="810" t="str">
        <f t="shared" si="4"/>
        <v/>
      </c>
      <c r="C27" s="436" t="str">
        <f t="shared" si="6"/>
        <v/>
      </c>
      <c r="F27" s="436" t="str">
        <f t="shared" si="5"/>
        <v/>
      </c>
      <c r="I27" s="436" t="str">
        <f t="shared" si="0"/>
        <v/>
      </c>
      <c r="L27" s="436" t="str">
        <f t="shared" si="1"/>
        <v/>
      </c>
      <c r="M27" s="440"/>
      <c r="O27" s="436" t="str">
        <f t="shared" si="2"/>
        <v/>
      </c>
      <c r="P27" s="442"/>
      <c r="Q27" s="435"/>
      <c r="R27" s="436" t="str">
        <f t="shared" si="3"/>
        <v/>
      </c>
    </row>
    <row r="28" spans="1:18" ht="13.15" customHeight="1">
      <c r="A28" s="63" t="s">
        <v>375</v>
      </c>
      <c r="B28" s="810">
        <f t="shared" si="4"/>
        <v>135</v>
      </c>
      <c r="C28" s="436">
        <f t="shared" si="6"/>
        <v>7.234726688102894</v>
      </c>
      <c r="E28" s="435">
        <f>SUM(E30:E34)</f>
        <v>101</v>
      </c>
      <c r="F28" s="436">
        <f t="shared" si="5"/>
        <v>74.81481481481481</v>
      </c>
      <c r="H28" s="435">
        <f>SUM(H30:H34)</f>
        <v>29</v>
      </c>
      <c r="I28" s="436">
        <f t="shared" si="0"/>
        <v>21.481481481481481</v>
      </c>
      <c r="K28" s="435">
        <f>SUM(K30:K34)</f>
        <v>4</v>
      </c>
      <c r="L28" s="436">
        <f t="shared" si="1"/>
        <v>2.9629629629629632</v>
      </c>
      <c r="M28" s="440"/>
      <c r="N28" s="435">
        <f>SUM(N30:N34)</f>
        <v>0</v>
      </c>
      <c r="O28" s="436">
        <f t="shared" si="2"/>
        <v>0</v>
      </c>
      <c r="P28" s="442"/>
      <c r="Q28" s="435">
        <f>SUM(Q30:Q34)</f>
        <v>1</v>
      </c>
      <c r="R28" s="436">
        <f t="shared" si="3"/>
        <v>0.74074074074074081</v>
      </c>
    </row>
    <row r="29" spans="1:18" ht="13.15" customHeight="1">
      <c r="A29" s="434" t="s">
        <v>29</v>
      </c>
      <c r="B29" s="810">
        <f t="shared" si="4"/>
        <v>135</v>
      </c>
      <c r="C29" s="436">
        <f t="shared" si="6"/>
        <v>7.234726688102894</v>
      </c>
      <c r="E29" s="435">
        <f>SUM(E30:E34)</f>
        <v>101</v>
      </c>
      <c r="F29" s="436">
        <f t="shared" si="5"/>
        <v>74.81481481481481</v>
      </c>
      <c r="H29" s="435">
        <f>SUM(H30:H34)</f>
        <v>29</v>
      </c>
      <c r="I29" s="436">
        <f t="shared" si="0"/>
        <v>21.481481481481481</v>
      </c>
      <c r="K29" s="435">
        <f>SUM(K30:K34)</f>
        <v>4</v>
      </c>
      <c r="L29" s="436">
        <f t="shared" si="1"/>
        <v>2.9629629629629632</v>
      </c>
      <c r="M29" s="440"/>
      <c r="N29" s="435">
        <f>SUM(N30:N34)</f>
        <v>0</v>
      </c>
      <c r="O29" s="436">
        <f t="shared" si="2"/>
        <v>0</v>
      </c>
      <c r="P29" s="442"/>
      <c r="Q29" s="435">
        <f>SUM(Q30:Q34)</f>
        <v>1</v>
      </c>
      <c r="R29" s="436">
        <f t="shared" si="3"/>
        <v>0.74074074074074081</v>
      </c>
    </row>
    <row r="30" spans="1:18" ht="13.15" customHeight="1">
      <c r="A30" s="434" t="s">
        <v>30</v>
      </c>
      <c r="B30" s="810">
        <f>IF($A30&lt;&gt;"",E30+H30+K30+N30+Q30,"")</f>
        <v>35</v>
      </c>
      <c r="C30" s="436">
        <f t="shared" si="6"/>
        <v>1.8756698821007505</v>
      </c>
      <c r="E30" s="434">
        <v>26</v>
      </c>
      <c r="F30" s="436">
        <f t="shared" si="5"/>
        <v>74.285714285714292</v>
      </c>
      <c r="H30" s="434">
        <v>8</v>
      </c>
      <c r="I30" s="436">
        <f t="shared" si="0"/>
        <v>22.857142857142858</v>
      </c>
      <c r="J30" s="434"/>
      <c r="K30" s="434">
        <v>1</v>
      </c>
      <c r="L30" s="436">
        <f t="shared" si="1"/>
        <v>2.8571428571428572</v>
      </c>
      <c r="N30" s="434">
        <v>0</v>
      </c>
      <c r="O30" s="436">
        <f t="shared" si="2"/>
        <v>0</v>
      </c>
      <c r="Q30" s="455">
        <v>0</v>
      </c>
      <c r="R30" s="436"/>
    </row>
    <row r="31" spans="1:18" ht="13.15" customHeight="1">
      <c r="A31" s="434" t="s">
        <v>31</v>
      </c>
      <c r="B31" s="810">
        <f>IF($A31&lt;&gt;"",E31+H31+K31+N31+Q31,"")</f>
        <v>28</v>
      </c>
      <c r="C31" s="436">
        <f t="shared" si="6"/>
        <v>1.5005359056806002</v>
      </c>
      <c r="E31" s="434">
        <v>26</v>
      </c>
      <c r="F31" s="436">
        <f t="shared" si="5"/>
        <v>92.857142857142861</v>
      </c>
      <c r="H31" s="434">
        <v>2</v>
      </c>
      <c r="I31" s="436">
        <f t="shared" si="0"/>
        <v>7.1428571428571423</v>
      </c>
      <c r="J31" s="434"/>
      <c r="K31" s="434">
        <v>0</v>
      </c>
      <c r="L31" s="436">
        <f t="shared" si="1"/>
        <v>0</v>
      </c>
      <c r="N31" s="434">
        <v>0</v>
      </c>
      <c r="O31" s="436">
        <f t="shared" si="2"/>
        <v>0</v>
      </c>
      <c r="Q31" s="455">
        <v>0</v>
      </c>
      <c r="R31" s="436"/>
    </row>
    <row r="32" spans="1:18" ht="13.15" customHeight="1">
      <c r="A32" s="434" t="s">
        <v>32</v>
      </c>
      <c r="B32" s="810">
        <f>IF($A32&lt;&gt;"",E32+H32+K32+N32+Q32,"")</f>
        <v>14</v>
      </c>
      <c r="C32" s="436">
        <f t="shared" si="6"/>
        <v>0.75026795284030012</v>
      </c>
      <c r="E32" s="434">
        <v>6</v>
      </c>
      <c r="F32" s="436">
        <f t="shared" si="5"/>
        <v>42.857142857142854</v>
      </c>
      <c r="H32" s="434">
        <v>7</v>
      </c>
      <c r="I32" s="436">
        <f t="shared" si="0"/>
        <v>50</v>
      </c>
      <c r="J32" s="434"/>
      <c r="K32" s="434">
        <v>0</v>
      </c>
      <c r="L32" s="436">
        <f t="shared" si="1"/>
        <v>0</v>
      </c>
      <c r="N32" s="434">
        <v>0</v>
      </c>
      <c r="O32" s="436">
        <f t="shared" si="2"/>
        <v>0</v>
      </c>
      <c r="Q32" s="455">
        <v>1</v>
      </c>
      <c r="R32" s="436"/>
    </row>
    <row r="33" spans="1:18" ht="13.15" customHeight="1">
      <c r="A33" s="434" t="s">
        <v>33</v>
      </c>
      <c r="B33" s="810">
        <f>IF($A33&lt;&gt;"",E33+H33+K33+N33+Q33,"")</f>
        <v>26</v>
      </c>
      <c r="C33" s="436">
        <f t="shared" si="6"/>
        <v>1.3933547695605575</v>
      </c>
      <c r="E33" s="434">
        <v>21</v>
      </c>
      <c r="F33" s="436">
        <f t="shared" si="5"/>
        <v>80.769230769230774</v>
      </c>
      <c r="H33" s="434">
        <v>4</v>
      </c>
      <c r="I33" s="436">
        <f t="shared" si="0"/>
        <v>15.384615384615385</v>
      </c>
      <c r="J33" s="434"/>
      <c r="K33" s="434">
        <v>1</v>
      </c>
      <c r="L33" s="436">
        <f t="shared" si="1"/>
        <v>3.8461538461538463</v>
      </c>
      <c r="N33" s="434">
        <v>0</v>
      </c>
      <c r="O33" s="436">
        <f t="shared" si="2"/>
        <v>0</v>
      </c>
      <c r="Q33" s="455">
        <v>0</v>
      </c>
      <c r="R33" s="436"/>
    </row>
    <row r="34" spans="1:18" ht="12" customHeight="1">
      <c r="A34" s="434" t="s">
        <v>34</v>
      </c>
      <c r="B34" s="810">
        <f>IF($A34&lt;&gt;"",E34+H34+K34+N34+Q34,"")</f>
        <v>32</v>
      </c>
      <c r="C34" s="436">
        <f t="shared" si="6"/>
        <v>1.714898177920686</v>
      </c>
      <c r="E34" s="434">
        <v>22</v>
      </c>
      <c r="F34" s="436">
        <f t="shared" si="5"/>
        <v>68.75</v>
      </c>
      <c r="H34" s="434">
        <v>8</v>
      </c>
      <c r="I34" s="436">
        <f t="shared" si="0"/>
        <v>25</v>
      </c>
      <c r="J34" s="434"/>
      <c r="K34" s="434">
        <v>2</v>
      </c>
      <c r="L34" s="436">
        <f t="shared" si="1"/>
        <v>6.25</v>
      </c>
      <c r="N34" s="434">
        <v>0</v>
      </c>
      <c r="O34" s="436">
        <f t="shared" si="2"/>
        <v>0</v>
      </c>
      <c r="Q34" s="455">
        <v>0</v>
      </c>
      <c r="R34" s="436"/>
    </row>
    <row r="35" spans="1:18" ht="9.9499999999999993" customHeight="1">
      <c r="B35" s="810" t="str">
        <f t="shared" si="4"/>
        <v/>
      </c>
      <c r="C35" s="436" t="str">
        <f t="shared" si="6"/>
        <v/>
      </c>
      <c r="F35" s="436" t="str">
        <f t="shared" si="5"/>
        <v/>
      </c>
      <c r="I35" s="436" t="str">
        <f t="shared" si="0"/>
        <v/>
      </c>
      <c r="L35" s="436" t="str">
        <f t="shared" si="1"/>
        <v/>
      </c>
      <c r="M35" s="440"/>
      <c r="O35" s="436" t="str">
        <f t="shared" si="2"/>
        <v/>
      </c>
      <c r="P35" s="442"/>
      <c r="Q35" s="435"/>
      <c r="R35" s="436" t="str">
        <f t="shared" si="3"/>
        <v/>
      </c>
    </row>
    <row r="36" spans="1:18" ht="13.15" customHeight="1">
      <c r="A36" s="63" t="s">
        <v>329</v>
      </c>
      <c r="B36" s="810">
        <f t="shared" si="4"/>
        <v>412</v>
      </c>
      <c r="C36" s="436">
        <f t="shared" si="6"/>
        <v>22.079314040728832</v>
      </c>
      <c r="E36" s="435">
        <f>E37+E43+E53+E55</f>
        <v>163</v>
      </c>
      <c r="F36" s="436">
        <f t="shared" si="5"/>
        <v>39.563106796116507</v>
      </c>
      <c r="H36" s="435">
        <f>H37+H43+H53+H55</f>
        <v>195</v>
      </c>
      <c r="I36" s="436">
        <f t="shared" si="0"/>
        <v>47.33009708737864</v>
      </c>
      <c r="K36" s="435">
        <f>K37+K43+K53+K55</f>
        <v>52</v>
      </c>
      <c r="L36" s="436">
        <f t="shared" si="1"/>
        <v>12.621359223300971</v>
      </c>
      <c r="M36" s="440"/>
      <c r="N36" s="435">
        <f>N37+N43+N53+N55</f>
        <v>1</v>
      </c>
      <c r="O36" s="436">
        <f t="shared" si="2"/>
        <v>0.24271844660194172</v>
      </c>
      <c r="P36" s="442"/>
      <c r="Q36" s="435">
        <f>Q37+Q43+Q53+Q55</f>
        <v>1</v>
      </c>
      <c r="R36" s="436">
        <f t="shared" si="3"/>
        <v>0.24271844660194172</v>
      </c>
    </row>
    <row r="37" spans="1:18" ht="13.15" customHeight="1">
      <c r="A37" s="434" t="s">
        <v>36</v>
      </c>
      <c r="B37" s="810">
        <f t="shared" si="4"/>
        <v>113</v>
      </c>
      <c r="C37" s="436">
        <f t="shared" si="6"/>
        <v>6.0557341907824229</v>
      </c>
      <c r="E37" s="435">
        <f>SUM(E38:E41)</f>
        <v>27</v>
      </c>
      <c r="F37" s="436">
        <f t="shared" si="5"/>
        <v>23.893805309734514</v>
      </c>
      <c r="H37" s="435">
        <f>SUM(H38:H41)</f>
        <v>71</v>
      </c>
      <c r="I37" s="436">
        <f t="shared" si="0"/>
        <v>62.831858407079643</v>
      </c>
      <c r="K37" s="435">
        <f>SUM(K38:K41)</f>
        <v>15</v>
      </c>
      <c r="L37" s="436">
        <f t="shared" si="1"/>
        <v>13.274336283185843</v>
      </c>
      <c r="M37" s="440"/>
      <c r="N37" s="435">
        <f>SUM(N38:N41)</f>
        <v>0</v>
      </c>
      <c r="O37" s="436">
        <f t="shared" si="2"/>
        <v>0</v>
      </c>
      <c r="P37" s="442"/>
      <c r="Q37" s="435">
        <f>SUM(Q38:Q41)</f>
        <v>0</v>
      </c>
      <c r="R37" s="436">
        <f t="shared" si="3"/>
        <v>0</v>
      </c>
    </row>
    <row r="38" spans="1:18" ht="13.15" customHeight="1">
      <c r="A38" s="434" t="s">
        <v>37</v>
      </c>
      <c r="B38" s="810">
        <f t="shared" si="4"/>
        <v>49</v>
      </c>
      <c r="C38" s="436">
        <f t="shared" si="6"/>
        <v>2.6259378349410505</v>
      </c>
      <c r="E38" s="434">
        <v>2</v>
      </c>
      <c r="F38" s="436">
        <f t="shared" si="5"/>
        <v>4.0816326530612246</v>
      </c>
      <c r="H38" s="434">
        <v>40</v>
      </c>
      <c r="I38" s="436">
        <f t="shared" si="0"/>
        <v>81.632653061224488</v>
      </c>
      <c r="J38" s="434"/>
      <c r="K38" s="434">
        <v>7</v>
      </c>
      <c r="L38" s="436">
        <f t="shared" si="1"/>
        <v>14.285714285714285</v>
      </c>
      <c r="N38" s="434">
        <v>0</v>
      </c>
      <c r="O38" s="436">
        <f t="shared" si="2"/>
        <v>0</v>
      </c>
      <c r="Q38" s="455">
        <v>0</v>
      </c>
      <c r="R38" s="436">
        <f t="shared" si="3"/>
        <v>0</v>
      </c>
    </row>
    <row r="39" spans="1:18" ht="13.15" customHeight="1">
      <c r="A39" s="434" t="s">
        <v>38</v>
      </c>
      <c r="B39" s="810">
        <f t="shared" si="4"/>
        <v>28</v>
      </c>
      <c r="C39" s="436">
        <f t="shared" si="6"/>
        <v>1.5005359056806002</v>
      </c>
      <c r="E39" s="434">
        <v>8</v>
      </c>
      <c r="F39" s="436">
        <f t="shared" si="5"/>
        <v>28.571428571428569</v>
      </c>
      <c r="H39" s="434">
        <v>16</v>
      </c>
      <c r="I39" s="436">
        <f t="shared" si="0"/>
        <v>57.142857142857139</v>
      </c>
      <c r="J39" s="434"/>
      <c r="K39" s="434">
        <v>4</v>
      </c>
      <c r="L39" s="436">
        <f t="shared" si="1"/>
        <v>14.285714285714285</v>
      </c>
      <c r="N39" s="434">
        <v>0</v>
      </c>
      <c r="O39" s="436">
        <f t="shared" si="2"/>
        <v>0</v>
      </c>
      <c r="Q39" s="455">
        <v>0</v>
      </c>
      <c r="R39" s="436">
        <f t="shared" si="3"/>
        <v>0</v>
      </c>
    </row>
    <row r="40" spans="1:18" ht="13.15" customHeight="1">
      <c r="A40" s="434" t="s">
        <v>39</v>
      </c>
      <c r="B40" s="810">
        <f t="shared" si="4"/>
        <v>23</v>
      </c>
      <c r="C40" s="436">
        <f t="shared" si="6"/>
        <v>1.232583065380493</v>
      </c>
      <c r="E40" s="434">
        <v>14</v>
      </c>
      <c r="F40" s="436">
        <f t="shared" si="5"/>
        <v>60.869565217391312</v>
      </c>
      <c r="H40" s="434">
        <v>7</v>
      </c>
      <c r="I40" s="436">
        <f t="shared" si="0"/>
        <v>30.434782608695656</v>
      </c>
      <c r="J40" s="434"/>
      <c r="K40" s="434">
        <v>2</v>
      </c>
      <c r="L40" s="436">
        <f t="shared" si="1"/>
        <v>8.695652173913043</v>
      </c>
      <c r="N40" s="434">
        <v>0</v>
      </c>
      <c r="O40" s="436">
        <f t="shared" si="2"/>
        <v>0</v>
      </c>
      <c r="Q40" s="455">
        <v>0</v>
      </c>
      <c r="R40" s="436">
        <f t="shared" si="3"/>
        <v>0</v>
      </c>
    </row>
    <row r="41" spans="1:18" ht="12" customHeight="1">
      <c r="A41" s="434" t="s">
        <v>40</v>
      </c>
      <c r="B41" s="810">
        <f t="shared" si="4"/>
        <v>13</v>
      </c>
      <c r="C41" s="436">
        <f t="shared" si="6"/>
        <v>0.69667738478027874</v>
      </c>
      <c r="E41" s="434">
        <v>3</v>
      </c>
      <c r="F41" s="436">
        <f t="shared" si="5"/>
        <v>23.076923076923077</v>
      </c>
      <c r="H41" s="434">
        <v>8</v>
      </c>
      <c r="I41" s="436">
        <f t="shared" si="0"/>
        <v>61.53846153846154</v>
      </c>
      <c r="J41" s="434"/>
      <c r="K41" s="434">
        <v>2</v>
      </c>
      <c r="L41" s="436">
        <f t="shared" si="1"/>
        <v>15.384615384615385</v>
      </c>
      <c r="N41" s="434">
        <v>0</v>
      </c>
      <c r="O41" s="436">
        <f t="shared" si="2"/>
        <v>0</v>
      </c>
      <c r="Q41" s="455">
        <v>0</v>
      </c>
      <c r="R41" s="436">
        <f t="shared" si="3"/>
        <v>0</v>
      </c>
    </row>
    <row r="42" spans="1:18" ht="9.9499999999999993" customHeight="1">
      <c r="B42" s="810" t="str">
        <f t="shared" si="4"/>
        <v/>
      </c>
      <c r="C42" s="436" t="str">
        <f t="shared" si="6"/>
        <v/>
      </c>
      <c r="F42" s="436" t="str">
        <f t="shared" si="5"/>
        <v/>
      </c>
      <c r="I42" s="436" t="str">
        <f t="shared" si="0"/>
        <v/>
      </c>
      <c r="L42" s="436" t="str">
        <f t="shared" si="1"/>
        <v/>
      </c>
      <c r="M42" s="440"/>
      <c r="O42" s="436" t="str">
        <f t="shared" si="2"/>
        <v/>
      </c>
      <c r="P42" s="442"/>
      <c r="Q42" s="435"/>
      <c r="R42" s="436" t="str">
        <f t="shared" si="3"/>
        <v/>
      </c>
    </row>
    <row r="43" spans="1:18" ht="13.15" customHeight="1">
      <c r="A43" s="434" t="s">
        <v>41</v>
      </c>
      <c r="B43" s="810">
        <f t="shared" si="4"/>
        <v>162</v>
      </c>
      <c r="C43" s="436">
        <f t="shared" si="6"/>
        <v>8.6816720257234739</v>
      </c>
      <c r="E43" s="435">
        <f>SUM(E44:E51)</f>
        <v>81</v>
      </c>
      <c r="F43" s="436">
        <f t="shared" si="5"/>
        <v>50</v>
      </c>
      <c r="H43" s="435">
        <f>SUM(H44:H51)</f>
        <v>66</v>
      </c>
      <c r="I43" s="436">
        <f t="shared" si="0"/>
        <v>40.74074074074074</v>
      </c>
      <c r="K43" s="435">
        <f>SUM(K44:K51)</f>
        <v>14</v>
      </c>
      <c r="L43" s="436">
        <f t="shared" si="1"/>
        <v>8.6419753086419746</v>
      </c>
      <c r="M43" s="440"/>
      <c r="N43" s="435">
        <f>SUM(N44:N51)</f>
        <v>1</v>
      </c>
      <c r="O43" s="436">
        <f t="shared" si="2"/>
        <v>0.61728395061728392</v>
      </c>
      <c r="P43" s="442"/>
      <c r="Q43" s="435">
        <f>SUM(Q44:Q51)</f>
        <v>0</v>
      </c>
      <c r="R43" s="436">
        <f t="shared" si="3"/>
        <v>0</v>
      </c>
    </row>
    <row r="44" spans="1:18" ht="13.15" customHeight="1">
      <c r="A44" s="434" t="s">
        <v>43</v>
      </c>
      <c r="B44" s="810">
        <f t="shared" si="4"/>
        <v>31</v>
      </c>
      <c r="C44" s="436">
        <f t="shared" si="6"/>
        <v>1.6613076098606645</v>
      </c>
      <c r="E44" s="434">
        <v>6</v>
      </c>
      <c r="F44" s="436">
        <f t="shared" si="5"/>
        <v>19.35483870967742</v>
      </c>
      <c r="H44" s="434">
        <v>20</v>
      </c>
      <c r="I44" s="436">
        <f t="shared" si="0"/>
        <v>64.516129032258064</v>
      </c>
      <c r="J44" s="434"/>
      <c r="K44" s="434">
        <v>5</v>
      </c>
      <c r="L44" s="436">
        <f t="shared" si="1"/>
        <v>16.129032258064516</v>
      </c>
      <c r="N44" s="434">
        <v>0</v>
      </c>
      <c r="O44" s="436">
        <f t="shared" si="2"/>
        <v>0</v>
      </c>
      <c r="Q44" s="455">
        <v>0</v>
      </c>
      <c r="R44" s="436">
        <f t="shared" si="3"/>
        <v>0</v>
      </c>
    </row>
    <row r="45" spans="1:18" ht="13.15" customHeight="1">
      <c r="A45" s="434" t="s">
        <v>330</v>
      </c>
      <c r="B45" s="810">
        <f t="shared" si="4"/>
        <v>17</v>
      </c>
      <c r="C45" s="436">
        <f t="shared" si="6"/>
        <v>0.91103965702036449</v>
      </c>
      <c r="E45" s="434">
        <v>10</v>
      </c>
      <c r="F45" s="436">
        <f t="shared" si="5"/>
        <v>58.82352941176471</v>
      </c>
      <c r="H45" s="434">
        <v>7</v>
      </c>
      <c r="I45" s="436">
        <f t="shared" si="0"/>
        <v>41.17647058823529</v>
      </c>
      <c r="J45" s="434"/>
      <c r="K45" s="434">
        <v>0</v>
      </c>
      <c r="L45" s="436">
        <f t="shared" si="1"/>
        <v>0</v>
      </c>
      <c r="N45" s="434">
        <v>0</v>
      </c>
      <c r="O45" s="436">
        <f t="shared" si="2"/>
        <v>0</v>
      </c>
      <c r="Q45" s="455">
        <v>0</v>
      </c>
      <c r="R45" s="436">
        <f t="shared" si="3"/>
        <v>0</v>
      </c>
    </row>
    <row r="46" spans="1:18" ht="13.15" customHeight="1">
      <c r="A46" s="434" t="s">
        <v>42</v>
      </c>
      <c r="B46" s="810">
        <f t="shared" si="4"/>
        <v>17</v>
      </c>
      <c r="C46" s="436">
        <f t="shared" si="6"/>
        <v>0.91103965702036449</v>
      </c>
      <c r="E46" s="434">
        <v>14</v>
      </c>
      <c r="F46" s="436">
        <f t="shared" si="5"/>
        <v>82.35294117647058</v>
      </c>
      <c r="H46" s="434">
        <v>2</v>
      </c>
      <c r="I46" s="436">
        <f t="shared" si="0"/>
        <v>11.76470588235294</v>
      </c>
      <c r="J46" s="434"/>
      <c r="K46" s="434">
        <v>0</v>
      </c>
      <c r="L46" s="436">
        <f t="shared" si="1"/>
        <v>0</v>
      </c>
      <c r="N46" s="434">
        <v>1</v>
      </c>
      <c r="O46" s="436">
        <f t="shared" si="2"/>
        <v>5.8823529411764701</v>
      </c>
      <c r="Q46" s="455">
        <v>0</v>
      </c>
      <c r="R46" s="436">
        <f t="shared" si="3"/>
        <v>0</v>
      </c>
    </row>
    <row r="47" spans="1:18" ht="13.15" customHeight="1">
      <c r="A47" s="434" t="s">
        <v>44</v>
      </c>
      <c r="B47" s="810">
        <f t="shared" si="4"/>
        <v>17</v>
      </c>
      <c r="C47" s="436">
        <f t="shared" si="6"/>
        <v>0.91103965702036449</v>
      </c>
      <c r="E47" s="434">
        <v>8</v>
      </c>
      <c r="F47" s="436">
        <f t="shared" si="5"/>
        <v>47.058823529411761</v>
      </c>
      <c r="H47" s="434">
        <v>9</v>
      </c>
      <c r="I47" s="436">
        <f t="shared" si="0"/>
        <v>52.941176470588239</v>
      </c>
      <c r="J47" s="434"/>
      <c r="K47" s="434">
        <v>0</v>
      </c>
      <c r="L47" s="436">
        <f t="shared" si="1"/>
        <v>0</v>
      </c>
      <c r="N47" s="434">
        <v>0</v>
      </c>
      <c r="O47" s="436">
        <f t="shared" si="2"/>
        <v>0</v>
      </c>
      <c r="Q47" s="455">
        <v>0</v>
      </c>
      <c r="R47" s="436">
        <f t="shared" si="3"/>
        <v>0</v>
      </c>
    </row>
    <row r="48" spans="1:18" ht="13.15" customHeight="1">
      <c r="A48" s="434" t="s">
        <v>331</v>
      </c>
      <c r="B48" s="810">
        <f t="shared" si="4"/>
        <v>25</v>
      </c>
      <c r="C48" s="436">
        <f t="shared" si="6"/>
        <v>1.339764201500536</v>
      </c>
      <c r="E48" s="434">
        <v>19</v>
      </c>
      <c r="F48" s="436">
        <f t="shared" si="5"/>
        <v>76</v>
      </c>
      <c r="H48" s="434">
        <v>3</v>
      </c>
      <c r="I48" s="436">
        <f t="shared" si="0"/>
        <v>12</v>
      </c>
      <c r="J48" s="434"/>
      <c r="K48" s="434">
        <v>3</v>
      </c>
      <c r="L48" s="436">
        <f t="shared" si="1"/>
        <v>12</v>
      </c>
      <c r="N48" s="434">
        <v>0</v>
      </c>
      <c r="O48" s="436">
        <f t="shared" si="2"/>
        <v>0</v>
      </c>
      <c r="Q48" s="455">
        <v>0</v>
      </c>
      <c r="R48" s="436">
        <f t="shared" si="3"/>
        <v>0</v>
      </c>
    </row>
    <row r="49" spans="1:18" ht="13.15" customHeight="1">
      <c r="A49" s="434" t="s">
        <v>48</v>
      </c>
      <c r="B49" s="810">
        <f t="shared" si="4"/>
        <v>8</v>
      </c>
      <c r="C49" s="436">
        <f t="shared" si="6"/>
        <v>0.4287245444801715</v>
      </c>
      <c r="E49" s="434">
        <v>5</v>
      </c>
      <c r="F49" s="436">
        <f t="shared" si="5"/>
        <v>62.5</v>
      </c>
      <c r="H49" s="434">
        <v>2</v>
      </c>
      <c r="I49" s="436">
        <f t="shared" si="0"/>
        <v>25</v>
      </c>
      <c r="J49" s="434"/>
      <c r="K49" s="434">
        <v>1</v>
      </c>
      <c r="L49" s="436">
        <f t="shared" si="1"/>
        <v>12.5</v>
      </c>
      <c r="N49" s="434">
        <v>0</v>
      </c>
      <c r="O49" s="436">
        <f t="shared" si="2"/>
        <v>0</v>
      </c>
      <c r="Q49" s="455">
        <v>0</v>
      </c>
      <c r="R49" s="436">
        <f t="shared" si="3"/>
        <v>0</v>
      </c>
    </row>
    <row r="50" spans="1:18" ht="13.15" customHeight="1">
      <c r="A50" s="434" t="s">
        <v>47</v>
      </c>
      <c r="B50" s="810">
        <f t="shared" si="4"/>
        <v>34</v>
      </c>
      <c r="C50" s="436">
        <f t="shared" si="6"/>
        <v>1.822079314040729</v>
      </c>
      <c r="E50" s="434">
        <v>17</v>
      </c>
      <c r="F50" s="436">
        <f t="shared" si="5"/>
        <v>50</v>
      </c>
      <c r="H50" s="434">
        <v>13</v>
      </c>
      <c r="I50" s="436">
        <f t="shared" si="0"/>
        <v>38.235294117647058</v>
      </c>
      <c r="J50" s="434"/>
      <c r="K50" s="434">
        <v>4</v>
      </c>
      <c r="L50" s="436">
        <f t="shared" si="1"/>
        <v>11.76470588235294</v>
      </c>
      <c r="N50" s="434">
        <v>0</v>
      </c>
      <c r="O50" s="436">
        <f t="shared" si="2"/>
        <v>0</v>
      </c>
      <c r="Q50" s="455">
        <v>0</v>
      </c>
      <c r="R50" s="436">
        <f t="shared" si="3"/>
        <v>0</v>
      </c>
    </row>
    <row r="51" spans="1:18" ht="12" customHeight="1">
      <c r="A51" s="434" t="s">
        <v>46</v>
      </c>
      <c r="B51" s="810">
        <f t="shared" si="4"/>
        <v>13</v>
      </c>
      <c r="C51" s="436">
        <f t="shared" si="6"/>
        <v>0.69667738478027874</v>
      </c>
      <c r="E51" s="434">
        <v>2</v>
      </c>
      <c r="F51" s="436">
        <f t="shared" si="5"/>
        <v>15.384615384615385</v>
      </c>
      <c r="H51" s="434">
        <v>10</v>
      </c>
      <c r="I51" s="436">
        <f t="shared" si="0"/>
        <v>76.923076923076934</v>
      </c>
      <c r="J51" s="434"/>
      <c r="K51" s="434">
        <v>1</v>
      </c>
      <c r="L51" s="436">
        <f t="shared" si="1"/>
        <v>7.6923076923076925</v>
      </c>
      <c r="N51" s="434">
        <v>0</v>
      </c>
      <c r="O51" s="436">
        <f t="shared" si="2"/>
        <v>0</v>
      </c>
      <c r="Q51" s="455">
        <v>0</v>
      </c>
      <c r="R51" s="436">
        <f t="shared" si="3"/>
        <v>0</v>
      </c>
    </row>
    <row r="52" spans="1:18" ht="9.9499999999999993" customHeight="1">
      <c r="B52" s="810" t="str">
        <f t="shared" si="4"/>
        <v/>
      </c>
      <c r="C52" s="436" t="str">
        <f t="shared" si="6"/>
        <v/>
      </c>
      <c r="E52" s="434"/>
      <c r="F52" s="436" t="str">
        <f t="shared" si="5"/>
        <v/>
      </c>
      <c r="H52" s="434"/>
      <c r="I52" s="436" t="str">
        <f t="shared" si="0"/>
        <v/>
      </c>
      <c r="J52" s="434"/>
      <c r="K52" s="434"/>
      <c r="L52" s="436" t="str">
        <f t="shared" si="1"/>
        <v/>
      </c>
      <c r="N52" s="434"/>
      <c r="O52" s="436" t="str">
        <f t="shared" si="2"/>
        <v/>
      </c>
      <c r="Q52" s="455"/>
      <c r="R52" s="436" t="str">
        <f t="shared" si="3"/>
        <v/>
      </c>
    </row>
    <row r="53" spans="1:18" ht="12" customHeight="1">
      <c r="A53" s="434" t="s">
        <v>50</v>
      </c>
      <c r="B53" s="810">
        <f t="shared" si="4"/>
        <v>54</v>
      </c>
      <c r="C53" s="436">
        <f t="shared" si="6"/>
        <v>2.8938906752411575</v>
      </c>
      <c r="E53" s="434">
        <v>26</v>
      </c>
      <c r="F53" s="436">
        <f t="shared" si="5"/>
        <v>48.148148148148145</v>
      </c>
      <c r="H53" s="434">
        <v>12</v>
      </c>
      <c r="I53" s="436">
        <f t="shared" si="0"/>
        <v>22.222222222222221</v>
      </c>
      <c r="J53" s="434"/>
      <c r="K53" s="434">
        <v>15</v>
      </c>
      <c r="L53" s="436">
        <f t="shared" si="1"/>
        <v>27.777777777777779</v>
      </c>
      <c r="N53" s="434">
        <v>0</v>
      </c>
      <c r="O53" s="436">
        <f t="shared" si="2"/>
        <v>0</v>
      </c>
      <c r="Q53" s="455">
        <v>1</v>
      </c>
      <c r="R53" s="436">
        <f t="shared" si="3"/>
        <v>1.8518518518518516</v>
      </c>
    </row>
    <row r="54" spans="1:18" ht="9.9499999999999993" customHeight="1">
      <c r="B54" s="810" t="str">
        <f t="shared" si="4"/>
        <v/>
      </c>
      <c r="C54" s="436" t="str">
        <f t="shared" si="6"/>
        <v/>
      </c>
      <c r="F54" s="436" t="str">
        <f t="shared" si="5"/>
        <v/>
      </c>
      <c r="I54" s="436" t="str">
        <f t="shared" si="0"/>
        <v/>
      </c>
      <c r="L54" s="436" t="str">
        <f t="shared" si="1"/>
        <v/>
      </c>
      <c r="M54" s="440"/>
      <c r="O54" s="436" t="str">
        <f t="shared" si="2"/>
        <v/>
      </c>
      <c r="P54" s="442"/>
      <c r="Q54" s="435"/>
      <c r="R54" s="436" t="str">
        <f t="shared" si="3"/>
        <v/>
      </c>
    </row>
    <row r="55" spans="1:18" ht="13.15" customHeight="1">
      <c r="A55" s="434" t="s">
        <v>51</v>
      </c>
      <c r="B55" s="810">
        <f t="shared" si="4"/>
        <v>83</v>
      </c>
      <c r="C55" s="436">
        <f t="shared" si="6"/>
        <v>4.448017148981779</v>
      </c>
      <c r="E55" s="435">
        <f>SUM(E56:E60)</f>
        <v>29</v>
      </c>
      <c r="F55" s="436">
        <f t="shared" si="5"/>
        <v>34.939759036144579</v>
      </c>
      <c r="H55" s="435">
        <f>SUM(H56:H60)</f>
        <v>46</v>
      </c>
      <c r="I55" s="436">
        <f t="shared" si="0"/>
        <v>55.421686746987952</v>
      </c>
      <c r="K55" s="435">
        <f>SUM(K56:K60)</f>
        <v>8</v>
      </c>
      <c r="L55" s="436">
        <f t="shared" si="1"/>
        <v>9.6385542168674707</v>
      </c>
      <c r="M55" s="440"/>
      <c r="N55" s="435">
        <f>SUM(N56:N60)</f>
        <v>0</v>
      </c>
      <c r="O55" s="436">
        <f t="shared" si="2"/>
        <v>0</v>
      </c>
      <c r="P55" s="442"/>
      <c r="Q55" s="435">
        <f>SUM(Q56:Q60)</f>
        <v>0</v>
      </c>
      <c r="R55" s="436">
        <f t="shared" si="3"/>
        <v>0</v>
      </c>
    </row>
    <row r="56" spans="1:18" ht="13.15" customHeight="1">
      <c r="A56" s="434" t="s">
        <v>52</v>
      </c>
      <c r="B56" s="810">
        <f t="shared" si="4"/>
        <v>13</v>
      </c>
      <c r="C56" s="436">
        <f t="shared" si="6"/>
        <v>0.69667738478027874</v>
      </c>
      <c r="E56" s="434">
        <v>6</v>
      </c>
      <c r="F56" s="436">
        <f t="shared" si="5"/>
        <v>46.153846153846153</v>
      </c>
      <c r="H56" s="434">
        <v>5</v>
      </c>
      <c r="I56" s="436">
        <f t="shared" si="0"/>
        <v>38.461538461538467</v>
      </c>
      <c r="J56" s="434"/>
      <c r="K56" s="434">
        <v>2</v>
      </c>
      <c r="L56" s="436">
        <f t="shared" si="1"/>
        <v>15.384615384615385</v>
      </c>
      <c r="N56" s="434">
        <v>0</v>
      </c>
      <c r="O56" s="436">
        <f t="shared" si="2"/>
        <v>0</v>
      </c>
      <c r="Q56" s="455">
        <v>0</v>
      </c>
      <c r="R56" s="436">
        <f t="shared" si="3"/>
        <v>0</v>
      </c>
    </row>
    <row r="57" spans="1:18" ht="13.15" customHeight="1">
      <c r="A57" s="434" t="s">
        <v>53</v>
      </c>
      <c r="B57" s="810">
        <f t="shared" si="4"/>
        <v>25</v>
      </c>
      <c r="C57" s="436">
        <f t="shared" si="6"/>
        <v>1.339764201500536</v>
      </c>
      <c r="E57" s="434">
        <v>7</v>
      </c>
      <c r="F57" s="436">
        <f t="shared" si="5"/>
        <v>28.000000000000004</v>
      </c>
      <c r="H57" s="434">
        <v>16</v>
      </c>
      <c r="I57" s="436">
        <f t="shared" si="0"/>
        <v>64</v>
      </c>
      <c r="J57" s="434"/>
      <c r="K57" s="434">
        <v>2</v>
      </c>
      <c r="L57" s="436">
        <f t="shared" si="1"/>
        <v>8</v>
      </c>
      <c r="N57" s="434">
        <v>0</v>
      </c>
      <c r="O57" s="436">
        <f t="shared" si="2"/>
        <v>0</v>
      </c>
      <c r="Q57" s="455">
        <v>0</v>
      </c>
      <c r="R57" s="436">
        <f t="shared" si="3"/>
        <v>0</v>
      </c>
    </row>
    <row r="58" spans="1:18" ht="13.15" customHeight="1">
      <c r="A58" s="434" t="s">
        <v>54</v>
      </c>
      <c r="B58" s="810">
        <f t="shared" si="4"/>
        <v>21</v>
      </c>
      <c r="C58" s="436">
        <f t="shared" si="6"/>
        <v>1.1254019292604502</v>
      </c>
      <c r="E58" s="434">
        <v>6</v>
      </c>
      <c r="F58" s="436">
        <f t="shared" si="5"/>
        <v>28.571428571428569</v>
      </c>
      <c r="H58" s="434">
        <v>12</v>
      </c>
      <c r="I58" s="436">
        <f t="shared" si="0"/>
        <v>57.142857142857139</v>
      </c>
      <c r="J58" s="434"/>
      <c r="K58" s="434">
        <v>3</v>
      </c>
      <c r="L58" s="436">
        <f t="shared" si="1"/>
        <v>14.285714285714285</v>
      </c>
      <c r="N58" s="434">
        <v>0</v>
      </c>
      <c r="O58" s="436">
        <f t="shared" si="2"/>
        <v>0</v>
      </c>
      <c r="Q58" s="455">
        <v>0</v>
      </c>
      <c r="R58" s="436">
        <f t="shared" si="3"/>
        <v>0</v>
      </c>
    </row>
    <row r="59" spans="1:18" ht="13.15" customHeight="1">
      <c r="A59" s="434" t="s">
        <v>332</v>
      </c>
      <c r="B59" s="810">
        <f t="shared" si="4"/>
        <v>9</v>
      </c>
      <c r="C59" s="436">
        <f t="shared" si="6"/>
        <v>0.48231511254019299</v>
      </c>
      <c r="E59" s="434">
        <v>2</v>
      </c>
      <c r="F59" s="436">
        <f t="shared" si="5"/>
        <v>22.222222222222221</v>
      </c>
      <c r="H59" s="434">
        <v>7</v>
      </c>
      <c r="I59" s="436">
        <f t="shared" si="0"/>
        <v>77.777777777777786</v>
      </c>
      <c r="J59" s="434"/>
      <c r="K59" s="434">
        <v>0</v>
      </c>
      <c r="L59" s="436">
        <f t="shared" si="1"/>
        <v>0</v>
      </c>
      <c r="N59" s="434">
        <v>0</v>
      </c>
      <c r="O59" s="436">
        <f t="shared" si="2"/>
        <v>0</v>
      </c>
      <c r="Q59" s="455">
        <v>0</v>
      </c>
      <c r="R59" s="436">
        <f t="shared" si="3"/>
        <v>0</v>
      </c>
    </row>
    <row r="60" spans="1:18" ht="12" customHeight="1">
      <c r="A60" s="434" t="s">
        <v>56</v>
      </c>
      <c r="B60" s="810">
        <f t="shared" si="4"/>
        <v>15</v>
      </c>
      <c r="C60" s="436">
        <f t="shared" si="6"/>
        <v>0.8038585209003215</v>
      </c>
      <c r="E60" s="434">
        <v>8</v>
      </c>
      <c r="F60" s="436">
        <f t="shared" si="5"/>
        <v>53.333333333333336</v>
      </c>
      <c r="H60" s="434">
        <v>6</v>
      </c>
      <c r="I60" s="436">
        <f t="shared" si="0"/>
        <v>40</v>
      </c>
      <c r="J60" s="434"/>
      <c r="K60" s="434">
        <v>1</v>
      </c>
      <c r="L60" s="436">
        <f t="shared" si="1"/>
        <v>6.666666666666667</v>
      </c>
      <c r="N60" s="434">
        <v>0</v>
      </c>
      <c r="O60" s="436">
        <f t="shared" si="2"/>
        <v>0</v>
      </c>
      <c r="Q60" s="455">
        <v>0</v>
      </c>
      <c r="R60" s="436">
        <f t="shared" si="3"/>
        <v>0</v>
      </c>
    </row>
    <row r="61" spans="1:18" ht="9.9499999999999993" customHeight="1">
      <c r="B61" s="810" t="str">
        <f t="shared" si="4"/>
        <v/>
      </c>
      <c r="C61" s="436" t="str">
        <f t="shared" si="6"/>
        <v/>
      </c>
      <c r="F61" s="436" t="str">
        <f t="shared" si="5"/>
        <v/>
      </c>
      <c r="I61" s="436" t="str">
        <f t="shared" si="0"/>
        <v/>
      </c>
      <c r="L61" s="436" t="str">
        <f t="shared" si="1"/>
        <v/>
      </c>
      <c r="M61" s="440"/>
      <c r="O61" s="436" t="str">
        <f t="shared" si="2"/>
        <v/>
      </c>
      <c r="P61" s="442"/>
      <c r="Q61" s="435"/>
      <c r="R61" s="436" t="str">
        <f t="shared" si="3"/>
        <v/>
      </c>
    </row>
    <row r="62" spans="1:18" ht="13.15" customHeight="1">
      <c r="A62" s="63" t="s">
        <v>333</v>
      </c>
      <c r="B62" s="810">
        <f t="shared" si="4"/>
        <v>508</v>
      </c>
      <c r="C62" s="436">
        <f t="shared" si="6"/>
        <v>27.224008574490888</v>
      </c>
      <c r="E62" s="435">
        <f>E63+E65+E72+E74</f>
        <v>42</v>
      </c>
      <c r="F62" s="436">
        <f t="shared" si="5"/>
        <v>8.2677165354330722</v>
      </c>
      <c r="H62" s="435">
        <f>H63+H65+H72+H74</f>
        <v>411</v>
      </c>
      <c r="I62" s="436">
        <f t="shared" si="0"/>
        <v>80.905511811023629</v>
      </c>
      <c r="K62" s="435">
        <f>K63+K65+K72+K74</f>
        <v>48</v>
      </c>
      <c r="L62" s="436">
        <f t="shared" si="1"/>
        <v>9.4488188976377945</v>
      </c>
      <c r="M62" s="440"/>
      <c r="N62" s="435">
        <f>N63+N65+N72+N74</f>
        <v>0</v>
      </c>
      <c r="O62" s="436">
        <f t="shared" si="2"/>
        <v>0</v>
      </c>
      <c r="P62" s="442"/>
      <c r="Q62" s="435">
        <f>Q63+Q65+Q72+Q74</f>
        <v>7</v>
      </c>
      <c r="R62" s="436">
        <f t="shared" si="3"/>
        <v>1.3779527559055118</v>
      </c>
    </row>
    <row r="63" spans="1:18" ht="12" customHeight="1">
      <c r="A63" s="434" t="s">
        <v>334</v>
      </c>
      <c r="B63" s="810">
        <f t="shared" si="4"/>
        <v>25</v>
      </c>
      <c r="C63" s="436">
        <f t="shared" si="6"/>
        <v>1.339764201500536</v>
      </c>
      <c r="E63" s="434">
        <v>4</v>
      </c>
      <c r="F63" s="436">
        <f t="shared" si="5"/>
        <v>16</v>
      </c>
      <c r="H63" s="434">
        <v>19</v>
      </c>
      <c r="I63" s="436">
        <f t="shared" si="0"/>
        <v>76</v>
      </c>
      <c r="J63" s="434"/>
      <c r="K63" s="434">
        <v>2</v>
      </c>
      <c r="L63" s="436">
        <f t="shared" si="1"/>
        <v>8</v>
      </c>
      <c r="N63" s="434">
        <v>0</v>
      </c>
      <c r="O63" s="436">
        <f t="shared" si="2"/>
        <v>0</v>
      </c>
      <c r="Q63" s="455">
        <v>0</v>
      </c>
      <c r="R63" s="436">
        <f t="shared" si="3"/>
        <v>0</v>
      </c>
    </row>
    <row r="64" spans="1:18" ht="9.9499999999999993" customHeight="1">
      <c r="B64" s="810" t="str">
        <f t="shared" si="4"/>
        <v/>
      </c>
      <c r="C64" s="436" t="str">
        <f t="shared" si="6"/>
        <v/>
      </c>
      <c r="F64" s="436" t="str">
        <f t="shared" si="5"/>
        <v/>
      </c>
      <c r="I64" s="436" t="str">
        <f t="shared" si="0"/>
        <v/>
      </c>
      <c r="L64" s="436" t="str">
        <f t="shared" si="1"/>
        <v/>
      </c>
      <c r="M64" s="440"/>
      <c r="O64" s="436" t="str">
        <f t="shared" si="2"/>
        <v/>
      </c>
      <c r="P64" s="442"/>
      <c r="Q64" s="435"/>
      <c r="R64" s="436" t="str">
        <f t="shared" si="3"/>
        <v/>
      </c>
    </row>
    <row r="65" spans="1:18" ht="13.15" customHeight="1">
      <c r="A65" s="434" t="s">
        <v>60</v>
      </c>
      <c r="B65" s="810">
        <f t="shared" si="4"/>
        <v>372</v>
      </c>
      <c r="C65" s="436">
        <f t="shared" si="6"/>
        <v>19.935691318327976</v>
      </c>
      <c r="E65" s="435">
        <f>SUM(E66:E70)</f>
        <v>22</v>
      </c>
      <c r="F65" s="436">
        <f t="shared" si="5"/>
        <v>5.913978494623656</v>
      </c>
      <c r="H65" s="435">
        <f>SUM(H66:H70)</f>
        <v>308</v>
      </c>
      <c r="I65" s="436">
        <f t="shared" si="0"/>
        <v>82.795698924731184</v>
      </c>
      <c r="K65" s="435">
        <f>SUM(K66:K70)</f>
        <v>36</v>
      </c>
      <c r="L65" s="436">
        <f t="shared" si="1"/>
        <v>9.67741935483871</v>
      </c>
      <c r="M65" s="440"/>
      <c r="N65" s="435">
        <f>SUM(N66:N70)</f>
        <v>0</v>
      </c>
      <c r="O65" s="436">
        <f t="shared" si="2"/>
        <v>0</v>
      </c>
      <c r="P65" s="442"/>
      <c r="Q65" s="435">
        <f>SUM(Q66:Q70)</f>
        <v>6</v>
      </c>
      <c r="R65" s="436">
        <f t="shared" si="3"/>
        <v>1.6129032258064515</v>
      </c>
    </row>
    <row r="66" spans="1:18" ht="13.15" customHeight="1">
      <c r="A66" s="434" t="s">
        <v>395</v>
      </c>
      <c r="B66" s="810">
        <f t="shared" si="4"/>
        <v>303</v>
      </c>
      <c r="C66" s="436">
        <f t="shared" si="6"/>
        <v>16.237942122186492</v>
      </c>
      <c r="E66" s="434">
        <v>14</v>
      </c>
      <c r="F66" s="436">
        <f t="shared" si="5"/>
        <v>4.6204620462046204</v>
      </c>
      <c r="H66" s="434">
        <v>256</v>
      </c>
      <c r="I66" s="436">
        <f t="shared" si="0"/>
        <v>84.488448844884488</v>
      </c>
      <c r="J66" s="434"/>
      <c r="K66" s="434">
        <v>28</v>
      </c>
      <c r="L66" s="436">
        <f t="shared" si="1"/>
        <v>9.2409240924092408</v>
      </c>
      <c r="N66" s="434">
        <v>0</v>
      </c>
      <c r="O66" s="436">
        <f t="shared" si="2"/>
        <v>0</v>
      </c>
      <c r="Q66" s="455">
        <v>5</v>
      </c>
      <c r="R66" s="436">
        <f t="shared" si="3"/>
        <v>1.6501650165016499</v>
      </c>
    </row>
    <row r="67" spans="1:18" ht="13.15" customHeight="1">
      <c r="A67" s="434" t="s">
        <v>62</v>
      </c>
      <c r="B67" s="810">
        <f t="shared" si="4"/>
        <v>29</v>
      </c>
      <c r="C67" s="436">
        <f t="shared" si="6"/>
        <v>1.5541264737406217</v>
      </c>
      <c r="E67" s="434">
        <v>3</v>
      </c>
      <c r="F67" s="436">
        <f t="shared" si="5"/>
        <v>10.344827586206897</v>
      </c>
      <c r="H67" s="434">
        <v>23</v>
      </c>
      <c r="I67" s="436">
        <f t="shared" si="0"/>
        <v>79.310344827586206</v>
      </c>
      <c r="J67" s="434"/>
      <c r="K67" s="434">
        <v>2</v>
      </c>
      <c r="L67" s="436">
        <f t="shared" si="1"/>
        <v>6.8965517241379306</v>
      </c>
      <c r="N67" s="434">
        <v>0</v>
      </c>
      <c r="O67" s="436">
        <f t="shared" si="2"/>
        <v>0</v>
      </c>
      <c r="Q67" s="455">
        <v>1</v>
      </c>
      <c r="R67" s="436">
        <f t="shared" si="3"/>
        <v>3.4482758620689653</v>
      </c>
    </row>
    <row r="68" spans="1:18" ht="13.15" customHeight="1">
      <c r="A68" s="434" t="s">
        <v>64</v>
      </c>
      <c r="B68" s="810">
        <f t="shared" si="4"/>
        <v>17</v>
      </c>
      <c r="C68" s="436">
        <f t="shared" si="6"/>
        <v>0.91103965702036449</v>
      </c>
      <c r="E68" s="434">
        <v>3</v>
      </c>
      <c r="F68" s="436">
        <f t="shared" si="5"/>
        <v>17.647058823529413</v>
      </c>
      <c r="H68" s="434">
        <v>11</v>
      </c>
      <c r="I68" s="436">
        <f t="shared" si="0"/>
        <v>64.705882352941174</v>
      </c>
      <c r="J68" s="434"/>
      <c r="K68" s="434">
        <v>3</v>
      </c>
      <c r="L68" s="436">
        <f t="shared" si="1"/>
        <v>17.647058823529413</v>
      </c>
      <c r="N68" s="434">
        <v>0</v>
      </c>
      <c r="O68" s="436">
        <f t="shared" si="2"/>
        <v>0</v>
      </c>
      <c r="Q68" s="455">
        <v>0</v>
      </c>
      <c r="R68" s="436">
        <f t="shared" si="3"/>
        <v>0</v>
      </c>
    </row>
    <row r="69" spans="1:18" ht="13.15" customHeight="1">
      <c r="A69" s="455" t="s">
        <v>408</v>
      </c>
      <c r="B69" s="810">
        <f t="shared" si="4"/>
        <v>11</v>
      </c>
      <c r="C69" s="436">
        <f t="shared" si="6"/>
        <v>0.58949624866023587</v>
      </c>
      <c r="E69" s="434">
        <v>1</v>
      </c>
      <c r="F69" s="436">
        <f t="shared" si="5"/>
        <v>9.0909090909090917</v>
      </c>
      <c r="H69" s="434">
        <v>7</v>
      </c>
      <c r="I69" s="436">
        <f t="shared" si="0"/>
        <v>63.636363636363633</v>
      </c>
      <c r="J69" s="434"/>
      <c r="K69" s="434">
        <v>3</v>
      </c>
      <c r="L69" s="436">
        <f t="shared" si="1"/>
        <v>27.27272727272727</v>
      </c>
      <c r="N69" s="434">
        <v>0</v>
      </c>
      <c r="O69" s="436">
        <f t="shared" si="2"/>
        <v>0</v>
      </c>
      <c r="Q69" s="455">
        <v>0</v>
      </c>
      <c r="R69" s="436">
        <f t="shared" si="3"/>
        <v>0</v>
      </c>
    </row>
    <row r="70" spans="1:18" ht="12" customHeight="1">
      <c r="A70" s="434" t="s">
        <v>63</v>
      </c>
      <c r="B70" s="810">
        <f t="shared" si="4"/>
        <v>12</v>
      </c>
      <c r="C70" s="436">
        <f t="shared" si="6"/>
        <v>0.64308681672025725</v>
      </c>
      <c r="E70" s="434">
        <v>1</v>
      </c>
      <c r="F70" s="436">
        <f t="shared" si="5"/>
        <v>8.3333333333333321</v>
      </c>
      <c r="H70" s="434">
        <v>11</v>
      </c>
      <c r="I70" s="436">
        <f t="shared" si="0"/>
        <v>91.666666666666657</v>
      </c>
      <c r="J70" s="434"/>
      <c r="K70" s="434">
        <v>0</v>
      </c>
      <c r="L70" s="436">
        <f t="shared" si="1"/>
        <v>0</v>
      </c>
      <c r="N70" s="434">
        <v>0</v>
      </c>
      <c r="O70" s="436">
        <f t="shared" si="2"/>
        <v>0</v>
      </c>
      <c r="Q70" s="455">
        <v>0</v>
      </c>
      <c r="R70" s="436">
        <f t="shared" si="3"/>
        <v>0</v>
      </c>
    </row>
    <row r="71" spans="1:18" ht="9.9499999999999993" customHeight="1">
      <c r="B71" s="810" t="str">
        <f t="shared" si="4"/>
        <v/>
      </c>
      <c r="C71" s="436" t="str">
        <f t="shared" si="6"/>
        <v/>
      </c>
      <c r="E71" s="434"/>
      <c r="F71" s="436" t="str">
        <f t="shared" si="5"/>
        <v/>
      </c>
      <c r="H71" s="434"/>
      <c r="I71" s="436" t="str">
        <f t="shared" si="0"/>
        <v/>
      </c>
      <c r="J71" s="434"/>
      <c r="K71" s="434"/>
      <c r="L71" s="436" t="str">
        <f t="shared" si="1"/>
        <v/>
      </c>
      <c r="N71" s="434"/>
      <c r="O71" s="436" t="str">
        <f t="shared" si="2"/>
        <v/>
      </c>
      <c r="Q71" s="455"/>
      <c r="R71" s="436" t="str">
        <f t="shared" si="3"/>
        <v/>
      </c>
    </row>
    <row r="72" spans="1:18" ht="13.15" customHeight="1">
      <c r="A72" s="434" t="s">
        <v>66</v>
      </c>
      <c r="B72" s="810">
        <f t="shared" si="4"/>
        <v>26</v>
      </c>
      <c r="C72" s="436">
        <f t="shared" si="6"/>
        <v>1.3933547695605575</v>
      </c>
      <c r="E72" s="434">
        <v>14</v>
      </c>
      <c r="F72" s="436">
        <f t="shared" si="5"/>
        <v>53.846153846153847</v>
      </c>
      <c r="H72" s="434">
        <v>11</v>
      </c>
      <c r="I72" s="436">
        <f t="shared" si="0"/>
        <v>42.307692307692307</v>
      </c>
      <c r="J72" s="434"/>
      <c r="K72" s="434">
        <v>1</v>
      </c>
      <c r="L72" s="436">
        <f t="shared" si="1"/>
        <v>3.8461538461538463</v>
      </c>
      <c r="N72" s="434">
        <v>0</v>
      </c>
      <c r="O72" s="436">
        <f t="shared" si="2"/>
        <v>0</v>
      </c>
      <c r="Q72" s="455">
        <v>0</v>
      </c>
      <c r="R72" s="436">
        <f t="shared" si="3"/>
        <v>0</v>
      </c>
    </row>
    <row r="73" spans="1:18" ht="9.9499999999999993" customHeight="1">
      <c r="B73" s="810" t="str">
        <f t="shared" si="4"/>
        <v/>
      </c>
      <c r="C73" s="436" t="str">
        <f t="shared" si="6"/>
        <v/>
      </c>
      <c r="E73" s="434"/>
      <c r="F73" s="436" t="str">
        <f t="shared" si="5"/>
        <v/>
      </c>
      <c r="H73" s="434"/>
      <c r="I73" s="436" t="str">
        <f t="shared" si="0"/>
        <v/>
      </c>
      <c r="J73" s="434"/>
      <c r="K73" s="434"/>
      <c r="L73" s="436" t="str">
        <f t="shared" si="1"/>
        <v/>
      </c>
      <c r="N73" s="434"/>
      <c r="O73" s="436" t="str">
        <f t="shared" si="2"/>
        <v/>
      </c>
      <c r="Q73" s="455"/>
      <c r="R73" s="436" t="str">
        <f t="shared" si="3"/>
        <v/>
      </c>
    </row>
    <row r="74" spans="1:18" ht="13.15" customHeight="1">
      <c r="A74" s="434" t="s">
        <v>67</v>
      </c>
      <c r="B74" s="810">
        <f t="shared" si="4"/>
        <v>85</v>
      </c>
      <c r="C74" s="436">
        <f t="shared" si="6"/>
        <v>4.555198285101822</v>
      </c>
      <c r="E74" s="434">
        <v>2</v>
      </c>
      <c r="F74" s="436">
        <f t="shared" si="5"/>
        <v>2.3529411764705883</v>
      </c>
      <c r="H74" s="434">
        <v>73</v>
      </c>
      <c r="I74" s="436">
        <f t="shared" si="0"/>
        <v>85.882352941176464</v>
      </c>
      <c r="J74" s="434"/>
      <c r="K74" s="434">
        <v>9</v>
      </c>
      <c r="L74" s="436">
        <f t="shared" si="1"/>
        <v>10.588235294117647</v>
      </c>
      <c r="N74" s="434">
        <v>0</v>
      </c>
      <c r="O74" s="436">
        <f t="shared" si="2"/>
        <v>0</v>
      </c>
      <c r="Q74" s="455">
        <v>1</v>
      </c>
      <c r="R74" s="436">
        <f t="shared" si="3"/>
        <v>1.1764705882352942</v>
      </c>
    </row>
    <row r="75" spans="1:18" ht="9.9499999999999993" customHeight="1">
      <c r="B75" s="810" t="str">
        <f t="shared" si="4"/>
        <v/>
      </c>
      <c r="C75" s="436" t="str">
        <f t="shared" si="6"/>
        <v/>
      </c>
      <c r="F75" s="436" t="str">
        <f t="shared" si="5"/>
        <v/>
      </c>
      <c r="I75" s="436" t="str">
        <f t="shared" si="0"/>
        <v/>
      </c>
      <c r="L75" s="436" t="str">
        <f t="shared" si="1"/>
        <v/>
      </c>
      <c r="M75" s="440"/>
      <c r="O75" s="436" t="str">
        <f t="shared" ref="O75:O112" si="7">IF($A75&lt;&gt;0,N75/$B75*100,"")</f>
        <v/>
      </c>
      <c r="P75" s="442"/>
      <c r="Q75" s="435"/>
      <c r="R75" s="436" t="str">
        <f t="shared" ref="R75:R111" si="8">IF($A75&lt;&gt;0,Q75/$B75*100,"")</f>
        <v/>
      </c>
    </row>
    <row r="76" spans="1:18" ht="13.15" customHeight="1">
      <c r="A76" s="63" t="s">
        <v>336</v>
      </c>
      <c r="B76" s="810">
        <f t="shared" si="4"/>
        <v>58</v>
      </c>
      <c r="C76" s="436">
        <f t="shared" si="6"/>
        <v>3.1082529474812435</v>
      </c>
      <c r="E76" s="435">
        <f>E77</f>
        <v>21</v>
      </c>
      <c r="F76" s="436">
        <f t="shared" si="5"/>
        <v>36.206896551724135</v>
      </c>
      <c r="H76" s="435">
        <f>H77</f>
        <v>33</v>
      </c>
      <c r="I76" s="436">
        <f t="shared" si="0"/>
        <v>56.896551724137936</v>
      </c>
      <c r="K76" s="435">
        <f>K77</f>
        <v>4</v>
      </c>
      <c r="L76" s="436">
        <f t="shared" si="1"/>
        <v>6.8965517241379306</v>
      </c>
      <c r="M76" s="440"/>
      <c r="N76" s="435">
        <f>N77</f>
        <v>0</v>
      </c>
      <c r="O76" s="436">
        <f t="shared" si="7"/>
        <v>0</v>
      </c>
      <c r="P76" s="442"/>
      <c r="Q76" s="435">
        <f>Q77</f>
        <v>0</v>
      </c>
      <c r="R76" s="436">
        <f t="shared" si="8"/>
        <v>0</v>
      </c>
    </row>
    <row r="77" spans="1:18" ht="13.15" customHeight="1">
      <c r="A77" s="434" t="s">
        <v>337</v>
      </c>
      <c r="B77" s="810">
        <f t="shared" ref="B77:B112" si="9">IF($A77&lt;&gt;"",E77+H77+K77+N77+Q77,"")</f>
        <v>58</v>
      </c>
      <c r="C77" s="436">
        <f t="shared" si="6"/>
        <v>3.1082529474812435</v>
      </c>
      <c r="E77" s="435">
        <f>SUM(E78:E81)</f>
        <v>21</v>
      </c>
      <c r="F77" s="436">
        <f t="shared" ref="F77:F112" si="10">IF($A77&lt;&gt;0,E77/$B77*100,"")</f>
        <v>36.206896551724135</v>
      </c>
      <c r="H77" s="435">
        <f>SUM(H78:H81)</f>
        <v>33</v>
      </c>
      <c r="I77" s="436">
        <f t="shared" ref="I77:I112" si="11">IF($A77&lt;&gt;0,H77/$B77*100,"")</f>
        <v>56.896551724137936</v>
      </c>
      <c r="K77" s="435">
        <f>SUM(K78:K81)</f>
        <v>4</v>
      </c>
      <c r="L77" s="436">
        <f t="shared" ref="L77:L112" si="12">IF($A77&lt;&gt;0,K77/$B77*100,"")</f>
        <v>6.8965517241379306</v>
      </c>
      <c r="M77" s="440"/>
      <c r="N77" s="435">
        <f>SUM(N78:N81)</f>
        <v>0</v>
      </c>
      <c r="O77" s="436">
        <f t="shared" si="7"/>
        <v>0</v>
      </c>
      <c r="P77" s="442"/>
      <c r="Q77" s="435">
        <f>SUM(Q78:Q81)</f>
        <v>0</v>
      </c>
      <c r="R77" s="436">
        <f t="shared" si="8"/>
        <v>0</v>
      </c>
    </row>
    <row r="78" spans="1:18" ht="13.15" customHeight="1">
      <c r="A78" s="434" t="s">
        <v>70</v>
      </c>
      <c r="B78" s="810">
        <f t="shared" si="9"/>
        <v>12</v>
      </c>
      <c r="C78" s="436">
        <f t="shared" ref="C78:C111" si="13">IF(A78&lt;&gt;0,B78/$B$11*100,"")</f>
        <v>0.64308681672025725</v>
      </c>
      <c r="E78" s="434">
        <v>2</v>
      </c>
      <c r="F78" s="436">
        <f t="shared" si="10"/>
        <v>16.666666666666664</v>
      </c>
      <c r="H78" s="434">
        <v>10</v>
      </c>
      <c r="I78" s="436">
        <f t="shared" si="11"/>
        <v>83.333333333333343</v>
      </c>
      <c r="J78" s="434"/>
      <c r="K78" s="434">
        <v>0</v>
      </c>
      <c r="L78" s="436">
        <f t="shared" si="12"/>
        <v>0</v>
      </c>
      <c r="N78" s="434">
        <v>0</v>
      </c>
      <c r="O78" s="436">
        <f t="shared" si="7"/>
        <v>0</v>
      </c>
      <c r="Q78" s="455">
        <v>0</v>
      </c>
      <c r="R78" s="436">
        <f t="shared" si="8"/>
        <v>0</v>
      </c>
    </row>
    <row r="79" spans="1:18" ht="13.15" customHeight="1">
      <c r="A79" s="434" t="s">
        <v>71</v>
      </c>
      <c r="B79" s="810">
        <f t="shared" si="9"/>
        <v>27</v>
      </c>
      <c r="C79" s="436">
        <f t="shared" si="13"/>
        <v>1.4469453376205788</v>
      </c>
      <c r="E79" s="434">
        <v>12</v>
      </c>
      <c r="F79" s="436">
        <f t="shared" si="10"/>
        <v>44.444444444444443</v>
      </c>
      <c r="H79" s="434">
        <v>12</v>
      </c>
      <c r="I79" s="436">
        <f t="shared" si="11"/>
        <v>44.444444444444443</v>
      </c>
      <c r="J79" s="434"/>
      <c r="K79" s="434">
        <v>3</v>
      </c>
      <c r="L79" s="436">
        <f t="shared" si="12"/>
        <v>11.111111111111111</v>
      </c>
      <c r="N79" s="434">
        <v>0</v>
      </c>
      <c r="O79" s="436">
        <f t="shared" si="7"/>
        <v>0</v>
      </c>
      <c r="Q79" s="455">
        <v>0</v>
      </c>
      <c r="R79" s="436">
        <f t="shared" si="8"/>
        <v>0</v>
      </c>
    </row>
    <row r="80" spans="1:18" ht="12" customHeight="1">
      <c r="A80" s="434" t="s">
        <v>72</v>
      </c>
      <c r="B80" s="810">
        <f t="shared" si="9"/>
        <v>7</v>
      </c>
      <c r="C80" s="436">
        <f t="shared" si="13"/>
        <v>0.37513397642015006</v>
      </c>
      <c r="E80" s="434">
        <v>2</v>
      </c>
      <c r="F80" s="436">
        <f t="shared" si="10"/>
        <v>28.571428571428569</v>
      </c>
      <c r="H80" s="434">
        <v>4</v>
      </c>
      <c r="I80" s="436">
        <f t="shared" si="11"/>
        <v>57.142857142857139</v>
      </c>
      <c r="J80" s="434"/>
      <c r="K80" s="434">
        <v>1</v>
      </c>
      <c r="L80" s="436">
        <f t="shared" si="12"/>
        <v>14.285714285714285</v>
      </c>
      <c r="N80" s="434">
        <v>0</v>
      </c>
      <c r="O80" s="436">
        <f t="shared" si="7"/>
        <v>0</v>
      </c>
      <c r="Q80" s="455">
        <v>0</v>
      </c>
      <c r="R80" s="436">
        <f t="shared" si="8"/>
        <v>0</v>
      </c>
    </row>
    <row r="81" spans="1:18" ht="13.15" customHeight="1">
      <c r="A81" s="434" t="s">
        <v>73</v>
      </c>
      <c r="B81" s="810">
        <f t="shared" si="9"/>
        <v>12</v>
      </c>
      <c r="C81" s="436">
        <f t="shared" si="13"/>
        <v>0.64308681672025725</v>
      </c>
      <c r="E81" s="434">
        <v>5</v>
      </c>
      <c r="F81" s="436">
        <f t="shared" si="10"/>
        <v>41.666666666666671</v>
      </c>
      <c r="H81" s="434">
        <v>7</v>
      </c>
      <c r="I81" s="436">
        <f t="shared" si="11"/>
        <v>58.333333333333336</v>
      </c>
      <c r="J81" s="434"/>
      <c r="K81" s="434">
        <v>0</v>
      </c>
      <c r="L81" s="436">
        <f t="shared" si="12"/>
        <v>0</v>
      </c>
      <c r="N81" s="434">
        <v>0</v>
      </c>
      <c r="O81" s="436">
        <f t="shared" si="7"/>
        <v>0</v>
      </c>
      <c r="Q81" s="455">
        <v>0</v>
      </c>
      <c r="R81" s="436">
        <f t="shared" si="8"/>
        <v>0</v>
      </c>
    </row>
    <row r="82" spans="1:18" ht="12.75" customHeight="1">
      <c r="B82" s="810" t="str">
        <f t="shared" si="9"/>
        <v/>
      </c>
      <c r="C82" s="436" t="str">
        <f t="shared" si="13"/>
        <v/>
      </c>
      <c r="F82" s="436" t="str">
        <f t="shared" si="10"/>
        <v/>
      </c>
      <c r="I82" s="436" t="str">
        <f t="shared" si="11"/>
        <v/>
      </c>
      <c r="L82" s="436" t="str">
        <f t="shared" si="12"/>
        <v/>
      </c>
      <c r="M82" s="440"/>
      <c r="O82" s="436" t="str">
        <f t="shared" si="7"/>
        <v/>
      </c>
      <c r="P82" s="442"/>
      <c r="Q82" s="435"/>
      <c r="R82" s="436" t="str">
        <f t="shared" si="8"/>
        <v/>
      </c>
    </row>
    <row r="83" spans="1:18" s="63" customFormat="1" ht="12.75" customHeight="1">
      <c r="A83" s="63" t="s">
        <v>396</v>
      </c>
      <c r="B83" s="810">
        <f t="shared" si="9"/>
        <v>154</v>
      </c>
      <c r="C83" s="436">
        <f t="shared" si="13"/>
        <v>8.2529474812433019</v>
      </c>
      <c r="E83" s="93">
        <f>SUM(E84)</f>
        <v>49</v>
      </c>
      <c r="F83" s="436">
        <f t="shared" si="10"/>
        <v>31.818181818181817</v>
      </c>
      <c r="G83" s="42"/>
      <c r="H83" s="93">
        <f>SUM(H84)</f>
        <v>59</v>
      </c>
      <c r="I83" s="436">
        <f t="shared" si="11"/>
        <v>38.311688311688314</v>
      </c>
      <c r="J83" s="94"/>
      <c r="K83" s="93">
        <f>SUM(K84)</f>
        <v>44</v>
      </c>
      <c r="L83" s="436">
        <f t="shared" si="12"/>
        <v>28.571428571428569</v>
      </c>
      <c r="M83" s="95"/>
      <c r="N83" s="93">
        <f>SUM(N84)</f>
        <v>1</v>
      </c>
      <c r="O83" s="436">
        <f t="shared" si="7"/>
        <v>0.64935064935064934</v>
      </c>
      <c r="P83" s="96"/>
      <c r="Q83" s="93">
        <f>SUM(Q84)</f>
        <v>1</v>
      </c>
      <c r="R83" s="436">
        <f t="shared" si="8"/>
        <v>0.64935064935064934</v>
      </c>
    </row>
    <row r="84" spans="1:18" ht="13.15" customHeight="1">
      <c r="A84" s="434" t="s">
        <v>75</v>
      </c>
      <c r="B84" s="810">
        <f t="shared" si="9"/>
        <v>154</v>
      </c>
      <c r="C84" s="436">
        <f t="shared" si="13"/>
        <v>8.2529474812433019</v>
      </c>
      <c r="E84" s="435">
        <f>SUM(E85:E93)</f>
        <v>49</v>
      </c>
      <c r="F84" s="436">
        <f t="shared" si="10"/>
        <v>31.818181818181817</v>
      </c>
      <c r="H84" s="435">
        <f>SUM(H85:H93)</f>
        <v>59</v>
      </c>
      <c r="I84" s="436">
        <f t="shared" si="11"/>
        <v>38.311688311688314</v>
      </c>
      <c r="K84" s="435">
        <f>SUM(K85:K93)</f>
        <v>44</v>
      </c>
      <c r="L84" s="436">
        <f t="shared" si="12"/>
        <v>28.571428571428569</v>
      </c>
      <c r="M84" s="440"/>
      <c r="N84" s="435">
        <f>SUM(N85:N93)</f>
        <v>1</v>
      </c>
      <c r="O84" s="436">
        <f t="shared" si="7"/>
        <v>0.64935064935064934</v>
      </c>
      <c r="P84" s="442"/>
      <c r="Q84" s="435">
        <f>SUM(Q85:Q93)</f>
        <v>1</v>
      </c>
      <c r="R84" s="436">
        <f t="shared" si="8"/>
        <v>0.64935064935064934</v>
      </c>
    </row>
    <row r="85" spans="1:18" ht="13.15" customHeight="1">
      <c r="A85" s="434" t="s">
        <v>338</v>
      </c>
      <c r="B85" s="810">
        <f t="shared" si="9"/>
        <v>8</v>
      </c>
      <c r="C85" s="436">
        <f t="shared" si="13"/>
        <v>0.4287245444801715</v>
      </c>
      <c r="E85" s="434">
        <v>6</v>
      </c>
      <c r="F85" s="436">
        <f t="shared" si="10"/>
        <v>75</v>
      </c>
      <c r="H85" s="434">
        <v>1</v>
      </c>
      <c r="I85" s="436">
        <f t="shared" si="11"/>
        <v>12.5</v>
      </c>
      <c r="J85" s="434"/>
      <c r="K85" s="434">
        <v>1</v>
      </c>
      <c r="L85" s="436">
        <f t="shared" si="12"/>
        <v>12.5</v>
      </c>
      <c r="N85" s="434">
        <v>0</v>
      </c>
      <c r="O85" s="436">
        <f t="shared" si="7"/>
        <v>0</v>
      </c>
      <c r="Q85" s="455">
        <v>0</v>
      </c>
      <c r="R85" s="436">
        <f t="shared" si="8"/>
        <v>0</v>
      </c>
    </row>
    <row r="86" spans="1:18" ht="13.15" customHeight="1">
      <c r="A86" s="434" t="s">
        <v>76</v>
      </c>
      <c r="B86" s="810">
        <f t="shared" si="9"/>
        <v>22</v>
      </c>
      <c r="C86" s="436">
        <f t="shared" si="13"/>
        <v>1.1789924973204717</v>
      </c>
      <c r="E86" s="434">
        <v>10</v>
      </c>
      <c r="F86" s="436">
        <f t="shared" si="10"/>
        <v>45.454545454545453</v>
      </c>
      <c r="H86" s="434">
        <v>8</v>
      </c>
      <c r="I86" s="436">
        <f t="shared" si="11"/>
        <v>36.363636363636367</v>
      </c>
      <c r="J86" s="434"/>
      <c r="K86" s="434">
        <v>4</v>
      </c>
      <c r="L86" s="436">
        <f t="shared" si="12"/>
        <v>18.181818181818183</v>
      </c>
      <c r="N86" s="434">
        <v>0</v>
      </c>
      <c r="O86" s="436">
        <f t="shared" si="7"/>
        <v>0</v>
      </c>
      <c r="Q86" s="455">
        <v>0</v>
      </c>
      <c r="R86" s="436">
        <f t="shared" si="8"/>
        <v>0</v>
      </c>
    </row>
    <row r="87" spans="1:18" ht="13.15" customHeight="1">
      <c r="A87" s="434" t="s">
        <v>78</v>
      </c>
      <c r="B87" s="810">
        <f t="shared" si="9"/>
        <v>16</v>
      </c>
      <c r="C87" s="436">
        <f t="shared" si="13"/>
        <v>0.857449088960343</v>
      </c>
      <c r="E87" s="434">
        <v>7</v>
      </c>
      <c r="F87" s="436">
        <f t="shared" si="10"/>
        <v>43.75</v>
      </c>
      <c r="H87" s="434">
        <v>8</v>
      </c>
      <c r="I87" s="436">
        <f t="shared" si="11"/>
        <v>50</v>
      </c>
      <c r="J87" s="434"/>
      <c r="K87" s="434">
        <v>1</v>
      </c>
      <c r="L87" s="436">
        <f t="shared" si="12"/>
        <v>6.25</v>
      </c>
      <c r="N87" s="434">
        <v>0</v>
      </c>
      <c r="O87" s="436">
        <f t="shared" si="7"/>
        <v>0</v>
      </c>
      <c r="Q87" s="455">
        <v>0</v>
      </c>
      <c r="R87" s="436">
        <f t="shared" si="8"/>
        <v>0</v>
      </c>
    </row>
    <row r="88" spans="1:18" ht="13.15" customHeight="1">
      <c r="A88" s="434" t="s">
        <v>80</v>
      </c>
      <c r="B88" s="810">
        <f t="shared" si="9"/>
        <v>18</v>
      </c>
      <c r="C88" s="436">
        <f t="shared" si="13"/>
        <v>0.96463022508038598</v>
      </c>
      <c r="E88" s="434">
        <v>2</v>
      </c>
      <c r="F88" s="436">
        <f t="shared" si="10"/>
        <v>11.111111111111111</v>
      </c>
      <c r="H88" s="434">
        <v>9</v>
      </c>
      <c r="I88" s="436">
        <f t="shared" si="11"/>
        <v>50</v>
      </c>
      <c r="J88" s="434"/>
      <c r="K88" s="434">
        <v>7</v>
      </c>
      <c r="L88" s="436">
        <f t="shared" si="12"/>
        <v>38.888888888888893</v>
      </c>
      <c r="N88" s="434">
        <v>0</v>
      </c>
      <c r="O88" s="436">
        <f t="shared" si="7"/>
        <v>0</v>
      </c>
      <c r="Q88" s="455">
        <v>0</v>
      </c>
      <c r="R88" s="436">
        <f t="shared" si="8"/>
        <v>0</v>
      </c>
    </row>
    <row r="89" spans="1:18" ht="13.15" customHeight="1">
      <c r="A89" s="434" t="s">
        <v>79</v>
      </c>
      <c r="B89" s="810">
        <f t="shared" si="9"/>
        <v>13</v>
      </c>
      <c r="C89" s="436">
        <f t="shared" si="13"/>
        <v>0.69667738478027874</v>
      </c>
      <c r="E89" s="434">
        <v>2</v>
      </c>
      <c r="F89" s="436">
        <f t="shared" si="10"/>
        <v>15.384615384615385</v>
      </c>
      <c r="H89" s="434">
        <v>9</v>
      </c>
      <c r="I89" s="436">
        <f t="shared" si="11"/>
        <v>69.230769230769226</v>
      </c>
      <c r="J89" s="434"/>
      <c r="K89" s="434">
        <v>1</v>
      </c>
      <c r="L89" s="436">
        <f t="shared" si="12"/>
        <v>7.6923076923076925</v>
      </c>
      <c r="N89" s="434">
        <v>0</v>
      </c>
      <c r="O89" s="436">
        <f t="shared" si="7"/>
        <v>0</v>
      </c>
      <c r="Q89" s="455">
        <v>1</v>
      </c>
      <c r="R89" s="436">
        <f t="shared" si="8"/>
        <v>7.6923076923076925</v>
      </c>
    </row>
    <row r="90" spans="1:18" ht="13.15" customHeight="1">
      <c r="A90" s="434" t="s">
        <v>77</v>
      </c>
      <c r="B90" s="810">
        <f t="shared" si="9"/>
        <v>11</v>
      </c>
      <c r="C90" s="436">
        <f t="shared" si="13"/>
        <v>0.58949624866023587</v>
      </c>
      <c r="E90" s="434">
        <v>3</v>
      </c>
      <c r="F90" s="436">
        <f t="shared" si="10"/>
        <v>27.27272727272727</v>
      </c>
      <c r="H90" s="434">
        <v>6</v>
      </c>
      <c r="I90" s="436">
        <f t="shared" si="11"/>
        <v>54.54545454545454</v>
      </c>
      <c r="J90" s="434"/>
      <c r="K90" s="434">
        <v>2</v>
      </c>
      <c r="L90" s="436">
        <f t="shared" si="12"/>
        <v>18.181818181818183</v>
      </c>
      <c r="N90" s="434">
        <v>0</v>
      </c>
      <c r="O90" s="436">
        <f t="shared" si="7"/>
        <v>0</v>
      </c>
      <c r="Q90" s="455">
        <v>0</v>
      </c>
      <c r="R90" s="436">
        <f t="shared" si="8"/>
        <v>0</v>
      </c>
    </row>
    <row r="91" spans="1:18" ht="13.15" customHeight="1">
      <c r="A91" s="434" t="s">
        <v>81</v>
      </c>
      <c r="B91" s="810">
        <f t="shared" si="9"/>
        <v>36</v>
      </c>
      <c r="C91" s="436">
        <f t="shared" si="13"/>
        <v>1.929260450160772</v>
      </c>
      <c r="E91" s="434">
        <v>6</v>
      </c>
      <c r="F91" s="436">
        <f t="shared" si="10"/>
        <v>16.666666666666664</v>
      </c>
      <c r="H91" s="434">
        <v>10</v>
      </c>
      <c r="I91" s="436">
        <f t="shared" si="11"/>
        <v>27.777777777777779</v>
      </c>
      <c r="J91" s="434"/>
      <c r="K91" s="434">
        <v>20</v>
      </c>
      <c r="L91" s="436">
        <f t="shared" si="12"/>
        <v>55.555555555555557</v>
      </c>
      <c r="N91" s="434">
        <v>0</v>
      </c>
      <c r="O91" s="436">
        <f t="shared" si="7"/>
        <v>0</v>
      </c>
      <c r="Q91" s="455">
        <v>0</v>
      </c>
      <c r="R91" s="436">
        <f t="shared" si="8"/>
        <v>0</v>
      </c>
    </row>
    <row r="92" spans="1:18" ht="12" customHeight="1">
      <c r="A92" s="434" t="s">
        <v>84</v>
      </c>
      <c r="B92" s="810">
        <f t="shared" si="9"/>
        <v>8</v>
      </c>
      <c r="C92" s="436">
        <f t="shared" si="13"/>
        <v>0.4287245444801715</v>
      </c>
      <c r="E92" s="434">
        <v>0</v>
      </c>
      <c r="F92" s="436">
        <f t="shared" si="10"/>
        <v>0</v>
      </c>
      <c r="H92" s="434">
        <v>2</v>
      </c>
      <c r="I92" s="436">
        <f t="shared" si="11"/>
        <v>25</v>
      </c>
      <c r="J92" s="434"/>
      <c r="K92" s="434">
        <v>5</v>
      </c>
      <c r="L92" s="436">
        <f t="shared" si="12"/>
        <v>62.5</v>
      </c>
      <c r="N92" s="434">
        <v>1</v>
      </c>
      <c r="O92" s="436">
        <f t="shared" si="7"/>
        <v>12.5</v>
      </c>
      <c r="Q92" s="455">
        <v>0</v>
      </c>
      <c r="R92" s="436">
        <f t="shared" si="8"/>
        <v>0</v>
      </c>
    </row>
    <row r="93" spans="1:18" ht="13.15" customHeight="1">
      <c r="A93" s="434" t="s">
        <v>339</v>
      </c>
      <c r="B93" s="810">
        <f t="shared" si="9"/>
        <v>22</v>
      </c>
      <c r="C93" s="436">
        <f t="shared" si="13"/>
        <v>1.1789924973204717</v>
      </c>
      <c r="E93" s="434">
        <v>13</v>
      </c>
      <c r="F93" s="436">
        <f t="shared" si="10"/>
        <v>59.090909090909093</v>
      </c>
      <c r="H93" s="434">
        <v>6</v>
      </c>
      <c r="I93" s="436">
        <f t="shared" si="11"/>
        <v>27.27272727272727</v>
      </c>
      <c r="J93" s="434"/>
      <c r="K93" s="434">
        <v>3</v>
      </c>
      <c r="L93" s="436">
        <f t="shared" si="12"/>
        <v>13.636363636363635</v>
      </c>
      <c r="N93" s="434">
        <v>0</v>
      </c>
      <c r="O93" s="436">
        <f t="shared" si="7"/>
        <v>0</v>
      </c>
      <c r="Q93" s="455">
        <v>0</v>
      </c>
      <c r="R93" s="436">
        <f t="shared" si="8"/>
        <v>0</v>
      </c>
    </row>
    <row r="94" spans="1:18" ht="9.9499999999999993" customHeight="1">
      <c r="B94" s="810" t="str">
        <f t="shared" si="9"/>
        <v/>
      </c>
      <c r="C94" s="436" t="str">
        <f t="shared" si="13"/>
        <v/>
      </c>
      <c r="E94" s="434"/>
      <c r="F94" s="436" t="str">
        <f t="shared" si="10"/>
        <v/>
      </c>
      <c r="H94" s="434"/>
      <c r="I94" s="436" t="str">
        <f t="shared" si="11"/>
        <v/>
      </c>
      <c r="J94" s="434"/>
      <c r="K94" s="434"/>
      <c r="L94" s="436" t="str">
        <f t="shared" si="12"/>
        <v/>
      </c>
      <c r="N94" s="434"/>
      <c r="O94" s="436" t="str">
        <f t="shared" si="7"/>
        <v/>
      </c>
      <c r="Q94" s="455"/>
      <c r="R94" s="436" t="str">
        <f t="shared" si="8"/>
        <v/>
      </c>
    </row>
    <row r="95" spans="1:18" ht="12" customHeight="1">
      <c r="A95" s="434" t="s">
        <v>85</v>
      </c>
      <c r="B95" s="810">
        <f t="shared" si="9"/>
        <v>101</v>
      </c>
      <c r="C95" s="436">
        <f t="shared" si="13"/>
        <v>5.412647374062165</v>
      </c>
      <c r="E95" s="434">
        <v>34</v>
      </c>
      <c r="F95" s="436">
        <f t="shared" si="10"/>
        <v>33.663366336633665</v>
      </c>
      <c r="H95" s="434">
        <v>51</v>
      </c>
      <c r="I95" s="436">
        <f t="shared" si="11"/>
        <v>50.495049504950494</v>
      </c>
      <c r="J95" s="434"/>
      <c r="K95" s="434">
        <v>16</v>
      </c>
      <c r="L95" s="436">
        <f t="shared" si="12"/>
        <v>15.841584158415841</v>
      </c>
      <c r="N95" s="434">
        <v>0</v>
      </c>
      <c r="O95" s="436">
        <f t="shared" si="7"/>
        <v>0</v>
      </c>
      <c r="Q95" s="455">
        <v>0</v>
      </c>
      <c r="R95" s="436">
        <f t="shared" si="8"/>
        <v>0</v>
      </c>
    </row>
    <row r="96" spans="1:18" ht="12" customHeight="1">
      <c r="A96" s="42" t="s">
        <v>409</v>
      </c>
      <c r="B96" s="810">
        <f t="shared" si="9"/>
        <v>4</v>
      </c>
      <c r="C96" s="436">
        <f t="shared" si="13"/>
        <v>0.21436227224008575</v>
      </c>
      <c r="E96" s="434">
        <v>0</v>
      </c>
      <c r="F96" s="436">
        <f t="shared" si="10"/>
        <v>0</v>
      </c>
      <c r="H96" s="434">
        <v>2</v>
      </c>
      <c r="I96" s="436">
        <f t="shared" si="11"/>
        <v>50</v>
      </c>
      <c r="J96" s="434"/>
      <c r="K96" s="434">
        <v>2</v>
      </c>
      <c r="L96" s="436">
        <f t="shared" si="12"/>
        <v>50</v>
      </c>
      <c r="N96" s="434">
        <v>0</v>
      </c>
      <c r="O96" s="436">
        <f t="shared" si="7"/>
        <v>0</v>
      </c>
      <c r="Q96" s="455">
        <v>0</v>
      </c>
      <c r="R96" s="436">
        <f t="shared" si="8"/>
        <v>0</v>
      </c>
    </row>
    <row r="97" spans="1:18" ht="9" customHeight="1">
      <c r="B97" s="810" t="str">
        <f t="shared" si="9"/>
        <v/>
      </c>
      <c r="C97" s="436" t="str">
        <f t="shared" si="13"/>
        <v/>
      </c>
      <c r="F97" s="436" t="str">
        <f t="shared" si="10"/>
        <v/>
      </c>
      <c r="I97" s="436" t="str">
        <f t="shared" si="11"/>
        <v/>
      </c>
      <c r="L97" s="436" t="str">
        <f t="shared" si="12"/>
        <v/>
      </c>
      <c r="M97" s="440"/>
      <c r="O97" s="436" t="str">
        <f t="shared" si="7"/>
        <v/>
      </c>
      <c r="P97" s="442"/>
      <c r="Q97" s="435"/>
      <c r="R97" s="436" t="str">
        <f t="shared" si="8"/>
        <v/>
      </c>
    </row>
    <row r="98" spans="1:18" s="455" customFormat="1" ht="12" customHeight="1">
      <c r="A98" s="9" t="s">
        <v>86</v>
      </c>
      <c r="B98" s="810">
        <f t="shared" si="9"/>
        <v>137</v>
      </c>
      <c r="C98" s="436">
        <f t="shared" si="13"/>
        <v>7.3419078242229379</v>
      </c>
      <c r="E98" s="449">
        <f>SUM(E100:E105)</f>
        <v>96</v>
      </c>
      <c r="F98" s="436">
        <f t="shared" si="10"/>
        <v>70.072992700729927</v>
      </c>
      <c r="G98" s="449"/>
      <c r="H98" s="449">
        <f>SUM(H100:H105)</f>
        <v>33</v>
      </c>
      <c r="I98" s="436">
        <f t="shared" si="11"/>
        <v>24.087591240875913</v>
      </c>
      <c r="J98" s="454"/>
      <c r="K98" s="449">
        <f>SUM(K100:K105)</f>
        <v>7</v>
      </c>
      <c r="L98" s="436">
        <f t="shared" si="12"/>
        <v>5.1094890510948909</v>
      </c>
      <c r="M98" s="453"/>
      <c r="N98" s="449">
        <f>SUM(N100:N105)</f>
        <v>0</v>
      </c>
      <c r="O98" s="436">
        <f t="shared" si="7"/>
        <v>0</v>
      </c>
      <c r="P98" s="450"/>
      <c r="Q98" s="449">
        <f>SUM(Q100:Q105)</f>
        <v>1</v>
      </c>
      <c r="R98" s="436">
        <f t="shared" si="8"/>
        <v>0.72992700729927007</v>
      </c>
    </row>
    <row r="99" spans="1:18" s="455" customFormat="1" ht="9" customHeight="1">
      <c r="B99" s="810" t="str">
        <f t="shared" si="9"/>
        <v/>
      </c>
      <c r="C99" s="436" t="str">
        <f t="shared" si="13"/>
        <v/>
      </c>
      <c r="E99" s="449"/>
      <c r="F99" s="436" t="str">
        <f t="shared" si="10"/>
        <v/>
      </c>
      <c r="H99" s="449"/>
      <c r="I99" s="436" t="str">
        <f t="shared" si="11"/>
        <v/>
      </c>
      <c r="J99" s="454"/>
      <c r="K99" s="449"/>
      <c r="L99" s="436" t="str">
        <f t="shared" si="12"/>
        <v/>
      </c>
      <c r="M99" s="453"/>
      <c r="N99" s="449"/>
      <c r="O99" s="436" t="str">
        <f t="shared" si="7"/>
        <v/>
      </c>
      <c r="P99" s="449"/>
      <c r="Q99" s="449"/>
      <c r="R99" s="436" t="str">
        <f t="shared" si="8"/>
        <v/>
      </c>
    </row>
    <row r="100" spans="1:18" s="455" customFormat="1" ht="11.25" customHeight="1">
      <c r="A100" s="455" t="s">
        <v>400</v>
      </c>
      <c r="B100" s="810">
        <f t="shared" si="9"/>
        <v>53</v>
      </c>
      <c r="C100" s="454">
        <f t="shared" si="13"/>
        <v>2.840300107181136</v>
      </c>
      <c r="E100" s="434">
        <v>44</v>
      </c>
      <c r="F100" s="436">
        <f t="shared" si="10"/>
        <v>83.018867924528308</v>
      </c>
      <c r="G100" s="434"/>
      <c r="H100" s="434">
        <v>9</v>
      </c>
      <c r="I100" s="436">
        <f t="shared" si="11"/>
        <v>16.981132075471699</v>
      </c>
      <c r="J100" s="434"/>
      <c r="K100" s="434">
        <v>0</v>
      </c>
      <c r="L100" s="436">
        <f t="shared" si="12"/>
        <v>0</v>
      </c>
      <c r="M100" s="434"/>
      <c r="N100" s="434">
        <v>0</v>
      </c>
      <c r="O100" s="436">
        <f t="shared" si="7"/>
        <v>0</v>
      </c>
      <c r="P100" s="434"/>
      <c r="R100" s="436">
        <f t="shared" si="8"/>
        <v>0</v>
      </c>
    </row>
    <row r="101" spans="1:18" s="455" customFormat="1" ht="12" customHeight="1">
      <c r="A101" s="455" t="s">
        <v>398</v>
      </c>
      <c r="B101" s="810">
        <f t="shared" si="9"/>
        <v>70</v>
      </c>
      <c r="C101" s="454">
        <f t="shared" si="13"/>
        <v>3.7513397642015009</v>
      </c>
      <c r="E101" s="434">
        <v>44</v>
      </c>
      <c r="F101" s="436">
        <f t="shared" si="10"/>
        <v>62.857142857142854</v>
      </c>
      <c r="G101" s="434"/>
      <c r="H101" s="434">
        <v>19</v>
      </c>
      <c r="I101" s="436">
        <f t="shared" si="11"/>
        <v>27.142857142857142</v>
      </c>
      <c r="J101" s="434"/>
      <c r="K101" s="434">
        <v>7</v>
      </c>
      <c r="L101" s="436">
        <f t="shared" si="12"/>
        <v>10</v>
      </c>
      <c r="M101" s="434"/>
      <c r="N101" s="434">
        <v>0</v>
      </c>
      <c r="O101" s="436">
        <f t="shared" si="7"/>
        <v>0</v>
      </c>
      <c r="P101" s="434"/>
      <c r="R101" s="436">
        <f t="shared" si="8"/>
        <v>0</v>
      </c>
    </row>
    <row r="102" spans="1:18" s="455" customFormat="1" ht="12" customHeight="1">
      <c r="A102" s="455" t="s">
        <v>399</v>
      </c>
      <c r="B102" s="810">
        <f t="shared" si="9"/>
        <v>12</v>
      </c>
      <c r="C102" s="454">
        <f t="shared" si="13"/>
        <v>0.64308681672025725</v>
      </c>
      <c r="E102" s="434">
        <v>8</v>
      </c>
      <c r="F102" s="436">
        <f t="shared" si="10"/>
        <v>66.666666666666657</v>
      </c>
      <c r="G102" s="434"/>
      <c r="H102" s="434">
        <v>4</v>
      </c>
      <c r="I102" s="436">
        <f t="shared" si="11"/>
        <v>33.333333333333329</v>
      </c>
      <c r="J102" s="434"/>
      <c r="K102" s="434">
        <v>0</v>
      </c>
      <c r="L102" s="436">
        <f t="shared" si="12"/>
        <v>0</v>
      </c>
      <c r="M102" s="434"/>
      <c r="N102" s="434">
        <v>0</v>
      </c>
      <c r="O102" s="436">
        <f t="shared" si="7"/>
        <v>0</v>
      </c>
      <c r="P102" s="434"/>
      <c r="R102" s="436">
        <f t="shared" si="8"/>
        <v>0</v>
      </c>
    </row>
    <row r="103" spans="1:18" s="455" customFormat="1" ht="12" hidden="1" customHeight="1">
      <c r="A103" s="455" t="s">
        <v>410</v>
      </c>
      <c r="B103" s="810">
        <f t="shared" si="9"/>
        <v>0</v>
      </c>
      <c r="C103" s="454">
        <f t="shared" si="13"/>
        <v>0</v>
      </c>
      <c r="F103" s="436" t="e">
        <f t="shared" si="10"/>
        <v>#DIV/0!</v>
      </c>
      <c r="I103" s="436" t="e">
        <f t="shared" si="11"/>
        <v>#DIV/0!</v>
      </c>
      <c r="L103" s="436" t="e">
        <f t="shared" si="12"/>
        <v>#DIV/0!</v>
      </c>
      <c r="N103" s="449"/>
      <c r="O103" s="436" t="e">
        <f t="shared" si="7"/>
        <v>#DIV/0!</v>
      </c>
      <c r="P103" s="450"/>
      <c r="Q103" s="449"/>
      <c r="R103" s="436" t="e">
        <f t="shared" si="8"/>
        <v>#DIV/0!</v>
      </c>
    </row>
    <row r="104" spans="1:18" s="455" customFormat="1" ht="9" customHeight="1">
      <c r="B104" s="810" t="str">
        <f t="shared" si="9"/>
        <v/>
      </c>
      <c r="C104" s="454" t="str">
        <f t="shared" si="13"/>
        <v/>
      </c>
      <c r="F104" s="436" t="str">
        <f t="shared" si="10"/>
        <v/>
      </c>
      <c r="I104" s="436" t="str">
        <f t="shared" si="11"/>
        <v/>
      </c>
      <c r="L104" s="436" t="str">
        <f t="shared" si="12"/>
        <v/>
      </c>
      <c r="N104" s="449"/>
      <c r="O104" s="436" t="str">
        <f t="shared" si="7"/>
        <v/>
      </c>
      <c r="P104" s="450"/>
      <c r="Q104" s="449"/>
      <c r="R104" s="436" t="str">
        <f t="shared" si="8"/>
        <v/>
      </c>
    </row>
    <row r="105" spans="1:18" s="455" customFormat="1" ht="12" customHeight="1">
      <c r="A105" s="455" t="s">
        <v>149</v>
      </c>
      <c r="B105" s="810">
        <f t="shared" si="9"/>
        <v>2</v>
      </c>
      <c r="C105" s="454">
        <f t="shared" si="13"/>
        <v>0.10718113612004287</v>
      </c>
      <c r="E105" s="434">
        <v>0</v>
      </c>
      <c r="F105" s="436">
        <f t="shared" si="10"/>
        <v>0</v>
      </c>
      <c r="G105" s="434"/>
      <c r="H105" s="434">
        <v>1</v>
      </c>
      <c r="I105" s="436">
        <f t="shared" si="11"/>
        <v>50</v>
      </c>
      <c r="J105" s="434"/>
      <c r="K105" s="434">
        <v>0</v>
      </c>
      <c r="L105" s="436">
        <f t="shared" si="12"/>
        <v>0</v>
      </c>
      <c r="M105" s="434"/>
      <c r="N105" s="434">
        <v>0</v>
      </c>
      <c r="O105" s="436">
        <f t="shared" si="7"/>
        <v>0</v>
      </c>
      <c r="P105" s="434"/>
      <c r="Q105" s="455">
        <v>1</v>
      </c>
      <c r="R105" s="436">
        <f t="shared" si="8"/>
        <v>50</v>
      </c>
    </row>
    <row r="106" spans="1:18" s="455" customFormat="1" ht="9.9499999999999993" customHeight="1">
      <c r="B106" s="810" t="str">
        <f t="shared" si="9"/>
        <v/>
      </c>
      <c r="C106" s="454" t="str">
        <f t="shared" si="13"/>
        <v/>
      </c>
      <c r="E106" s="449"/>
      <c r="F106" s="436" t="str">
        <f t="shared" si="10"/>
        <v/>
      </c>
      <c r="H106" s="449"/>
      <c r="I106" s="436" t="str">
        <f t="shared" si="11"/>
        <v/>
      </c>
      <c r="J106" s="454"/>
      <c r="K106" s="449"/>
      <c r="L106" s="436" t="str">
        <f t="shared" si="12"/>
        <v/>
      </c>
      <c r="M106" s="453"/>
      <c r="N106" s="449"/>
      <c r="O106" s="436" t="str">
        <f t="shared" si="7"/>
        <v/>
      </c>
      <c r="P106" s="450"/>
      <c r="Q106" s="449"/>
      <c r="R106" s="436" t="str">
        <f t="shared" si="8"/>
        <v/>
      </c>
    </row>
    <row r="107" spans="1:18" ht="12" customHeight="1">
      <c r="A107" s="63" t="s">
        <v>346</v>
      </c>
      <c r="B107" s="810">
        <f t="shared" si="9"/>
        <v>203</v>
      </c>
      <c r="C107" s="436">
        <f t="shared" si="13"/>
        <v>10.878885316184352</v>
      </c>
      <c r="E107" s="435">
        <f>SUM(E108:E112)</f>
        <v>38</v>
      </c>
      <c r="F107" s="436">
        <f t="shared" si="10"/>
        <v>18.7192118226601</v>
      </c>
      <c r="H107" s="435">
        <f>SUM(H108:H112)</f>
        <v>140</v>
      </c>
      <c r="I107" s="436">
        <f t="shared" si="11"/>
        <v>68.965517241379317</v>
      </c>
      <c r="K107" s="435">
        <f>SUM(K108:K112)</f>
        <v>25</v>
      </c>
      <c r="L107" s="436">
        <f t="shared" si="12"/>
        <v>12.315270935960591</v>
      </c>
      <c r="M107" s="440"/>
      <c r="N107" s="435">
        <f>SUM(N108:N112)</f>
        <v>0</v>
      </c>
      <c r="O107" s="436">
        <f t="shared" si="7"/>
        <v>0</v>
      </c>
      <c r="P107" s="442"/>
      <c r="Q107" s="435">
        <f>SUM(Q108:Q112)</f>
        <v>0</v>
      </c>
      <c r="R107" s="436">
        <f t="shared" si="8"/>
        <v>0</v>
      </c>
    </row>
    <row r="108" spans="1:18" ht="12" customHeight="1">
      <c r="A108" s="434" t="s">
        <v>347</v>
      </c>
      <c r="B108" s="810">
        <f t="shared" si="9"/>
        <v>88</v>
      </c>
      <c r="C108" s="436">
        <f t="shared" si="13"/>
        <v>4.7159699892818869</v>
      </c>
      <c r="E108" s="434">
        <v>17</v>
      </c>
      <c r="F108" s="436">
        <f t="shared" si="10"/>
        <v>19.318181818181817</v>
      </c>
      <c r="H108" s="434">
        <v>57</v>
      </c>
      <c r="I108" s="436">
        <f t="shared" si="11"/>
        <v>64.772727272727266</v>
      </c>
      <c r="J108" s="434"/>
      <c r="K108" s="434">
        <v>14</v>
      </c>
      <c r="L108" s="436">
        <f t="shared" si="12"/>
        <v>15.909090909090908</v>
      </c>
      <c r="N108" s="434">
        <v>0</v>
      </c>
      <c r="O108" s="436">
        <f t="shared" si="7"/>
        <v>0</v>
      </c>
      <c r="Q108" s="455">
        <v>0</v>
      </c>
      <c r="R108" s="436">
        <f t="shared" si="8"/>
        <v>0</v>
      </c>
    </row>
    <row r="109" spans="1:18" ht="12" customHeight="1">
      <c r="A109" s="434" t="s">
        <v>348</v>
      </c>
      <c r="B109" s="810">
        <f t="shared" si="9"/>
        <v>33</v>
      </c>
      <c r="C109" s="436">
        <f t="shared" si="13"/>
        <v>1.7684887459807075</v>
      </c>
      <c r="E109" s="434">
        <v>5</v>
      </c>
      <c r="F109" s="436">
        <f t="shared" si="10"/>
        <v>15.151515151515152</v>
      </c>
      <c r="H109" s="434">
        <v>26</v>
      </c>
      <c r="I109" s="436">
        <f t="shared" si="11"/>
        <v>78.787878787878782</v>
      </c>
      <c r="J109" s="434"/>
      <c r="K109" s="434">
        <v>2</v>
      </c>
      <c r="L109" s="436">
        <f t="shared" si="12"/>
        <v>6.0606060606060606</v>
      </c>
      <c r="N109" s="434">
        <v>0</v>
      </c>
      <c r="O109" s="436">
        <f t="shared" si="7"/>
        <v>0</v>
      </c>
      <c r="Q109" s="455">
        <v>0</v>
      </c>
      <c r="R109" s="436">
        <f t="shared" si="8"/>
        <v>0</v>
      </c>
    </row>
    <row r="110" spans="1:18" ht="12" customHeight="1">
      <c r="A110" s="434" t="s">
        <v>349</v>
      </c>
      <c r="B110" s="810">
        <f t="shared" si="9"/>
        <v>32</v>
      </c>
      <c r="C110" s="436">
        <f t="shared" si="13"/>
        <v>1.714898177920686</v>
      </c>
      <c r="E110" s="434">
        <v>4</v>
      </c>
      <c r="F110" s="436">
        <f t="shared" si="10"/>
        <v>12.5</v>
      </c>
      <c r="H110" s="434">
        <v>24</v>
      </c>
      <c r="I110" s="436">
        <f t="shared" si="11"/>
        <v>75</v>
      </c>
      <c r="J110" s="434"/>
      <c r="K110" s="434">
        <v>4</v>
      </c>
      <c r="L110" s="436">
        <f t="shared" si="12"/>
        <v>12.5</v>
      </c>
      <c r="N110" s="434">
        <v>0</v>
      </c>
      <c r="O110" s="436">
        <f t="shared" si="7"/>
        <v>0</v>
      </c>
      <c r="Q110" s="455">
        <v>0</v>
      </c>
      <c r="R110" s="436">
        <f t="shared" si="8"/>
        <v>0</v>
      </c>
    </row>
    <row r="111" spans="1:18" ht="12" customHeight="1">
      <c r="A111" s="42" t="s">
        <v>378</v>
      </c>
      <c r="B111" s="810">
        <f t="shared" si="9"/>
        <v>24</v>
      </c>
      <c r="C111" s="436">
        <f t="shared" si="13"/>
        <v>1.2861736334405145</v>
      </c>
      <c r="E111" s="434">
        <v>7</v>
      </c>
      <c r="F111" s="436">
        <f t="shared" si="10"/>
        <v>29.166666666666668</v>
      </c>
      <c r="H111" s="434">
        <v>15</v>
      </c>
      <c r="I111" s="436">
        <f t="shared" si="11"/>
        <v>62.5</v>
      </c>
      <c r="J111" s="434"/>
      <c r="K111" s="434">
        <v>2</v>
      </c>
      <c r="L111" s="436">
        <f t="shared" si="12"/>
        <v>8.3333333333333321</v>
      </c>
      <c r="N111" s="434">
        <v>0</v>
      </c>
      <c r="O111" s="436">
        <f t="shared" si="7"/>
        <v>0</v>
      </c>
      <c r="Q111" s="455">
        <v>0</v>
      </c>
      <c r="R111" s="436">
        <f t="shared" si="8"/>
        <v>0</v>
      </c>
    </row>
    <row r="112" spans="1:18" ht="12" customHeight="1">
      <c r="A112" s="434" t="s">
        <v>351</v>
      </c>
      <c r="B112" s="810">
        <f t="shared" si="9"/>
        <v>26</v>
      </c>
      <c r="C112" s="436">
        <f>IF(A112&lt;&gt;0,B112/$B$11*100,"")</f>
        <v>1.3933547695605575</v>
      </c>
      <c r="E112" s="434">
        <v>5</v>
      </c>
      <c r="F112" s="436">
        <f t="shared" si="10"/>
        <v>19.230769230769234</v>
      </c>
      <c r="H112" s="434">
        <v>18</v>
      </c>
      <c r="I112" s="436">
        <f t="shared" si="11"/>
        <v>69.230769230769226</v>
      </c>
      <c r="J112" s="434"/>
      <c r="K112" s="434">
        <v>3</v>
      </c>
      <c r="L112" s="436">
        <f t="shared" si="12"/>
        <v>11.538461538461538</v>
      </c>
      <c r="N112" s="434">
        <v>0</v>
      </c>
      <c r="O112" s="436">
        <f t="shared" si="7"/>
        <v>0</v>
      </c>
      <c r="Q112" s="455">
        <v>0</v>
      </c>
      <c r="R112" s="436">
        <f>IF($A112&lt;&gt;0,Q112/$B112*100,"")</f>
        <v>0</v>
      </c>
    </row>
    <row r="113" spans="1:19" ht="9.9499999999999993" customHeight="1" thickBot="1">
      <c r="O113" s="436"/>
      <c r="P113" s="436"/>
      <c r="Q113" s="436"/>
      <c r="R113" s="436"/>
      <c r="S113" s="436"/>
    </row>
    <row r="114" spans="1:19" ht="6" customHeight="1">
      <c r="A114" s="437"/>
      <c r="B114" s="811"/>
      <c r="C114" s="439"/>
      <c r="D114" s="437"/>
      <c r="E114" s="438"/>
      <c r="F114" s="439"/>
      <c r="G114" s="437"/>
      <c r="H114" s="438"/>
      <c r="I114" s="439"/>
      <c r="J114" s="439"/>
      <c r="K114" s="438"/>
      <c r="L114" s="439"/>
      <c r="M114" s="437"/>
      <c r="N114" s="438"/>
      <c r="O114" s="439"/>
      <c r="P114" s="439"/>
      <c r="Q114" s="439"/>
      <c r="R114" s="439"/>
      <c r="S114" s="439"/>
    </row>
    <row r="115" spans="1:19" ht="12" customHeight="1">
      <c r="A115" s="453" t="s">
        <v>401</v>
      </c>
      <c r="B115" s="448"/>
      <c r="C115" s="442"/>
      <c r="D115" s="440"/>
      <c r="E115" s="441"/>
      <c r="F115" s="442"/>
      <c r="G115" s="440"/>
      <c r="H115" s="441"/>
      <c r="I115" s="442"/>
      <c r="J115" s="442"/>
      <c r="K115" s="441"/>
      <c r="L115" s="442"/>
      <c r="M115" s="440"/>
      <c r="N115" s="441"/>
      <c r="O115" s="442"/>
      <c r="P115" s="442"/>
    </row>
    <row r="116" spans="1:19" ht="12" customHeight="1">
      <c r="A116" s="453" t="s">
        <v>411</v>
      </c>
      <c r="B116" s="448"/>
      <c r="C116" s="442"/>
      <c r="D116" s="440"/>
      <c r="E116" s="441"/>
      <c r="F116" s="442"/>
      <c r="G116" s="440"/>
      <c r="H116" s="441"/>
      <c r="I116" s="442"/>
      <c r="J116" s="442"/>
      <c r="K116" s="441"/>
      <c r="L116" s="442"/>
      <c r="M116" s="440"/>
      <c r="N116" s="441"/>
      <c r="O116" s="442"/>
      <c r="P116" s="442"/>
    </row>
    <row r="117" spans="1:19" ht="12" customHeight="1">
      <c r="A117" s="95" t="s">
        <v>403</v>
      </c>
      <c r="B117" s="448"/>
      <c r="C117" s="442"/>
      <c r="D117" s="440"/>
      <c r="E117" s="441"/>
      <c r="F117" s="442"/>
      <c r="G117" s="440"/>
      <c r="H117" s="441"/>
      <c r="I117" s="442"/>
      <c r="J117" s="442"/>
      <c r="K117" s="441"/>
      <c r="L117" s="442"/>
      <c r="M117" s="440"/>
      <c r="N117" s="441"/>
      <c r="O117" s="442"/>
      <c r="P117" s="442"/>
    </row>
    <row r="118" spans="1:19" ht="5.25" customHeight="1"/>
    <row r="119" spans="1:19" ht="12" customHeight="1">
      <c r="A119" s="434" t="s">
        <v>404</v>
      </c>
    </row>
    <row r="120" spans="1:19" ht="12" customHeight="1">
      <c r="A120" s="434" t="s">
        <v>385</v>
      </c>
    </row>
  </sheetData>
  <mergeCells count="2">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130.xml><?xml version="1.0" encoding="utf-8"?>
<worksheet xmlns="http://schemas.openxmlformats.org/spreadsheetml/2006/main" xmlns:r="http://schemas.openxmlformats.org/officeDocument/2006/relationships">
  <dimension ref="A1:F57"/>
  <sheetViews>
    <sheetView tabSelected="1" topLeftCell="A22" workbookViewId="0">
      <selection activeCell="A48" sqref="A48"/>
    </sheetView>
  </sheetViews>
  <sheetFormatPr baseColWidth="10" defaultRowHeight="15"/>
  <cols>
    <col min="1" max="1" width="70.42578125" customWidth="1"/>
    <col min="2" max="2" width="3.28515625" customWidth="1"/>
    <col min="3" max="3" width="10.140625" customWidth="1"/>
    <col min="4" max="4" width="3.85546875" customWidth="1"/>
    <col min="5" max="5" width="9" customWidth="1"/>
    <col min="6" max="6" width="2.5703125" customWidth="1"/>
    <col min="257" max="257" width="70.42578125" customWidth="1"/>
    <col min="258" max="258" width="3.28515625" customWidth="1"/>
    <col min="260" max="260" width="3.85546875" customWidth="1"/>
    <col min="262" max="262" width="2.5703125" customWidth="1"/>
    <col min="513" max="513" width="70.42578125" customWidth="1"/>
    <col min="514" max="514" width="3.28515625" customWidth="1"/>
    <col min="516" max="516" width="3.85546875" customWidth="1"/>
    <col min="518" max="518" width="2.5703125" customWidth="1"/>
    <col min="769" max="769" width="70.42578125" customWidth="1"/>
    <col min="770" max="770" width="3.28515625" customWidth="1"/>
    <col min="772" max="772" width="3.85546875" customWidth="1"/>
    <col min="774" max="774" width="2.5703125" customWidth="1"/>
    <col min="1025" max="1025" width="70.42578125" customWidth="1"/>
    <col min="1026" max="1026" width="3.28515625" customWidth="1"/>
    <col min="1028" max="1028" width="3.85546875" customWidth="1"/>
    <col min="1030" max="1030" width="2.5703125" customWidth="1"/>
    <col min="1281" max="1281" width="70.42578125" customWidth="1"/>
    <col min="1282" max="1282" width="3.28515625" customWidth="1"/>
    <col min="1284" max="1284" width="3.85546875" customWidth="1"/>
    <col min="1286" max="1286" width="2.5703125" customWidth="1"/>
    <col min="1537" max="1537" width="70.42578125" customWidth="1"/>
    <col min="1538" max="1538" width="3.28515625" customWidth="1"/>
    <col min="1540" max="1540" width="3.85546875" customWidth="1"/>
    <col min="1542" max="1542" width="2.5703125" customWidth="1"/>
    <col min="1793" max="1793" width="70.42578125" customWidth="1"/>
    <col min="1794" max="1794" width="3.28515625" customWidth="1"/>
    <col min="1796" max="1796" width="3.85546875" customWidth="1"/>
    <col min="1798" max="1798" width="2.5703125" customWidth="1"/>
    <col min="2049" max="2049" width="70.42578125" customWidth="1"/>
    <col min="2050" max="2050" width="3.28515625" customWidth="1"/>
    <col min="2052" max="2052" width="3.85546875" customWidth="1"/>
    <col min="2054" max="2054" width="2.5703125" customWidth="1"/>
    <col min="2305" max="2305" width="70.42578125" customWidth="1"/>
    <col min="2306" max="2306" width="3.28515625" customWidth="1"/>
    <col min="2308" max="2308" width="3.85546875" customWidth="1"/>
    <col min="2310" max="2310" width="2.5703125" customWidth="1"/>
    <col min="2561" max="2561" width="70.42578125" customWidth="1"/>
    <col min="2562" max="2562" width="3.28515625" customWidth="1"/>
    <col min="2564" max="2564" width="3.85546875" customWidth="1"/>
    <col min="2566" max="2566" width="2.5703125" customWidth="1"/>
    <col min="2817" max="2817" width="70.42578125" customWidth="1"/>
    <col min="2818" max="2818" width="3.28515625" customWidth="1"/>
    <col min="2820" max="2820" width="3.85546875" customWidth="1"/>
    <col min="2822" max="2822" width="2.5703125" customWidth="1"/>
    <col min="3073" max="3073" width="70.42578125" customWidth="1"/>
    <col min="3074" max="3074" width="3.28515625" customWidth="1"/>
    <col min="3076" max="3076" width="3.85546875" customWidth="1"/>
    <col min="3078" max="3078" width="2.5703125" customWidth="1"/>
    <col min="3329" max="3329" width="70.42578125" customWidth="1"/>
    <col min="3330" max="3330" width="3.28515625" customWidth="1"/>
    <col min="3332" max="3332" width="3.85546875" customWidth="1"/>
    <col min="3334" max="3334" width="2.5703125" customWidth="1"/>
    <col min="3585" max="3585" width="70.42578125" customWidth="1"/>
    <col min="3586" max="3586" width="3.28515625" customWidth="1"/>
    <col min="3588" max="3588" width="3.85546875" customWidth="1"/>
    <col min="3590" max="3590" width="2.5703125" customWidth="1"/>
    <col min="3841" max="3841" width="70.42578125" customWidth="1"/>
    <col min="3842" max="3842" width="3.28515625" customWidth="1"/>
    <col min="3844" max="3844" width="3.85546875" customWidth="1"/>
    <col min="3846" max="3846" width="2.5703125" customWidth="1"/>
    <col min="4097" max="4097" width="70.42578125" customWidth="1"/>
    <col min="4098" max="4098" width="3.28515625" customWidth="1"/>
    <col min="4100" max="4100" width="3.85546875" customWidth="1"/>
    <col min="4102" max="4102" width="2.5703125" customWidth="1"/>
    <col min="4353" max="4353" width="70.42578125" customWidth="1"/>
    <col min="4354" max="4354" width="3.28515625" customWidth="1"/>
    <col min="4356" max="4356" width="3.85546875" customWidth="1"/>
    <col min="4358" max="4358" width="2.5703125" customWidth="1"/>
    <col min="4609" max="4609" width="70.42578125" customWidth="1"/>
    <col min="4610" max="4610" width="3.28515625" customWidth="1"/>
    <col min="4612" max="4612" width="3.85546875" customWidth="1"/>
    <col min="4614" max="4614" width="2.5703125" customWidth="1"/>
    <col min="4865" max="4865" width="70.42578125" customWidth="1"/>
    <col min="4866" max="4866" width="3.28515625" customWidth="1"/>
    <col min="4868" max="4868" width="3.85546875" customWidth="1"/>
    <col min="4870" max="4870" width="2.5703125" customWidth="1"/>
    <col min="5121" max="5121" width="70.42578125" customWidth="1"/>
    <col min="5122" max="5122" width="3.28515625" customWidth="1"/>
    <col min="5124" max="5124" width="3.85546875" customWidth="1"/>
    <col min="5126" max="5126" width="2.5703125" customWidth="1"/>
    <col min="5377" max="5377" width="70.42578125" customWidth="1"/>
    <col min="5378" max="5378" width="3.28515625" customWidth="1"/>
    <col min="5380" max="5380" width="3.85546875" customWidth="1"/>
    <col min="5382" max="5382" width="2.5703125" customWidth="1"/>
    <col min="5633" max="5633" width="70.42578125" customWidth="1"/>
    <col min="5634" max="5634" width="3.28515625" customWidth="1"/>
    <col min="5636" max="5636" width="3.85546875" customWidth="1"/>
    <col min="5638" max="5638" width="2.5703125" customWidth="1"/>
    <col min="5889" max="5889" width="70.42578125" customWidth="1"/>
    <col min="5890" max="5890" width="3.28515625" customWidth="1"/>
    <col min="5892" max="5892" width="3.85546875" customWidth="1"/>
    <col min="5894" max="5894" width="2.5703125" customWidth="1"/>
    <col min="6145" max="6145" width="70.42578125" customWidth="1"/>
    <col min="6146" max="6146" width="3.28515625" customWidth="1"/>
    <col min="6148" max="6148" width="3.85546875" customWidth="1"/>
    <col min="6150" max="6150" width="2.5703125" customWidth="1"/>
    <col min="6401" max="6401" width="70.42578125" customWidth="1"/>
    <col min="6402" max="6402" width="3.28515625" customWidth="1"/>
    <col min="6404" max="6404" width="3.85546875" customWidth="1"/>
    <col min="6406" max="6406" width="2.5703125" customWidth="1"/>
    <col min="6657" max="6657" width="70.42578125" customWidth="1"/>
    <col min="6658" max="6658" width="3.28515625" customWidth="1"/>
    <col min="6660" max="6660" width="3.85546875" customWidth="1"/>
    <col min="6662" max="6662" width="2.5703125" customWidth="1"/>
    <col min="6913" max="6913" width="70.42578125" customWidth="1"/>
    <col min="6914" max="6914" width="3.28515625" customWidth="1"/>
    <col min="6916" max="6916" width="3.85546875" customWidth="1"/>
    <col min="6918" max="6918" width="2.5703125" customWidth="1"/>
    <col min="7169" max="7169" width="70.42578125" customWidth="1"/>
    <col min="7170" max="7170" width="3.28515625" customWidth="1"/>
    <col min="7172" max="7172" width="3.85546875" customWidth="1"/>
    <col min="7174" max="7174" width="2.5703125" customWidth="1"/>
    <col min="7425" max="7425" width="70.42578125" customWidth="1"/>
    <col min="7426" max="7426" width="3.28515625" customWidth="1"/>
    <col min="7428" max="7428" width="3.85546875" customWidth="1"/>
    <col min="7430" max="7430" width="2.5703125" customWidth="1"/>
    <col min="7681" max="7681" width="70.42578125" customWidth="1"/>
    <col min="7682" max="7682" width="3.28515625" customWidth="1"/>
    <col min="7684" max="7684" width="3.85546875" customWidth="1"/>
    <col min="7686" max="7686" width="2.5703125" customWidth="1"/>
    <col min="7937" max="7937" width="70.42578125" customWidth="1"/>
    <col min="7938" max="7938" width="3.28515625" customWidth="1"/>
    <col min="7940" max="7940" width="3.85546875" customWidth="1"/>
    <col min="7942" max="7942" width="2.5703125" customWidth="1"/>
    <col min="8193" max="8193" width="70.42578125" customWidth="1"/>
    <col min="8194" max="8194" width="3.28515625" customWidth="1"/>
    <col min="8196" max="8196" width="3.85546875" customWidth="1"/>
    <col min="8198" max="8198" width="2.5703125" customWidth="1"/>
    <col min="8449" max="8449" width="70.42578125" customWidth="1"/>
    <col min="8450" max="8450" width="3.28515625" customWidth="1"/>
    <col min="8452" max="8452" width="3.85546875" customWidth="1"/>
    <col min="8454" max="8454" width="2.5703125" customWidth="1"/>
    <col min="8705" max="8705" width="70.42578125" customWidth="1"/>
    <col min="8706" max="8706" width="3.28515625" customWidth="1"/>
    <col min="8708" max="8708" width="3.85546875" customWidth="1"/>
    <col min="8710" max="8710" width="2.5703125" customWidth="1"/>
    <col min="8961" max="8961" width="70.42578125" customWidth="1"/>
    <col min="8962" max="8962" width="3.28515625" customWidth="1"/>
    <col min="8964" max="8964" width="3.85546875" customWidth="1"/>
    <col min="8966" max="8966" width="2.5703125" customWidth="1"/>
    <col min="9217" max="9217" width="70.42578125" customWidth="1"/>
    <col min="9218" max="9218" width="3.28515625" customWidth="1"/>
    <col min="9220" max="9220" width="3.85546875" customWidth="1"/>
    <col min="9222" max="9222" width="2.5703125" customWidth="1"/>
    <col min="9473" max="9473" width="70.42578125" customWidth="1"/>
    <col min="9474" max="9474" width="3.28515625" customWidth="1"/>
    <col min="9476" max="9476" width="3.85546875" customWidth="1"/>
    <col min="9478" max="9478" width="2.5703125" customWidth="1"/>
    <col min="9729" max="9729" width="70.42578125" customWidth="1"/>
    <col min="9730" max="9730" width="3.28515625" customWidth="1"/>
    <col min="9732" max="9732" width="3.85546875" customWidth="1"/>
    <col min="9734" max="9734" width="2.5703125" customWidth="1"/>
    <col min="9985" max="9985" width="70.42578125" customWidth="1"/>
    <col min="9986" max="9986" width="3.28515625" customWidth="1"/>
    <col min="9988" max="9988" width="3.85546875" customWidth="1"/>
    <col min="9990" max="9990" width="2.5703125" customWidth="1"/>
    <col min="10241" max="10241" width="70.42578125" customWidth="1"/>
    <col min="10242" max="10242" width="3.28515625" customWidth="1"/>
    <col min="10244" max="10244" width="3.85546875" customWidth="1"/>
    <col min="10246" max="10246" width="2.5703125" customWidth="1"/>
    <col min="10497" max="10497" width="70.42578125" customWidth="1"/>
    <col min="10498" max="10498" width="3.28515625" customWidth="1"/>
    <col min="10500" max="10500" width="3.85546875" customWidth="1"/>
    <col min="10502" max="10502" width="2.5703125" customWidth="1"/>
    <col min="10753" max="10753" width="70.42578125" customWidth="1"/>
    <col min="10754" max="10754" width="3.28515625" customWidth="1"/>
    <col min="10756" max="10756" width="3.85546875" customWidth="1"/>
    <col min="10758" max="10758" width="2.5703125" customWidth="1"/>
    <col min="11009" max="11009" width="70.42578125" customWidth="1"/>
    <col min="11010" max="11010" width="3.28515625" customWidth="1"/>
    <col min="11012" max="11012" width="3.85546875" customWidth="1"/>
    <col min="11014" max="11014" width="2.5703125" customWidth="1"/>
    <col min="11265" max="11265" width="70.42578125" customWidth="1"/>
    <col min="11266" max="11266" width="3.28515625" customWidth="1"/>
    <col min="11268" max="11268" width="3.85546875" customWidth="1"/>
    <col min="11270" max="11270" width="2.5703125" customWidth="1"/>
    <col min="11521" max="11521" width="70.42578125" customWidth="1"/>
    <col min="11522" max="11522" width="3.28515625" customWidth="1"/>
    <col min="11524" max="11524" width="3.85546875" customWidth="1"/>
    <col min="11526" max="11526" width="2.5703125" customWidth="1"/>
    <col min="11777" max="11777" width="70.42578125" customWidth="1"/>
    <col min="11778" max="11778" width="3.28515625" customWidth="1"/>
    <col min="11780" max="11780" width="3.85546875" customWidth="1"/>
    <col min="11782" max="11782" width="2.5703125" customWidth="1"/>
    <col min="12033" max="12033" width="70.42578125" customWidth="1"/>
    <col min="12034" max="12034" width="3.28515625" customWidth="1"/>
    <col min="12036" max="12036" width="3.85546875" customWidth="1"/>
    <col min="12038" max="12038" width="2.5703125" customWidth="1"/>
    <col min="12289" max="12289" width="70.42578125" customWidth="1"/>
    <col min="12290" max="12290" width="3.28515625" customWidth="1"/>
    <col min="12292" max="12292" width="3.85546875" customWidth="1"/>
    <col min="12294" max="12294" width="2.5703125" customWidth="1"/>
    <col min="12545" max="12545" width="70.42578125" customWidth="1"/>
    <col min="12546" max="12546" width="3.28515625" customWidth="1"/>
    <col min="12548" max="12548" width="3.85546875" customWidth="1"/>
    <col min="12550" max="12550" width="2.5703125" customWidth="1"/>
    <col min="12801" max="12801" width="70.42578125" customWidth="1"/>
    <col min="12802" max="12802" width="3.28515625" customWidth="1"/>
    <col min="12804" max="12804" width="3.85546875" customWidth="1"/>
    <col min="12806" max="12806" width="2.5703125" customWidth="1"/>
    <col min="13057" max="13057" width="70.42578125" customWidth="1"/>
    <col min="13058" max="13058" width="3.28515625" customWidth="1"/>
    <col min="13060" max="13060" width="3.85546875" customWidth="1"/>
    <col min="13062" max="13062" width="2.5703125" customWidth="1"/>
    <col min="13313" max="13313" width="70.42578125" customWidth="1"/>
    <col min="13314" max="13314" width="3.28515625" customWidth="1"/>
    <col min="13316" max="13316" width="3.85546875" customWidth="1"/>
    <col min="13318" max="13318" width="2.5703125" customWidth="1"/>
    <col min="13569" max="13569" width="70.42578125" customWidth="1"/>
    <col min="13570" max="13570" width="3.28515625" customWidth="1"/>
    <col min="13572" max="13572" width="3.85546875" customWidth="1"/>
    <col min="13574" max="13574" width="2.5703125" customWidth="1"/>
    <col min="13825" max="13825" width="70.42578125" customWidth="1"/>
    <col min="13826" max="13826" width="3.28515625" customWidth="1"/>
    <col min="13828" max="13828" width="3.85546875" customWidth="1"/>
    <col min="13830" max="13830" width="2.5703125" customWidth="1"/>
    <col min="14081" max="14081" width="70.42578125" customWidth="1"/>
    <col min="14082" max="14082" width="3.28515625" customWidth="1"/>
    <col min="14084" max="14084" width="3.85546875" customWidth="1"/>
    <col min="14086" max="14086" width="2.5703125" customWidth="1"/>
    <col min="14337" max="14337" width="70.42578125" customWidth="1"/>
    <col min="14338" max="14338" width="3.28515625" customWidth="1"/>
    <col min="14340" max="14340" width="3.85546875" customWidth="1"/>
    <col min="14342" max="14342" width="2.5703125" customWidth="1"/>
    <col min="14593" max="14593" width="70.42578125" customWidth="1"/>
    <col min="14594" max="14594" width="3.28515625" customWidth="1"/>
    <col min="14596" max="14596" width="3.85546875" customWidth="1"/>
    <col min="14598" max="14598" width="2.5703125" customWidth="1"/>
    <col min="14849" max="14849" width="70.42578125" customWidth="1"/>
    <col min="14850" max="14850" width="3.28515625" customWidth="1"/>
    <col min="14852" max="14852" width="3.85546875" customWidth="1"/>
    <col min="14854" max="14854" width="2.5703125" customWidth="1"/>
    <col min="15105" max="15105" width="70.42578125" customWidth="1"/>
    <col min="15106" max="15106" width="3.28515625" customWidth="1"/>
    <col min="15108" max="15108" width="3.85546875" customWidth="1"/>
    <col min="15110" max="15110" width="2.5703125" customWidth="1"/>
    <col min="15361" max="15361" width="70.42578125" customWidth="1"/>
    <col min="15362" max="15362" width="3.28515625" customWidth="1"/>
    <col min="15364" max="15364" width="3.85546875" customWidth="1"/>
    <col min="15366" max="15366" width="2.5703125" customWidth="1"/>
    <col min="15617" max="15617" width="70.42578125" customWidth="1"/>
    <col min="15618" max="15618" width="3.28515625" customWidth="1"/>
    <col min="15620" max="15620" width="3.85546875" customWidth="1"/>
    <col min="15622" max="15622" width="2.5703125" customWidth="1"/>
    <col min="15873" max="15873" width="70.42578125" customWidth="1"/>
    <col min="15874" max="15874" width="3.28515625" customWidth="1"/>
    <col min="15876" max="15876" width="3.85546875" customWidth="1"/>
    <col min="15878" max="15878" width="2.5703125" customWidth="1"/>
    <col min="16129" max="16129" width="70.42578125" customWidth="1"/>
    <col min="16130" max="16130" width="3.28515625" customWidth="1"/>
    <col min="16132" max="16132" width="3.85546875" customWidth="1"/>
    <col min="16134" max="16134" width="2.5703125" customWidth="1"/>
  </cols>
  <sheetData>
    <row r="1" spans="1:6" ht="14.1" customHeight="1">
      <c r="A1" s="42" t="s">
        <v>496</v>
      </c>
      <c r="B1" s="42"/>
      <c r="C1" s="42"/>
      <c r="D1" s="42"/>
      <c r="E1" s="726"/>
    </row>
    <row r="2" spans="1:6" ht="14.1" customHeight="1">
      <c r="A2" s="42" t="s">
        <v>497</v>
      </c>
      <c r="B2" s="42"/>
      <c r="C2" s="42"/>
      <c r="D2" s="42"/>
      <c r="E2" s="726"/>
    </row>
    <row r="3" spans="1:6" ht="9" customHeight="1">
      <c r="A3" s="42"/>
      <c r="B3" s="42"/>
      <c r="C3" s="42"/>
      <c r="D3" s="42"/>
      <c r="E3" s="726"/>
    </row>
    <row r="4" spans="1:6" ht="14.1" customHeight="1">
      <c r="A4" s="42" t="s">
        <v>1861</v>
      </c>
      <c r="B4" s="42"/>
      <c r="C4" s="42"/>
      <c r="D4" s="42"/>
      <c r="E4" s="726"/>
    </row>
    <row r="5" spans="1:6" ht="14.1" customHeight="1">
      <c r="A5" s="42" t="s">
        <v>1862</v>
      </c>
      <c r="B5" s="42"/>
      <c r="C5" s="42"/>
      <c r="D5" s="42"/>
      <c r="E5" s="726"/>
    </row>
    <row r="6" spans="1:6" ht="9" customHeight="1" thickBot="1">
      <c r="A6" s="249"/>
      <c r="B6" s="249"/>
      <c r="C6" s="249"/>
      <c r="D6" s="249"/>
      <c r="E6" s="727"/>
      <c r="F6" s="727"/>
    </row>
    <row r="7" spans="1:6" ht="12" customHeight="1">
      <c r="A7" s="95"/>
      <c r="B7" s="95"/>
      <c r="C7" s="95"/>
      <c r="D7" s="95"/>
      <c r="E7" s="728"/>
      <c r="F7" s="728"/>
    </row>
    <row r="8" spans="1:6" ht="12" customHeight="1">
      <c r="A8" s="42" t="s">
        <v>1863</v>
      </c>
      <c r="B8" s="42"/>
      <c r="C8" s="1305" t="s">
        <v>1839</v>
      </c>
      <c r="D8" s="1305"/>
      <c r="E8" s="1305"/>
    </row>
    <row r="9" spans="1:6" ht="12" customHeight="1">
      <c r="A9" s="42" t="s">
        <v>1864</v>
      </c>
      <c r="B9" s="42"/>
      <c r="C9" s="1339" t="s">
        <v>1865</v>
      </c>
      <c r="D9" s="1339"/>
      <c r="E9" s="1339"/>
    </row>
    <row r="10" spans="1:6" ht="12" customHeight="1">
      <c r="A10" s="42" t="s">
        <v>1866</v>
      </c>
      <c r="B10" s="42"/>
      <c r="C10" s="729" t="s">
        <v>1842</v>
      </c>
      <c r="D10" s="730"/>
      <c r="E10" s="731" t="s">
        <v>1843</v>
      </c>
    </row>
    <row r="11" spans="1:6" ht="12" customHeight="1" thickBot="1">
      <c r="A11" s="249"/>
      <c r="B11" s="249"/>
      <c r="C11" s="732"/>
      <c r="D11" s="732"/>
      <c r="E11" s="727"/>
      <c r="F11" s="727"/>
    </row>
    <row r="12" spans="1:6" ht="14.1" customHeight="1">
      <c r="A12" s="95"/>
      <c r="B12" s="95"/>
      <c r="C12" s="733"/>
      <c r="D12" s="734"/>
      <c r="E12" s="728"/>
    </row>
    <row r="13" spans="1:6" ht="17.25" customHeight="1">
      <c r="A13" s="153" t="s">
        <v>1867</v>
      </c>
      <c r="B13" s="95"/>
      <c r="C13" s="733">
        <f>C15+C24</f>
        <v>9892</v>
      </c>
      <c r="D13" s="734"/>
      <c r="E13" s="319">
        <f>E15+E24</f>
        <v>100</v>
      </c>
    </row>
    <row r="14" spans="1:6" ht="12" customHeight="1">
      <c r="A14" s="95"/>
      <c r="B14" s="95"/>
      <c r="C14" s="735"/>
      <c r="D14" s="734"/>
      <c r="E14" s="728"/>
    </row>
    <row r="15" spans="1:6" ht="17.25" customHeight="1">
      <c r="A15" s="90" t="s">
        <v>1868</v>
      </c>
      <c r="B15" s="95"/>
      <c r="C15" s="733">
        <f>SUM(C16:C22)</f>
        <v>6834</v>
      </c>
      <c r="D15" s="90"/>
      <c r="E15" s="94">
        <f>IF(A15&lt;&gt;"",C15/$C$13*100,"")</f>
        <v>69.086130206227253</v>
      </c>
    </row>
    <row r="16" spans="1:6" ht="17.25" customHeight="1">
      <c r="A16" s="4" t="s">
        <v>1869</v>
      </c>
      <c r="B16" s="42"/>
      <c r="C16" s="42">
        <v>382</v>
      </c>
      <c r="D16" s="42"/>
      <c r="E16" s="94">
        <f t="shared" ref="E16:E45" si="0">IF(A16&lt;&gt;"",C16/$C$13*100,"")</f>
        <v>3.86170642943793</v>
      </c>
    </row>
    <row r="17" spans="1:5" ht="17.25" customHeight="1">
      <c r="A17" s="4" t="s">
        <v>2284</v>
      </c>
      <c r="B17" s="42"/>
      <c r="C17" s="42">
        <v>9</v>
      </c>
      <c r="D17" s="42"/>
      <c r="E17" s="94">
        <f t="shared" si="0"/>
        <v>9.09826122118884E-2</v>
      </c>
    </row>
    <row r="18" spans="1:5" ht="17.25" customHeight="1">
      <c r="A18" s="4" t="s">
        <v>2231</v>
      </c>
      <c r="B18" s="42"/>
      <c r="C18" s="42">
        <v>876</v>
      </c>
      <c r="D18" s="42"/>
      <c r="E18" s="94">
        <f t="shared" si="0"/>
        <v>8.8556409219571375</v>
      </c>
    </row>
    <row r="19" spans="1:5" ht="17.25" customHeight="1">
      <c r="A19" s="4" t="s">
        <v>1870</v>
      </c>
      <c r="B19" s="42"/>
      <c r="C19" s="42">
        <v>4824</v>
      </c>
      <c r="D19" s="42"/>
      <c r="E19" s="94">
        <f t="shared" si="0"/>
        <v>48.766680145572181</v>
      </c>
    </row>
    <row r="20" spans="1:5" ht="17.25" customHeight="1">
      <c r="A20" s="4" t="s">
        <v>2161</v>
      </c>
      <c r="B20" s="42"/>
      <c r="C20" s="42">
        <v>22</v>
      </c>
      <c r="D20" s="42"/>
      <c r="E20" s="94">
        <f t="shared" si="0"/>
        <v>0.22240194096239382</v>
      </c>
    </row>
    <row r="21" spans="1:5" ht="17.25" customHeight="1">
      <c r="A21" s="4" t="s">
        <v>2159</v>
      </c>
      <c r="B21" s="42"/>
      <c r="C21" s="42">
        <v>21</v>
      </c>
      <c r="D21" s="42"/>
      <c r="E21" s="94">
        <f t="shared" si="0"/>
        <v>0.2122927618277396</v>
      </c>
    </row>
    <row r="22" spans="1:5" ht="17.25" customHeight="1">
      <c r="A22" s="4" t="s">
        <v>2160</v>
      </c>
      <c r="B22" s="42"/>
      <c r="C22" s="42">
        <v>700</v>
      </c>
      <c r="D22" s="42"/>
      <c r="E22" s="94">
        <f t="shared" si="0"/>
        <v>7.0764253942579858</v>
      </c>
    </row>
    <row r="23" spans="1:5" ht="17.25" customHeight="1">
      <c r="A23" s="4"/>
      <c r="B23" s="224"/>
      <c r="C23" s="598"/>
      <c r="D23" s="63"/>
      <c r="E23" s="94" t="str">
        <f t="shared" si="0"/>
        <v/>
      </c>
    </row>
    <row r="24" spans="1:5" ht="17.25" customHeight="1">
      <c r="A24" s="9" t="s">
        <v>1871</v>
      </c>
      <c r="B24" s="224"/>
      <c r="C24" s="733">
        <f>SUM(C25:C45)</f>
        <v>3058</v>
      </c>
      <c r="D24" s="63"/>
      <c r="E24" s="94">
        <f t="shared" si="0"/>
        <v>30.913869793772747</v>
      </c>
    </row>
    <row r="25" spans="1:5" ht="17.25" customHeight="1">
      <c r="A25" s="4" t="s">
        <v>2232</v>
      </c>
      <c r="B25" s="224"/>
      <c r="C25" s="598">
        <v>75</v>
      </c>
      <c r="D25" s="63"/>
      <c r="E25" s="94">
        <f t="shared" si="0"/>
        <v>0.75818843509906997</v>
      </c>
    </row>
    <row r="26" spans="1:5" ht="17.25" customHeight="1">
      <c r="A26" s="4" t="s">
        <v>1872</v>
      </c>
      <c r="B26" s="224"/>
      <c r="C26" s="598">
        <v>155</v>
      </c>
      <c r="D26" s="63"/>
      <c r="E26" s="94">
        <f t="shared" si="0"/>
        <v>1.5669227658714111</v>
      </c>
    </row>
    <row r="27" spans="1:5" ht="17.25" customHeight="1">
      <c r="A27" s="4" t="s">
        <v>1873</v>
      </c>
      <c r="B27" s="224"/>
      <c r="C27" s="598">
        <v>160</v>
      </c>
      <c r="D27" s="63"/>
      <c r="E27" s="94">
        <f t="shared" si="0"/>
        <v>1.6174686615446827</v>
      </c>
    </row>
    <row r="28" spans="1:5" ht="17.25" customHeight="1">
      <c r="A28" s="625" t="s">
        <v>2233</v>
      </c>
      <c r="B28" s="224"/>
      <c r="C28" s="598">
        <v>109</v>
      </c>
      <c r="D28" s="63"/>
      <c r="E28" s="94">
        <f t="shared" si="0"/>
        <v>1.1019005256773149</v>
      </c>
    </row>
    <row r="29" spans="1:5" ht="28.5" customHeight="1">
      <c r="A29" s="736" t="s">
        <v>2234</v>
      </c>
      <c r="B29" s="224"/>
      <c r="C29" s="598">
        <v>303</v>
      </c>
      <c r="D29" s="63"/>
      <c r="E29" s="94">
        <f t="shared" si="0"/>
        <v>3.0630812778002428</v>
      </c>
    </row>
    <row r="30" spans="1:5" ht="26.25" customHeight="1">
      <c r="A30" s="736" t="s">
        <v>1874</v>
      </c>
      <c r="B30" s="224"/>
      <c r="C30" s="598">
        <v>40</v>
      </c>
      <c r="D30" s="63"/>
      <c r="E30" s="94">
        <f t="shared" si="0"/>
        <v>0.40436716538617068</v>
      </c>
    </row>
    <row r="31" spans="1:5" ht="15.75" customHeight="1">
      <c r="A31" s="736" t="s">
        <v>1875</v>
      </c>
      <c r="B31" s="224"/>
      <c r="C31" s="598">
        <v>20</v>
      </c>
      <c r="D31" s="63"/>
      <c r="E31" s="94">
        <f t="shared" si="0"/>
        <v>0.20218358269308534</v>
      </c>
    </row>
    <row r="32" spans="1:5" ht="15.75" customHeight="1">
      <c r="A32" s="4" t="s">
        <v>2235</v>
      </c>
      <c r="B32" s="224"/>
      <c r="C32" s="598">
        <v>22</v>
      </c>
      <c r="D32" s="63"/>
      <c r="E32" s="94">
        <f t="shared" si="0"/>
        <v>0.22240194096239382</v>
      </c>
    </row>
    <row r="33" spans="1:5" ht="15.75" customHeight="1">
      <c r="A33" s="4" t="s">
        <v>2236</v>
      </c>
      <c r="B33" s="224"/>
      <c r="C33" s="598">
        <v>170</v>
      </c>
      <c r="D33" s="63"/>
      <c r="E33" s="94">
        <f t="shared" si="0"/>
        <v>1.7185604528912251</v>
      </c>
    </row>
    <row r="34" spans="1:5" ht="17.25" customHeight="1">
      <c r="A34" s="4" t="s">
        <v>1876</v>
      </c>
      <c r="B34" s="224"/>
      <c r="C34" s="598">
        <v>60</v>
      </c>
      <c r="D34" s="63"/>
      <c r="E34" s="94">
        <f t="shared" si="0"/>
        <v>0.60655074807925602</v>
      </c>
    </row>
    <row r="35" spans="1:5" ht="17.25" customHeight="1">
      <c r="A35" s="4" t="s">
        <v>1877</v>
      </c>
      <c r="B35" s="224"/>
      <c r="C35" s="598">
        <v>60</v>
      </c>
      <c r="D35" s="63"/>
      <c r="E35" s="94">
        <f t="shared" si="0"/>
        <v>0.60655074807925602</v>
      </c>
    </row>
    <row r="36" spans="1:5" ht="28.5" customHeight="1">
      <c r="A36" s="736" t="s">
        <v>1878</v>
      </c>
      <c r="B36" s="224"/>
      <c r="C36" s="598">
        <v>320</v>
      </c>
      <c r="D36" s="63"/>
      <c r="E36" s="94"/>
    </row>
    <row r="37" spans="1:5" ht="17.25" customHeight="1">
      <c r="A37" s="4" t="s">
        <v>1879</v>
      </c>
      <c r="B37" s="224"/>
      <c r="C37" s="598">
        <v>320</v>
      </c>
      <c r="D37" s="63"/>
      <c r="E37" s="94">
        <f t="shared" si="0"/>
        <v>3.2349373230893654</v>
      </c>
    </row>
    <row r="38" spans="1:5" ht="17.25" customHeight="1">
      <c r="A38" s="4" t="s">
        <v>1880</v>
      </c>
      <c r="B38" s="224"/>
      <c r="C38" s="598">
        <v>290</v>
      </c>
      <c r="D38" s="63"/>
      <c r="E38" s="94">
        <f t="shared" si="0"/>
        <v>2.9316619490497371</v>
      </c>
    </row>
    <row r="39" spans="1:5" ht="15" customHeight="1">
      <c r="A39" s="736" t="s">
        <v>1881</v>
      </c>
      <c r="B39" s="224"/>
      <c r="C39" s="598">
        <v>70</v>
      </c>
      <c r="D39" s="63"/>
      <c r="E39" s="94">
        <f t="shared" si="0"/>
        <v>0.70764253942579869</v>
      </c>
    </row>
    <row r="40" spans="1:5" ht="15" customHeight="1">
      <c r="A40" s="736" t="s">
        <v>2237</v>
      </c>
      <c r="B40" s="224"/>
      <c r="C40" s="598">
        <v>35</v>
      </c>
      <c r="D40" s="63"/>
      <c r="E40" s="94">
        <f t="shared" si="0"/>
        <v>0.35382126971289934</v>
      </c>
    </row>
    <row r="41" spans="1:5" ht="15" customHeight="1">
      <c r="A41" s="736" t="s">
        <v>1882</v>
      </c>
      <c r="B41" s="224"/>
      <c r="C41" s="598">
        <v>500</v>
      </c>
      <c r="D41" s="63"/>
      <c r="E41" s="94">
        <f t="shared" si="0"/>
        <v>5.0545895673271328</v>
      </c>
    </row>
    <row r="42" spans="1:5" ht="15" customHeight="1">
      <c r="A42" s="736" t="s">
        <v>1883</v>
      </c>
      <c r="B42" s="224"/>
      <c r="C42" s="598">
        <v>62</v>
      </c>
      <c r="D42" s="63"/>
      <c r="E42" s="94">
        <f t="shared" si="0"/>
        <v>0.62676910634856453</v>
      </c>
    </row>
    <row r="43" spans="1:5" ht="17.25" customHeight="1">
      <c r="A43" s="4" t="s">
        <v>1884</v>
      </c>
      <c r="B43" s="224"/>
      <c r="C43" s="598">
        <v>150</v>
      </c>
      <c r="D43" s="63"/>
      <c r="E43" s="94">
        <f t="shared" si="0"/>
        <v>1.5163768701981399</v>
      </c>
    </row>
    <row r="44" spans="1:5" ht="17.25" customHeight="1">
      <c r="A44" s="4" t="s">
        <v>1885</v>
      </c>
      <c r="B44" s="224"/>
      <c r="C44" s="598">
        <v>75</v>
      </c>
      <c r="D44" s="63"/>
      <c r="E44" s="94">
        <f t="shared" si="0"/>
        <v>0.75818843509906997</v>
      </c>
    </row>
    <row r="45" spans="1:5" ht="16.5" customHeight="1" thickBot="1">
      <c r="A45" s="4" t="s">
        <v>1886</v>
      </c>
      <c r="B45" s="224"/>
      <c r="C45" s="598">
        <v>62</v>
      </c>
      <c r="D45" s="63"/>
      <c r="E45" s="94">
        <f t="shared" si="0"/>
        <v>0.62676910634856453</v>
      </c>
    </row>
    <row r="46" spans="1:5" ht="14.1" customHeight="1">
      <c r="A46" s="737"/>
      <c r="B46" s="737"/>
      <c r="C46" s="737"/>
      <c r="D46" s="737"/>
      <c r="E46" s="738"/>
    </row>
    <row r="47" spans="1:5" ht="14.1" customHeight="1">
      <c r="A47" s="42" t="s">
        <v>1887</v>
      </c>
      <c r="B47" s="739"/>
      <c r="C47" s="739"/>
      <c r="D47" s="739"/>
      <c r="E47" s="726"/>
    </row>
    <row r="48" spans="1:5" ht="14.1" customHeight="1">
      <c r="A48" s="42" t="s">
        <v>1705</v>
      </c>
      <c r="B48" s="739"/>
      <c r="C48" s="739"/>
      <c r="D48" s="739"/>
      <c r="E48" s="726"/>
    </row>
    <row r="49" spans="1:5">
      <c r="A49" s="739"/>
      <c r="B49" s="739"/>
      <c r="C49" s="739"/>
      <c r="D49" s="739"/>
      <c r="E49" s="726"/>
    </row>
    <row r="50" spans="1:5">
      <c r="A50" s="90"/>
      <c r="B50" s="95"/>
      <c r="C50" s="733"/>
      <c r="D50" s="90"/>
      <c r="E50" s="686"/>
    </row>
    <row r="51" spans="1:5">
      <c r="A51" s="95"/>
      <c r="B51" s="95"/>
      <c r="C51" s="312"/>
      <c r="D51" s="95"/>
      <c r="E51" s="94" t="s">
        <v>11</v>
      </c>
    </row>
    <row r="52" spans="1:5" ht="20.25" customHeight="1">
      <c r="A52" s="63"/>
      <c r="B52" s="42"/>
      <c r="C52" s="567"/>
      <c r="D52" s="42"/>
      <c r="E52" s="94"/>
    </row>
    <row r="53" spans="1:5">
      <c r="A53" s="42"/>
      <c r="B53" s="42"/>
      <c r="C53" s="598"/>
      <c r="D53" s="42"/>
      <c r="E53" s="94"/>
    </row>
    <row r="54" spans="1:5">
      <c r="A54" s="42"/>
      <c r="B54" s="42"/>
      <c r="C54" s="598"/>
      <c r="D54" s="42"/>
      <c r="E54" s="94"/>
    </row>
    <row r="55" spans="1:5">
      <c r="A55" s="42"/>
      <c r="B55" s="42"/>
      <c r="C55" s="598"/>
      <c r="D55" s="42"/>
      <c r="E55" s="94"/>
    </row>
    <row r="56" spans="1:5">
      <c r="A56" s="42"/>
      <c r="B56" s="42"/>
      <c r="C56" s="598"/>
      <c r="D56" s="42"/>
      <c r="E56" s="94"/>
    </row>
    <row r="57" spans="1:5">
      <c r="A57" s="42"/>
      <c r="B57" s="42"/>
      <c r="C57" s="567"/>
      <c r="D57" s="42"/>
      <c r="E57" s="94"/>
    </row>
  </sheetData>
  <mergeCells count="2">
    <mergeCell ref="C8:E8"/>
    <mergeCell ref="C9:E9"/>
  </mergeCells>
  <printOptions horizontalCentered="1" verticalCentered="1"/>
  <pageMargins left="0" right="0" top="0" bottom="0" header="0.31496062992125984" footer="0.31496062992125984"/>
  <pageSetup paperSize="9" scale="80" orientation="portrait" r:id="rId1"/>
</worksheet>
</file>

<file path=xl/worksheets/sheet131.xml><?xml version="1.0" encoding="utf-8"?>
<worksheet xmlns="http://schemas.openxmlformats.org/spreadsheetml/2006/main" xmlns:r="http://schemas.openxmlformats.org/officeDocument/2006/relationships">
  <dimension ref="A1:E58"/>
  <sheetViews>
    <sheetView topLeftCell="A22" workbookViewId="0">
      <selection activeCell="A35" sqref="A35"/>
    </sheetView>
  </sheetViews>
  <sheetFormatPr baseColWidth="10" defaultRowHeight="12.75"/>
  <cols>
    <col min="1" max="1" width="64.85546875" style="434" customWidth="1"/>
    <col min="2" max="2" width="3.28515625" style="434" customWidth="1"/>
    <col min="3" max="3" width="11.42578125" style="434"/>
    <col min="4" max="4" width="4" style="434" customWidth="1"/>
    <col min="5" max="256" width="11.42578125" style="434"/>
    <col min="257" max="257" width="64.85546875" style="434" customWidth="1"/>
    <col min="258" max="258" width="3.28515625" style="434" customWidth="1"/>
    <col min="259" max="259" width="11.42578125" style="434"/>
    <col min="260" max="260" width="4" style="434" customWidth="1"/>
    <col min="261" max="512" width="11.42578125" style="434"/>
    <col min="513" max="513" width="64.85546875" style="434" customWidth="1"/>
    <col min="514" max="514" width="3.28515625" style="434" customWidth="1"/>
    <col min="515" max="515" width="11.42578125" style="434"/>
    <col min="516" max="516" width="4" style="434" customWidth="1"/>
    <col min="517" max="768" width="11.42578125" style="434"/>
    <col min="769" max="769" width="64.85546875" style="434" customWidth="1"/>
    <col min="770" max="770" width="3.28515625" style="434" customWidth="1"/>
    <col min="771" max="771" width="11.42578125" style="434"/>
    <col min="772" max="772" width="4" style="434" customWidth="1"/>
    <col min="773" max="1024" width="11.42578125" style="434"/>
    <col min="1025" max="1025" width="64.85546875" style="434" customWidth="1"/>
    <col min="1026" max="1026" width="3.28515625" style="434" customWidth="1"/>
    <col min="1027" max="1027" width="11.42578125" style="434"/>
    <col min="1028" max="1028" width="4" style="434" customWidth="1"/>
    <col min="1029" max="1280" width="11.42578125" style="434"/>
    <col min="1281" max="1281" width="64.85546875" style="434" customWidth="1"/>
    <col min="1282" max="1282" width="3.28515625" style="434" customWidth="1"/>
    <col min="1283" max="1283" width="11.42578125" style="434"/>
    <col min="1284" max="1284" width="4" style="434" customWidth="1"/>
    <col min="1285" max="1536" width="11.42578125" style="434"/>
    <col min="1537" max="1537" width="64.85546875" style="434" customWidth="1"/>
    <col min="1538" max="1538" width="3.28515625" style="434" customWidth="1"/>
    <col min="1539" max="1539" width="11.42578125" style="434"/>
    <col min="1540" max="1540" width="4" style="434" customWidth="1"/>
    <col min="1541" max="1792" width="11.42578125" style="434"/>
    <col min="1793" max="1793" width="64.85546875" style="434" customWidth="1"/>
    <col min="1794" max="1794" width="3.28515625" style="434" customWidth="1"/>
    <col min="1795" max="1795" width="11.42578125" style="434"/>
    <col min="1796" max="1796" width="4" style="434" customWidth="1"/>
    <col min="1797" max="2048" width="11.42578125" style="434"/>
    <col min="2049" max="2049" width="64.85546875" style="434" customWidth="1"/>
    <col min="2050" max="2050" width="3.28515625" style="434" customWidth="1"/>
    <col min="2051" max="2051" width="11.42578125" style="434"/>
    <col min="2052" max="2052" width="4" style="434" customWidth="1"/>
    <col min="2053" max="2304" width="11.42578125" style="434"/>
    <col min="2305" max="2305" width="64.85546875" style="434" customWidth="1"/>
    <col min="2306" max="2306" width="3.28515625" style="434" customWidth="1"/>
    <col min="2307" max="2307" width="11.42578125" style="434"/>
    <col min="2308" max="2308" width="4" style="434" customWidth="1"/>
    <col min="2309" max="2560" width="11.42578125" style="434"/>
    <col min="2561" max="2561" width="64.85546875" style="434" customWidth="1"/>
    <col min="2562" max="2562" width="3.28515625" style="434" customWidth="1"/>
    <col min="2563" max="2563" width="11.42578125" style="434"/>
    <col min="2564" max="2564" width="4" style="434" customWidth="1"/>
    <col min="2565" max="2816" width="11.42578125" style="434"/>
    <col min="2817" max="2817" width="64.85546875" style="434" customWidth="1"/>
    <col min="2818" max="2818" width="3.28515625" style="434" customWidth="1"/>
    <col min="2819" max="2819" width="11.42578125" style="434"/>
    <col min="2820" max="2820" width="4" style="434" customWidth="1"/>
    <col min="2821" max="3072" width="11.42578125" style="434"/>
    <col min="3073" max="3073" width="64.85546875" style="434" customWidth="1"/>
    <col min="3074" max="3074" width="3.28515625" style="434" customWidth="1"/>
    <col min="3075" max="3075" width="11.42578125" style="434"/>
    <col min="3076" max="3076" width="4" style="434" customWidth="1"/>
    <col min="3077" max="3328" width="11.42578125" style="434"/>
    <col min="3329" max="3329" width="64.85546875" style="434" customWidth="1"/>
    <col min="3330" max="3330" width="3.28515625" style="434" customWidth="1"/>
    <col min="3331" max="3331" width="11.42578125" style="434"/>
    <col min="3332" max="3332" width="4" style="434" customWidth="1"/>
    <col min="3333" max="3584" width="11.42578125" style="434"/>
    <col min="3585" max="3585" width="64.85546875" style="434" customWidth="1"/>
    <col min="3586" max="3586" width="3.28515625" style="434" customWidth="1"/>
    <col min="3587" max="3587" width="11.42578125" style="434"/>
    <col min="3588" max="3588" width="4" style="434" customWidth="1"/>
    <col min="3589" max="3840" width="11.42578125" style="434"/>
    <col min="3841" max="3841" width="64.85546875" style="434" customWidth="1"/>
    <col min="3842" max="3842" width="3.28515625" style="434" customWidth="1"/>
    <col min="3843" max="3843" width="11.42578125" style="434"/>
    <col min="3844" max="3844" width="4" style="434" customWidth="1"/>
    <col min="3845" max="4096" width="11.42578125" style="434"/>
    <col min="4097" max="4097" width="64.85546875" style="434" customWidth="1"/>
    <col min="4098" max="4098" width="3.28515625" style="434" customWidth="1"/>
    <col min="4099" max="4099" width="11.42578125" style="434"/>
    <col min="4100" max="4100" width="4" style="434" customWidth="1"/>
    <col min="4101" max="4352" width="11.42578125" style="434"/>
    <col min="4353" max="4353" width="64.85546875" style="434" customWidth="1"/>
    <col min="4354" max="4354" width="3.28515625" style="434" customWidth="1"/>
    <col min="4355" max="4355" width="11.42578125" style="434"/>
    <col min="4356" max="4356" width="4" style="434" customWidth="1"/>
    <col min="4357" max="4608" width="11.42578125" style="434"/>
    <col min="4609" max="4609" width="64.85546875" style="434" customWidth="1"/>
    <col min="4610" max="4610" width="3.28515625" style="434" customWidth="1"/>
    <col min="4611" max="4611" width="11.42578125" style="434"/>
    <col min="4612" max="4612" width="4" style="434" customWidth="1"/>
    <col min="4613" max="4864" width="11.42578125" style="434"/>
    <col min="4865" max="4865" width="64.85546875" style="434" customWidth="1"/>
    <col min="4866" max="4866" width="3.28515625" style="434" customWidth="1"/>
    <col min="4867" max="4867" width="11.42578125" style="434"/>
    <col min="4868" max="4868" width="4" style="434" customWidth="1"/>
    <col min="4869" max="5120" width="11.42578125" style="434"/>
    <col min="5121" max="5121" width="64.85546875" style="434" customWidth="1"/>
    <col min="5122" max="5122" width="3.28515625" style="434" customWidth="1"/>
    <col min="5123" max="5123" width="11.42578125" style="434"/>
    <col min="5124" max="5124" width="4" style="434" customWidth="1"/>
    <col min="5125" max="5376" width="11.42578125" style="434"/>
    <col min="5377" max="5377" width="64.85546875" style="434" customWidth="1"/>
    <col min="5378" max="5378" width="3.28515625" style="434" customWidth="1"/>
    <col min="5379" max="5379" width="11.42578125" style="434"/>
    <col min="5380" max="5380" width="4" style="434" customWidth="1"/>
    <col min="5381" max="5632" width="11.42578125" style="434"/>
    <col min="5633" max="5633" width="64.85546875" style="434" customWidth="1"/>
    <col min="5634" max="5634" width="3.28515625" style="434" customWidth="1"/>
    <col min="5635" max="5635" width="11.42578125" style="434"/>
    <col min="5636" max="5636" width="4" style="434" customWidth="1"/>
    <col min="5637" max="5888" width="11.42578125" style="434"/>
    <col min="5889" max="5889" width="64.85546875" style="434" customWidth="1"/>
    <col min="5890" max="5890" width="3.28515625" style="434" customWidth="1"/>
    <col min="5891" max="5891" width="11.42578125" style="434"/>
    <col min="5892" max="5892" width="4" style="434" customWidth="1"/>
    <col min="5893" max="6144" width="11.42578125" style="434"/>
    <col min="6145" max="6145" width="64.85546875" style="434" customWidth="1"/>
    <col min="6146" max="6146" width="3.28515625" style="434" customWidth="1"/>
    <col min="6147" max="6147" width="11.42578125" style="434"/>
    <col min="6148" max="6148" width="4" style="434" customWidth="1"/>
    <col min="6149" max="6400" width="11.42578125" style="434"/>
    <col min="6401" max="6401" width="64.85546875" style="434" customWidth="1"/>
    <col min="6402" max="6402" width="3.28515625" style="434" customWidth="1"/>
    <col min="6403" max="6403" width="11.42578125" style="434"/>
    <col min="6404" max="6404" width="4" style="434" customWidth="1"/>
    <col min="6405" max="6656" width="11.42578125" style="434"/>
    <col min="6657" max="6657" width="64.85546875" style="434" customWidth="1"/>
    <col min="6658" max="6658" width="3.28515625" style="434" customWidth="1"/>
    <col min="6659" max="6659" width="11.42578125" style="434"/>
    <col min="6660" max="6660" width="4" style="434" customWidth="1"/>
    <col min="6661" max="6912" width="11.42578125" style="434"/>
    <col min="6913" max="6913" width="64.85546875" style="434" customWidth="1"/>
    <col min="6914" max="6914" width="3.28515625" style="434" customWidth="1"/>
    <col min="6915" max="6915" width="11.42578125" style="434"/>
    <col min="6916" max="6916" width="4" style="434" customWidth="1"/>
    <col min="6917" max="7168" width="11.42578125" style="434"/>
    <col min="7169" max="7169" width="64.85546875" style="434" customWidth="1"/>
    <col min="7170" max="7170" width="3.28515625" style="434" customWidth="1"/>
    <col min="7171" max="7171" width="11.42578125" style="434"/>
    <col min="7172" max="7172" width="4" style="434" customWidth="1"/>
    <col min="7173" max="7424" width="11.42578125" style="434"/>
    <col min="7425" max="7425" width="64.85546875" style="434" customWidth="1"/>
    <col min="7426" max="7426" width="3.28515625" style="434" customWidth="1"/>
    <col min="7427" max="7427" width="11.42578125" style="434"/>
    <col min="7428" max="7428" width="4" style="434" customWidth="1"/>
    <col min="7429" max="7680" width="11.42578125" style="434"/>
    <col min="7681" max="7681" width="64.85546875" style="434" customWidth="1"/>
    <col min="7682" max="7682" width="3.28515625" style="434" customWidth="1"/>
    <col min="7683" max="7683" width="11.42578125" style="434"/>
    <col min="7684" max="7684" width="4" style="434" customWidth="1"/>
    <col min="7685" max="7936" width="11.42578125" style="434"/>
    <col min="7937" max="7937" width="64.85546875" style="434" customWidth="1"/>
    <col min="7938" max="7938" width="3.28515625" style="434" customWidth="1"/>
    <col min="7939" max="7939" width="11.42578125" style="434"/>
    <col min="7940" max="7940" width="4" style="434" customWidth="1"/>
    <col min="7941" max="8192" width="11.42578125" style="434"/>
    <col min="8193" max="8193" width="64.85546875" style="434" customWidth="1"/>
    <col min="8194" max="8194" width="3.28515625" style="434" customWidth="1"/>
    <col min="8195" max="8195" width="11.42578125" style="434"/>
    <col min="8196" max="8196" width="4" style="434" customWidth="1"/>
    <col min="8197" max="8448" width="11.42578125" style="434"/>
    <col min="8449" max="8449" width="64.85546875" style="434" customWidth="1"/>
    <col min="8450" max="8450" width="3.28515625" style="434" customWidth="1"/>
    <col min="8451" max="8451" width="11.42578125" style="434"/>
    <col min="8452" max="8452" width="4" style="434" customWidth="1"/>
    <col min="8453" max="8704" width="11.42578125" style="434"/>
    <col min="8705" max="8705" width="64.85546875" style="434" customWidth="1"/>
    <col min="8706" max="8706" width="3.28515625" style="434" customWidth="1"/>
    <col min="8707" max="8707" width="11.42578125" style="434"/>
    <col min="8708" max="8708" width="4" style="434" customWidth="1"/>
    <col min="8709" max="8960" width="11.42578125" style="434"/>
    <col min="8961" max="8961" width="64.85546875" style="434" customWidth="1"/>
    <col min="8962" max="8962" width="3.28515625" style="434" customWidth="1"/>
    <col min="8963" max="8963" width="11.42578125" style="434"/>
    <col min="8964" max="8964" width="4" style="434" customWidth="1"/>
    <col min="8965" max="9216" width="11.42578125" style="434"/>
    <col min="9217" max="9217" width="64.85546875" style="434" customWidth="1"/>
    <col min="9218" max="9218" width="3.28515625" style="434" customWidth="1"/>
    <col min="9219" max="9219" width="11.42578125" style="434"/>
    <col min="9220" max="9220" width="4" style="434" customWidth="1"/>
    <col min="9221" max="9472" width="11.42578125" style="434"/>
    <col min="9473" max="9473" width="64.85546875" style="434" customWidth="1"/>
    <col min="9474" max="9474" width="3.28515625" style="434" customWidth="1"/>
    <col min="9475" max="9475" width="11.42578125" style="434"/>
    <col min="9476" max="9476" width="4" style="434" customWidth="1"/>
    <col min="9477" max="9728" width="11.42578125" style="434"/>
    <col min="9729" max="9729" width="64.85546875" style="434" customWidth="1"/>
    <col min="9730" max="9730" width="3.28515625" style="434" customWidth="1"/>
    <col min="9731" max="9731" width="11.42578125" style="434"/>
    <col min="9732" max="9732" width="4" style="434" customWidth="1"/>
    <col min="9733" max="9984" width="11.42578125" style="434"/>
    <col min="9985" max="9985" width="64.85546875" style="434" customWidth="1"/>
    <col min="9986" max="9986" width="3.28515625" style="434" customWidth="1"/>
    <col min="9987" max="9987" width="11.42578125" style="434"/>
    <col min="9988" max="9988" width="4" style="434" customWidth="1"/>
    <col min="9989" max="10240" width="11.42578125" style="434"/>
    <col min="10241" max="10241" width="64.85546875" style="434" customWidth="1"/>
    <col min="10242" max="10242" width="3.28515625" style="434" customWidth="1"/>
    <col min="10243" max="10243" width="11.42578125" style="434"/>
    <col min="10244" max="10244" width="4" style="434" customWidth="1"/>
    <col min="10245" max="10496" width="11.42578125" style="434"/>
    <col min="10497" max="10497" width="64.85546875" style="434" customWidth="1"/>
    <col min="10498" max="10498" width="3.28515625" style="434" customWidth="1"/>
    <col min="10499" max="10499" width="11.42578125" style="434"/>
    <col min="10500" max="10500" width="4" style="434" customWidth="1"/>
    <col min="10501" max="10752" width="11.42578125" style="434"/>
    <col min="10753" max="10753" width="64.85546875" style="434" customWidth="1"/>
    <col min="10754" max="10754" width="3.28515625" style="434" customWidth="1"/>
    <col min="10755" max="10755" width="11.42578125" style="434"/>
    <col min="10756" max="10756" width="4" style="434" customWidth="1"/>
    <col min="10757" max="11008" width="11.42578125" style="434"/>
    <col min="11009" max="11009" width="64.85546875" style="434" customWidth="1"/>
    <col min="11010" max="11010" width="3.28515625" style="434" customWidth="1"/>
    <col min="11011" max="11011" width="11.42578125" style="434"/>
    <col min="11012" max="11012" width="4" style="434" customWidth="1"/>
    <col min="11013" max="11264" width="11.42578125" style="434"/>
    <col min="11265" max="11265" width="64.85546875" style="434" customWidth="1"/>
    <col min="11266" max="11266" width="3.28515625" style="434" customWidth="1"/>
    <col min="11267" max="11267" width="11.42578125" style="434"/>
    <col min="11268" max="11268" width="4" style="434" customWidth="1"/>
    <col min="11269" max="11520" width="11.42578125" style="434"/>
    <col min="11521" max="11521" width="64.85546875" style="434" customWidth="1"/>
    <col min="11522" max="11522" width="3.28515625" style="434" customWidth="1"/>
    <col min="11523" max="11523" width="11.42578125" style="434"/>
    <col min="11524" max="11524" width="4" style="434" customWidth="1"/>
    <col min="11525" max="11776" width="11.42578125" style="434"/>
    <col min="11777" max="11777" width="64.85546875" style="434" customWidth="1"/>
    <col min="11778" max="11778" width="3.28515625" style="434" customWidth="1"/>
    <col min="11779" max="11779" width="11.42578125" style="434"/>
    <col min="11780" max="11780" width="4" style="434" customWidth="1"/>
    <col min="11781" max="12032" width="11.42578125" style="434"/>
    <col min="12033" max="12033" width="64.85546875" style="434" customWidth="1"/>
    <col min="12034" max="12034" width="3.28515625" style="434" customWidth="1"/>
    <col min="12035" max="12035" width="11.42578125" style="434"/>
    <col min="12036" max="12036" width="4" style="434" customWidth="1"/>
    <col min="12037" max="12288" width="11.42578125" style="434"/>
    <col min="12289" max="12289" width="64.85546875" style="434" customWidth="1"/>
    <col min="12290" max="12290" width="3.28515625" style="434" customWidth="1"/>
    <col min="12291" max="12291" width="11.42578125" style="434"/>
    <col min="12292" max="12292" width="4" style="434" customWidth="1"/>
    <col min="12293" max="12544" width="11.42578125" style="434"/>
    <col min="12545" max="12545" width="64.85546875" style="434" customWidth="1"/>
    <col min="12546" max="12546" width="3.28515625" style="434" customWidth="1"/>
    <col min="12547" max="12547" width="11.42578125" style="434"/>
    <col min="12548" max="12548" width="4" style="434" customWidth="1"/>
    <col min="12549" max="12800" width="11.42578125" style="434"/>
    <col min="12801" max="12801" width="64.85546875" style="434" customWidth="1"/>
    <col min="12802" max="12802" width="3.28515625" style="434" customWidth="1"/>
    <col min="12803" max="12803" width="11.42578125" style="434"/>
    <col min="12804" max="12804" width="4" style="434" customWidth="1"/>
    <col min="12805" max="13056" width="11.42578125" style="434"/>
    <col min="13057" max="13057" width="64.85546875" style="434" customWidth="1"/>
    <col min="13058" max="13058" width="3.28515625" style="434" customWidth="1"/>
    <col min="13059" max="13059" width="11.42578125" style="434"/>
    <col min="13060" max="13060" width="4" style="434" customWidth="1"/>
    <col min="13061" max="13312" width="11.42578125" style="434"/>
    <col min="13313" max="13313" width="64.85546875" style="434" customWidth="1"/>
    <col min="13314" max="13314" width="3.28515625" style="434" customWidth="1"/>
    <col min="13315" max="13315" width="11.42578125" style="434"/>
    <col min="13316" max="13316" width="4" style="434" customWidth="1"/>
    <col min="13317" max="13568" width="11.42578125" style="434"/>
    <col min="13569" max="13569" width="64.85546875" style="434" customWidth="1"/>
    <col min="13570" max="13570" width="3.28515625" style="434" customWidth="1"/>
    <col min="13571" max="13571" width="11.42578125" style="434"/>
    <col min="13572" max="13572" width="4" style="434" customWidth="1"/>
    <col min="13573" max="13824" width="11.42578125" style="434"/>
    <col min="13825" max="13825" width="64.85546875" style="434" customWidth="1"/>
    <col min="13826" max="13826" width="3.28515625" style="434" customWidth="1"/>
    <col min="13827" max="13827" width="11.42578125" style="434"/>
    <col min="13828" max="13828" width="4" style="434" customWidth="1"/>
    <col min="13829" max="14080" width="11.42578125" style="434"/>
    <col min="14081" max="14081" width="64.85546875" style="434" customWidth="1"/>
    <col min="14082" max="14082" width="3.28515625" style="434" customWidth="1"/>
    <col min="14083" max="14083" width="11.42578125" style="434"/>
    <col min="14084" max="14084" width="4" style="434" customWidth="1"/>
    <col min="14085" max="14336" width="11.42578125" style="434"/>
    <col min="14337" max="14337" width="64.85546875" style="434" customWidth="1"/>
    <col min="14338" max="14338" width="3.28515625" style="434" customWidth="1"/>
    <col min="14339" max="14339" width="11.42578125" style="434"/>
    <col min="14340" max="14340" width="4" style="434" customWidth="1"/>
    <col min="14341" max="14592" width="11.42578125" style="434"/>
    <col min="14593" max="14593" width="64.85546875" style="434" customWidth="1"/>
    <col min="14594" max="14594" width="3.28515625" style="434" customWidth="1"/>
    <col min="14595" max="14595" width="11.42578125" style="434"/>
    <col min="14596" max="14596" width="4" style="434" customWidth="1"/>
    <col min="14597" max="14848" width="11.42578125" style="434"/>
    <col min="14849" max="14849" width="64.85546875" style="434" customWidth="1"/>
    <col min="14850" max="14850" width="3.28515625" style="434" customWidth="1"/>
    <col min="14851" max="14851" width="11.42578125" style="434"/>
    <col min="14852" max="14852" width="4" style="434" customWidth="1"/>
    <col min="14853" max="15104" width="11.42578125" style="434"/>
    <col min="15105" max="15105" width="64.85546875" style="434" customWidth="1"/>
    <col min="15106" max="15106" width="3.28515625" style="434" customWidth="1"/>
    <col min="15107" max="15107" width="11.42578125" style="434"/>
    <col min="15108" max="15108" width="4" style="434" customWidth="1"/>
    <col min="15109" max="15360" width="11.42578125" style="434"/>
    <col min="15361" max="15361" width="64.85546875" style="434" customWidth="1"/>
    <col min="15362" max="15362" width="3.28515625" style="434" customWidth="1"/>
    <col min="15363" max="15363" width="11.42578125" style="434"/>
    <col min="15364" max="15364" width="4" style="434" customWidth="1"/>
    <col min="15365" max="15616" width="11.42578125" style="434"/>
    <col min="15617" max="15617" width="64.85546875" style="434" customWidth="1"/>
    <col min="15618" max="15618" width="3.28515625" style="434" customWidth="1"/>
    <col min="15619" max="15619" width="11.42578125" style="434"/>
    <col min="15620" max="15620" width="4" style="434" customWidth="1"/>
    <col min="15621" max="15872" width="11.42578125" style="434"/>
    <col min="15873" max="15873" width="64.85546875" style="434" customWidth="1"/>
    <col min="15874" max="15874" width="3.28515625" style="434" customWidth="1"/>
    <col min="15875" max="15875" width="11.42578125" style="434"/>
    <col min="15876" max="15876" width="4" style="434" customWidth="1"/>
    <col min="15877" max="16128" width="11.42578125" style="434"/>
    <col min="16129" max="16129" width="64.85546875" style="434" customWidth="1"/>
    <col min="16130" max="16130" width="3.28515625" style="434" customWidth="1"/>
    <col min="16131" max="16131" width="11.42578125" style="434"/>
    <col min="16132" max="16132" width="4" style="434" customWidth="1"/>
    <col min="16133" max="16384" width="11.42578125" style="434"/>
  </cols>
  <sheetData>
    <row r="1" spans="1:5">
      <c r="A1" s="434" t="s">
        <v>366</v>
      </c>
    </row>
    <row r="2" spans="1:5">
      <c r="A2" s="434" t="s">
        <v>367</v>
      </c>
    </row>
    <row r="4" spans="1:5">
      <c r="A4" s="42" t="s">
        <v>2238</v>
      </c>
      <c r="B4" s="42"/>
      <c r="C4" s="42"/>
      <c r="D4" s="42"/>
      <c r="E4" s="94"/>
    </row>
    <row r="5" spans="1:5">
      <c r="A5" s="42" t="s">
        <v>1888</v>
      </c>
      <c r="B5" s="42"/>
      <c r="C5" s="42"/>
      <c r="D5" s="42"/>
      <c r="E5" s="94"/>
    </row>
    <row r="6" spans="1:5" ht="13.5" thickBot="1">
      <c r="A6" s="249"/>
      <c r="B6" s="249"/>
      <c r="C6" s="249"/>
      <c r="D6" s="249"/>
      <c r="E6" s="248"/>
    </row>
    <row r="7" spans="1:5">
      <c r="A7" s="95"/>
      <c r="B7" s="95"/>
      <c r="C7" s="95"/>
      <c r="D7" s="95"/>
      <c r="E7" s="240"/>
    </row>
    <row r="8" spans="1:5">
      <c r="A8" s="42"/>
      <c r="B8" s="42"/>
      <c r="C8" s="1305" t="s">
        <v>1839</v>
      </c>
      <c r="D8" s="1305"/>
      <c r="E8" s="1305"/>
    </row>
    <row r="9" spans="1:5">
      <c r="A9" s="42" t="s">
        <v>1889</v>
      </c>
      <c r="B9" s="42"/>
      <c r="C9" s="1267" t="s">
        <v>1890</v>
      </c>
      <c r="D9" s="1267"/>
      <c r="E9" s="1267"/>
    </row>
    <row r="10" spans="1:5">
      <c r="A10" s="42"/>
      <c r="B10" s="42"/>
      <c r="C10" s="729" t="s">
        <v>1842</v>
      </c>
      <c r="D10" s="1228"/>
      <c r="E10" s="731" t="s">
        <v>1843</v>
      </c>
    </row>
    <row r="11" spans="1:5" ht="13.5" thickBot="1">
      <c r="A11" s="249"/>
      <c r="B11" s="249"/>
      <c r="C11" s="249"/>
      <c r="D11" s="249"/>
      <c r="E11" s="248"/>
    </row>
    <row r="12" spans="1:5">
      <c r="A12" s="95"/>
      <c r="B12" s="95"/>
      <c r="C12" s="312"/>
      <c r="D12" s="95"/>
      <c r="E12" s="240"/>
    </row>
    <row r="13" spans="1:5">
      <c r="A13" s="90" t="s">
        <v>5</v>
      </c>
      <c r="B13" s="95"/>
      <c r="C13" s="733">
        <f>SUM(C14:C45)</f>
        <v>7143</v>
      </c>
      <c r="D13" s="90"/>
      <c r="E13" s="686">
        <f>SUM(E14:E45)</f>
        <v>99.999999999999986</v>
      </c>
    </row>
    <row r="14" spans="1:5">
      <c r="A14" s="42"/>
      <c r="B14" s="42"/>
      <c r="C14" s="567"/>
      <c r="D14" s="42"/>
      <c r="E14" s="94"/>
    </row>
    <row r="15" spans="1:5">
      <c r="A15" s="42" t="s">
        <v>1891</v>
      </c>
      <c r="B15" s="42"/>
      <c r="C15" s="567">
        <v>266</v>
      </c>
      <c r="D15" s="42"/>
      <c r="E15" s="94">
        <f t="shared" ref="E15:E45" si="0">C15/$C$13*100</f>
        <v>3.7239255214895706</v>
      </c>
    </row>
    <row r="16" spans="1:5">
      <c r="A16" s="42"/>
      <c r="B16" s="42"/>
      <c r="C16" s="567"/>
      <c r="D16" s="42"/>
      <c r="E16" s="94"/>
    </row>
    <row r="17" spans="1:5">
      <c r="A17" s="42" t="s">
        <v>1892</v>
      </c>
      <c r="B17" s="42"/>
      <c r="C17" s="567">
        <v>3000</v>
      </c>
      <c r="D17" s="42"/>
      <c r="E17" s="94">
        <f t="shared" si="0"/>
        <v>41.999160016799664</v>
      </c>
    </row>
    <row r="18" spans="1:5">
      <c r="A18" s="42"/>
      <c r="B18" s="42"/>
      <c r="C18" s="567"/>
      <c r="D18" s="42"/>
      <c r="E18" s="94"/>
    </row>
    <row r="19" spans="1:5">
      <c r="A19" s="42" t="s">
        <v>1893</v>
      </c>
      <c r="B19" s="42"/>
      <c r="C19" s="567">
        <v>76</v>
      </c>
      <c r="D19" s="42"/>
      <c r="E19" s="94">
        <f t="shared" si="0"/>
        <v>1.0639787204255915</v>
      </c>
    </row>
    <row r="20" spans="1:5">
      <c r="A20" s="42"/>
      <c r="B20" s="42"/>
      <c r="C20" s="567"/>
      <c r="D20" s="42"/>
      <c r="E20" s="94"/>
    </row>
    <row r="21" spans="1:5">
      <c r="A21" s="42" t="s">
        <v>1894</v>
      </c>
      <c r="B21" s="42"/>
      <c r="C21" s="697">
        <v>48</v>
      </c>
      <c r="D21" s="42"/>
      <c r="E21" s="94">
        <f t="shared" si="0"/>
        <v>0.67198656026879466</v>
      </c>
    </row>
    <row r="22" spans="1:5">
      <c r="A22" s="42"/>
      <c r="B22" s="42"/>
      <c r="C22" s="697"/>
      <c r="D22" s="42"/>
      <c r="E22" s="94"/>
    </row>
    <row r="23" spans="1:5" ht="25.5">
      <c r="A23" s="740" t="s">
        <v>2239</v>
      </c>
      <c r="B23" s="42"/>
      <c r="C23" s="697">
        <v>112</v>
      </c>
      <c r="D23" s="42"/>
      <c r="E23" s="94">
        <f t="shared" si="0"/>
        <v>1.5679686406271875</v>
      </c>
    </row>
    <row r="24" spans="1:5">
      <c r="A24" s="42"/>
      <c r="B24" s="42"/>
      <c r="C24" s="697"/>
      <c r="D24" s="42"/>
      <c r="E24" s="94"/>
    </row>
    <row r="25" spans="1:5">
      <c r="A25" s="42" t="s">
        <v>1895</v>
      </c>
      <c r="B25" s="42"/>
      <c r="C25" s="697">
        <v>207</v>
      </c>
      <c r="D25" s="42"/>
      <c r="E25" s="94">
        <f t="shared" si="0"/>
        <v>2.897942041159177</v>
      </c>
    </row>
    <row r="26" spans="1:5">
      <c r="A26" s="42"/>
      <c r="B26" s="42"/>
      <c r="C26" s="697"/>
      <c r="D26" s="42"/>
      <c r="E26" s="94"/>
    </row>
    <row r="27" spans="1:5">
      <c r="A27" s="42" t="s">
        <v>1896</v>
      </c>
      <c r="B27" s="42"/>
      <c r="C27" s="697">
        <v>81</v>
      </c>
      <c r="D27" s="42"/>
      <c r="E27" s="94">
        <f t="shared" si="0"/>
        <v>1.133977320453591</v>
      </c>
    </row>
    <row r="28" spans="1:5">
      <c r="A28" s="42"/>
      <c r="B28" s="42"/>
      <c r="C28" s="697"/>
      <c r="D28" s="42"/>
      <c r="E28" s="94"/>
    </row>
    <row r="29" spans="1:5">
      <c r="A29" s="42" t="s">
        <v>1897</v>
      </c>
      <c r="B29" s="42"/>
      <c r="C29" s="697">
        <v>42</v>
      </c>
      <c r="D29" s="42"/>
      <c r="E29" s="94">
        <f t="shared" si="0"/>
        <v>0.58798824023519536</v>
      </c>
    </row>
    <row r="30" spans="1:5">
      <c r="A30" s="42"/>
      <c r="B30" s="42"/>
      <c r="C30" s="697"/>
      <c r="D30" s="42"/>
      <c r="E30" s="94"/>
    </row>
    <row r="31" spans="1:5">
      <c r="A31" s="42" t="s">
        <v>2240</v>
      </c>
      <c r="B31" s="42"/>
      <c r="C31" s="697">
        <v>15</v>
      </c>
      <c r="D31" s="42"/>
      <c r="E31" s="94">
        <f t="shared" si="0"/>
        <v>0.20999580008399832</v>
      </c>
    </row>
    <row r="32" spans="1:5">
      <c r="A32" s="42"/>
      <c r="B32" s="42"/>
      <c r="C32" s="697"/>
      <c r="D32" s="42"/>
      <c r="E32" s="94"/>
    </row>
    <row r="33" spans="1:5">
      <c r="A33" s="42" t="s">
        <v>2241</v>
      </c>
      <c r="B33" s="42"/>
      <c r="C33" s="697">
        <v>14</v>
      </c>
      <c r="D33" s="42"/>
      <c r="E33" s="94">
        <f t="shared" si="0"/>
        <v>0.19599608007839844</v>
      </c>
    </row>
    <row r="34" spans="1:5">
      <c r="A34" s="42"/>
      <c r="B34" s="42"/>
      <c r="C34" s="697"/>
      <c r="D34" s="42"/>
      <c r="E34" s="94"/>
    </row>
    <row r="35" spans="1:5">
      <c r="A35" s="42" t="s">
        <v>1898</v>
      </c>
      <c r="B35" s="42"/>
      <c r="C35" s="697">
        <v>30</v>
      </c>
      <c r="D35" s="42"/>
      <c r="E35" s="94">
        <f t="shared" si="0"/>
        <v>0.41999160016799664</v>
      </c>
    </row>
    <row r="36" spans="1:5">
      <c r="A36" s="42"/>
      <c r="B36" s="42"/>
      <c r="C36" s="697"/>
      <c r="D36" s="42"/>
      <c r="E36" s="94"/>
    </row>
    <row r="37" spans="1:5">
      <c r="A37" s="42" t="s">
        <v>1899</v>
      </c>
      <c r="B37" s="42"/>
      <c r="C37" s="697">
        <v>16</v>
      </c>
      <c r="D37" s="42"/>
      <c r="E37" s="94">
        <f t="shared" si="0"/>
        <v>0.22399552008959822</v>
      </c>
    </row>
    <row r="38" spans="1:5">
      <c r="A38" s="42"/>
      <c r="B38" s="42"/>
      <c r="C38" s="697"/>
      <c r="D38" s="42"/>
      <c r="E38" s="94"/>
    </row>
    <row r="39" spans="1:5">
      <c r="A39" s="42" t="s">
        <v>1900</v>
      </c>
      <c r="B39" s="42"/>
      <c r="C39" s="697">
        <v>22</v>
      </c>
      <c r="D39" s="42"/>
      <c r="E39" s="94">
        <f t="shared" si="0"/>
        <v>0.30799384012319753</v>
      </c>
    </row>
    <row r="40" spans="1:5">
      <c r="A40" s="42"/>
      <c r="B40" s="42"/>
      <c r="C40" s="697"/>
      <c r="D40" s="42"/>
      <c r="E40" s="94"/>
    </row>
    <row r="41" spans="1:5">
      <c r="A41" s="434" t="s">
        <v>1901</v>
      </c>
      <c r="C41" s="697">
        <v>60</v>
      </c>
      <c r="E41" s="94">
        <f t="shared" si="0"/>
        <v>0.83998320033599327</v>
      </c>
    </row>
    <row r="42" spans="1:5">
      <c r="C42" s="697"/>
      <c r="E42" s="94"/>
    </row>
    <row r="43" spans="1:5">
      <c r="A43" s="42" t="s">
        <v>1902</v>
      </c>
      <c r="C43" s="697">
        <v>3019</v>
      </c>
      <c r="E43" s="94">
        <f t="shared" si="0"/>
        <v>42.265154696906059</v>
      </c>
    </row>
    <row r="44" spans="1:5">
      <c r="E44" s="94"/>
    </row>
    <row r="45" spans="1:5" ht="15" customHeight="1">
      <c r="A45" s="741" t="s">
        <v>1903</v>
      </c>
      <c r="C45" s="434">
        <v>135</v>
      </c>
      <c r="E45" s="94">
        <f t="shared" si="0"/>
        <v>1.8899622007559851</v>
      </c>
    </row>
    <row r="46" spans="1:5" ht="13.5" thickBot="1">
      <c r="A46" s="42"/>
      <c r="B46" s="42"/>
      <c r="C46" s="567"/>
      <c r="D46" s="42"/>
      <c r="E46" s="94"/>
    </row>
    <row r="47" spans="1:5">
      <c r="A47" s="237"/>
      <c r="B47" s="237"/>
      <c r="C47" s="237"/>
      <c r="D47" s="237"/>
      <c r="E47" s="236"/>
    </row>
    <row r="48" spans="1:5">
      <c r="A48" s="42" t="s">
        <v>1904</v>
      </c>
      <c r="B48" s="42"/>
      <c r="C48" s="42"/>
      <c r="D48" s="42"/>
      <c r="E48" s="94"/>
    </row>
    <row r="49" spans="1:5">
      <c r="A49" s="42" t="s">
        <v>795</v>
      </c>
      <c r="B49" s="42"/>
      <c r="C49" s="42"/>
      <c r="D49" s="42"/>
      <c r="E49" s="94"/>
    </row>
    <row r="52" spans="1:5">
      <c r="A52" s="90"/>
      <c r="B52" s="95"/>
      <c r="C52" s="733"/>
    </row>
    <row r="53" spans="1:5">
      <c r="A53" s="95"/>
      <c r="B53" s="95"/>
      <c r="C53" s="312"/>
    </row>
    <row r="54" spans="1:5">
      <c r="A54" s="63"/>
      <c r="B54" s="42"/>
      <c r="C54" s="567"/>
    </row>
    <row r="55" spans="1:5">
      <c r="A55" s="42"/>
      <c r="B55" s="42"/>
      <c r="C55" s="567"/>
    </row>
    <row r="56" spans="1:5">
      <c r="A56" s="42"/>
      <c r="B56" s="42"/>
      <c r="C56" s="567"/>
    </row>
    <row r="57" spans="1:5">
      <c r="A57" s="42"/>
      <c r="B57" s="42"/>
      <c r="C57" s="567"/>
    </row>
    <row r="58" spans="1:5">
      <c r="A58" s="42"/>
      <c r="B58" s="42"/>
      <c r="C58" s="567"/>
    </row>
  </sheetData>
  <mergeCells count="2">
    <mergeCell ref="C8:E8"/>
    <mergeCell ref="C9:E9"/>
  </mergeCells>
  <printOptions horizontalCentered="1" verticalCentered="1"/>
  <pageMargins left="0" right="0.70866141732283472" top="0" bottom="0" header="0.31496062992125984" footer="0.31496062992125984"/>
  <pageSetup paperSize="9" scale="85" orientation="portrait" r:id="rId1"/>
</worksheet>
</file>

<file path=xl/worksheets/sheet132.xml><?xml version="1.0" encoding="utf-8"?>
<worksheet xmlns="http://schemas.openxmlformats.org/spreadsheetml/2006/main" xmlns:r="http://schemas.openxmlformats.org/officeDocument/2006/relationships">
  <dimension ref="A1:K52"/>
  <sheetViews>
    <sheetView topLeftCell="A25" workbookViewId="0">
      <selection activeCell="A42" sqref="A42"/>
    </sheetView>
  </sheetViews>
  <sheetFormatPr baseColWidth="10" defaultRowHeight="15"/>
  <cols>
    <col min="1" max="1" width="49.140625" customWidth="1"/>
    <col min="2" max="2" width="3" customWidth="1"/>
    <col min="4" max="4" width="4.5703125" customWidth="1"/>
    <col min="6" max="6" width="4.7109375" customWidth="1"/>
    <col min="257" max="257" width="49.140625" customWidth="1"/>
    <col min="258" max="258" width="3" customWidth="1"/>
    <col min="260" max="260" width="4.5703125" customWidth="1"/>
    <col min="262" max="262" width="4.7109375" customWidth="1"/>
    <col min="513" max="513" width="49.140625" customWidth="1"/>
    <col min="514" max="514" width="3" customWidth="1"/>
    <col min="516" max="516" width="4.5703125" customWidth="1"/>
    <col min="518" max="518" width="4.7109375" customWidth="1"/>
    <col min="769" max="769" width="49.140625" customWidth="1"/>
    <col min="770" max="770" width="3" customWidth="1"/>
    <col min="772" max="772" width="4.5703125" customWidth="1"/>
    <col min="774" max="774" width="4.7109375" customWidth="1"/>
    <col min="1025" max="1025" width="49.140625" customWidth="1"/>
    <col min="1026" max="1026" width="3" customWidth="1"/>
    <col min="1028" max="1028" width="4.5703125" customWidth="1"/>
    <col min="1030" max="1030" width="4.7109375" customWidth="1"/>
    <col min="1281" max="1281" width="49.140625" customWidth="1"/>
    <col min="1282" max="1282" width="3" customWidth="1"/>
    <col min="1284" max="1284" width="4.5703125" customWidth="1"/>
    <col min="1286" max="1286" width="4.7109375" customWidth="1"/>
    <col min="1537" max="1537" width="49.140625" customWidth="1"/>
    <col min="1538" max="1538" width="3" customWidth="1"/>
    <col min="1540" max="1540" width="4.5703125" customWidth="1"/>
    <col min="1542" max="1542" width="4.7109375" customWidth="1"/>
    <col min="1793" max="1793" width="49.140625" customWidth="1"/>
    <col min="1794" max="1794" width="3" customWidth="1"/>
    <col min="1796" max="1796" width="4.5703125" customWidth="1"/>
    <col min="1798" max="1798" width="4.7109375" customWidth="1"/>
    <col min="2049" max="2049" width="49.140625" customWidth="1"/>
    <col min="2050" max="2050" width="3" customWidth="1"/>
    <col min="2052" max="2052" width="4.5703125" customWidth="1"/>
    <col min="2054" max="2054" width="4.7109375" customWidth="1"/>
    <col min="2305" max="2305" width="49.140625" customWidth="1"/>
    <col min="2306" max="2306" width="3" customWidth="1"/>
    <col min="2308" max="2308" width="4.5703125" customWidth="1"/>
    <col min="2310" max="2310" width="4.7109375" customWidth="1"/>
    <col min="2561" max="2561" width="49.140625" customWidth="1"/>
    <col min="2562" max="2562" width="3" customWidth="1"/>
    <col min="2564" max="2564" width="4.5703125" customWidth="1"/>
    <col min="2566" max="2566" width="4.7109375" customWidth="1"/>
    <col min="2817" max="2817" width="49.140625" customWidth="1"/>
    <col min="2818" max="2818" width="3" customWidth="1"/>
    <col min="2820" max="2820" width="4.5703125" customWidth="1"/>
    <col min="2822" max="2822" width="4.7109375" customWidth="1"/>
    <col min="3073" max="3073" width="49.140625" customWidth="1"/>
    <col min="3074" max="3074" width="3" customWidth="1"/>
    <col min="3076" max="3076" width="4.5703125" customWidth="1"/>
    <col min="3078" max="3078" width="4.7109375" customWidth="1"/>
    <col min="3329" max="3329" width="49.140625" customWidth="1"/>
    <col min="3330" max="3330" width="3" customWidth="1"/>
    <col min="3332" max="3332" width="4.5703125" customWidth="1"/>
    <col min="3334" max="3334" width="4.7109375" customWidth="1"/>
    <col min="3585" max="3585" width="49.140625" customWidth="1"/>
    <col min="3586" max="3586" width="3" customWidth="1"/>
    <col min="3588" max="3588" width="4.5703125" customWidth="1"/>
    <col min="3590" max="3590" width="4.7109375" customWidth="1"/>
    <col min="3841" max="3841" width="49.140625" customWidth="1"/>
    <col min="3842" max="3842" width="3" customWidth="1"/>
    <col min="3844" max="3844" width="4.5703125" customWidth="1"/>
    <col min="3846" max="3846" width="4.7109375" customWidth="1"/>
    <col min="4097" max="4097" width="49.140625" customWidth="1"/>
    <col min="4098" max="4098" width="3" customWidth="1"/>
    <col min="4100" max="4100" width="4.5703125" customWidth="1"/>
    <col min="4102" max="4102" width="4.7109375" customWidth="1"/>
    <col min="4353" max="4353" width="49.140625" customWidth="1"/>
    <col min="4354" max="4354" width="3" customWidth="1"/>
    <col min="4356" max="4356" width="4.5703125" customWidth="1"/>
    <col min="4358" max="4358" width="4.7109375" customWidth="1"/>
    <col min="4609" max="4609" width="49.140625" customWidth="1"/>
    <col min="4610" max="4610" width="3" customWidth="1"/>
    <col min="4612" max="4612" width="4.5703125" customWidth="1"/>
    <col min="4614" max="4614" width="4.7109375" customWidth="1"/>
    <col min="4865" max="4865" width="49.140625" customWidth="1"/>
    <col min="4866" max="4866" width="3" customWidth="1"/>
    <col min="4868" max="4868" width="4.5703125" customWidth="1"/>
    <col min="4870" max="4870" width="4.7109375" customWidth="1"/>
    <col min="5121" max="5121" width="49.140625" customWidth="1"/>
    <col min="5122" max="5122" width="3" customWidth="1"/>
    <col min="5124" max="5124" width="4.5703125" customWidth="1"/>
    <col min="5126" max="5126" width="4.7109375" customWidth="1"/>
    <col min="5377" max="5377" width="49.140625" customWidth="1"/>
    <col min="5378" max="5378" width="3" customWidth="1"/>
    <col min="5380" max="5380" width="4.5703125" customWidth="1"/>
    <col min="5382" max="5382" width="4.7109375" customWidth="1"/>
    <col min="5633" max="5633" width="49.140625" customWidth="1"/>
    <col min="5634" max="5634" width="3" customWidth="1"/>
    <col min="5636" max="5636" width="4.5703125" customWidth="1"/>
    <col min="5638" max="5638" width="4.7109375" customWidth="1"/>
    <col min="5889" max="5889" width="49.140625" customWidth="1"/>
    <col min="5890" max="5890" width="3" customWidth="1"/>
    <col min="5892" max="5892" width="4.5703125" customWidth="1"/>
    <col min="5894" max="5894" width="4.7109375" customWidth="1"/>
    <col min="6145" max="6145" width="49.140625" customWidth="1"/>
    <col min="6146" max="6146" width="3" customWidth="1"/>
    <col min="6148" max="6148" width="4.5703125" customWidth="1"/>
    <col min="6150" max="6150" width="4.7109375" customWidth="1"/>
    <col min="6401" max="6401" width="49.140625" customWidth="1"/>
    <col min="6402" max="6402" width="3" customWidth="1"/>
    <col min="6404" max="6404" width="4.5703125" customWidth="1"/>
    <col min="6406" max="6406" width="4.7109375" customWidth="1"/>
    <col min="6657" max="6657" width="49.140625" customWidth="1"/>
    <col min="6658" max="6658" width="3" customWidth="1"/>
    <col min="6660" max="6660" width="4.5703125" customWidth="1"/>
    <col min="6662" max="6662" width="4.7109375" customWidth="1"/>
    <col min="6913" max="6913" width="49.140625" customWidth="1"/>
    <col min="6914" max="6914" width="3" customWidth="1"/>
    <col min="6916" max="6916" width="4.5703125" customWidth="1"/>
    <col min="6918" max="6918" width="4.7109375" customWidth="1"/>
    <col min="7169" max="7169" width="49.140625" customWidth="1"/>
    <col min="7170" max="7170" width="3" customWidth="1"/>
    <col min="7172" max="7172" width="4.5703125" customWidth="1"/>
    <col min="7174" max="7174" width="4.7109375" customWidth="1"/>
    <col min="7425" max="7425" width="49.140625" customWidth="1"/>
    <col min="7426" max="7426" width="3" customWidth="1"/>
    <col min="7428" max="7428" width="4.5703125" customWidth="1"/>
    <col min="7430" max="7430" width="4.7109375" customWidth="1"/>
    <col min="7681" max="7681" width="49.140625" customWidth="1"/>
    <col min="7682" max="7682" width="3" customWidth="1"/>
    <col min="7684" max="7684" width="4.5703125" customWidth="1"/>
    <col min="7686" max="7686" width="4.7109375" customWidth="1"/>
    <col min="7937" max="7937" width="49.140625" customWidth="1"/>
    <col min="7938" max="7938" width="3" customWidth="1"/>
    <col min="7940" max="7940" width="4.5703125" customWidth="1"/>
    <col min="7942" max="7942" width="4.7109375" customWidth="1"/>
    <col min="8193" max="8193" width="49.140625" customWidth="1"/>
    <col min="8194" max="8194" width="3" customWidth="1"/>
    <col min="8196" max="8196" width="4.5703125" customWidth="1"/>
    <col min="8198" max="8198" width="4.7109375" customWidth="1"/>
    <col min="8449" max="8449" width="49.140625" customWidth="1"/>
    <col min="8450" max="8450" width="3" customWidth="1"/>
    <col min="8452" max="8452" width="4.5703125" customWidth="1"/>
    <col min="8454" max="8454" width="4.7109375" customWidth="1"/>
    <col min="8705" max="8705" width="49.140625" customWidth="1"/>
    <col min="8706" max="8706" width="3" customWidth="1"/>
    <col min="8708" max="8708" width="4.5703125" customWidth="1"/>
    <col min="8710" max="8710" width="4.7109375" customWidth="1"/>
    <col min="8961" max="8961" width="49.140625" customWidth="1"/>
    <col min="8962" max="8962" width="3" customWidth="1"/>
    <col min="8964" max="8964" width="4.5703125" customWidth="1"/>
    <col min="8966" max="8966" width="4.7109375" customWidth="1"/>
    <col min="9217" max="9217" width="49.140625" customWidth="1"/>
    <col min="9218" max="9218" width="3" customWidth="1"/>
    <col min="9220" max="9220" width="4.5703125" customWidth="1"/>
    <col min="9222" max="9222" width="4.7109375" customWidth="1"/>
    <col min="9473" max="9473" width="49.140625" customWidth="1"/>
    <col min="9474" max="9474" width="3" customWidth="1"/>
    <col min="9476" max="9476" width="4.5703125" customWidth="1"/>
    <col min="9478" max="9478" width="4.7109375" customWidth="1"/>
    <col min="9729" max="9729" width="49.140625" customWidth="1"/>
    <col min="9730" max="9730" width="3" customWidth="1"/>
    <col min="9732" max="9732" width="4.5703125" customWidth="1"/>
    <col min="9734" max="9734" width="4.7109375" customWidth="1"/>
    <col min="9985" max="9985" width="49.140625" customWidth="1"/>
    <col min="9986" max="9986" width="3" customWidth="1"/>
    <col min="9988" max="9988" width="4.5703125" customWidth="1"/>
    <col min="9990" max="9990" width="4.7109375" customWidth="1"/>
    <col min="10241" max="10241" width="49.140625" customWidth="1"/>
    <col min="10242" max="10242" width="3" customWidth="1"/>
    <col min="10244" max="10244" width="4.5703125" customWidth="1"/>
    <col min="10246" max="10246" width="4.7109375" customWidth="1"/>
    <col min="10497" max="10497" width="49.140625" customWidth="1"/>
    <col min="10498" max="10498" width="3" customWidth="1"/>
    <col min="10500" max="10500" width="4.5703125" customWidth="1"/>
    <col min="10502" max="10502" width="4.7109375" customWidth="1"/>
    <col min="10753" max="10753" width="49.140625" customWidth="1"/>
    <col min="10754" max="10754" width="3" customWidth="1"/>
    <col min="10756" max="10756" width="4.5703125" customWidth="1"/>
    <col min="10758" max="10758" width="4.7109375" customWidth="1"/>
    <col min="11009" max="11009" width="49.140625" customWidth="1"/>
    <col min="11010" max="11010" width="3" customWidth="1"/>
    <col min="11012" max="11012" width="4.5703125" customWidth="1"/>
    <col min="11014" max="11014" width="4.7109375" customWidth="1"/>
    <col min="11265" max="11265" width="49.140625" customWidth="1"/>
    <col min="11266" max="11266" width="3" customWidth="1"/>
    <col min="11268" max="11268" width="4.5703125" customWidth="1"/>
    <col min="11270" max="11270" width="4.7109375" customWidth="1"/>
    <col min="11521" max="11521" width="49.140625" customWidth="1"/>
    <col min="11522" max="11522" width="3" customWidth="1"/>
    <col min="11524" max="11524" width="4.5703125" customWidth="1"/>
    <col min="11526" max="11526" width="4.7109375" customWidth="1"/>
    <col min="11777" max="11777" width="49.140625" customWidth="1"/>
    <col min="11778" max="11778" width="3" customWidth="1"/>
    <col min="11780" max="11780" width="4.5703125" customWidth="1"/>
    <col min="11782" max="11782" width="4.7109375" customWidth="1"/>
    <col min="12033" max="12033" width="49.140625" customWidth="1"/>
    <col min="12034" max="12034" width="3" customWidth="1"/>
    <col min="12036" max="12036" width="4.5703125" customWidth="1"/>
    <col min="12038" max="12038" width="4.7109375" customWidth="1"/>
    <col min="12289" max="12289" width="49.140625" customWidth="1"/>
    <col min="12290" max="12290" width="3" customWidth="1"/>
    <col min="12292" max="12292" width="4.5703125" customWidth="1"/>
    <col min="12294" max="12294" width="4.7109375" customWidth="1"/>
    <col min="12545" max="12545" width="49.140625" customWidth="1"/>
    <col min="12546" max="12546" width="3" customWidth="1"/>
    <col min="12548" max="12548" width="4.5703125" customWidth="1"/>
    <col min="12550" max="12550" width="4.7109375" customWidth="1"/>
    <col min="12801" max="12801" width="49.140625" customWidth="1"/>
    <col min="12802" max="12802" width="3" customWidth="1"/>
    <col min="12804" max="12804" width="4.5703125" customWidth="1"/>
    <col min="12806" max="12806" width="4.7109375" customWidth="1"/>
    <col min="13057" max="13057" width="49.140625" customWidth="1"/>
    <col min="13058" max="13058" width="3" customWidth="1"/>
    <col min="13060" max="13060" width="4.5703125" customWidth="1"/>
    <col min="13062" max="13062" width="4.7109375" customWidth="1"/>
    <col min="13313" max="13313" width="49.140625" customWidth="1"/>
    <col min="13314" max="13314" width="3" customWidth="1"/>
    <col min="13316" max="13316" width="4.5703125" customWidth="1"/>
    <col min="13318" max="13318" width="4.7109375" customWidth="1"/>
    <col min="13569" max="13569" width="49.140625" customWidth="1"/>
    <col min="13570" max="13570" width="3" customWidth="1"/>
    <col min="13572" max="13572" width="4.5703125" customWidth="1"/>
    <col min="13574" max="13574" width="4.7109375" customWidth="1"/>
    <col min="13825" max="13825" width="49.140625" customWidth="1"/>
    <col min="13826" max="13826" width="3" customWidth="1"/>
    <col min="13828" max="13828" width="4.5703125" customWidth="1"/>
    <col min="13830" max="13830" width="4.7109375" customWidth="1"/>
    <col min="14081" max="14081" width="49.140625" customWidth="1"/>
    <col min="14082" max="14082" width="3" customWidth="1"/>
    <col min="14084" max="14084" width="4.5703125" customWidth="1"/>
    <col min="14086" max="14086" width="4.7109375" customWidth="1"/>
    <col min="14337" max="14337" width="49.140625" customWidth="1"/>
    <col min="14338" max="14338" width="3" customWidth="1"/>
    <col min="14340" max="14340" width="4.5703125" customWidth="1"/>
    <col min="14342" max="14342" width="4.7109375" customWidth="1"/>
    <col min="14593" max="14593" width="49.140625" customWidth="1"/>
    <col min="14594" max="14594" width="3" customWidth="1"/>
    <col min="14596" max="14596" width="4.5703125" customWidth="1"/>
    <col min="14598" max="14598" width="4.7109375" customWidth="1"/>
    <col min="14849" max="14849" width="49.140625" customWidth="1"/>
    <col min="14850" max="14850" width="3" customWidth="1"/>
    <col min="14852" max="14852" width="4.5703125" customWidth="1"/>
    <col min="14854" max="14854" width="4.7109375" customWidth="1"/>
    <col min="15105" max="15105" width="49.140625" customWidth="1"/>
    <col min="15106" max="15106" width="3" customWidth="1"/>
    <col min="15108" max="15108" width="4.5703125" customWidth="1"/>
    <col min="15110" max="15110" width="4.7109375" customWidth="1"/>
    <col min="15361" max="15361" width="49.140625" customWidth="1"/>
    <col min="15362" max="15362" width="3" customWidth="1"/>
    <col min="15364" max="15364" width="4.5703125" customWidth="1"/>
    <col min="15366" max="15366" width="4.7109375" customWidth="1"/>
    <col min="15617" max="15617" width="49.140625" customWidth="1"/>
    <col min="15618" max="15618" width="3" customWidth="1"/>
    <col min="15620" max="15620" width="4.5703125" customWidth="1"/>
    <col min="15622" max="15622" width="4.7109375" customWidth="1"/>
    <col min="15873" max="15873" width="49.140625" customWidth="1"/>
    <col min="15874" max="15874" width="3" customWidth="1"/>
    <col min="15876" max="15876" width="4.5703125" customWidth="1"/>
    <col min="15878" max="15878" width="4.7109375" customWidth="1"/>
    <col min="16129" max="16129" width="49.140625" customWidth="1"/>
    <col min="16130" max="16130" width="3" customWidth="1"/>
    <col min="16132" max="16132" width="4.5703125" customWidth="1"/>
    <col min="16134" max="16134" width="4.7109375" customWidth="1"/>
  </cols>
  <sheetData>
    <row r="1" spans="1:11">
      <c r="A1" t="s">
        <v>431</v>
      </c>
    </row>
    <row r="2" spans="1:11">
      <c r="A2" t="s">
        <v>367</v>
      </c>
    </row>
    <row r="3" spans="1:11" ht="8.25" customHeight="1"/>
    <row r="4" spans="1:11">
      <c r="A4" s="42" t="s">
        <v>1905</v>
      </c>
    </row>
    <row r="5" spans="1:11">
      <c r="A5" s="42" t="s">
        <v>1906</v>
      </c>
    </row>
    <row r="6" spans="1:11" ht="6.75" customHeight="1" thickBot="1">
      <c r="F6" s="15"/>
    </row>
    <row r="7" spans="1:11" ht="9.75" customHeight="1">
      <c r="A7" s="237"/>
      <c r="B7" s="237"/>
      <c r="C7" s="237"/>
      <c r="D7" s="237"/>
      <c r="E7" s="738"/>
    </row>
    <row r="8" spans="1:11">
      <c r="A8" s="95"/>
      <c r="B8" s="95"/>
      <c r="C8" s="1305" t="s">
        <v>1839</v>
      </c>
      <c r="D8" s="1305"/>
      <c r="E8" s="1305"/>
    </row>
    <row r="9" spans="1:11">
      <c r="A9" s="42" t="s">
        <v>1889</v>
      </c>
      <c r="B9" s="42"/>
      <c r="C9" s="1339" t="s">
        <v>1890</v>
      </c>
      <c r="D9" s="1339"/>
      <c r="E9" s="1339"/>
    </row>
    <row r="10" spans="1:11">
      <c r="A10" s="42"/>
      <c r="B10" s="42"/>
      <c r="C10" s="729" t="s">
        <v>1842</v>
      </c>
      <c r="D10" s="730"/>
      <c r="E10" s="731" t="s">
        <v>1843</v>
      </c>
    </row>
    <row r="11" spans="1:11" ht="9" customHeight="1" thickBot="1">
      <c r="A11" s="249"/>
      <c r="B11" s="249"/>
      <c r="C11" s="732"/>
      <c r="D11" s="732"/>
      <c r="E11" s="727"/>
      <c r="F11" s="15"/>
    </row>
    <row r="12" spans="1:11" ht="10.5" customHeight="1"/>
    <row r="13" spans="1:11">
      <c r="A13" s="63" t="s">
        <v>5</v>
      </c>
      <c r="C13" s="742">
        <f>SUM(C15+C21+C28)</f>
        <v>7078</v>
      </c>
      <c r="D13" s="742"/>
      <c r="E13" s="743">
        <f>SUM(E15+E21+E28)</f>
        <v>100.00000000000001</v>
      </c>
      <c r="G13" s="744"/>
      <c r="H13" s="745"/>
      <c r="I13" s="746"/>
      <c r="J13" s="744"/>
      <c r="K13" s="743"/>
    </row>
    <row r="14" spans="1:11" ht="9.9499999999999993" customHeight="1">
      <c r="C14" s="46"/>
      <c r="D14" s="31"/>
      <c r="E14" s="31"/>
      <c r="G14" s="745"/>
      <c r="H14" s="745"/>
      <c r="I14" s="747"/>
      <c r="J14" s="745"/>
      <c r="K14" s="748"/>
    </row>
    <row r="15" spans="1:11">
      <c r="A15" s="749" t="s">
        <v>1907</v>
      </c>
      <c r="B15" s="750"/>
      <c r="C15" s="751">
        <f>SUM(C16:C19)</f>
        <v>5142</v>
      </c>
      <c r="D15" s="750"/>
      <c r="E15" s="752">
        <f>IF(A15&lt;&gt;0,C15/$C$13*100,"")</f>
        <v>72.647640576434029</v>
      </c>
      <c r="F15" s="745"/>
      <c r="G15" s="744"/>
      <c r="H15" s="745"/>
      <c r="I15" s="753"/>
      <c r="J15" s="745"/>
      <c r="K15" s="748"/>
    </row>
    <row r="16" spans="1:11">
      <c r="A16" s="750" t="s">
        <v>1908</v>
      </c>
      <c r="B16" s="750"/>
      <c r="C16" s="754">
        <v>1169</v>
      </c>
      <c r="D16" s="750"/>
      <c r="E16" s="752">
        <f>IF(A16&lt;&gt;0,C16/$C$13*100,"")</f>
        <v>16.51596496185363</v>
      </c>
      <c r="F16" s="745"/>
      <c r="G16" s="745"/>
      <c r="H16" s="745"/>
      <c r="I16" s="755"/>
      <c r="J16" s="745"/>
      <c r="K16" s="748"/>
    </row>
    <row r="17" spans="1:11">
      <c r="A17" s="756" t="s">
        <v>1909</v>
      </c>
      <c r="B17" s="750"/>
      <c r="C17" s="754">
        <v>1575</v>
      </c>
      <c r="D17" s="750"/>
      <c r="E17" s="752">
        <f>IF(A17&lt;&gt;0,C17/$C$13*100,"")</f>
        <v>22.252048601299801</v>
      </c>
      <c r="F17" s="745"/>
      <c r="G17" s="745"/>
      <c r="H17" s="745"/>
      <c r="I17" s="755"/>
      <c r="J17" s="745"/>
      <c r="K17" s="748"/>
    </row>
    <row r="18" spans="1:11">
      <c r="A18" s="756" t="s">
        <v>1910</v>
      </c>
      <c r="B18" s="750"/>
      <c r="C18" s="754">
        <v>2288</v>
      </c>
      <c r="D18" s="750"/>
      <c r="E18" s="752">
        <f>IF(A18&lt;&gt;0,C18/$C$13*100,"")</f>
        <v>32.325515682396158</v>
      </c>
      <c r="F18" s="745"/>
      <c r="G18" s="745"/>
      <c r="H18" s="745"/>
      <c r="I18" s="755"/>
      <c r="J18" s="745"/>
      <c r="K18" s="748"/>
    </row>
    <row r="19" spans="1:11" ht="26.25">
      <c r="A19" s="757" t="s">
        <v>2242</v>
      </c>
      <c r="B19" s="750"/>
      <c r="C19" s="754">
        <v>110</v>
      </c>
      <c r="D19" s="750"/>
      <c r="E19" s="752">
        <f>IF(A19&lt;&gt;0,C19/$C$13*100,"")</f>
        <v>1.5541113308844308</v>
      </c>
      <c r="F19" s="745"/>
      <c r="G19" s="745"/>
      <c r="H19" s="745"/>
      <c r="I19" s="755"/>
      <c r="J19" s="745"/>
      <c r="K19" s="748"/>
    </row>
    <row r="20" spans="1:11" ht="9.9499999999999993" customHeight="1">
      <c r="A20" s="750"/>
      <c r="B20" s="750"/>
      <c r="C20" s="751"/>
      <c r="D20" s="750"/>
      <c r="E20" s="752" t="str">
        <f t="shared" ref="E20:E33" si="0">IF(A20&lt;&gt;0,C20/$C$13*100,"")</f>
        <v/>
      </c>
      <c r="F20" s="745"/>
      <c r="G20" s="745"/>
      <c r="H20" s="745"/>
      <c r="I20" s="755"/>
      <c r="J20" s="745"/>
      <c r="K20" s="748"/>
    </row>
    <row r="21" spans="1:11">
      <c r="A21" s="749" t="s">
        <v>1911</v>
      </c>
      <c r="B21" s="750"/>
      <c r="C21" s="758">
        <f>SUM(C22:C26)</f>
        <v>1262</v>
      </c>
      <c r="D21" s="749"/>
      <c r="E21" s="752">
        <f t="shared" si="0"/>
        <v>17.829895450692284</v>
      </c>
      <c r="F21" s="745"/>
      <c r="G21" s="744"/>
      <c r="H21" s="745"/>
      <c r="I21" s="755"/>
      <c r="J21" s="745"/>
      <c r="K21" s="748"/>
    </row>
    <row r="22" spans="1:11">
      <c r="A22" s="756" t="s">
        <v>1912</v>
      </c>
      <c r="B22" s="750"/>
      <c r="C22" s="751">
        <v>550</v>
      </c>
      <c r="D22" s="750"/>
      <c r="E22" s="752">
        <f t="shared" si="0"/>
        <v>7.7705566544221529</v>
      </c>
      <c r="F22" s="745"/>
      <c r="G22" s="744"/>
      <c r="H22" s="745"/>
      <c r="I22" s="755"/>
      <c r="J22" s="745"/>
      <c r="K22" s="748"/>
    </row>
    <row r="23" spans="1:11">
      <c r="A23" s="756" t="s">
        <v>1913</v>
      </c>
      <c r="B23" s="750"/>
      <c r="C23" s="751">
        <v>244</v>
      </c>
      <c r="D23" s="750"/>
      <c r="E23" s="752">
        <f t="shared" si="0"/>
        <v>3.4473014975981915</v>
      </c>
      <c r="F23" s="745"/>
      <c r="G23" s="744"/>
      <c r="H23" s="745"/>
      <c r="I23" s="755"/>
      <c r="J23" s="745"/>
      <c r="K23" s="748"/>
    </row>
    <row r="24" spans="1:11" ht="26.25">
      <c r="A24" s="757" t="s">
        <v>2243</v>
      </c>
      <c r="B24" s="750"/>
      <c r="C24" s="751">
        <v>110</v>
      </c>
      <c r="D24" s="750"/>
      <c r="E24" s="752">
        <f t="shared" si="0"/>
        <v>1.5541113308844308</v>
      </c>
      <c r="F24" s="745"/>
      <c r="G24" s="744"/>
      <c r="H24" s="745"/>
      <c r="I24" s="755"/>
      <c r="J24" s="745"/>
      <c r="K24" s="748"/>
    </row>
    <row r="25" spans="1:11">
      <c r="A25" s="757" t="s">
        <v>2244</v>
      </c>
      <c r="B25" s="750"/>
      <c r="C25" s="751">
        <v>8</v>
      </c>
      <c r="D25" s="750"/>
      <c r="E25" s="752">
        <f t="shared" si="0"/>
        <v>0.11302627860977678</v>
      </c>
      <c r="F25" s="745"/>
      <c r="G25" s="744"/>
      <c r="H25" s="745"/>
      <c r="I25" s="755"/>
      <c r="J25" s="745"/>
      <c r="K25" s="748"/>
    </row>
    <row r="26" spans="1:11">
      <c r="A26" s="759" t="s">
        <v>1914</v>
      </c>
      <c r="B26" s="745"/>
      <c r="C26" s="755">
        <v>350</v>
      </c>
      <c r="D26" s="745"/>
      <c r="E26" s="752">
        <f t="shared" si="0"/>
        <v>4.9448996891777339</v>
      </c>
      <c r="F26" s="745"/>
      <c r="G26" s="745"/>
      <c r="H26" s="745"/>
      <c r="I26" s="755"/>
      <c r="J26" s="745"/>
      <c r="K26" s="748"/>
    </row>
    <row r="27" spans="1:11" ht="9.9499999999999993" customHeight="1">
      <c r="A27" s="750"/>
      <c r="B27" s="745"/>
      <c r="C27" s="760"/>
      <c r="D27" s="745"/>
      <c r="E27" s="752" t="str">
        <f t="shared" si="0"/>
        <v/>
      </c>
      <c r="F27" s="745"/>
      <c r="G27" s="745"/>
      <c r="H27" s="745"/>
      <c r="I27" s="753"/>
      <c r="J27" s="745"/>
      <c r="K27" s="748"/>
    </row>
    <row r="28" spans="1:11">
      <c r="A28" s="749" t="s">
        <v>1915</v>
      </c>
      <c r="B28" s="756"/>
      <c r="C28" s="758">
        <f>SUM(C29:C35)</f>
        <v>674</v>
      </c>
      <c r="D28" s="749"/>
      <c r="E28" s="752">
        <f t="shared" si="0"/>
        <v>9.5224639728736928</v>
      </c>
      <c r="F28" s="750"/>
      <c r="G28" s="744"/>
      <c r="H28" s="745"/>
      <c r="I28" s="761"/>
      <c r="J28" s="745"/>
      <c r="K28" s="748"/>
    </row>
    <row r="29" spans="1:11" ht="14.25" customHeight="1">
      <c r="A29" s="756" t="s">
        <v>1916</v>
      </c>
      <c r="B29" s="756"/>
      <c r="C29" s="754">
        <v>324</v>
      </c>
      <c r="D29" s="749"/>
      <c r="E29" s="752">
        <f t="shared" si="0"/>
        <v>4.5775642836959589</v>
      </c>
      <c r="F29" s="750"/>
      <c r="G29" s="744"/>
      <c r="H29" s="745"/>
      <c r="I29" s="761"/>
      <c r="J29" s="745"/>
      <c r="K29" s="748"/>
    </row>
    <row r="30" spans="1:11" ht="14.25" customHeight="1">
      <c r="A30" s="756" t="s">
        <v>1917</v>
      </c>
      <c r="B30" s="756"/>
      <c r="C30" s="754">
        <v>124</v>
      </c>
      <c r="D30" s="749"/>
      <c r="E30" s="752">
        <f t="shared" si="0"/>
        <v>1.7519073184515399</v>
      </c>
      <c r="F30" s="750"/>
      <c r="G30" s="744"/>
      <c r="H30" s="745"/>
      <c r="I30" s="761"/>
      <c r="J30" s="745"/>
      <c r="K30" s="748"/>
    </row>
    <row r="31" spans="1:11" ht="14.25" customHeight="1">
      <c r="A31" s="756" t="s">
        <v>1918</v>
      </c>
      <c r="B31" s="756"/>
      <c r="C31" s="754">
        <v>189</v>
      </c>
      <c r="D31" s="749"/>
      <c r="E31" s="752">
        <f t="shared" si="0"/>
        <v>2.6702458321559766</v>
      </c>
      <c r="F31" s="750"/>
      <c r="G31" s="744"/>
      <c r="H31" s="745"/>
      <c r="I31" s="761"/>
      <c r="J31" s="745"/>
      <c r="K31" s="748"/>
    </row>
    <row r="32" spans="1:11" ht="25.5" customHeight="1">
      <c r="A32" s="757" t="s">
        <v>2245</v>
      </c>
      <c r="B32" s="756"/>
      <c r="C32" s="754">
        <v>6</v>
      </c>
      <c r="D32" s="749"/>
      <c r="E32" s="752">
        <f t="shared" si="0"/>
        <v>8.4769708957332573E-2</v>
      </c>
      <c r="F32" s="750"/>
      <c r="G32" s="744"/>
      <c r="H32" s="745"/>
      <c r="I32" s="761"/>
      <c r="J32" s="745"/>
      <c r="K32" s="748"/>
    </row>
    <row r="33" spans="1:11" ht="26.25" customHeight="1">
      <c r="A33" s="757" t="s">
        <v>2246</v>
      </c>
      <c r="B33" s="756"/>
      <c r="C33" s="754">
        <v>3</v>
      </c>
      <c r="D33" s="749"/>
      <c r="E33" s="752">
        <f t="shared" si="0"/>
        <v>4.2384854478666287E-2</v>
      </c>
      <c r="F33" s="750"/>
      <c r="G33" s="744"/>
      <c r="H33" s="745"/>
      <c r="I33" s="761"/>
      <c r="J33" s="745"/>
      <c r="K33" s="748"/>
    </row>
    <row r="34" spans="1:11" ht="14.25" customHeight="1">
      <c r="A34" s="762" t="s">
        <v>1919</v>
      </c>
      <c r="B34" s="756"/>
      <c r="C34" s="754">
        <v>10</v>
      </c>
      <c r="D34" s="749"/>
      <c r="E34" s="748">
        <f>IF(A34&lt;&gt;0,C34/$C$13*100,"")</f>
        <v>0.14128284826222096</v>
      </c>
      <c r="F34" s="750"/>
      <c r="G34" s="744"/>
      <c r="H34" s="745"/>
      <c r="I34" s="761"/>
      <c r="J34" s="745"/>
      <c r="K34" s="748"/>
    </row>
    <row r="35" spans="1:11" ht="14.25" customHeight="1">
      <c r="A35" s="762" t="s">
        <v>2247</v>
      </c>
      <c r="B35" s="756"/>
      <c r="C35" s="754">
        <v>18</v>
      </c>
      <c r="D35" s="749"/>
      <c r="E35" s="748">
        <f>IF(A35&lt;&gt;0,C35/$C$13*100,"")</f>
        <v>0.25430912687199769</v>
      </c>
      <c r="F35" s="750"/>
      <c r="G35" s="744"/>
      <c r="H35" s="745"/>
      <c r="I35" s="761"/>
      <c r="J35" s="745"/>
      <c r="K35" s="748"/>
    </row>
    <row r="36" spans="1:11" s="1" customFormat="1" ht="9.9499999999999993" customHeight="1" thickBot="1">
      <c r="A36" s="763"/>
      <c r="B36" s="763"/>
      <c r="C36" s="763"/>
      <c r="D36" s="763"/>
      <c r="E36" s="763"/>
      <c r="F36" s="764"/>
    </row>
    <row r="37" spans="1:11" ht="9.9499999999999993" customHeight="1">
      <c r="A37" s="745"/>
      <c r="B37" s="745"/>
      <c r="C37" s="745"/>
      <c r="D37" s="745"/>
      <c r="E37" s="745"/>
      <c r="F37" s="745"/>
      <c r="G37" s="745"/>
      <c r="H37" s="745"/>
      <c r="I37" s="745"/>
    </row>
    <row r="38" spans="1:11">
      <c r="A38" s="756" t="s">
        <v>2248</v>
      </c>
      <c r="B38" s="745"/>
      <c r="C38" s="745"/>
      <c r="D38" s="745"/>
      <c r="E38" s="745"/>
      <c r="F38" s="745"/>
      <c r="G38" s="745"/>
      <c r="H38" s="745"/>
      <c r="I38" s="745"/>
    </row>
    <row r="39" spans="1:11">
      <c r="A39" s="756" t="s">
        <v>2249</v>
      </c>
      <c r="B39" s="745"/>
      <c r="C39" s="745"/>
      <c r="D39" s="745"/>
      <c r="E39" s="745"/>
      <c r="F39" s="745"/>
      <c r="G39" s="745"/>
      <c r="H39" s="745"/>
      <c r="I39" s="745"/>
    </row>
    <row r="40" spans="1:11">
      <c r="A40" s="756" t="s">
        <v>2250</v>
      </c>
      <c r="B40" s="745"/>
      <c r="C40" s="745"/>
      <c r="D40" s="745"/>
      <c r="E40" s="745"/>
      <c r="F40" s="745"/>
      <c r="G40" s="745"/>
      <c r="H40" s="745"/>
      <c r="I40" s="745"/>
    </row>
    <row r="41" spans="1:11">
      <c r="A41" s="756" t="s">
        <v>2251</v>
      </c>
      <c r="B41" s="745"/>
      <c r="C41" s="745"/>
      <c r="D41" s="745"/>
      <c r="E41" s="745"/>
      <c r="F41" s="745"/>
      <c r="G41" s="745"/>
      <c r="H41" s="745"/>
      <c r="I41" s="745"/>
    </row>
    <row r="42" spans="1:11">
      <c r="A42" s="756" t="s">
        <v>1920</v>
      </c>
      <c r="B42" s="745"/>
      <c r="C42" s="745"/>
      <c r="D42" s="745"/>
      <c r="E42" s="745"/>
      <c r="F42" s="745"/>
      <c r="G42" s="745"/>
      <c r="H42" s="745"/>
      <c r="I42" s="745"/>
    </row>
    <row r="43" spans="1:11">
      <c r="A43" s="756" t="s">
        <v>1921</v>
      </c>
      <c r="B43" s="745"/>
      <c r="C43" s="745"/>
      <c r="D43" s="745"/>
      <c r="E43" s="745"/>
      <c r="F43" s="745"/>
      <c r="G43" s="745"/>
      <c r="H43" s="745"/>
      <c r="I43" s="745"/>
    </row>
    <row r="44" spans="1:11">
      <c r="A44" s="756" t="s">
        <v>1922</v>
      </c>
      <c r="B44" s="745"/>
      <c r="C44" s="745"/>
      <c r="D44" s="745"/>
      <c r="E44" s="745"/>
      <c r="F44" s="745"/>
      <c r="G44" s="745"/>
      <c r="H44" s="745"/>
      <c r="I44" s="745"/>
    </row>
    <row r="45" spans="1:11" ht="9" customHeight="1">
      <c r="A45" s="756"/>
      <c r="B45" s="745"/>
      <c r="C45" s="745"/>
      <c r="D45" s="745"/>
      <c r="E45" s="745"/>
      <c r="F45" s="745"/>
      <c r="G45" s="745"/>
      <c r="H45" s="745"/>
      <c r="I45" s="745"/>
    </row>
    <row r="46" spans="1:11">
      <c r="A46" s="42" t="s">
        <v>1923</v>
      </c>
    </row>
    <row r="47" spans="1:11">
      <c r="A47" s="42" t="s">
        <v>365</v>
      </c>
    </row>
    <row r="51" spans="1:1">
      <c r="A51" s="750"/>
    </row>
    <row r="52" spans="1:1">
      <c r="A52" s="756"/>
    </row>
  </sheetData>
  <mergeCells count="2">
    <mergeCell ref="C8:E8"/>
    <mergeCell ref="C9:E9"/>
  </mergeCells>
  <printOptions horizontalCentered="1" verticalCentered="1"/>
  <pageMargins left="0.70866141732283472" right="0.70866141732283472" top="0.74803149606299213" bottom="0.74803149606299213" header="0.31496062992125984" footer="0.31496062992125984"/>
  <pageSetup paperSize="9" scale="90" orientation="portrait" r:id="rId1"/>
</worksheet>
</file>

<file path=xl/worksheets/sheet133.xml><?xml version="1.0" encoding="utf-8"?>
<worksheet xmlns="http://schemas.openxmlformats.org/spreadsheetml/2006/main" xmlns:r="http://schemas.openxmlformats.org/officeDocument/2006/relationships">
  <sheetPr>
    <tabColor theme="5" tint="0.59999389629810485"/>
  </sheetPr>
  <dimension ref="A1:K39"/>
  <sheetViews>
    <sheetView workbookViewId="0">
      <selection activeCell="J1" sqref="J1"/>
    </sheetView>
  </sheetViews>
  <sheetFormatPr baseColWidth="10" defaultRowHeight="15"/>
  <sheetData>
    <row r="1" spans="1:11" ht="12.75" customHeight="1">
      <c r="A1" s="42" t="s">
        <v>1947</v>
      </c>
      <c r="B1" s="42" t="s">
        <v>1948</v>
      </c>
      <c r="C1" s="42" t="s">
        <v>1949</v>
      </c>
    </row>
    <row r="2" spans="1:11" ht="12.75" customHeight="1">
      <c r="A2" s="31">
        <v>72.650000000000006</v>
      </c>
      <c r="B2" s="31">
        <v>17.829999999999998</v>
      </c>
      <c r="C2" s="31">
        <v>9.52</v>
      </c>
      <c r="J2" s="32"/>
    </row>
    <row r="3" spans="1:11" ht="12.75" customHeight="1">
      <c r="B3" t="s">
        <v>11</v>
      </c>
      <c r="H3" s="33"/>
    </row>
    <row r="4" spans="1:11" ht="12.75" customHeight="1">
      <c r="A4" s="767"/>
      <c r="B4" s="767"/>
      <c r="C4" s="767"/>
      <c r="H4" s="34"/>
      <c r="K4" s="35"/>
    </row>
    <row r="5" spans="1:11">
      <c r="A5" s="768"/>
      <c r="B5" s="769"/>
      <c r="C5" s="770"/>
    </row>
    <row r="6" spans="1:11">
      <c r="A6" s="770"/>
      <c r="B6" s="770"/>
      <c r="C6" s="770"/>
    </row>
    <row r="7" spans="1:11">
      <c r="A7" s="770"/>
      <c r="B7" s="606"/>
      <c r="C7" s="770"/>
    </row>
    <row r="8" spans="1:11">
      <c r="A8" s="770"/>
      <c r="B8" s="606"/>
      <c r="C8" s="770"/>
    </row>
    <row r="9" spans="1:11">
      <c r="A9" s="606"/>
      <c r="B9" s="606"/>
      <c r="C9" s="606"/>
      <c r="D9" s="31"/>
    </row>
    <row r="10" spans="1:11">
      <c r="B10" s="31"/>
    </row>
    <row r="13" spans="1:11">
      <c r="A13" s="42"/>
    </row>
    <row r="14" spans="1:11">
      <c r="A14" s="42"/>
    </row>
    <row r="15" spans="1:11">
      <c r="A15" s="42"/>
    </row>
    <row r="18" spans="2:2">
      <c r="B18" s="31"/>
    </row>
    <row r="19" spans="2:2">
      <c r="B19" s="31"/>
    </row>
    <row r="20" spans="2:2">
      <c r="B20" s="31"/>
    </row>
    <row r="39" spans="4:4">
      <c r="D3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34.xml><?xml version="1.0" encoding="utf-8"?>
<worksheet xmlns="http://schemas.openxmlformats.org/spreadsheetml/2006/main" xmlns:r="http://schemas.openxmlformats.org/officeDocument/2006/relationships">
  <sheetPr>
    <tabColor rgb="FFFFFF00"/>
  </sheetPr>
  <dimension ref="A1:B8"/>
  <sheetViews>
    <sheetView workbookViewId="0">
      <selection activeCell="A10" sqref="A10"/>
    </sheetView>
  </sheetViews>
  <sheetFormatPr baseColWidth="10" defaultRowHeight="15"/>
  <cols>
    <col min="1" max="1" width="13.42578125" customWidth="1"/>
  </cols>
  <sheetData>
    <row r="1" spans="1:2" ht="15.75">
      <c r="A1" s="28" t="s">
        <v>251</v>
      </c>
    </row>
    <row r="2" spans="1:2" ht="15.75">
      <c r="A2" s="26" t="s">
        <v>1953</v>
      </c>
    </row>
    <row r="3" spans="1:2">
      <c r="A3" s="25"/>
    </row>
    <row r="4" spans="1:2" ht="15.75">
      <c r="A4" s="26" t="s">
        <v>722</v>
      </c>
    </row>
    <row r="5" spans="1:2">
      <c r="A5" s="25"/>
    </row>
    <row r="6" spans="1:2" ht="17.25" customHeight="1">
      <c r="A6" s="775" t="s">
        <v>1954</v>
      </c>
      <c r="B6" s="775" t="s">
        <v>1955</v>
      </c>
    </row>
    <row r="7" spans="1:2" ht="15" customHeight="1">
      <c r="A7" s="27"/>
      <c r="B7" s="29"/>
    </row>
    <row r="8" spans="1:2" ht="15.75">
      <c r="A8" s="605"/>
    </row>
  </sheetData>
  <pageMargins left="0.70866141732283472" right="0.70866141732283472" top="0.74803149606299213" bottom="0.74803149606299213" header="0.31496062992125984" footer="0.31496062992125984"/>
  <pageSetup paperSize="9" orientation="landscape" r:id="rId1"/>
</worksheet>
</file>

<file path=xl/worksheets/sheet135.xml><?xml version="1.0" encoding="utf-8"?>
<worksheet xmlns="http://schemas.openxmlformats.org/spreadsheetml/2006/main" xmlns:r="http://schemas.openxmlformats.org/officeDocument/2006/relationships">
  <dimension ref="A1:N50"/>
  <sheetViews>
    <sheetView topLeftCell="A13" workbookViewId="0">
      <selection activeCell="D23" sqref="D23"/>
    </sheetView>
  </sheetViews>
  <sheetFormatPr baseColWidth="10" defaultColWidth="8.85546875" defaultRowHeight="12.75"/>
  <cols>
    <col min="1" max="1" width="30.85546875" style="1240" customWidth="1"/>
    <col min="2" max="2" width="2.42578125" style="1241" customWidth="1"/>
    <col min="3" max="3" width="9.7109375" style="1242" customWidth="1"/>
    <col min="4" max="4" width="8.7109375" style="1240" customWidth="1"/>
    <col min="5" max="5" width="2.5703125" style="1240" customWidth="1"/>
    <col min="6" max="6" width="9.7109375" style="1242" customWidth="1"/>
    <col min="7" max="7" width="8.7109375" style="1242" customWidth="1"/>
    <col min="8" max="8" width="2.7109375" style="1242" customWidth="1"/>
    <col min="9" max="9" width="9.7109375" style="1242" customWidth="1"/>
    <col min="10" max="10" width="8.7109375" style="1242" customWidth="1"/>
    <col min="11" max="11" width="2.85546875" style="1242" customWidth="1"/>
    <col min="12" max="12" width="9.42578125" style="1242" customWidth="1"/>
    <col min="13" max="13" width="9.7109375" style="1242" customWidth="1"/>
    <col min="14" max="14" width="3.7109375" style="1243" customWidth="1"/>
    <col min="15" max="256" width="8.85546875" style="1241"/>
    <col min="257" max="257" width="30.85546875" style="1241" customWidth="1"/>
    <col min="258" max="258" width="2.42578125" style="1241" customWidth="1"/>
    <col min="259" max="259" width="9.7109375" style="1241" customWidth="1"/>
    <col min="260" max="260" width="8.7109375" style="1241" customWidth="1"/>
    <col min="261" max="261" width="2.5703125" style="1241" customWidth="1"/>
    <col min="262" max="262" width="9.7109375" style="1241" customWidth="1"/>
    <col min="263" max="263" width="8.7109375" style="1241" customWidth="1"/>
    <col min="264" max="264" width="2.7109375" style="1241" customWidth="1"/>
    <col min="265" max="265" width="9.7109375" style="1241" customWidth="1"/>
    <col min="266" max="266" width="8.7109375" style="1241" customWidth="1"/>
    <col min="267" max="267" width="2.85546875" style="1241" customWidth="1"/>
    <col min="268" max="268" width="9.42578125" style="1241" customWidth="1"/>
    <col min="269" max="269" width="9.7109375" style="1241" customWidth="1"/>
    <col min="270" max="270" width="3.7109375" style="1241" customWidth="1"/>
    <col min="271" max="512" width="8.85546875" style="1241"/>
    <col min="513" max="513" width="30.85546875" style="1241" customWidth="1"/>
    <col min="514" max="514" width="2.42578125" style="1241" customWidth="1"/>
    <col min="515" max="515" width="9.7109375" style="1241" customWidth="1"/>
    <col min="516" max="516" width="8.7109375" style="1241" customWidth="1"/>
    <col min="517" max="517" width="2.5703125" style="1241" customWidth="1"/>
    <col min="518" max="518" width="9.7109375" style="1241" customWidth="1"/>
    <col min="519" max="519" width="8.7109375" style="1241" customWidth="1"/>
    <col min="520" max="520" width="2.7109375" style="1241" customWidth="1"/>
    <col min="521" max="521" width="9.7109375" style="1241" customWidth="1"/>
    <col min="522" max="522" width="8.7109375" style="1241" customWidth="1"/>
    <col min="523" max="523" width="2.85546875" style="1241" customWidth="1"/>
    <col min="524" max="524" width="9.42578125" style="1241" customWidth="1"/>
    <col min="525" max="525" width="9.7109375" style="1241" customWidth="1"/>
    <col min="526" max="526" width="3.7109375" style="1241" customWidth="1"/>
    <col min="527" max="768" width="8.85546875" style="1241"/>
    <col min="769" max="769" width="30.85546875" style="1241" customWidth="1"/>
    <col min="770" max="770" width="2.42578125" style="1241" customWidth="1"/>
    <col min="771" max="771" width="9.7109375" style="1241" customWidth="1"/>
    <col min="772" max="772" width="8.7109375" style="1241" customWidth="1"/>
    <col min="773" max="773" width="2.5703125" style="1241" customWidth="1"/>
    <col min="774" max="774" width="9.7109375" style="1241" customWidth="1"/>
    <col min="775" max="775" width="8.7109375" style="1241" customWidth="1"/>
    <col min="776" max="776" width="2.7109375" style="1241" customWidth="1"/>
    <col min="777" max="777" width="9.7109375" style="1241" customWidth="1"/>
    <col min="778" max="778" width="8.7109375" style="1241" customWidth="1"/>
    <col min="779" max="779" width="2.85546875" style="1241" customWidth="1"/>
    <col min="780" max="780" width="9.42578125" style="1241" customWidth="1"/>
    <col min="781" max="781" width="9.7109375" style="1241" customWidth="1"/>
    <col min="782" max="782" width="3.7109375" style="1241" customWidth="1"/>
    <col min="783" max="1024" width="8.85546875" style="1241"/>
    <col min="1025" max="1025" width="30.85546875" style="1241" customWidth="1"/>
    <col min="1026" max="1026" width="2.42578125" style="1241" customWidth="1"/>
    <col min="1027" max="1027" width="9.7109375" style="1241" customWidth="1"/>
    <col min="1028" max="1028" width="8.7109375" style="1241" customWidth="1"/>
    <col min="1029" max="1029" width="2.5703125" style="1241" customWidth="1"/>
    <col min="1030" max="1030" width="9.7109375" style="1241" customWidth="1"/>
    <col min="1031" max="1031" width="8.7109375" style="1241" customWidth="1"/>
    <col min="1032" max="1032" width="2.7109375" style="1241" customWidth="1"/>
    <col min="1033" max="1033" width="9.7109375" style="1241" customWidth="1"/>
    <col min="1034" max="1034" width="8.7109375" style="1241" customWidth="1"/>
    <col min="1035" max="1035" width="2.85546875" style="1241" customWidth="1"/>
    <col min="1036" max="1036" width="9.42578125" style="1241" customWidth="1"/>
    <col min="1037" max="1037" width="9.7109375" style="1241" customWidth="1"/>
    <col min="1038" max="1038" width="3.7109375" style="1241" customWidth="1"/>
    <col min="1039" max="1280" width="8.85546875" style="1241"/>
    <col min="1281" max="1281" width="30.85546875" style="1241" customWidth="1"/>
    <col min="1282" max="1282" width="2.42578125" style="1241" customWidth="1"/>
    <col min="1283" max="1283" width="9.7109375" style="1241" customWidth="1"/>
    <col min="1284" max="1284" width="8.7109375" style="1241" customWidth="1"/>
    <col min="1285" max="1285" width="2.5703125" style="1241" customWidth="1"/>
    <col min="1286" max="1286" width="9.7109375" style="1241" customWidth="1"/>
    <col min="1287" max="1287" width="8.7109375" style="1241" customWidth="1"/>
    <col min="1288" max="1288" width="2.7109375" style="1241" customWidth="1"/>
    <col min="1289" max="1289" width="9.7109375" style="1241" customWidth="1"/>
    <col min="1290" max="1290" width="8.7109375" style="1241" customWidth="1"/>
    <col min="1291" max="1291" width="2.85546875" style="1241" customWidth="1"/>
    <col min="1292" max="1292" width="9.42578125" style="1241" customWidth="1"/>
    <col min="1293" max="1293" width="9.7109375" style="1241" customWidth="1"/>
    <col min="1294" max="1294" width="3.7109375" style="1241" customWidth="1"/>
    <col min="1295" max="1536" width="8.85546875" style="1241"/>
    <col min="1537" max="1537" width="30.85546875" style="1241" customWidth="1"/>
    <col min="1538" max="1538" width="2.42578125" style="1241" customWidth="1"/>
    <col min="1539" max="1539" width="9.7109375" style="1241" customWidth="1"/>
    <col min="1540" max="1540" width="8.7109375" style="1241" customWidth="1"/>
    <col min="1541" max="1541" width="2.5703125" style="1241" customWidth="1"/>
    <col min="1542" max="1542" width="9.7109375" style="1241" customWidth="1"/>
    <col min="1543" max="1543" width="8.7109375" style="1241" customWidth="1"/>
    <col min="1544" max="1544" width="2.7109375" style="1241" customWidth="1"/>
    <col min="1545" max="1545" width="9.7109375" style="1241" customWidth="1"/>
    <col min="1546" max="1546" width="8.7109375" style="1241" customWidth="1"/>
    <col min="1547" max="1547" width="2.85546875" style="1241" customWidth="1"/>
    <col min="1548" max="1548" width="9.42578125" style="1241" customWidth="1"/>
    <col min="1549" max="1549" width="9.7109375" style="1241" customWidth="1"/>
    <col min="1550" max="1550" width="3.7109375" style="1241" customWidth="1"/>
    <col min="1551" max="1792" width="8.85546875" style="1241"/>
    <col min="1793" max="1793" width="30.85546875" style="1241" customWidth="1"/>
    <col min="1794" max="1794" width="2.42578125" style="1241" customWidth="1"/>
    <col min="1795" max="1795" width="9.7109375" style="1241" customWidth="1"/>
    <col min="1796" max="1796" width="8.7109375" style="1241" customWidth="1"/>
    <col min="1797" max="1797" width="2.5703125" style="1241" customWidth="1"/>
    <col min="1798" max="1798" width="9.7109375" style="1241" customWidth="1"/>
    <col min="1799" max="1799" width="8.7109375" style="1241" customWidth="1"/>
    <col min="1800" max="1800" width="2.7109375" style="1241" customWidth="1"/>
    <col min="1801" max="1801" width="9.7109375" style="1241" customWidth="1"/>
    <col min="1802" max="1802" width="8.7109375" style="1241" customWidth="1"/>
    <col min="1803" max="1803" width="2.85546875" style="1241" customWidth="1"/>
    <col min="1804" max="1804" width="9.42578125" style="1241" customWidth="1"/>
    <col min="1805" max="1805" width="9.7109375" style="1241" customWidth="1"/>
    <col min="1806" max="1806" width="3.7109375" style="1241" customWidth="1"/>
    <col min="1807" max="2048" width="8.85546875" style="1241"/>
    <col min="2049" max="2049" width="30.85546875" style="1241" customWidth="1"/>
    <col min="2050" max="2050" width="2.42578125" style="1241" customWidth="1"/>
    <col min="2051" max="2051" width="9.7109375" style="1241" customWidth="1"/>
    <col min="2052" max="2052" width="8.7109375" style="1241" customWidth="1"/>
    <col min="2053" max="2053" width="2.5703125" style="1241" customWidth="1"/>
    <col min="2054" max="2054" width="9.7109375" style="1241" customWidth="1"/>
    <col min="2055" max="2055" width="8.7109375" style="1241" customWidth="1"/>
    <col min="2056" max="2056" width="2.7109375" style="1241" customWidth="1"/>
    <col min="2057" max="2057" width="9.7109375" style="1241" customWidth="1"/>
    <col min="2058" max="2058" width="8.7109375" style="1241" customWidth="1"/>
    <col min="2059" max="2059" width="2.85546875" style="1241" customWidth="1"/>
    <col min="2060" max="2060" width="9.42578125" style="1241" customWidth="1"/>
    <col min="2061" max="2061" width="9.7109375" style="1241" customWidth="1"/>
    <col min="2062" max="2062" width="3.7109375" style="1241" customWidth="1"/>
    <col min="2063" max="2304" width="8.85546875" style="1241"/>
    <col min="2305" max="2305" width="30.85546875" style="1241" customWidth="1"/>
    <col min="2306" max="2306" width="2.42578125" style="1241" customWidth="1"/>
    <col min="2307" max="2307" width="9.7109375" style="1241" customWidth="1"/>
    <col min="2308" max="2308" width="8.7109375" style="1241" customWidth="1"/>
    <col min="2309" max="2309" width="2.5703125" style="1241" customWidth="1"/>
    <col min="2310" max="2310" width="9.7109375" style="1241" customWidth="1"/>
    <col min="2311" max="2311" width="8.7109375" style="1241" customWidth="1"/>
    <col min="2312" max="2312" width="2.7109375" style="1241" customWidth="1"/>
    <col min="2313" max="2313" width="9.7109375" style="1241" customWidth="1"/>
    <col min="2314" max="2314" width="8.7109375" style="1241" customWidth="1"/>
    <col min="2315" max="2315" width="2.85546875" style="1241" customWidth="1"/>
    <col min="2316" max="2316" width="9.42578125" style="1241" customWidth="1"/>
    <col min="2317" max="2317" width="9.7109375" style="1241" customWidth="1"/>
    <col min="2318" max="2318" width="3.7109375" style="1241" customWidth="1"/>
    <col min="2319" max="2560" width="8.85546875" style="1241"/>
    <col min="2561" max="2561" width="30.85546875" style="1241" customWidth="1"/>
    <col min="2562" max="2562" width="2.42578125" style="1241" customWidth="1"/>
    <col min="2563" max="2563" width="9.7109375" style="1241" customWidth="1"/>
    <col min="2564" max="2564" width="8.7109375" style="1241" customWidth="1"/>
    <col min="2565" max="2565" width="2.5703125" style="1241" customWidth="1"/>
    <col min="2566" max="2566" width="9.7109375" style="1241" customWidth="1"/>
    <col min="2567" max="2567" width="8.7109375" style="1241" customWidth="1"/>
    <col min="2568" max="2568" width="2.7109375" style="1241" customWidth="1"/>
    <col min="2569" max="2569" width="9.7109375" style="1241" customWidth="1"/>
    <col min="2570" max="2570" width="8.7109375" style="1241" customWidth="1"/>
    <col min="2571" max="2571" width="2.85546875" style="1241" customWidth="1"/>
    <col min="2572" max="2572" width="9.42578125" style="1241" customWidth="1"/>
    <col min="2573" max="2573" width="9.7109375" style="1241" customWidth="1"/>
    <col min="2574" max="2574" width="3.7109375" style="1241" customWidth="1"/>
    <col min="2575" max="2816" width="8.85546875" style="1241"/>
    <col min="2817" max="2817" width="30.85546875" style="1241" customWidth="1"/>
    <col min="2818" max="2818" width="2.42578125" style="1241" customWidth="1"/>
    <col min="2819" max="2819" width="9.7109375" style="1241" customWidth="1"/>
    <col min="2820" max="2820" width="8.7109375" style="1241" customWidth="1"/>
    <col min="2821" max="2821" width="2.5703125" style="1241" customWidth="1"/>
    <col min="2822" max="2822" width="9.7109375" style="1241" customWidth="1"/>
    <col min="2823" max="2823" width="8.7109375" style="1241" customWidth="1"/>
    <col min="2824" max="2824" width="2.7109375" style="1241" customWidth="1"/>
    <col min="2825" max="2825" width="9.7109375" style="1241" customWidth="1"/>
    <col min="2826" max="2826" width="8.7109375" style="1241" customWidth="1"/>
    <col min="2827" max="2827" width="2.85546875" style="1241" customWidth="1"/>
    <col min="2828" max="2828" width="9.42578125" style="1241" customWidth="1"/>
    <col min="2829" max="2829" width="9.7109375" style="1241" customWidth="1"/>
    <col min="2830" max="2830" width="3.7109375" style="1241" customWidth="1"/>
    <col min="2831" max="3072" width="8.85546875" style="1241"/>
    <col min="3073" max="3073" width="30.85546875" style="1241" customWidth="1"/>
    <col min="3074" max="3074" width="2.42578125" style="1241" customWidth="1"/>
    <col min="3075" max="3075" width="9.7109375" style="1241" customWidth="1"/>
    <col min="3076" max="3076" width="8.7109375" style="1241" customWidth="1"/>
    <col min="3077" max="3077" width="2.5703125" style="1241" customWidth="1"/>
    <col min="3078" max="3078" width="9.7109375" style="1241" customWidth="1"/>
    <col min="3079" max="3079" width="8.7109375" style="1241" customWidth="1"/>
    <col min="3080" max="3080" width="2.7109375" style="1241" customWidth="1"/>
    <col min="3081" max="3081" width="9.7109375" style="1241" customWidth="1"/>
    <col min="3082" max="3082" width="8.7109375" style="1241" customWidth="1"/>
    <col min="3083" max="3083" width="2.85546875" style="1241" customWidth="1"/>
    <col min="3084" max="3084" width="9.42578125" style="1241" customWidth="1"/>
    <col min="3085" max="3085" width="9.7109375" style="1241" customWidth="1"/>
    <col min="3086" max="3086" width="3.7109375" style="1241" customWidth="1"/>
    <col min="3087" max="3328" width="8.85546875" style="1241"/>
    <col min="3329" max="3329" width="30.85546875" style="1241" customWidth="1"/>
    <col min="3330" max="3330" width="2.42578125" style="1241" customWidth="1"/>
    <col min="3331" max="3331" width="9.7109375" style="1241" customWidth="1"/>
    <col min="3332" max="3332" width="8.7109375" style="1241" customWidth="1"/>
    <col min="3333" max="3333" width="2.5703125" style="1241" customWidth="1"/>
    <col min="3334" max="3334" width="9.7109375" style="1241" customWidth="1"/>
    <col min="3335" max="3335" width="8.7109375" style="1241" customWidth="1"/>
    <col min="3336" max="3336" width="2.7109375" style="1241" customWidth="1"/>
    <col min="3337" max="3337" width="9.7109375" style="1241" customWidth="1"/>
    <col min="3338" max="3338" width="8.7109375" style="1241" customWidth="1"/>
    <col min="3339" max="3339" width="2.85546875" style="1241" customWidth="1"/>
    <col min="3340" max="3340" width="9.42578125" style="1241" customWidth="1"/>
    <col min="3341" max="3341" width="9.7109375" style="1241" customWidth="1"/>
    <col min="3342" max="3342" width="3.7109375" style="1241" customWidth="1"/>
    <col min="3343" max="3584" width="8.85546875" style="1241"/>
    <col min="3585" max="3585" width="30.85546875" style="1241" customWidth="1"/>
    <col min="3586" max="3586" width="2.42578125" style="1241" customWidth="1"/>
    <col min="3587" max="3587" width="9.7109375" style="1241" customWidth="1"/>
    <col min="3588" max="3588" width="8.7109375" style="1241" customWidth="1"/>
    <col min="3589" max="3589" width="2.5703125" style="1241" customWidth="1"/>
    <col min="3590" max="3590" width="9.7109375" style="1241" customWidth="1"/>
    <col min="3591" max="3591" width="8.7109375" style="1241" customWidth="1"/>
    <col min="3592" max="3592" width="2.7109375" style="1241" customWidth="1"/>
    <col min="3593" max="3593" width="9.7109375" style="1241" customWidth="1"/>
    <col min="3594" max="3594" width="8.7109375" style="1241" customWidth="1"/>
    <col min="3595" max="3595" width="2.85546875" style="1241" customWidth="1"/>
    <col min="3596" max="3596" width="9.42578125" style="1241" customWidth="1"/>
    <col min="3597" max="3597" width="9.7109375" style="1241" customWidth="1"/>
    <col min="3598" max="3598" width="3.7109375" style="1241" customWidth="1"/>
    <col min="3599" max="3840" width="8.85546875" style="1241"/>
    <col min="3841" max="3841" width="30.85546875" style="1241" customWidth="1"/>
    <col min="3842" max="3842" width="2.42578125" style="1241" customWidth="1"/>
    <col min="3843" max="3843" width="9.7109375" style="1241" customWidth="1"/>
    <col min="3844" max="3844" width="8.7109375" style="1241" customWidth="1"/>
    <col min="3845" max="3845" width="2.5703125" style="1241" customWidth="1"/>
    <col min="3846" max="3846" width="9.7109375" style="1241" customWidth="1"/>
    <col min="3847" max="3847" width="8.7109375" style="1241" customWidth="1"/>
    <col min="3848" max="3848" width="2.7109375" style="1241" customWidth="1"/>
    <col min="3849" max="3849" width="9.7109375" style="1241" customWidth="1"/>
    <col min="3850" max="3850" width="8.7109375" style="1241" customWidth="1"/>
    <col min="3851" max="3851" width="2.85546875" style="1241" customWidth="1"/>
    <col min="3852" max="3852" width="9.42578125" style="1241" customWidth="1"/>
    <col min="3853" max="3853" width="9.7109375" style="1241" customWidth="1"/>
    <col min="3854" max="3854" width="3.7109375" style="1241" customWidth="1"/>
    <col min="3855" max="4096" width="8.85546875" style="1241"/>
    <col min="4097" max="4097" width="30.85546875" style="1241" customWidth="1"/>
    <col min="4098" max="4098" width="2.42578125" style="1241" customWidth="1"/>
    <col min="4099" max="4099" width="9.7109375" style="1241" customWidth="1"/>
    <col min="4100" max="4100" width="8.7109375" style="1241" customWidth="1"/>
    <col min="4101" max="4101" width="2.5703125" style="1241" customWidth="1"/>
    <col min="4102" max="4102" width="9.7109375" style="1241" customWidth="1"/>
    <col min="4103" max="4103" width="8.7109375" style="1241" customWidth="1"/>
    <col min="4104" max="4104" width="2.7109375" style="1241" customWidth="1"/>
    <col min="4105" max="4105" width="9.7109375" style="1241" customWidth="1"/>
    <col min="4106" max="4106" width="8.7109375" style="1241" customWidth="1"/>
    <col min="4107" max="4107" width="2.85546875" style="1241" customWidth="1"/>
    <col min="4108" max="4108" width="9.42578125" style="1241" customWidth="1"/>
    <col min="4109" max="4109" width="9.7109375" style="1241" customWidth="1"/>
    <col min="4110" max="4110" width="3.7109375" style="1241" customWidth="1"/>
    <col min="4111" max="4352" width="8.85546875" style="1241"/>
    <col min="4353" max="4353" width="30.85546875" style="1241" customWidth="1"/>
    <col min="4354" max="4354" width="2.42578125" style="1241" customWidth="1"/>
    <col min="4355" max="4355" width="9.7109375" style="1241" customWidth="1"/>
    <col min="4356" max="4356" width="8.7109375" style="1241" customWidth="1"/>
    <col min="4357" max="4357" width="2.5703125" style="1241" customWidth="1"/>
    <col min="4358" max="4358" width="9.7109375" style="1241" customWidth="1"/>
    <col min="4359" max="4359" width="8.7109375" style="1241" customWidth="1"/>
    <col min="4360" max="4360" width="2.7109375" style="1241" customWidth="1"/>
    <col min="4361" max="4361" width="9.7109375" style="1241" customWidth="1"/>
    <col min="4362" max="4362" width="8.7109375" style="1241" customWidth="1"/>
    <col min="4363" max="4363" width="2.85546875" style="1241" customWidth="1"/>
    <col min="4364" max="4364" width="9.42578125" style="1241" customWidth="1"/>
    <col min="4365" max="4365" width="9.7109375" style="1241" customWidth="1"/>
    <col min="4366" max="4366" width="3.7109375" style="1241" customWidth="1"/>
    <col min="4367" max="4608" width="8.85546875" style="1241"/>
    <col min="4609" max="4609" width="30.85546875" style="1241" customWidth="1"/>
    <col min="4610" max="4610" width="2.42578125" style="1241" customWidth="1"/>
    <col min="4611" max="4611" width="9.7109375" style="1241" customWidth="1"/>
    <col min="4612" max="4612" width="8.7109375" style="1241" customWidth="1"/>
    <col min="4613" max="4613" width="2.5703125" style="1241" customWidth="1"/>
    <col min="4614" max="4614" width="9.7109375" style="1241" customWidth="1"/>
    <col min="4615" max="4615" width="8.7109375" style="1241" customWidth="1"/>
    <col min="4616" max="4616" width="2.7109375" style="1241" customWidth="1"/>
    <col min="4617" max="4617" width="9.7109375" style="1241" customWidth="1"/>
    <col min="4618" max="4618" width="8.7109375" style="1241" customWidth="1"/>
    <col min="4619" max="4619" width="2.85546875" style="1241" customWidth="1"/>
    <col min="4620" max="4620" width="9.42578125" style="1241" customWidth="1"/>
    <col min="4621" max="4621" width="9.7109375" style="1241" customWidth="1"/>
    <col min="4622" max="4622" width="3.7109375" style="1241" customWidth="1"/>
    <col min="4623" max="4864" width="8.85546875" style="1241"/>
    <col min="4865" max="4865" width="30.85546875" style="1241" customWidth="1"/>
    <col min="4866" max="4866" width="2.42578125" style="1241" customWidth="1"/>
    <col min="4867" max="4867" width="9.7109375" style="1241" customWidth="1"/>
    <col min="4868" max="4868" width="8.7109375" style="1241" customWidth="1"/>
    <col min="4869" max="4869" width="2.5703125" style="1241" customWidth="1"/>
    <col min="4870" max="4870" width="9.7109375" style="1241" customWidth="1"/>
    <col min="4871" max="4871" width="8.7109375" style="1241" customWidth="1"/>
    <col min="4872" max="4872" width="2.7109375" style="1241" customWidth="1"/>
    <col min="4873" max="4873" width="9.7109375" style="1241" customWidth="1"/>
    <col min="4874" max="4874" width="8.7109375" style="1241" customWidth="1"/>
    <col min="4875" max="4875" width="2.85546875" style="1241" customWidth="1"/>
    <col min="4876" max="4876" width="9.42578125" style="1241" customWidth="1"/>
    <col min="4877" max="4877" width="9.7109375" style="1241" customWidth="1"/>
    <col min="4878" max="4878" width="3.7109375" style="1241" customWidth="1"/>
    <col min="4879" max="5120" width="8.85546875" style="1241"/>
    <col min="5121" max="5121" width="30.85546875" style="1241" customWidth="1"/>
    <col min="5122" max="5122" width="2.42578125" style="1241" customWidth="1"/>
    <col min="5123" max="5123" width="9.7109375" style="1241" customWidth="1"/>
    <col min="5124" max="5124" width="8.7109375" style="1241" customWidth="1"/>
    <col min="5125" max="5125" width="2.5703125" style="1241" customWidth="1"/>
    <col min="5126" max="5126" width="9.7109375" style="1241" customWidth="1"/>
    <col min="5127" max="5127" width="8.7109375" style="1241" customWidth="1"/>
    <col min="5128" max="5128" width="2.7109375" style="1241" customWidth="1"/>
    <col min="5129" max="5129" width="9.7109375" style="1241" customWidth="1"/>
    <col min="5130" max="5130" width="8.7109375" style="1241" customWidth="1"/>
    <col min="5131" max="5131" width="2.85546875" style="1241" customWidth="1"/>
    <col min="5132" max="5132" width="9.42578125" style="1241" customWidth="1"/>
    <col min="5133" max="5133" width="9.7109375" style="1241" customWidth="1"/>
    <col min="5134" max="5134" width="3.7109375" style="1241" customWidth="1"/>
    <col min="5135" max="5376" width="8.85546875" style="1241"/>
    <col min="5377" max="5377" width="30.85546875" style="1241" customWidth="1"/>
    <col min="5378" max="5378" width="2.42578125" style="1241" customWidth="1"/>
    <col min="5379" max="5379" width="9.7109375" style="1241" customWidth="1"/>
    <col min="5380" max="5380" width="8.7109375" style="1241" customWidth="1"/>
    <col min="5381" max="5381" width="2.5703125" style="1241" customWidth="1"/>
    <col min="5382" max="5382" width="9.7109375" style="1241" customWidth="1"/>
    <col min="5383" max="5383" width="8.7109375" style="1241" customWidth="1"/>
    <col min="5384" max="5384" width="2.7109375" style="1241" customWidth="1"/>
    <col min="5385" max="5385" width="9.7109375" style="1241" customWidth="1"/>
    <col min="5386" max="5386" width="8.7109375" style="1241" customWidth="1"/>
    <col min="5387" max="5387" width="2.85546875" style="1241" customWidth="1"/>
    <col min="5388" max="5388" width="9.42578125" style="1241" customWidth="1"/>
    <col min="5389" max="5389" width="9.7109375" style="1241" customWidth="1"/>
    <col min="5390" max="5390" width="3.7109375" style="1241" customWidth="1"/>
    <col min="5391" max="5632" width="8.85546875" style="1241"/>
    <col min="5633" max="5633" width="30.85546875" style="1241" customWidth="1"/>
    <col min="5634" max="5634" width="2.42578125" style="1241" customWidth="1"/>
    <col min="5635" max="5635" width="9.7109375" style="1241" customWidth="1"/>
    <col min="5636" max="5636" width="8.7109375" style="1241" customWidth="1"/>
    <col min="5637" max="5637" width="2.5703125" style="1241" customWidth="1"/>
    <col min="5638" max="5638" width="9.7109375" style="1241" customWidth="1"/>
    <col min="5639" max="5639" width="8.7109375" style="1241" customWidth="1"/>
    <col min="5640" max="5640" width="2.7109375" style="1241" customWidth="1"/>
    <col min="5641" max="5641" width="9.7109375" style="1241" customWidth="1"/>
    <col min="5642" max="5642" width="8.7109375" style="1241" customWidth="1"/>
    <col min="5643" max="5643" width="2.85546875" style="1241" customWidth="1"/>
    <col min="5644" max="5644" width="9.42578125" style="1241" customWidth="1"/>
    <col min="5645" max="5645" width="9.7109375" style="1241" customWidth="1"/>
    <col min="5646" max="5646" width="3.7109375" style="1241" customWidth="1"/>
    <col min="5647" max="5888" width="8.85546875" style="1241"/>
    <col min="5889" max="5889" width="30.85546875" style="1241" customWidth="1"/>
    <col min="5890" max="5890" width="2.42578125" style="1241" customWidth="1"/>
    <col min="5891" max="5891" width="9.7109375" style="1241" customWidth="1"/>
    <col min="5892" max="5892" width="8.7109375" style="1241" customWidth="1"/>
    <col min="5893" max="5893" width="2.5703125" style="1241" customWidth="1"/>
    <col min="5894" max="5894" width="9.7109375" style="1241" customWidth="1"/>
    <col min="5895" max="5895" width="8.7109375" style="1241" customWidth="1"/>
    <col min="5896" max="5896" width="2.7109375" style="1241" customWidth="1"/>
    <col min="5897" max="5897" width="9.7109375" style="1241" customWidth="1"/>
    <col min="5898" max="5898" width="8.7109375" style="1241" customWidth="1"/>
    <col min="5899" max="5899" width="2.85546875" style="1241" customWidth="1"/>
    <col min="5900" max="5900" width="9.42578125" style="1241" customWidth="1"/>
    <col min="5901" max="5901" width="9.7109375" style="1241" customWidth="1"/>
    <col min="5902" max="5902" width="3.7109375" style="1241" customWidth="1"/>
    <col min="5903" max="6144" width="8.85546875" style="1241"/>
    <col min="6145" max="6145" width="30.85546875" style="1241" customWidth="1"/>
    <col min="6146" max="6146" width="2.42578125" style="1241" customWidth="1"/>
    <col min="6147" max="6147" width="9.7109375" style="1241" customWidth="1"/>
    <col min="6148" max="6148" width="8.7109375" style="1241" customWidth="1"/>
    <col min="6149" max="6149" width="2.5703125" style="1241" customWidth="1"/>
    <col min="6150" max="6150" width="9.7109375" style="1241" customWidth="1"/>
    <col min="6151" max="6151" width="8.7109375" style="1241" customWidth="1"/>
    <col min="6152" max="6152" width="2.7109375" style="1241" customWidth="1"/>
    <col min="6153" max="6153" width="9.7109375" style="1241" customWidth="1"/>
    <col min="6154" max="6154" width="8.7109375" style="1241" customWidth="1"/>
    <col min="6155" max="6155" width="2.85546875" style="1241" customWidth="1"/>
    <col min="6156" max="6156" width="9.42578125" style="1241" customWidth="1"/>
    <col min="6157" max="6157" width="9.7109375" style="1241" customWidth="1"/>
    <col min="6158" max="6158" width="3.7109375" style="1241" customWidth="1"/>
    <col min="6159" max="6400" width="8.85546875" style="1241"/>
    <col min="6401" max="6401" width="30.85546875" style="1241" customWidth="1"/>
    <col min="6402" max="6402" width="2.42578125" style="1241" customWidth="1"/>
    <col min="6403" max="6403" width="9.7109375" style="1241" customWidth="1"/>
    <col min="6404" max="6404" width="8.7109375" style="1241" customWidth="1"/>
    <col min="6405" max="6405" width="2.5703125" style="1241" customWidth="1"/>
    <col min="6406" max="6406" width="9.7109375" style="1241" customWidth="1"/>
    <col min="6407" max="6407" width="8.7109375" style="1241" customWidth="1"/>
    <col min="6408" max="6408" width="2.7109375" style="1241" customWidth="1"/>
    <col min="6409" max="6409" width="9.7109375" style="1241" customWidth="1"/>
    <col min="6410" max="6410" width="8.7109375" style="1241" customWidth="1"/>
    <col min="6411" max="6411" width="2.85546875" style="1241" customWidth="1"/>
    <col min="6412" max="6412" width="9.42578125" style="1241" customWidth="1"/>
    <col min="6413" max="6413" width="9.7109375" style="1241" customWidth="1"/>
    <col min="6414" max="6414" width="3.7109375" style="1241" customWidth="1"/>
    <col min="6415" max="6656" width="8.85546875" style="1241"/>
    <col min="6657" max="6657" width="30.85546875" style="1241" customWidth="1"/>
    <col min="6658" max="6658" width="2.42578125" style="1241" customWidth="1"/>
    <col min="6659" max="6659" width="9.7109375" style="1241" customWidth="1"/>
    <col min="6660" max="6660" width="8.7109375" style="1241" customWidth="1"/>
    <col min="6661" max="6661" width="2.5703125" style="1241" customWidth="1"/>
    <col min="6662" max="6662" width="9.7109375" style="1241" customWidth="1"/>
    <col min="6663" max="6663" width="8.7109375" style="1241" customWidth="1"/>
    <col min="6664" max="6664" width="2.7109375" style="1241" customWidth="1"/>
    <col min="6665" max="6665" width="9.7109375" style="1241" customWidth="1"/>
    <col min="6666" max="6666" width="8.7109375" style="1241" customWidth="1"/>
    <col min="6667" max="6667" width="2.85546875" style="1241" customWidth="1"/>
    <col min="6668" max="6668" width="9.42578125" style="1241" customWidth="1"/>
    <col min="6669" max="6669" width="9.7109375" style="1241" customWidth="1"/>
    <col min="6670" max="6670" width="3.7109375" style="1241" customWidth="1"/>
    <col min="6671" max="6912" width="8.85546875" style="1241"/>
    <col min="6913" max="6913" width="30.85546875" style="1241" customWidth="1"/>
    <col min="6914" max="6914" width="2.42578125" style="1241" customWidth="1"/>
    <col min="6915" max="6915" width="9.7109375" style="1241" customWidth="1"/>
    <col min="6916" max="6916" width="8.7109375" style="1241" customWidth="1"/>
    <col min="6917" max="6917" width="2.5703125" style="1241" customWidth="1"/>
    <col min="6918" max="6918" width="9.7109375" style="1241" customWidth="1"/>
    <col min="6919" max="6919" width="8.7109375" style="1241" customWidth="1"/>
    <col min="6920" max="6920" width="2.7109375" style="1241" customWidth="1"/>
    <col min="6921" max="6921" width="9.7109375" style="1241" customWidth="1"/>
    <col min="6922" max="6922" width="8.7109375" style="1241" customWidth="1"/>
    <col min="6923" max="6923" width="2.85546875" style="1241" customWidth="1"/>
    <col min="6924" max="6924" width="9.42578125" style="1241" customWidth="1"/>
    <col min="6925" max="6925" width="9.7109375" style="1241" customWidth="1"/>
    <col min="6926" max="6926" width="3.7109375" style="1241" customWidth="1"/>
    <col min="6927" max="7168" width="8.85546875" style="1241"/>
    <col min="7169" max="7169" width="30.85546875" style="1241" customWidth="1"/>
    <col min="7170" max="7170" width="2.42578125" style="1241" customWidth="1"/>
    <col min="7171" max="7171" width="9.7109375" style="1241" customWidth="1"/>
    <col min="7172" max="7172" width="8.7109375" style="1241" customWidth="1"/>
    <col min="7173" max="7173" width="2.5703125" style="1241" customWidth="1"/>
    <col min="7174" max="7174" width="9.7109375" style="1241" customWidth="1"/>
    <col min="7175" max="7175" width="8.7109375" style="1241" customWidth="1"/>
    <col min="7176" max="7176" width="2.7109375" style="1241" customWidth="1"/>
    <col min="7177" max="7177" width="9.7109375" style="1241" customWidth="1"/>
    <col min="7178" max="7178" width="8.7109375" style="1241" customWidth="1"/>
    <col min="7179" max="7179" width="2.85546875" style="1241" customWidth="1"/>
    <col min="7180" max="7180" width="9.42578125" style="1241" customWidth="1"/>
    <col min="7181" max="7181" width="9.7109375" style="1241" customWidth="1"/>
    <col min="7182" max="7182" width="3.7109375" style="1241" customWidth="1"/>
    <col min="7183" max="7424" width="8.85546875" style="1241"/>
    <col min="7425" max="7425" width="30.85546875" style="1241" customWidth="1"/>
    <col min="7426" max="7426" width="2.42578125" style="1241" customWidth="1"/>
    <col min="7427" max="7427" width="9.7109375" style="1241" customWidth="1"/>
    <col min="7428" max="7428" width="8.7109375" style="1241" customWidth="1"/>
    <col min="7429" max="7429" width="2.5703125" style="1241" customWidth="1"/>
    <col min="7430" max="7430" width="9.7109375" style="1241" customWidth="1"/>
    <col min="7431" max="7431" width="8.7109375" style="1241" customWidth="1"/>
    <col min="7432" max="7432" width="2.7109375" style="1241" customWidth="1"/>
    <col min="7433" max="7433" width="9.7109375" style="1241" customWidth="1"/>
    <col min="7434" max="7434" width="8.7109375" style="1241" customWidth="1"/>
    <col min="7435" max="7435" width="2.85546875" style="1241" customWidth="1"/>
    <col min="7436" max="7436" width="9.42578125" style="1241" customWidth="1"/>
    <col min="7437" max="7437" width="9.7109375" style="1241" customWidth="1"/>
    <col min="7438" max="7438" width="3.7109375" style="1241" customWidth="1"/>
    <col min="7439" max="7680" width="8.85546875" style="1241"/>
    <col min="7681" max="7681" width="30.85546875" style="1241" customWidth="1"/>
    <col min="7682" max="7682" width="2.42578125" style="1241" customWidth="1"/>
    <col min="7683" max="7683" width="9.7109375" style="1241" customWidth="1"/>
    <col min="7684" max="7684" width="8.7109375" style="1241" customWidth="1"/>
    <col min="7685" max="7685" width="2.5703125" style="1241" customWidth="1"/>
    <col min="7686" max="7686" width="9.7109375" style="1241" customWidth="1"/>
    <col min="7687" max="7687" width="8.7109375" style="1241" customWidth="1"/>
    <col min="7688" max="7688" width="2.7109375" style="1241" customWidth="1"/>
    <col min="7689" max="7689" width="9.7109375" style="1241" customWidth="1"/>
    <col min="7690" max="7690" width="8.7109375" style="1241" customWidth="1"/>
    <col min="7691" max="7691" width="2.85546875" style="1241" customWidth="1"/>
    <col min="7692" max="7692" width="9.42578125" style="1241" customWidth="1"/>
    <col min="7693" max="7693" width="9.7109375" style="1241" customWidth="1"/>
    <col min="7694" max="7694" width="3.7109375" style="1241" customWidth="1"/>
    <col min="7695" max="7936" width="8.85546875" style="1241"/>
    <col min="7937" max="7937" width="30.85546875" style="1241" customWidth="1"/>
    <col min="7938" max="7938" width="2.42578125" style="1241" customWidth="1"/>
    <col min="7939" max="7939" width="9.7109375" style="1241" customWidth="1"/>
    <col min="7940" max="7940" width="8.7109375" style="1241" customWidth="1"/>
    <col min="7941" max="7941" width="2.5703125" style="1241" customWidth="1"/>
    <col min="7942" max="7942" width="9.7109375" style="1241" customWidth="1"/>
    <col min="7943" max="7943" width="8.7109375" style="1241" customWidth="1"/>
    <col min="7944" max="7944" width="2.7109375" style="1241" customWidth="1"/>
    <col min="7945" max="7945" width="9.7109375" style="1241" customWidth="1"/>
    <col min="7946" max="7946" width="8.7109375" style="1241" customWidth="1"/>
    <col min="7947" max="7947" width="2.85546875" style="1241" customWidth="1"/>
    <col min="7948" max="7948" width="9.42578125" style="1241" customWidth="1"/>
    <col min="7949" max="7949" width="9.7109375" style="1241" customWidth="1"/>
    <col min="7950" max="7950" width="3.7109375" style="1241" customWidth="1"/>
    <col min="7951" max="8192" width="8.85546875" style="1241"/>
    <col min="8193" max="8193" width="30.85546875" style="1241" customWidth="1"/>
    <col min="8194" max="8194" width="2.42578125" style="1241" customWidth="1"/>
    <col min="8195" max="8195" width="9.7109375" style="1241" customWidth="1"/>
    <col min="8196" max="8196" width="8.7109375" style="1241" customWidth="1"/>
    <col min="8197" max="8197" width="2.5703125" style="1241" customWidth="1"/>
    <col min="8198" max="8198" width="9.7109375" style="1241" customWidth="1"/>
    <col min="8199" max="8199" width="8.7109375" style="1241" customWidth="1"/>
    <col min="8200" max="8200" width="2.7109375" style="1241" customWidth="1"/>
    <col min="8201" max="8201" width="9.7109375" style="1241" customWidth="1"/>
    <col min="8202" max="8202" width="8.7109375" style="1241" customWidth="1"/>
    <col min="8203" max="8203" width="2.85546875" style="1241" customWidth="1"/>
    <col min="8204" max="8204" width="9.42578125" style="1241" customWidth="1"/>
    <col min="8205" max="8205" width="9.7109375" style="1241" customWidth="1"/>
    <col min="8206" max="8206" width="3.7109375" style="1241" customWidth="1"/>
    <col min="8207" max="8448" width="8.85546875" style="1241"/>
    <col min="8449" max="8449" width="30.85546875" style="1241" customWidth="1"/>
    <col min="8450" max="8450" width="2.42578125" style="1241" customWidth="1"/>
    <col min="8451" max="8451" width="9.7109375" style="1241" customWidth="1"/>
    <col min="8452" max="8452" width="8.7109375" style="1241" customWidth="1"/>
    <col min="8453" max="8453" width="2.5703125" style="1241" customWidth="1"/>
    <col min="8454" max="8454" width="9.7109375" style="1241" customWidth="1"/>
    <col min="8455" max="8455" width="8.7109375" style="1241" customWidth="1"/>
    <col min="8456" max="8456" width="2.7109375" style="1241" customWidth="1"/>
    <col min="8457" max="8457" width="9.7109375" style="1241" customWidth="1"/>
    <col min="8458" max="8458" width="8.7109375" style="1241" customWidth="1"/>
    <col min="8459" max="8459" width="2.85546875" style="1241" customWidth="1"/>
    <col min="8460" max="8460" width="9.42578125" style="1241" customWidth="1"/>
    <col min="8461" max="8461" width="9.7109375" style="1241" customWidth="1"/>
    <col min="8462" max="8462" width="3.7109375" style="1241" customWidth="1"/>
    <col min="8463" max="8704" width="8.85546875" style="1241"/>
    <col min="8705" max="8705" width="30.85546875" style="1241" customWidth="1"/>
    <col min="8706" max="8706" width="2.42578125" style="1241" customWidth="1"/>
    <col min="8707" max="8707" width="9.7109375" style="1241" customWidth="1"/>
    <col min="8708" max="8708" width="8.7109375" style="1241" customWidth="1"/>
    <col min="8709" max="8709" width="2.5703125" style="1241" customWidth="1"/>
    <col min="8710" max="8710" width="9.7109375" style="1241" customWidth="1"/>
    <col min="8711" max="8711" width="8.7109375" style="1241" customWidth="1"/>
    <col min="8712" max="8712" width="2.7109375" style="1241" customWidth="1"/>
    <col min="8713" max="8713" width="9.7109375" style="1241" customWidth="1"/>
    <col min="8714" max="8714" width="8.7109375" style="1241" customWidth="1"/>
    <col min="8715" max="8715" width="2.85546875" style="1241" customWidth="1"/>
    <col min="8716" max="8716" width="9.42578125" style="1241" customWidth="1"/>
    <col min="8717" max="8717" width="9.7109375" style="1241" customWidth="1"/>
    <col min="8718" max="8718" width="3.7109375" style="1241" customWidth="1"/>
    <col min="8719" max="8960" width="8.85546875" style="1241"/>
    <col min="8961" max="8961" width="30.85546875" style="1241" customWidth="1"/>
    <col min="8962" max="8962" width="2.42578125" style="1241" customWidth="1"/>
    <col min="8963" max="8963" width="9.7109375" style="1241" customWidth="1"/>
    <col min="8964" max="8964" width="8.7109375" style="1241" customWidth="1"/>
    <col min="8965" max="8965" width="2.5703125" style="1241" customWidth="1"/>
    <col min="8966" max="8966" width="9.7109375" style="1241" customWidth="1"/>
    <col min="8967" max="8967" width="8.7109375" style="1241" customWidth="1"/>
    <col min="8968" max="8968" width="2.7109375" style="1241" customWidth="1"/>
    <col min="8969" max="8969" width="9.7109375" style="1241" customWidth="1"/>
    <col min="8970" max="8970" width="8.7109375" style="1241" customWidth="1"/>
    <col min="8971" max="8971" width="2.85546875" style="1241" customWidth="1"/>
    <col min="8972" max="8972" width="9.42578125" style="1241" customWidth="1"/>
    <col min="8973" max="8973" width="9.7109375" style="1241" customWidth="1"/>
    <col min="8974" max="8974" width="3.7109375" style="1241" customWidth="1"/>
    <col min="8975" max="9216" width="8.85546875" style="1241"/>
    <col min="9217" max="9217" width="30.85546875" style="1241" customWidth="1"/>
    <col min="9218" max="9218" width="2.42578125" style="1241" customWidth="1"/>
    <col min="9219" max="9219" width="9.7109375" style="1241" customWidth="1"/>
    <col min="9220" max="9220" width="8.7109375" style="1241" customWidth="1"/>
    <col min="9221" max="9221" width="2.5703125" style="1241" customWidth="1"/>
    <col min="9222" max="9222" width="9.7109375" style="1241" customWidth="1"/>
    <col min="9223" max="9223" width="8.7109375" style="1241" customWidth="1"/>
    <col min="9224" max="9224" width="2.7109375" style="1241" customWidth="1"/>
    <col min="9225" max="9225" width="9.7109375" style="1241" customWidth="1"/>
    <col min="9226" max="9226" width="8.7109375" style="1241" customWidth="1"/>
    <col min="9227" max="9227" width="2.85546875" style="1241" customWidth="1"/>
    <col min="9228" max="9228" width="9.42578125" style="1241" customWidth="1"/>
    <col min="9229" max="9229" width="9.7109375" style="1241" customWidth="1"/>
    <col min="9230" max="9230" width="3.7109375" style="1241" customWidth="1"/>
    <col min="9231" max="9472" width="8.85546875" style="1241"/>
    <col min="9473" max="9473" width="30.85546875" style="1241" customWidth="1"/>
    <col min="9474" max="9474" width="2.42578125" style="1241" customWidth="1"/>
    <col min="9475" max="9475" width="9.7109375" style="1241" customWidth="1"/>
    <col min="9476" max="9476" width="8.7109375" style="1241" customWidth="1"/>
    <col min="9477" max="9477" width="2.5703125" style="1241" customWidth="1"/>
    <col min="9478" max="9478" width="9.7109375" style="1241" customWidth="1"/>
    <col min="9479" max="9479" width="8.7109375" style="1241" customWidth="1"/>
    <col min="9480" max="9480" width="2.7109375" style="1241" customWidth="1"/>
    <col min="9481" max="9481" width="9.7109375" style="1241" customWidth="1"/>
    <col min="9482" max="9482" width="8.7109375" style="1241" customWidth="1"/>
    <col min="9483" max="9483" width="2.85546875" style="1241" customWidth="1"/>
    <col min="9484" max="9484" width="9.42578125" style="1241" customWidth="1"/>
    <col min="9485" max="9485" width="9.7109375" style="1241" customWidth="1"/>
    <col min="9486" max="9486" width="3.7109375" style="1241" customWidth="1"/>
    <col min="9487" max="9728" width="8.85546875" style="1241"/>
    <col min="9729" max="9729" width="30.85546875" style="1241" customWidth="1"/>
    <col min="9730" max="9730" width="2.42578125" style="1241" customWidth="1"/>
    <col min="9731" max="9731" width="9.7109375" style="1241" customWidth="1"/>
    <col min="9732" max="9732" width="8.7109375" style="1241" customWidth="1"/>
    <col min="9733" max="9733" width="2.5703125" style="1241" customWidth="1"/>
    <col min="9734" max="9734" width="9.7109375" style="1241" customWidth="1"/>
    <col min="9735" max="9735" width="8.7109375" style="1241" customWidth="1"/>
    <col min="9736" max="9736" width="2.7109375" style="1241" customWidth="1"/>
    <col min="9737" max="9737" width="9.7109375" style="1241" customWidth="1"/>
    <col min="9738" max="9738" width="8.7109375" style="1241" customWidth="1"/>
    <col min="9739" max="9739" width="2.85546875" style="1241" customWidth="1"/>
    <col min="9740" max="9740" width="9.42578125" style="1241" customWidth="1"/>
    <col min="9741" max="9741" width="9.7109375" style="1241" customWidth="1"/>
    <col min="9742" max="9742" width="3.7109375" style="1241" customWidth="1"/>
    <col min="9743" max="9984" width="8.85546875" style="1241"/>
    <col min="9985" max="9985" width="30.85546875" style="1241" customWidth="1"/>
    <col min="9986" max="9986" width="2.42578125" style="1241" customWidth="1"/>
    <col min="9987" max="9987" width="9.7109375" style="1241" customWidth="1"/>
    <col min="9988" max="9988" width="8.7109375" style="1241" customWidth="1"/>
    <col min="9989" max="9989" width="2.5703125" style="1241" customWidth="1"/>
    <col min="9990" max="9990" width="9.7109375" style="1241" customWidth="1"/>
    <col min="9991" max="9991" width="8.7109375" style="1241" customWidth="1"/>
    <col min="9992" max="9992" width="2.7109375" style="1241" customWidth="1"/>
    <col min="9993" max="9993" width="9.7109375" style="1241" customWidth="1"/>
    <col min="9994" max="9994" width="8.7109375" style="1241" customWidth="1"/>
    <col min="9995" max="9995" width="2.85546875" style="1241" customWidth="1"/>
    <col min="9996" max="9996" width="9.42578125" style="1241" customWidth="1"/>
    <col min="9997" max="9997" width="9.7109375" style="1241" customWidth="1"/>
    <col min="9998" max="9998" width="3.7109375" style="1241" customWidth="1"/>
    <col min="9999" max="10240" width="8.85546875" style="1241"/>
    <col min="10241" max="10241" width="30.85546875" style="1241" customWidth="1"/>
    <col min="10242" max="10242" width="2.42578125" style="1241" customWidth="1"/>
    <col min="10243" max="10243" width="9.7109375" style="1241" customWidth="1"/>
    <col min="10244" max="10244" width="8.7109375" style="1241" customWidth="1"/>
    <col min="10245" max="10245" width="2.5703125" style="1241" customWidth="1"/>
    <col min="10246" max="10246" width="9.7109375" style="1241" customWidth="1"/>
    <col min="10247" max="10247" width="8.7109375" style="1241" customWidth="1"/>
    <col min="10248" max="10248" width="2.7109375" style="1241" customWidth="1"/>
    <col min="10249" max="10249" width="9.7109375" style="1241" customWidth="1"/>
    <col min="10250" max="10250" width="8.7109375" style="1241" customWidth="1"/>
    <col min="10251" max="10251" width="2.85546875" style="1241" customWidth="1"/>
    <col min="10252" max="10252" width="9.42578125" style="1241" customWidth="1"/>
    <col min="10253" max="10253" width="9.7109375" style="1241" customWidth="1"/>
    <col min="10254" max="10254" width="3.7109375" style="1241" customWidth="1"/>
    <col min="10255" max="10496" width="8.85546875" style="1241"/>
    <col min="10497" max="10497" width="30.85546875" style="1241" customWidth="1"/>
    <col min="10498" max="10498" width="2.42578125" style="1241" customWidth="1"/>
    <col min="10499" max="10499" width="9.7109375" style="1241" customWidth="1"/>
    <col min="10500" max="10500" width="8.7109375" style="1241" customWidth="1"/>
    <col min="10501" max="10501" width="2.5703125" style="1241" customWidth="1"/>
    <col min="10502" max="10502" width="9.7109375" style="1241" customWidth="1"/>
    <col min="10503" max="10503" width="8.7109375" style="1241" customWidth="1"/>
    <col min="10504" max="10504" width="2.7109375" style="1241" customWidth="1"/>
    <col min="10505" max="10505" width="9.7109375" style="1241" customWidth="1"/>
    <col min="10506" max="10506" width="8.7109375" style="1241" customWidth="1"/>
    <col min="10507" max="10507" width="2.85546875" style="1241" customWidth="1"/>
    <col min="10508" max="10508" width="9.42578125" style="1241" customWidth="1"/>
    <col min="10509" max="10509" width="9.7109375" style="1241" customWidth="1"/>
    <col min="10510" max="10510" width="3.7109375" style="1241" customWidth="1"/>
    <col min="10511" max="10752" width="8.85546875" style="1241"/>
    <col min="10753" max="10753" width="30.85546875" style="1241" customWidth="1"/>
    <col min="10754" max="10754" width="2.42578125" style="1241" customWidth="1"/>
    <col min="10755" max="10755" width="9.7109375" style="1241" customWidth="1"/>
    <col min="10756" max="10756" width="8.7109375" style="1241" customWidth="1"/>
    <col min="10757" max="10757" width="2.5703125" style="1241" customWidth="1"/>
    <col min="10758" max="10758" width="9.7109375" style="1241" customWidth="1"/>
    <col min="10759" max="10759" width="8.7109375" style="1241" customWidth="1"/>
    <col min="10760" max="10760" width="2.7109375" style="1241" customWidth="1"/>
    <col min="10761" max="10761" width="9.7109375" style="1241" customWidth="1"/>
    <col min="10762" max="10762" width="8.7109375" style="1241" customWidth="1"/>
    <col min="10763" max="10763" width="2.85546875" style="1241" customWidth="1"/>
    <col min="10764" max="10764" width="9.42578125" style="1241" customWidth="1"/>
    <col min="10765" max="10765" width="9.7109375" style="1241" customWidth="1"/>
    <col min="10766" max="10766" width="3.7109375" style="1241" customWidth="1"/>
    <col min="10767" max="11008" width="8.85546875" style="1241"/>
    <col min="11009" max="11009" width="30.85546875" style="1241" customWidth="1"/>
    <col min="11010" max="11010" width="2.42578125" style="1241" customWidth="1"/>
    <col min="11011" max="11011" width="9.7109375" style="1241" customWidth="1"/>
    <col min="11012" max="11012" width="8.7109375" style="1241" customWidth="1"/>
    <col min="11013" max="11013" width="2.5703125" style="1241" customWidth="1"/>
    <col min="11014" max="11014" width="9.7109375" style="1241" customWidth="1"/>
    <col min="11015" max="11015" width="8.7109375" style="1241" customWidth="1"/>
    <col min="11016" max="11016" width="2.7109375" style="1241" customWidth="1"/>
    <col min="11017" max="11017" width="9.7109375" style="1241" customWidth="1"/>
    <col min="11018" max="11018" width="8.7109375" style="1241" customWidth="1"/>
    <col min="11019" max="11019" width="2.85546875" style="1241" customWidth="1"/>
    <col min="11020" max="11020" width="9.42578125" style="1241" customWidth="1"/>
    <col min="11021" max="11021" width="9.7109375" style="1241" customWidth="1"/>
    <col min="11022" max="11022" width="3.7109375" style="1241" customWidth="1"/>
    <col min="11023" max="11264" width="8.85546875" style="1241"/>
    <col min="11265" max="11265" width="30.85546875" style="1241" customWidth="1"/>
    <col min="11266" max="11266" width="2.42578125" style="1241" customWidth="1"/>
    <col min="11267" max="11267" width="9.7109375" style="1241" customWidth="1"/>
    <col min="11268" max="11268" width="8.7109375" style="1241" customWidth="1"/>
    <col min="11269" max="11269" width="2.5703125" style="1241" customWidth="1"/>
    <col min="11270" max="11270" width="9.7109375" style="1241" customWidth="1"/>
    <col min="11271" max="11271" width="8.7109375" style="1241" customWidth="1"/>
    <col min="11272" max="11272" width="2.7109375" style="1241" customWidth="1"/>
    <col min="11273" max="11273" width="9.7109375" style="1241" customWidth="1"/>
    <col min="11274" max="11274" width="8.7109375" style="1241" customWidth="1"/>
    <col min="11275" max="11275" width="2.85546875" style="1241" customWidth="1"/>
    <col min="11276" max="11276" width="9.42578125" style="1241" customWidth="1"/>
    <col min="11277" max="11277" width="9.7109375" style="1241" customWidth="1"/>
    <col min="11278" max="11278" width="3.7109375" style="1241" customWidth="1"/>
    <col min="11279" max="11520" width="8.85546875" style="1241"/>
    <col min="11521" max="11521" width="30.85546875" style="1241" customWidth="1"/>
    <col min="11522" max="11522" width="2.42578125" style="1241" customWidth="1"/>
    <col min="11523" max="11523" width="9.7109375" style="1241" customWidth="1"/>
    <col min="11524" max="11524" width="8.7109375" style="1241" customWidth="1"/>
    <col min="11525" max="11525" width="2.5703125" style="1241" customWidth="1"/>
    <col min="11526" max="11526" width="9.7109375" style="1241" customWidth="1"/>
    <col min="11527" max="11527" width="8.7109375" style="1241" customWidth="1"/>
    <col min="11528" max="11528" width="2.7109375" style="1241" customWidth="1"/>
    <col min="11529" max="11529" width="9.7109375" style="1241" customWidth="1"/>
    <col min="11530" max="11530" width="8.7109375" style="1241" customWidth="1"/>
    <col min="11531" max="11531" width="2.85546875" style="1241" customWidth="1"/>
    <col min="11532" max="11532" width="9.42578125" style="1241" customWidth="1"/>
    <col min="11533" max="11533" width="9.7109375" style="1241" customWidth="1"/>
    <col min="11534" max="11534" width="3.7109375" style="1241" customWidth="1"/>
    <col min="11535" max="11776" width="8.85546875" style="1241"/>
    <col min="11777" max="11777" width="30.85546875" style="1241" customWidth="1"/>
    <col min="11778" max="11778" width="2.42578125" style="1241" customWidth="1"/>
    <col min="11779" max="11779" width="9.7109375" style="1241" customWidth="1"/>
    <col min="11780" max="11780" width="8.7109375" style="1241" customWidth="1"/>
    <col min="11781" max="11781" width="2.5703125" style="1241" customWidth="1"/>
    <col min="11782" max="11782" width="9.7109375" style="1241" customWidth="1"/>
    <col min="11783" max="11783" width="8.7109375" style="1241" customWidth="1"/>
    <col min="11784" max="11784" width="2.7109375" style="1241" customWidth="1"/>
    <col min="11785" max="11785" width="9.7109375" style="1241" customWidth="1"/>
    <col min="11786" max="11786" width="8.7109375" style="1241" customWidth="1"/>
    <col min="11787" max="11787" width="2.85546875" style="1241" customWidth="1"/>
    <col min="11788" max="11788" width="9.42578125" style="1241" customWidth="1"/>
    <col min="11789" max="11789" width="9.7109375" style="1241" customWidth="1"/>
    <col min="11790" max="11790" width="3.7109375" style="1241" customWidth="1"/>
    <col min="11791" max="12032" width="8.85546875" style="1241"/>
    <col min="12033" max="12033" width="30.85546875" style="1241" customWidth="1"/>
    <col min="12034" max="12034" width="2.42578125" style="1241" customWidth="1"/>
    <col min="12035" max="12035" width="9.7109375" style="1241" customWidth="1"/>
    <col min="12036" max="12036" width="8.7109375" style="1241" customWidth="1"/>
    <col min="12037" max="12037" width="2.5703125" style="1241" customWidth="1"/>
    <col min="12038" max="12038" width="9.7109375" style="1241" customWidth="1"/>
    <col min="12039" max="12039" width="8.7109375" style="1241" customWidth="1"/>
    <col min="12040" max="12040" width="2.7109375" style="1241" customWidth="1"/>
    <col min="12041" max="12041" width="9.7109375" style="1241" customWidth="1"/>
    <col min="12042" max="12042" width="8.7109375" style="1241" customWidth="1"/>
    <col min="12043" max="12043" width="2.85546875" style="1241" customWidth="1"/>
    <col min="12044" max="12044" width="9.42578125" style="1241" customWidth="1"/>
    <col min="12045" max="12045" width="9.7109375" style="1241" customWidth="1"/>
    <col min="12046" max="12046" width="3.7109375" style="1241" customWidth="1"/>
    <col min="12047" max="12288" width="8.85546875" style="1241"/>
    <col min="12289" max="12289" width="30.85546875" style="1241" customWidth="1"/>
    <col min="12290" max="12290" width="2.42578125" style="1241" customWidth="1"/>
    <col min="12291" max="12291" width="9.7109375" style="1241" customWidth="1"/>
    <col min="12292" max="12292" width="8.7109375" style="1241" customWidth="1"/>
    <col min="12293" max="12293" width="2.5703125" style="1241" customWidth="1"/>
    <col min="12294" max="12294" width="9.7109375" style="1241" customWidth="1"/>
    <col min="12295" max="12295" width="8.7109375" style="1241" customWidth="1"/>
    <col min="12296" max="12296" width="2.7109375" style="1241" customWidth="1"/>
    <col min="12297" max="12297" width="9.7109375" style="1241" customWidth="1"/>
    <col min="12298" max="12298" width="8.7109375" style="1241" customWidth="1"/>
    <col min="12299" max="12299" width="2.85546875" style="1241" customWidth="1"/>
    <col min="12300" max="12300" width="9.42578125" style="1241" customWidth="1"/>
    <col min="12301" max="12301" width="9.7109375" style="1241" customWidth="1"/>
    <col min="12302" max="12302" width="3.7109375" style="1241" customWidth="1"/>
    <col min="12303" max="12544" width="8.85546875" style="1241"/>
    <col min="12545" max="12545" width="30.85546875" style="1241" customWidth="1"/>
    <col min="12546" max="12546" width="2.42578125" style="1241" customWidth="1"/>
    <col min="12547" max="12547" width="9.7109375" style="1241" customWidth="1"/>
    <col min="12548" max="12548" width="8.7109375" style="1241" customWidth="1"/>
    <col min="12549" max="12549" width="2.5703125" style="1241" customWidth="1"/>
    <col min="12550" max="12550" width="9.7109375" style="1241" customWidth="1"/>
    <col min="12551" max="12551" width="8.7109375" style="1241" customWidth="1"/>
    <col min="12552" max="12552" width="2.7109375" style="1241" customWidth="1"/>
    <col min="12553" max="12553" width="9.7109375" style="1241" customWidth="1"/>
    <col min="12554" max="12554" width="8.7109375" style="1241" customWidth="1"/>
    <col min="12555" max="12555" width="2.85546875" style="1241" customWidth="1"/>
    <col min="12556" max="12556" width="9.42578125" style="1241" customWidth="1"/>
    <col min="12557" max="12557" width="9.7109375" style="1241" customWidth="1"/>
    <col min="12558" max="12558" width="3.7109375" style="1241" customWidth="1"/>
    <col min="12559" max="12800" width="8.85546875" style="1241"/>
    <col min="12801" max="12801" width="30.85546875" style="1241" customWidth="1"/>
    <col min="12802" max="12802" width="2.42578125" style="1241" customWidth="1"/>
    <col min="12803" max="12803" width="9.7109375" style="1241" customWidth="1"/>
    <col min="12804" max="12804" width="8.7109375" style="1241" customWidth="1"/>
    <col min="12805" max="12805" width="2.5703125" style="1241" customWidth="1"/>
    <col min="12806" max="12806" width="9.7109375" style="1241" customWidth="1"/>
    <col min="12807" max="12807" width="8.7109375" style="1241" customWidth="1"/>
    <col min="12808" max="12808" width="2.7109375" style="1241" customWidth="1"/>
    <col min="12809" max="12809" width="9.7109375" style="1241" customWidth="1"/>
    <col min="12810" max="12810" width="8.7109375" style="1241" customWidth="1"/>
    <col min="12811" max="12811" width="2.85546875" style="1241" customWidth="1"/>
    <col min="12812" max="12812" width="9.42578125" style="1241" customWidth="1"/>
    <col min="12813" max="12813" width="9.7109375" style="1241" customWidth="1"/>
    <col min="12814" max="12814" width="3.7109375" style="1241" customWidth="1"/>
    <col min="12815" max="13056" width="8.85546875" style="1241"/>
    <col min="13057" max="13057" width="30.85546875" style="1241" customWidth="1"/>
    <col min="13058" max="13058" width="2.42578125" style="1241" customWidth="1"/>
    <col min="13059" max="13059" width="9.7109375" style="1241" customWidth="1"/>
    <col min="13060" max="13060" width="8.7109375" style="1241" customWidth="1"/>
    <col min="13061" max="13061" width="2.5703125" style="1241" customWidth="1"/>
    <col min="13062" max="13062" width="9.7109375" style="1241" customWidth="1"/>
    <col min="13063" max="13063" width="8.7109375" style="1241" customWidth="1"/>
    <col min="13064" max="13064" width="2.7109375" style="1241" customWidth="1"/>
    <col min="13065" max="13065" width="9.7109375" style="1241" customWidth="1"/>
    <col min="13066" max="13066" width="8.7109375" style="1241" customWidth="1"/>
    <col min="13067" max="13067" width="2.85546875" style="1241" customWidth="1"/>
    <col min="13068" max="13068" width="9.42578125" style="1241" customWidth="1"/>
    <col min="13069" max="13069" width="9.7109375" style="1241" customWidth="1"/>
    <col min="13070" max="13070" width="3.7109375" style="1241" customWidth="1"/>
    <col min="13071" max="13312" width="8.85546875" style="1241"/>
    <col min="13313" max="13313" width="30.85546875" style="1241" customWidth="1"/>
    <col min="13314" max="13314" width="2.42578125" style="1241" customWidth="1"/>
    <col min="13315" max="13315" width="9.7109375" style="1241" customWidth="1"/>
    <col min="13316" max="13316" width="8.7109375" style="1241" customWidth="1"/>
    <col min="13317" max="13317" width="2.5703125" style="1241" customWidth="1"/>
    <col min="13318" max="13318" width="9.7109375" style="1241" customWidth="1"/>
    <col min="13319" max="13319" width="8.7109375" style="1241" customWidth="1"/>
    <col min="13320" max="13320" width="2.7109375" style="1241" customWidth="1"/>
    <col min="13321" max="13321" width="9.7109375" style="1241" customWidth="1"/>
    <col min="13322" max="13322" width="8.7109375" style="1241" customWidth="1"/>
    <col min="13323" max="13323" width="2.85546875" style="1241" customWidth="1"/>
    <col min="13324" max="13324" width="9.42578125" style="1241" customWidth="1"/>
    <col min="13325" max="13325" width="9.7109375" style="1241" customWidth="1"/>
    <col min="13326" max="13326" width="3.7109375" style="1241" customWidth="1"/>
    <col min="13327" max="13568" width="8.85546875" style="1241"/>
    <col min="13569" max="13569" width="30.85546875" style="1241" customWidth="1"/>
    <col min="13570" max="13570" width="2.42578125" style="1241" customWidth="1"/>
    <col min="13571" max="13571" width="9.7109375" style="1241" customWidth="1"/>
    <col min="13572" max="13572" width="8.7109375" style="1241" customWidth="1"/>
    <col min="13573" max="13573" width="2.5703125" style="1241" customWidth="1"/>
    <col min="13574" max="13574" width="9.7109375" style="1241" customWidth="1"/>
    <col min="13575" max="13575" width="8.7109375" style="1241" customWidth="1"/>
    <col min="13576" max="13576" width="2.7109375" style="1241" customWidth="1"/>
    <col min="13577" max="13577" width="9.7109375" style="1241" customWidth="1"/>
    <col min="13578" max="13578" width="8.7109375" style="1241" customWidth="1"/>
    <col min="13579" max="13579" width="2.85546875" style="1241" customWidth="1"/>
    <col min="13580" max="13580" width="9.42578125" style="1241" customWidth="1"/>
    <col min="13581" max="13581" width="9.7109375" style="1241" customWidth="1"/>
    <col min="13582" max="13582" width="3.7109375" style="1241" customWidth="1"/>
    <col min="13583" max="13824" width="8.85546875" style="1241"/>
    <col min="13825" max="13825" width="30.85546875" style="1241" customWidth="1"/>
    <col min="13826" max="13826" width="2.42578125" style="1241" customWidth="1"/>
    <col min="13827" max="13827" width="9.7109375" style="1241" customWidth="1"/>
    <col min="13828" max="13828" width="8.7109375" style="1241" customWidth="1"/>
    <col min="13829" max="13829" width="2.5703125" style="1241" customWidth="1"/>
    <col min="13830" max="13830" width="9.7109375" style="1241" customWidth="1"/>
    <col min="13831" max="13831" width="8.7109375" style="1241" customWidth="1"/>
    <col min="13832" max="13832" width="2.7109375" style="1241" customWidth="1"/>
    <col min="13833" max="13833" width="9.7109375" style="1241" customWidth="1"/>
    <col min="13834" max="13834" width="8.7109375" style="1241" customWidth="1"/>
    <col min="13835" max="13835" width="2.85546875" style="1241" customWidth="1"/>
    <col min="13836" max="13836" width="9.42578125" style="1241" customWidth="1"/>
    <col min="13837" max="13837" width="9.7109375" style="1241" customWidth="1"/>
    <col min="13838" max="13838" width="3.7109375" style="1241" customWidth="1"/>
    <col min="13839" max="14080" width="8.85546875" style="1241"/>
    <col min="14081" max="14081" width="30.85546875" style="1241" customWidth="1"/>
    <col min="14082" max="14082" width="2.42578125" style="1241" customWidth="1"/>
    <col min="14083" max="14083" width="9.7109375" style="1241" customWidth="1"/>
    <col min="14084" max="14084" width="8.7109375" style="1241" customWidth="1"/>
    <col min="14085" max="14085" width="2.5703125" style="1241" customWidth="1"/>
    <col min="14086" max="14086" width="9.7109375" style="1241" customWidth="1"/>
    <col min="14087" max="14087" width="8.7109375" style="1241" customWidth="1"/>
    <col min="14088" max="14088" width="2.7109375" style="1241" customWidth="1"/>
    <col min="14089" max="14089" width="9.7109375" style="1241" customWidth="1"/>
    <col min="14090" max="14090" width="8.7109375" style="1241" customWidth="1"/>
    <col min="14091" max="14091" width="2.85546875" style="1241" customWidth="1"/>
    <col min="14092" max="14092" width="9.42578125" style="1241" customWidth="1"/>
    <col min="14093" max="14093" width="9.7109375" style="1241" customWidth="1"/>
    <col min="14094" max="14094" width="3.7109375" style="1241" customWidth="1"/>
    <col min="14095" max="14336" width="8.85546875" style="1241"/>
    <col min="14337" max="14337" width="30.85546875" style="1241" customWidth="1"/>
    <col min="14338" max="14338" width="2.42578125" style="1241" customWidth="1"/>
    <col min="14339" max="14339" width="9.7109375" style="1241" customWidth="1"/>
    <col min="14340" max="14340" width="8.7109375" style="1241" customWidth="1"/>
    <col min="14341" max="14341" width="2.5703125" style="1241" customWidth="1"/>
    <col min="14342" max="14342" width="9.7109375" style="1241" customWidth="1"/>
    <col min="14343" max="14343" width="8.7109375" style="1241" customWidth="1"/>
    <col min="14344" max="14344" width="2.7109375" style="1241" customWidth="1"/>
    <col min="14345" max="14345" width="9.7109375" style="1241" customWidth="1"/>
    <col min="14346" max="14346" width="8.7109375" style="1241" customWidth="1"/>
    <col min="14347" max="14347" width="2.85546875" style="1241" customWidth="1"/>
    <col min="14348" max="14348" width="9.42578125" style="1241" customWidth="1"/>
    <col min="14349" max="14349" width="9.7109375" style="1241" customWidth="1"/>
    <col min="14350" max="14350" width="3.7109375" style="1241" customWidth="1"/>
    <col min="14351" max="14592" width="8.85546875" style="1241"/>
    <col min="14593" max="14593" width="30.85546875" style="1241" customWidth="1"/>
    <col min="14594" max="14594" width="2.42578125" style="1241" customWidth="1"/>
    <col min="14595" max="14595" width="9.7109375" style="1241" customWidth="1"/>
    <col min="14596" max="14596" width="8.7109375" style="1241" customWidth="1"/>
    <col min="14597" max="14597" width="2.5703125" style="1241" customWidth="1"/>
    <col min="14598" max="14598" width="9.7109375" style="1241" customWidth="1"/>
    <col min="14599" max="14599" width="8.7109375" style="1241" customWidth="1"/>
    <col min="14600" max="14600" width="2.7109375" style="1241" customWidth="1"/>
    <col min="14601" max="14601" width="9.7109375" style="1241" customWidth="1"/>
    <col min="14602" max="14602" width="8.7109375" style="1241" customWidth="1"/>
    <col min="14603" max="14603" width="2.85546875" style="1241" customWidth="1"/>
    <col min="14604" max="14604" width="9.42578125" style="1241" customWidth="1"/>
    <col min="14605" max="14605" width="9.7109375" style="1241" customWidth="1"/>
    <col min="14606" max="14606" width="3.7109375" style="1241" customWidth="1"/>
    <col min="14607" max="14848" width="8.85546875" style="1241"/>
    <col min="14849" max="14849" width="30.85546875" style="1241" customWidth="1"/>
    <col min="14850" max="14850" width="2.42578125" style="1241" customWidth="1"/>
    <col min="14851" max="14851" width="9.7109375" style="1241" customWidth="1"/>
    <col min="14852" max="14852" width="8.7109375" style="1241" customWidth="1"/>
    <col min="14853" max="14853" width="2.5703125" style="1241" customWidth="1"/>
    <col min="14854" max="14854" width="9.7109375" style="1241" customWidth="1"/>
    <col min="14855" max="14855" width="8.7109375" style="1241" customWidth="1"/>
    <col min="14856" max="14856" width="2.7109375" style="1241" customWidth="1"/>
    <col min="14857" max="14857" width="9.7109375" style="1241" customWidth="1"/>
    <col min="14858" max="14858" width="8.7109375" style="1241" customWidth="1"/>
    <col min="14859" max="14859" width="2.85546875" style="1241" customWidth="1"/>
    <col min="14860" max="14860" width="9.42578125" style="1241" customWidth="1"/>
    <col min="14861" max="14861" width="9.7109375" style="1241" customWidth="1"/>
    <col min="14862" max="14862" width="3.7109375" style="1241" customWidth="1"/>
    <col min="14863" max="15104" width="8.85546875" style="1241"/>
    <col min="15105" max="15105" width="30.85546875" style="1241" customWidth="1"/>
    <col min="15106" max="15106" width="2.42578125" style="1241" customWidth="1"/>
    <col min="15107" max="15107" width="9.7109375" style="1241" customWidth="1"/>
    <col min="15108" max="15108" width="8.7109375" style="1241" customWidth="1"/>
    <col min="15109" max="15109" width="2.5703125" style="1241" customWidth="1"/>
    <col min="15110" max="15110" width="9.7109375" style="1241" customWidth="1"/>
    <col min="15111" max="15111" width="8.7109375" style="1241" customWidth="1"/>
    <col min="15112" max="15112" width="2.7109375" style="1241" customWidth="1"/>
    <col min="15113" max="15113" width="9.7109375" style="1241" customWidth="1"/>
    <col min="15114" max="15114" width="8.7109375" style="1241" customWidth="1"/>
    <col min="15115" max="15115" width="2.85546875" style="1241" customWidth="1"/>
    <col min="15116" max="15116" width="9.42578125" style="1241" customWidth="1"/>
    <col min="15117" max="15117" width="9.7109375" style="1241" customWidth="1"/>
    <col min="15118" max="15118" width="3.7109375" style="1241" customWidth="1"/>
    <col min="15119" max="15360" width="8.85546875" style="1241"/>
    <col min="15361" max="15361" width="30.85546875" style="1241" customWidth="1"/>
    <col min="15362" max="15362" width="2.42578125" style="1241" customWidth="1"/>
    <col min="15363" max="15363" width="9.7109375" style="1241" customWidth="1"/>
    <col min="15364" max="15364" width="8.7109375" style="1241" customWidth="1"/>
    <col min="15365" max="15365" width="2.5703125" style="1241" customWidth="1"/>
    <col min="15366" max="15366" width="9.7109375" style="1241" customWidth="1"/>
    <col min="15367" max="15367" width="8.7109375" style="1241" customWidth="1"/>
    <col min="15368" max="15368" width="2.7109375" style="1241" customWidth="1"/>
    <col min="15369" max="15369" width="9.7109375" style="1241" customWidth="1"/>
    <col min="15370" max="15370" width="8.7109375" style="1241" customWidth="1"/>
    <col min="15371" max="15371" width="2.85546875" style="1241" customWidth="1"/>
    <col min="15372" max="15372" width="9.42578125" style="1241" customWidth="1"/>
    <col min="15373" max="15373" width="9.7109375" style="1241" customWidth="1"/>
    <col min="15374" max="15374" width="3.7109375" style="1241" customWidth="1"/>
    <col min="15375" max="15616" width="8.85546875" style="1241"/>
    <col min="15617" max="15617" width="30.85546875" style="1241" customWidth="1"/>
    <col min="15618" max="15618" width="2.42578125" style="1241" customWidth="1"/>
    <col min="15619" max="15619" width="9.7109375" style="1241" customWidth="1"/>
    <col min="15620" max="15620" width="8.7109375" style="1241" customWidth="1"/>
    <col min="15621" max="15621" width="2.5703125" style="1241" customWidth="1"/>
    <col min="15622" max="15622" width="9.7109375" style="1241" customWidth="1"/>
    <col min="15623" max="15623" width="8.7109375" style="1241" customWidth="1"/>
    <col min="15624" max="15624" width="2.7109375" style="1241" customWidth="1"/>
    <col min="15625" max="15625" width="9.7109375" style="1241" customWidth="1"/>
    <col min="15626" max="15626" width="8.7109375" style="1241" customWidth="1"/>
    <col min="15627" max="15627" width="2.85546875" style="1241" customWidth="1"/>
    <col min="15628" max="15628" width="9.42578125" style="1241" customWidth="1"/>
    <col min="15629" max="15629" width="9.7109375" style="1241" customWidth="1"/>
    <col min="15630" max="15630" width="3.7109375" style="1241" customWidth="1"/>
    <col min="15631" max="15872" width="8.85546875" style="1241"/>
    <col min="15873" max="15873" width="30.85546875" style="1241" customWidth="1"/>
    <col min="15874" max="15874" width="2.42578125" style="1241" customWidth="1"/>
    <col min="15875" max="15875" width="9.7109375" style="1241" customWidth="1"/>
    <col min="15876" max="15876" width="8.7109375" style="1241" customWidth="1"/>
    <col min="15877" max="15877" width="2.5703125" style="1241" customWidth="1"/>
    <col min="15878" max="15878" width="9.7109375" style="1241" customWidth="1"/>
    <col min="15879" max="15879" width="8.7109375" style="1241" customWidth="1"/>
    <col min="15880" max="15880" width="2.7109375" style="1241" customWidth="1"/>
    <col min="15881" max="15881" width="9.7109375" style="1241" customWidth="1"/>
    <col min="15882" max="15882" width="8.7109375" style="1241" customWidth="1"/>
    <col min="15883" max="15883" width="2.85546875" style="1241" customWidth="1"/>
    <col min="15884" max="15884" width="9.42578125" style="1241" customWidth="1"/>
    <col min="15885" max="15885" width="9.7109375" style="1241" customWidth="1"/>
    <col min="15886" max="15886" width="3.7109375" style="1241" customWidth="1"/>
    <col min="15887" max="16128" width="8.85546875" style="1241"/>
    <col min="16129" max="16129" width="30.85546875" style="1241" customWidth="1"/>
    <col min="16130" max="16130" width="2.42578125" style="1241" customWidth="1"/>
    <col min="16131" max="16131" width="9.7109375" style="1241" customWidth="1"/>
    <col min="16132" max="16132" width="8.7109375" style="1241" customWidth="1"/>
    <col min="16133" max="16133" width="2.5703125" style="1241" customWidth="1"/>
    <col min="16134" max="16134" width="9.7109375" style="1241" customWidth="1"/>
    <col min="16135" max="16135" width="8.7109375" style="1241" customWidth="1"/>
    <col min="16136" max="16136" width="2.7109375" style="1241" customWidth="1"/>
    <col min="16137" max="16137" width="9.7109375" style="1241" customWidth="1"/>
    <col min="16138" max="16138" width="8.7109375" style="1241" customWidth="1"/>
    <col min="16139" max="16139" width="2.85546875" style="1241" customWidth="1"/>
    <col min="16140" max="16140" width="9.42578125" style="1241" customWidth="1"/>
    <col min="16141" max="16141" width="9.7109375" style="1241" customWidth="1"/>
    <col min="16142" max="16142" width="3.7109375" style="1241" customWidth="1"/>
    <col min="16143" max="16384" width="8.85546875" style="1241"/>
  </cols>
  <sheetData>
    <row r="1" spans="1:14">
      <c r="A1" s="1240" t="s">
        <v>0</v>
      </c>
    </row>
    <row r="2" spans="1:14">
      <c r="A2" s="1240" t="s">
        <v>1</v>
      </c>
    </row>
    <row r="3" spans="1:14" ht="6.95" customHeight="1"/>
    <row r="4" spans="1:14">
      <c r="A4" s="1229" t="s">
        <v>1956</v>
      </c>
    </row>
    <row r="5" spans="1:14" ht="7.5" customHeight="1" thickBot="1"/>
    <row r="6" spans="1:14" ht="6.95" customHeight="1">
      <c r="A6" s="1244"/>
      <c r="B6" s="1245"/>
      <c r="C6" s="1246"/>
      <c r="D6" s="1244"/>
      <c r="E6" s="1244"/>
      <c r="F6" s="1246"/>
      <c r="G6" s="1246"/>
      <c r="H6" s="1246"/>
      <c r="I6" s="1246"/>
      <c r="J6" s="1246"/>
      <c r="K6" s="1246"/>
      <c r="L6" s="1246"/>
      <c r="M6" s="1246"/>
    </row>
    <row r="7" spans="1:14" ht="15">
      <c r="C7" s="1340" t="s">
        <v>2252</v>
      </c>
      <c r="D7" s="1340"/>
      <c r="E7" s="1340"/>
      <c r="F7" s="1340"/>
      <c r="G7" s="1340"/>
      <c r="H7" s="1340"/>
      <c r="I7" s="1340"/>
      <c r="J7" s="1340"/>
      <c r="K7" s="1340"/>
      <c r="L7" s="1340"/>
      <c r="M7" s="1340"/>
      <c r="N7" s="1230"/>
    </row>
    <row r="8" spans="1:14">
      <c r="A8" s="1231" t="s">
        <v>4</v>
      </c>
      <c r="C8" s="1341" t="s">
        <v>5</v>
      </c>
      <c r="D8" s="1341"/>
      <c r="F8" s="1232" t="s">
        <v>6</v>
      </c>
      <c r="G8" s="1233"/>
      <c r="H8" s="1234"/>
      <c r="I8" s="1232" t="s">
        <v>7</v>
      </c>
      <c r="J8" s="1233"/>
      <c r="K8" s="1234"/>
      <c r="L8" s="1232" t="s">
        <v>8</v>
      </c>
      <c r="M8" s="1233"/>
      <c r="N8" s="1230"/>
    </row>
    <row r="9" spans="1:14">
      <c r="C9" s="1235" t="s">
        <v>9</v>
      </c>
      <c r="D9" s="1236" t="s">
        <v>10</v>
      </c>
      <c r="F9" s="1236" t="s">
        <v>9</v>
      </c>
      <c r="G9" s="1236" t="s">
        <v>10</v>
      </c>
      <c r="I9" s="1236" t="s">
        <v>9</v>
      </c>
      <c r="J9" s="1236" t="s">
        <v>10</v>
      </c>
      <c r="L9" s="1236" t="s">
        <v>9</v>
      </c>
      <c r="M9" s="1236" t="s">
        <v>10</v>
      </c>
      <c r="N9" s="1237"/>
    </row>
    <row r="10" spans="1:14" ht="6.95" customHeight="1" thickBot="1">
      <c r="A10" s="1247"/>
      <c r="B10" s="1248"/>
      <c r="C10" s="1249"/>
      <c r="D10" s="1247"/>
      <c r="E10" s="1247"/>
      <c r="F10" s="1249"/>
      <c r="G10" s="1249"/>
      <c r="H10" s="1249"/>
      <c r="I10" s="1249"/>
      <c r="J10" s="1249"/>
      <c r="K10" s="1249"/>
      <c r="L10" s="1249"/>
      <c r="M10" s="1249"/>
    </row>
    <row r="11" spans="1:14" ht="6.95" customHeight="1"/>
    <row r="12" spans="1:14">
      <c r="A12" s="1231" t="s">
        <v>169</v>
      </c>
      <c r="C12" s="1242">
        <f>IF($A12&lt;&gt;0,F12+I12+L12,"")</f>
        <v>974.75</v>
      </c>
      <c r="D12" s="1250">
        <f>IF($A12&lt;&gt;0,G12+J12+M12,"")</f>
        <v>100</v>
      </c>
      <c r="F12" s="1242">
        <f>SUM(F14+F33)</f>
        <v>4</v>
      </c>
      <c r="G12" s="1242">
        <f>IF($A12&lt;&gt;0,F12/$C12*100,"")</f>
        <v>0.41036163118748392</v>
      </c>
      <c r="I12" s="1242">
        <f>SUM(I14+I33)</f>
        <v>4</v>
      </c>
      <c r="J12" s="1242">
        <f>IF($A12&lt;&gt;0,I12/$C12*100,"")</f>
        <v>0.41036163118748392</v>
      </c>
      <c r="L12" s="1242">
        <f>SUM(L14+L33)</f>
        <v>966.75</v>
      </c>
      <c r="M12" s="1242">
        <f>IF($A12&lt;&gt;0,L12/$C12*100,"")</f>
        <v>99.179276737625031</v>
      </c>
    </row>
    <row r="13" spans="1:14" ht="6.95" customHeight="1">
      <c r="C13" s="1242" t="str">
        <f>IF($A13&lt;&gt;0,F13+I13+L13,"")</f>
        <v/>
      </c>
      <c r="D13" s="1250" t="str">
        <f>IF($A13&lt;&gt;0,G13+J13+M13,"")</f>
        <v/>
      </c>
      <c r="G13" s="1242" t="str">
        <f>IF($A13&lt;&gt;0,F13/$C13*100,"")</f>
        <v/>
      </c>
      <c r="J13" s="1242" t="str">
        <f>IF($A13&lt;&gt;0,I13/$C13*100,"")</f>
        <v/>
      </c>
      <c r="L13" s="1242" t="s">
        <v>11</v>
      </c>
      <c r="M13" s="1242" t="str">
        <f>IF($A13&lt;&gt;0,L13/$C13*100,"")</f>
        <v/>
      </c>
    </row>
    <row r="14" spans="1:14">
      <c r="A14" s="1231" t="s">
        <v>326</v>
      </c>
      <c r="C14" s="1242">
        <f t="shared" ref="C14:D28" si="0">IF($A14&lt;&gt;0,F14+I14+L14,"")</f>
        <v>665</v>
      </c>
      <c r="D14" s="1250">
        <f t="shared" si="0"/>
        <v>100</v>
      </c>
      <c r="F14" s="1242">
        <f>SUM(F16+F21)</f>
        <v>0</v>
      </c>
      <c r="G14" s="1242">
        <f t="shared" ref="G14:G36" si="1">IF($A14&lt;&gt;0,F14/$C14*100,"")</f>
        <v>0</v>
      </c>
      <c r="I14" s="1242">
        <f>SUM(I16+I21)</f>
        <v>0</v>
      </c>
      <c r="J14" s="1242">
        <f t="shared" ref="J14:J36" si="2">IF($A14&lt;&gt;0,I14/$C14*100,"")</f>
        <v>0</v>
      </c>
      <c r="L14" s="1242">
        <f>SUM(L16+L21)</f>
        <v>665</v>
      </c>
      <c r="M14" s="1242">
        <f t="shared" ref="M14:M35" si="3">IF($A14&lt;&gt;0,L14/$C14*100,"")</f>
        <v>100</v>
      </c>
    </row>
    <row r="15" spans="1:14" ht="8.25" customHeight="1">
      <c r="C15" s="1242" t="str">
        <f t="shared" si="0"/>
        <v/>
      </c>
      <c r="D15" s="1250" t="str">
        <f t="shared" si="0"/>
        <v/>
      </c>
      <c r="G15" s="1242" t="str">
        <f t="shared" si="1"/>
        <v/>
      </c>
      <c r="J15" s="1242" t="str">
        <f t="shared" si="2"/>
        <v/>
      </c>
      <c r="L15" s="1242" t="s">
        <v>11</v>
      </c>
      <c r="M15" s="1242" t="str">
        <f t="shared" si="3"/>
        <v/>
      </c>
    </row>
    <row r="16" spans="1:14">
      <c r="A16" s="1240" t="s">
        <v>170</v>
      </c>
      <c r="C16" s="1242">
        <f t="shared" si="0"/>
        <v>161.5</v>
      </c>
      <c r="D16" s="1250">
        <f t="shared" si="0"/>
        <v>100</v>
      </c>
      <c r="F16" s="1242">
        <f>SUM(F18:F19)</f>
        <v>0</v>
      </c>
      <c r="G16" s="1242">
        <f t="shared" si="1"/>
        <v>0</v>
      </c>
      <c r="I16" s="1242">
        <f>SUM(I18:I19)</f>
        <v>0</v>
      </c>
      <c r="J16" s="1242">
        <f t="shared" si="2"/>
        <v>0</v>
      </c>
      <c r="L16" s="1242">
        <f>SUM(L18:L19)</f>
        <v>161.5</v>
      </c>
      <c r="M16" s="1242">
        <f t="shared" si="3"/>
        <v>100</v>
      </c>
    </row>
    <row r="17" spans="1:13">
      <c r="C17" s="1242" t="str">
        <f t="shared" si="0"/>
        <v/>
      </c>
      <c r="D17" s="1250" t="str">
        <f t="shared" si="0"/>
        <v/>
      </c>
      <c r="G17" s="1242" t="str">
        <f t="shared" si="1"/>
        <v/>
      </c>
      <c r="J17" s="1242" t="str">
        <f t="shared" si="2"/>
        <v/>
      </c>
      <c r="L17" s="1242" t="s">
        <v>11</v>
      </c>
      <c r="M17" s="1242" t="str">
        <f t="shared" si="3"/>
        <v/>
      </c>
    </row>
    <row r="18" spans="1:13">
      <c r="A18" s="1240" t="s">
        <v>171</v>
      </c>
      <c r="C18" s="1242">
        <f t="shared" si="0"/>
        <v>86</v>
      </c>
      <c r="D18" s="1250">
        <f t="shared" si="0"/>
        <v>100</v>
      </c>
      <c r="F18" s="1242">
        <v>0</v>
      </c>
      <c r="G18" s="1242">
        <f t="shared" si="1"/>
        <v>0</v>
      </c>
      <c r="I18" s="1242">
        <v>0</v>
      </c>
      <c r="J18" s="1242">
        <f t="shared" si="2"/>
        <v>0</v>
      </c>
      <c r="L18" s="1242">
        <v>86</v>
      </c>
      <c r="M18" s="1242">
        <f t="shared" si="3"/>
        <v>100</v>
      </c>
    </row>
    <row r="19" spans="1:13">
      <c r="A19" s="1240" t="s">
        <v>172</v>
      </c>
      <c r="C19" s="1242">
        <f t="shared" si="0"/>
        <v>75.5</v>
      </c>
      <c r="D19" s="1250">
        <f t="shared" si="0"/>
        <v>100</v>
      </c>
      <c r="F19" s="1242">
        <v>0</v>
      </c>
      <c r="G19" s="1242">
        <f t="shared" si="1"/>
        <v>0</v>
      </c>
      <c r="I19" s="1242">
        <v>0</v>
      </c>
      <c r="J19" s="1242">
        <f t="shared" si="2"/>
        <v>0</v>
      </c>
      <c r="L19" s="1242">
        <v>75.5</v>
      </c>
      <c r="M19" s="1242">
        <f t="shared" si="3"/>
        <v>100</v>
      </c>
    </row>
    <row r="20" spans="1:13">
      <c r="C20" s="1242" t="str">
        <f t="shared" si="0"/>
        <v/>
      </c>
      <c r="D20" s="1250" t="str">
        <f t="shared" si="0"/>
        <v/>
      </c>
      <c r="G20" s="1242" t="str">
        <f t="shared" si="1"/>
        <v/>
      </c>
      <c r="J20" s="1242" t="str">
        <f t="shared" si="2"/>
        <v/>
      </c>
      <c r="L20" s="1242" t="s">
        <v>11</v>
      </c>
      <c r="M20" s="1242" t="str">
        <f t="shared" si="3"/>
        <v/>
      </c>
    </row>
    <row r="21" spans="1:13">
      <c r="A21" s="1240" t="s">
        <v>173</v>
      </c>
      <c r="C21" s="1242">
        <f t="shared" si="0"/>
        <v>503.5</v>
      </c>
      <c r="D21" s="1250">
        <f t="shared" si="0"/>
        <v>100</v>
      </c>
      <c r="F21" s="1242">
        <f>SUM(F23:F31)</f>
        <v>0</v>
      </c>
      <c r="G21" s="1242">
        <f t="shared" si="1"/>
        <v>0</v>
      </c>
      <c r="I21" s="1242">
        <f>SUM(I23:I31)</f>
        <v>0</v>
      </c>
      <c r="J21" s="1242">
        <f t="shared" si="2"/>
        <v>0</v>
      </c>
      <c r="L21" s="1242">
        <f>SUM(L23:L31)</f>
        <v>503.5</v>
      </c>
      <c r="M21" s="1242">
        <f t="shared" si="3"/>
        <v>100</v>
      </c>
    </row>
    <row r="22" spans="1:13">
      <c r="C22" s="1242" t="str">
        <f t="shared" si="0"/>
        <v/>
      </c>
      <c r="D22" s="1250" t="str">
        <f t="shared" si="0"/>
        <v/>
      </c>
      <c r="G22" s="1242" t="str">
        <f t="shared" si="1"/>
        <v/>
      </c>
      <c r="J22" s="1242" t="str">
        <f t="shared" si="2"/>
        <v/>
      </c>
      <c r="L22" s="1242" t="s">
        <v>11</v>
      </c>
      <c r="M22" s="1242" t="str">
        <f t="shared" si="3"/>
        <v/>
      </c>
    </row>
    <row r="23" spans="1:13">
      <c r="A23" s="1240" t="s">
        <v>174</v>
      </c>
      <c r="C23" s="1242">
        <f t="shared" si="0"/>
        <v>68.5</v>
      </c>
      <c r="D23" s="1250">
        <f t="shared" si="0"/>
        <v>100</v>
      </c>
      <c r="F23" s="1242">
        <v>0</v>
      </c>
      <c r="G23" s="1242">
        <f t="shared" si="1"/>
        <v>0</v>
      </c>
      <c r="I23" s="1242">
        <v>0</v>
      </c>
      <c r="J23" s="1242">
        <f t="shared" si="2"/>
        <v>0</v>
      </c>
      <c r="L23" s="1242">
        <v>68.5</v>
      </c>
      <c r="M23" s="1242">
        <f t="shared" si="3"/>
        <v>100</v>
      </c>
    </row>
    <row r="24" spans="1:13">
      <c r="A24" s="1240" t="s">
        <v>175</v>
      </c>
      <c r="C24" s="1242">
        <f t="shared" si="0"/>
        <v>25</v>
      </c>
      <c r="D24" s="1250">
        <f t="shared" si="0"/>
        <v>100</v>
      </c>
      <c r="F24" s="1242">
        <v>0</v>
      </c>
      <c r="G24" s="1242">
        <f t="shared" si="1"/>
        <v>0</v>
      </c>
      <c r="I24" s="1242">
        <v>0</v>
      </c>
      <c r="J24" s="1242">
        <f t="shared" si="2"/>
        <v>0</v>
      </c>
      <c r="L24" s="1242">
        <v>25</v>
      </c>
      <c r="M24" s="1242">
        <f t="shared" si="3"/>
        <v>100</v>
      </c>
    </row>
    <row r="25" spans="1:13">
      <c r="A25" s="1240" t="s">
        <v>176</v>
      </c>
      <c r="C25" s="1242">
        <f t="shared" si="0"/>
        <v>186</v>
      </c>
      <c r="D25" s="1250">
        <f t="shared" si="0"/>
        <v>100</v>
      </c>
      <c r="F25" s="1242">
        <v>0</v>
      </c>
      <c r="G25" s="1242">
        <f t="shared" si="1"/>
        <v>0</v>
      </c>
      <c r="I25" s="1242">
        <v>0</v>
      </c>
      <c r="J25" s="1242">
        <f t="shared" si="2"/>
        <v>0</v>
      </c>
      <c r="L25" s="1242">
        <v>186</v>
      </c>
      <c r="M25" s="1242">
        <f t="shared" si="3"/>
        <v>100</v>
      </c>
    </row>
    <row r="26" spans="1:13">
      <c r="A26" s="1240" t="s">
        <v>177</v>
      </c>
      <c r="C26" s="1242">
        <f t="shared" si="0"/>
        <v>12</v>
      </c>
      <c r="D26" s="1250">
        <f t="shared" si="0"/>
        <v>100</v>
      </c>
      <c r="F26" s="1242">
        <v>0</v>
      </c>
      <c r="G26" s="1242">
        <f t="shared" si="1"/>
        <v>0</v>
      </c>
      <c r="I26" s="1242">
        <v>0</v>
      </c>
      <c r="J26" s="1242">
        <f t="shared" si="2"/>
        <v>0</v>
      </c>
      <c r="L26" s="1242">
        <v>12</v>
      </c>
      <c r="M26" s="1242">
        <f t="shared" si="3"/>
        <v>100</v>
      </c>
    </row>
    <row r="27" spans="1:13">
      <c r="A27" s="1240" t="s">
        <v>178</v>
      </c>
      <c r="C27" s="1242">
        <f t="shared" si="0"/>
        <v>42</v>
      </c>
      <c r="D27" s="1250">
        <f t="shared" si="0"/>
        <v>100</v>
      </c>
      <c r="F27" s="1242">
        <v>0</v>
      </c>
      <c r="G27" s="1242">
        <f t="shared" si="1"/>
        <v>0</v>
      </c>
      <c r="I27" s="1242">
        <v>0</v>
      </c>
      <c r="J27" s="1242">
        <f t="shared" si="2"/>
        <v>0</v>
      </c>
      <c r="L27" s="1242">
        <v>42</v>
      </c>
      <c r="M27" s="1242">
        <f t="shared" si="3"/>
        <v>100</v>
      </c>
    </row>
    <row r="28" spans="1:13">
      <c r="A28" s="1240" t="s">
        <v>179</v>
      </c>
      <c r="C28" s="1242">
        <f t="shared" si="0"/>
        <v>150</v>
      </c>
      <c r="D28" s="1250">
        <f t="shared" si="0"/>
        <v>100</v>
      </c>
      <c r="F28" s="1242">
        <v>0</v>
      </c>
      <c r="G28" s="1242">
        <f t="shared" si="1"/>
        <v>0</v>
      </c>
      <c r="I28" s="1242">
        <v>0</v>
      </c>
      <c r="J28" s="1242">
        <f t="shared" si="2"/>
        <v>0</v>
      </c>
      <c r="L28" s="1242">
        <v>150</v>
      </c>
      <c r="M28" s="1242">
        <f t="shared" si="3"/>
        <v>100</v>
      </c>
    </row>
    <row r="29" spans="1:13">
      <c r="A29" s="1229" t="s">
        <v>180</v>
      </c>
      <c r="C29" s="1242">
        <f>IF($A29&lt;&gt;0,F29+I29+L29,"")</f>
        <v>1</v>
      </c>
      <c r="D29" s="1250">
        <f>IF($A29&lt;&gt;0,G29+J29+M29,"")</f>
        <v>100</v>
      </c>
      <c r="F29" s="1242">
        <v>0</v>
      </c>
      <c r="G29" s="1242">
        <f>IF($A29&lt;&gt;0,F29/$C29*100,"")</f>
        <v>0</v>
      </c>
      <c r="I29" s="1242">
        <v>0</v>
      </c>
      <c r="J29" s="1242">
        <f>IF($A29&lt;&gt;0,I29/$C29*100,"")</f>
        <v>0</v>
      </c>
      <c r="L29" s="1242">
        <v>1</v>
      </c>
      <c r="M29" s="1242">
        <f>IF($A29&lt;&gt;0,L29/$C29*100,"")</f>
        <v>100</v>
      </c>
    </row>
    <row r="30" spans="1:13">
      <c r="A30" s="1240" t="s">
        <v>181</v>
      </c>
      <c r="C30" s="1242">
        <f t="shared" ref="C30:D39" si="4">IF($A30&lt;&gt;0,F30+I30+L30,"")</f>
        <v>17</v>
      </c>
      <c r="D30" s="1250">
        <f t="shared" si="4"/>
        <v>100</v>
      </c>
      <c r="F30" s="1242">
        <v>0</v>
      </c>
      <c r="G30" s="1242">
        <f t="shared" si="1"/>
        <v>0</v>
      </c>
      <c r="I30" s="1242">
        <v>0</v>
      </c>
      <c r="J30" s="1242">
        <f t="shared" si="2"/>
        <v>0</v>
      </c>
      <c r="L30" s="1242">
        <v>17</v>
      </c>
      <c r="M30" s="1242">
        <f t="shared" si="3"/>
        <v>100</v>
      </c>
    </row>
    <row r="31" spans="1:13">
      <c r="A31" s="1240" t="s">
        <v>182</v>
      </c>
      <c r="C31" s="1242">
        <f t="shared" si="4"/>
        <v>2</v>
      </c>
      <c r="D31" s="1250">
        <f t="shared" si="4"/>
        <v>100</v>
      </c>
      <c r="F31" s="1242">
        <v>0</v>
      </c>
      <c r="G31" s="1242">
        <f t="shared" si="1"/>
        <v>0</v>
      </c>
      <c r="I31" s="1242">
        <v>0</v>
      </c>
      <c r="J31" s="1242">
        <f t="shared" si="2"/>
        <v>0</v>
      </c>
      <c r="L31" s="1242">
        <v>2</v>
      </c>
      <c r="M31" s="1242">
        <f t="shared" si="3"/>
        <v>100</v>
      </c>
    </row>
    <row r="32" spans="1:13" ht="9.75" customHeight="1">
      <c r="C32" s="1242" t="str">
        <f t="shared" si="4"/>
        <v/>
      </c>
      <c r="D32" s="1250" t="str">
        <f t="shared" si="4"/>
        <v/>
      </c>
      <c r="G32" s="1242" t="str">
        <f t="shared" si="1"/>
        <v/>
      </c>
      <c r="J32" s="1242" t="str">
        <f t="shared" si="2"/>
        <v/>
      </c>
      <c r="L32" s="1242" t="s">
        <v>11</v>
      </c>
      <c r="M32" s="1242" t="str">
        <f t="shared" si="3"/>
        <v/>
      </c>
    </row>
    <row r="33" spans="1:13">
      <c r="A33" s="1231" t="s">
        <v>213</v>
      </c>
      <c r="C33" s="1242">
        <f t="shared" si="4"/>
        <v>309.75</v>
      </c>
      <c r="D33" s="1250">
        <f t="shared" si="4"/>
        <v>100</v>
      </c>
      <c r="F33" s="1242">
        <f>SUM(F35:F39)</f>
        <v>4</v>
      </c>
      <c r="G33" s="1242">
        <f t="shared" si="1"/>
        <v>1.2913640032284099</v>
      </c>
      <c r="I33" s="1242">
        <f>SUM(I35:I39)</f>
        <v>4</v>
      </c>
      <c r="J33" s="1242">
        <f t="shared" si="2"/>
        <v>1.2913640032284099</v>
      </c>
      <c r="L33" s="1242">
        <f>SUM(L35:L39)</f>
        <v>301.75</v>
      </c>
      <c r="M33" s="1242">
        <f t="shared" si="3"/>
        <v>97.417271993543181</v>
      </c>
    </row>
    <row r="34" spans="1:13" ht="6.95" customHeight="1">
      <c r="C34" s="1242" t="str">
        <f t="shared" si="4"/>
        <v/>
      </c>
      <c r="D34" s="1250" t="str">
        <f t="shared" si="4"/>
        <v/>
      </c>
      <c r="G34" s="1242" t="str">
        <f t="shared" si="1"/>
        <v/>
      </c>
      <c r="J34" s="1242" t="str">
        <f t="shared" si="2"/>
        <v/>
      </c>
      <c r="L34" s="1242" t="s">
        <v>11</v>
      </c>
      <c r="M34" s="1242" t="str">
        <f t="shared" si="3"/>
        <v/>
      </c>
    </row>
    <row r="35" spans="1:13" ht="15">
      <c r="A35" s="1238" t="s">
        <v>2253</v>
      </c>
      <c r="C35" s="1242">
        <f t="shared" si="4"/>
        <v>103.25</v>
      </c>
      <c r="D35" s="1250">
        <f t="shared" si="4"/>
        <v>100</v>
      </c>
      <c r="F35" s="1251">
        <v>1</v>
      </c>
      <c r="G35" s="1242">
        <f t="shared" si="1"/>
        <v>0.96852300242130751</v>
      </c>
      <c r="I35" s="1242">
        <f>1+1</f>
        <v>2</v>
      </c>
      <c r="J35" s="1242">
        <f t="shared" si="2"/>
        <v>1.937046004842615</v>
      </c>
      <c r="L35" s="1242">
        <f>94.25+6</f>
        <v>100.25</v>
      </c>
      <c r="M35" s="1242">
        <f t="shared" si="3"/>
        <v>97.094430992736079</v>
      </c>
    </row>
    <row r="36" spans="1:13" ht="15">
      <c r="A36" s="1238" t="s">
        <v>2254</v>
      </c>
      <c r="C36" s="1242">
        <f t="shared" si="4"/>
        <v>73.5</v>
      </c>
      <c r="D36" s="1250">
        <f t="shared" si="4"/>
        <v>100</v>
      </c>
      <c r="F36" s="1242">
        <v>1</v>
      </c>
      <c r="G36" s="1242">
        <f t="shared" si="1"/>
        <v>1.3605442176870748</v>
      </c>
      <c r="I36" s="1242">
        <v>1</v>
      </c>
      <c r="J36" s="1242">
        <f t="shared" si="2"/>
        <v>1.3605442176870748</v>
      </c>
      <c r="L36" s="1242">
        <f>66+5.5</f>
        <v>71.5</v>
      </c>
      <c r="M36" s="1242">
        <f>IF($A36&lt;&gt;0,L36/$C36*100,"")</f>
        <v>97.278911564625844</v>
      </c>
    </row>
    <row r="37" spans="1:13" ht="15">
      <c r="A37" s="1238" t="s">
        <v>2255</v>
      </c>
      <c r="C37" s="1242">
        <f t="shared" si="4"/>
        <v>80</v>
      </c>
      <c r="D37" s="1250">
        <f t="shared" si="4"/>
        <v>100</v>
      </c>
      <c r="F37" s="1251">
        <v>1</v>
      </c>
      <c r="G37" s="1242">
        <f>IF($A37&lt;&gt;0,F37/$C37*100,"")</f>
        <v>1.25</v>
      </c>
      <c r="I37" s="1242">
        <v>1</v>
      </c>
      <c r="J37" s="1242">
        <f>IF($A37&lt;&gt;0,I37/$C37*100,"")</f>
        <v>1.25</v>
      </c>
      <c r="L37" s="1242">
        <f>59+8+11</f>
        <v>78</v>
      </c>
      <c r="M37" s="1242">
        <f>IF($A37&lt;&gt;0,L37/$C37*100,"")</f>
        <v>97.5</v>
      </c>
    </row>
    <row r="38" spans="1:13" ht="14.25" customHeight="1">
      <c r="A38" s="1238" t="s">
        <v>237</v>
      </c>
      <c r="C38" s="1242">
        <f t="shared" si="4"/>
        <v>25</v>
      </c>
      <c r="D38" s="1250">
        <f t="shared" si="4"/>
        <v>100</v>
      </c>
      <c r="F38" s="1242">
        <v>1</v>
      </c>
      <c r="G38" s="1242">
        <f>IF($A38&lt;&gt;0,F38/$C38*100,"")</f>
        <v>4</v>
      </c>
      <c r="I38" s="1242">
        <v>0</v>
      </c>
      <c r="J38" s="1242">
        <f>IF($A38&lt;&gt;0,I38/$C38*100,"")</f>
        <v>0</v>
      </c>
      <c r="L38" s="1242">
        <v>24</v>
      </c>
      <c r="M38" s="1242">
        <f>IF($A38&lt;&gt;0,L38/$C38*100,"")</f>
        <v>96</v>
      </c>
    </row>
    <row r="39" spans="1:13" ht="15" customHeight="1">
      <c r="A39" s="1238" t="s">
        <v>243</v>
      </c>
      <c r="C39" s="1242">
        <f t="shared" si="4"/>
        <v>28</v>
      </c>
      <c r="D39" s="1250">
        <f t="shared" si="4"/>
        <v>100</v>
      </c>
      <c r="F39" s="1242">
        <v>0</v>
      </c>
      <c r="G39" s="1242">
        <f>IF($A39&lt;&gt;0,F39/$C39*100,"")</f>
        <v>0</v>
      </c>
      <c r="I39" s="1242">
        <v>0</v>
      </c>
      <c r="J39" s="1242">
        <f>IF($A39&lt;&gt;0,I39/$C39*100,"")</f>
        <v>0</v>
      </c>
      <c r="L39" s="1242">
        <v>28</v>
      </c>
      <c r="M39" s="1242">
        <f>IF($A39&lt;&gt;0,L39/$C39*100,"")</f>
        <v>100</v>
      </c>
    </row>
    <row r="40" spans="1:13" ht="8.25" customHeight="1" thickBot="1">
      <c r="A40" s="1247"/>
      <c r="B40" s="1248"/>
      <c r="C40" s="1249"/>
      <c r="D40" s="1247"/>
      <c r="E40" s="1247"/>
      <c r="F40" s="1249"/>
      <c r="G40" s="1249"/>
      <c r="H40" s="1249"/>
      <c r="I40" s="1249"/>
      <c r="J40" s="1249"/>
      <c r="K40" s="1249"/>
      <c r="L40" s="1249"/>
      <c r="M40" s="1249"/>
    </row>
    <row r="41" spans="1:13" ht="6.95" customHeight="1"/>
    <row r="42" spans="1:13" ht="13.5" customHeight="1">
      <c r="A42" s="1239" t="s">
        <v>2256</v>
      </c>
    </row>
    <row r="43" spans="1:13" ht="15">
      <c r="A43" s="1239" t="s">
        <v>2257</v>
      </c>
    </row>
    <row r="44" spans="1:13" ht="15">
      <c r="A44" s="1239" t="s">
        <v>2258</v>
      </c>
    </row>
    <row r="45" spans="1:13" ht="15">
      <c r="A45" s="1239" t="s">
        <v>2259</v>
      </c>
    </row>
    <row r="46" spans="1:13" ht="4.5" customHeight="1">
      <c r="A46" s="1239" t="s">
        <v>248</v>
      </c>
    </row>
    <row r="47" spans="1:13">
      <c r="A47" s="1229" t="s">
        <v>249</v>
      </c>
    </row>
    <row r="48" spans="1:13">
      <c r="A48" s="1240" t="s">
        <v>250</v>
      </c>
    </row>
    <row r="50" spans="1:1">
      <c r="A50" s="1252"/>
    </row>
  </sheetData>
  <mergeCells count="2">
    <mergeCell ref="C7:M7"/>
    <mergeCell ref="C8:D8"/>
  </mergeCell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K35" sqref="K35"/>
    </sheetView>
  </sheetViews>
  <sheetFormatPr baseColWidth="10" defaultRowHeight="15"/>
  <sheetData>
    <row r="1" spans="2:11" ht="12.75" customHeight="1"/>
    <row r="2" spans="2:11" ht="12.75" customHeight="1">
      <c r="B2" s="42" t="s">
        <v>8</v>
      </c>
      <c r="C2" s="42" t="s">
        <v>1694</v>
      </c>
      <c r="D2" s="42" t="s">
        <v>6</v>
      </c>
      <c r="J2" s="32"/>
    </row>
    <row r="3" spans="2:11" ht="12.75" customHeight="1">
      <c r="B3" s="31">
        <v>99.18</v>
      </c>
      <c r="C3" s="31">
        <v>0.41</v>
      </c>
      <c r="D3" s="31">
        <v>0.41</v>
      </c>
      <c r="H3" s="33"/>
    </row>
    <row r="4" spans="2:11" ht="12.75" customHeight="1">
      <c r="H4" s="34"/>
      <c r="K4" s="35"/>
    </row>
  </sheetData>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sheetPr>
    <tabColor rgb="FFFFFF00"/>
  </sheetPr>
  <dimension ref="A1:B10"/>
  <sheetViews>
    <sheetView workbookViewId="0">
      <selection activeCell="A2" sqref="A2"/>
    </sheetView>
  </sheetViews>
  <sheetFormatPr baseColWidth="10" defaultRowHeight="15"/>
  <cols>
    <col min="1" max="1" width="13.28515625" style="279" customWidth="1"/>
    <col min="2" max="16384" width="11.42578125" style="279"/>
  </cols>
  <sheetData>
    <row r="1" spans="1:2" ht="15.75">
      <c r="A1" s="28" t="s">
        <v>251</v>
      </c>
    </row>
    <row r="2" spans="1:2" ht="15.75">
      <c r="A2" s="475" t="s">
        <v>1957</v>
      </c>
    </row>
    <row r="3" spans="1:2">
      <c r="A3" s="476"/>
    </row>
    <row r="4" spans="1:2" ht="15.75">
      <c r="A4" s="475" t="s">
        <v>722</v>
      </c>
    </row>
    <row r="5" spans="1:2" ht="15.75">
      <c r="A5" s="29" t="s">
        <v>1958</v>
      </c>
      <c r="B5" s="29" t="s">
        <v>1959</v>
      </c>
    </row>
    <row r="6" spans="1:2">
      <c r="A6" s="476"/>
    </row>
    <row r="7" spans="1:2" ht="15.75">
      <c r="A7" s="475" t="s">
        <v>1960</v>
      </c>
    </row>
    <row r="8" spans="1:2" ht="15.75">
      <c r="A8" s="29" t="s">
        <v>1961</v>
      </c>
      <c r="B8" s="29" t="s">
        <v>1962</v>
      </c>
    </row>
    <row r="9" spans="1:2" ht="15.75">
      <c r="A9" s="29" t="s">
        <v>1963</v>
      </c>
      <c r="B9" s="29" t="s">
        <v>1964</v>
      </c>
    </row>
    <row r="10" spans="1:2" ht="15.75">
      <c r="A10" s="29"/>
      <c r="B10" s="29"/>
    </row>
  </sheetData>
  <pageMargins left="0.70866141732283472" right="0.70866141732283472" top="0.74803149606299213" bottom="0.74803149606299213" header="0.31496062992125984" footer="0.31496062992125984"/>
  <pageSetup paperSize="9" orientation="landscape" r:id="rId1"/>
</worksheet>
</file>

<file path=xl/worksheets/sheet138.xml><?xml version="1.0" encoding="utf-8"?>
<worksheet xmlns="http://schemas.openxmlformats.org/spreadsheetml/2006/main" xmlns:r="http://schemas.openxmlformats.org/officeDocument/2006/relationships">
  <dimension ref="A1:N61"/>
  <sheetViews>
    <sheetView topLeftCell="A31" workbookViewId="0">
      <selection activeCell="A18" sqref="A18"/>
    </sheetView>
  </sheetViews>
  <sheetFormatPr baseColWidth="10" defaultColWidth="8.85546875" defaultRowHeight="12.75"/>
  <cols>
    <col min="1" max="1" width="30.85546875" style="455" customWidth="1"/>
    <col min="2" max="2" width="2.42578125" style="434" customWidth="1"/>
    <col min="3" max="3" width="9.7109375" style="784" customWidth="1"/>
    <col min="4" max="4" width="8.7109375" style="455" customWidth="1"/>
    <col min="5" max="5" width="2.5703125" style="455" customWidth="1"/>
    <col min="6" max="6" width="9.7109375" style="784" customWidth="1"/>
    <col min="7" max="7" width="8.7109375" style="784" customWidth="1"/>
    <col min="8" max="8" width="2.7109375" style="784" customWidth="1"/>
    <col min="9" max="9" width="9.7109375" style="784" customWidth="1"/>
    <col min="10" max="10" width="8.7109375" style="784" customWidth="1"/>
    <col min="11" max="11" width="2.85546875" style="784" customWidth="1"/>
    <col min="12" max="12" width="9.42578125" style="784" customWidth="1"/>
    <col min="13" max="13" width="9.7109375" style="784" customWidth="1"/>
    <col min="14" max="14" width="3.7109375" style="785" customWidth="1"/>
    <col min="15" max="256" width="8.85546875" style="434"/>
    <col min="257" max="257" width="30.85546875" style="434" customWidth="1"/>
    <col min="258" max="258" width="2.42578125" style="434" customWidth="1"/>
    <col min="259" max="259" width="9.7109375" style="434" customWidth="1"/>
    <col min="260" max="260" width="8.7109375" style="434" customWidth="1"/>
    <col min="261" max="261" width="2.5703125" style="434" customWidth="1"/>
    <col min="262" max="262" width="9.7109375" style="434" customWidth="1"/>
    <col min="263" max="263" width="8.7109375" style="434" customWidth="1"/>
    <col min="264" max="264" width="2.7109375" style="434" customWidth="1"/>
    <col min="265" max="265" width="9.7109375" style="434" customWidth="1"/>
    <col min="266" max="266" width="8.7109375" style="434" customWidth="1"/>
    <col min="267" max="267" width="2.85546875" style="434" customWidth="1"/>
    <col min="268" max="268" width="9.42578125" style="434" customWidth="1"/>
    <col min="269" max="269" width="9.7109375" style="434" customWidth="1"/>
    <col min="270" max="270" width="3.7109375" style="434" customWidth="1"/>
    <col min="271" max="512" width="8.85546875" style="434"/>
    <col min="513" max="513" width="30.85546875" style="434" customWidth="1"/>
    <col min="514" max="514" width="2.42578125" style="434" customWidth="1"/>
    <col min="515" max="515" width="9.7109375" style="434" customWidth="1"/>
    <col min="516" max="516" width="8.7109375" style="434" customWidth="1"/>
    <col min="517" max="517" width="2.5703125" style="434" customWidth="1"/>
    <col min="518" max="518" width="9.7109375" style="434" customWidth="1"/>
    <col min="519" max="519" width="8.7109375" style="434" customWidth="1"/>
    <col min="520" max="520" width="2.7109375" style="434" customWidth="1"/>
    <col min="521" max="521" width="9.7109375" style="434" customWidth="1"/>
    <col min="522" max="522" width="8.7109375" style="434" customWidth="1"/>
    <col min="523" max="523" width="2.85546875" style="434" customWidth="1"/>
    <col min="524" max="524" width="9.42578125" style="434" customWidth="1"/>
    <col min="525" max="525" width="9.7109375" style="434" customWidth="1"/>
    <col min="526" max="526" width="3.7109375" style="434" customWidth="1"/>
    <col min="527" max="768" width="8.85546875" style="434"/>
    <col min="769" max="769" width="30.85546875" style="434" customWidth="1"/>
    <col min="770" max="770" width="2.42578125" style="434" customWidth="1"/>
    <col min="771" max="771" width="9.7109375" style="434" customWidth="1"/>
    <col min="772" max="772" width="8.7109375" style="434" customWidth="1"/>
    <col min="773" max="773" width="2.5703125" style="434" customWidth="1"/>
    <col min="774" max="774" width="9.7109375" style="434" customWidth="1"/>
    <col min="775" max="775" width="8.7109375" style="434" customWidth="1"/>
    <col min="776" max="776" width="2.7109375" style="434" customWidth="1"/>
    <col min="777" max="777" width="9.7109375" style="434" customWidth="1"/>
    <col min="778" max="778" width="8.7109375" style="434" customWidth="1"/>
    <col min="779" max="779" width="2.85546875" style="434" customWidth="1"/>
    <col min="780" max="780" width="9.42578125" style="434" customWidth="1"/>
    <col min="781" max="781" width="9.7109375" style="434" customWidth="1"/>
    <col min="782" max="782" width="3.7109375" style="434" customWidth="1"/>
    <col min="783" max="1024" width="8.85546875" style="434"/>
    <col min="1025" max="1025" width="30.85546875" style="434" customWidth="1"/>
    <col min="1026" max="1026" width="2.42578125" style="434" customWidth="1"/>
    <col min="1027" max="1027" width="9.7109375" style="434" customWidth="1"/>
    <col min="1028" max="1028" width="8.7109375" style="434" customWidth="1"/>
    <col min="1029" max="1029" width="2.5703125" style="434" customWidth="1"/>
    <col min="1030" max="1030" width="9.7109375" style="434" customWidth="1"/>
    <col min="1031" max="1031" width="8.7109375" style="434" customWidth="1"/>
    <col min="1032" max="1032" width="2.7109375" style="434" customWidth="1"/>
    <col min="1033" max="1033" width="9.7109375" style="434" customWidth="1"/>
    <col min="1034" max="1034" width="8.7109375" style="434" customWidth="1"/>
    <col min="1035" max="1035" width="2.85546875" style="434" customWidth="1"/>
    <col min="1036" max="1036" width="9.42578125" style="434" customWidth="1"/>
    <col min="1037" max="1037" width="9.7109375" style="434" customWidth="1"/>
    <col min="1038" max="1038" width="3.7109375" style="434" customWidth="1"/>
    <col min="1039" max="1280" width="8.85546875" style="434"/>
    <col min="1281" max="1281" width="30.85546875" style="434" customWidth="1"/>
    <col min="1282" max="1282" width="2.42578125" style="434" customWidth="1"/>
    <col min="1283" max="1283" width="9.7109375" style="434" customWidth="1"/>
    <col min="1284" max="1284" width="8.7109375" style="434" customWidth="1"/>
    <col min="1285" max="1285" width="2.5703125" style="434" customWidth="1"/>
    <col min="1286" max="1286" width="9.7109375" style="434" customWidth="1"/>
    <col min="1287" max="1287" width="8.7109375" style="434" customWidth="1"/>
    <col min="1288" max="1288" width="2.7109375" style="434" customWidth="1"/>
    <col min="1289" max="1289" width="9.7109375" style="434" customWidth="1"/>
    <col min="1290" max="1290" width="8.7109375" style="434" customWidth="1"/>
    <col min="1291" max="1291" width="2.85546875" style="434" customWidth="1"/>
    <col min="1292" max="1292" width="9.42578125" style="434" customWidth="1"/>
    <col min="1293" max="1293" width="9.7109375" style="434" customWidth="1"/>
    <col min="1294" max="1294" width="3.7109375" style="434" customWidth="1"/>
    <col min="1295" max="1536" width="8.85546875" style="434"/>
    <col min="1537" max="1537" width="30.85546875" style="434" customWidth="1"/>
    <col min="1538" max="1538" width="2.42578125" style="434" customWidth="1"/>
    <col min="1539" max="1539" width="9.7109375" style="434" customWidth="1"/>
    <col min="1540" max="1540" width="8.7109375" style="434" customWidth="1"/>
    <col min="1541" max="1541" width="2.5703125" style="434" customWidth="1"/>
    <col min="1542" max="1542" width="9.7109375" style="434" customWidth="1"/>
    <col min="1543" max="1543" width="8.7109375" style="434" customWidth="1"/>
    <col min="1544" max="1544" width="2.7109375" style="434" customWidth="1"/>
    <col min="1545" max="1545" width="9.7109375" style="434" customWidth="1"/>
    <col min="1546" max="1546" width="8.7109375" style="434" customWidth="1"/>
    <col min="1547" max="1547" width="2.85546875" style="434" customWidth="1"/>
    <col min="1548" max="1548" width="9.42578125" style="434" customWidth="1"/>
    <col min="1549" max="1549" width="9.7109375" style="434" customWidth="1"/>
    <col min="1550" max="1550" width="3.7109375" style="434" customWidth="1"/>
    <col min="1551" max="1792" width="8.85546875" style="434"/>
    <col min="1793" max="1793" width="30.85546875" style="434" customWidth="1"/>
    <col min="1794" max="1794" width="2.42578125" style="434" customWidth="1"/>
    <col min="1795" max="1795" width="9.7109375" style="434" customWidth="1"/>
    <col min="1796" max="1796" width="8.7109375" style="434" customWidth="1"/>
    <col min="1797" max="1797" width="2.5703125" style="434" customWidth="1"/>
    <col min="1798" max="1798" width="9.7109375" style="434" customWidth="1"/>
    <col min="1799" max="1799" width="8.7109375" style="434" customWidth="1"/>
    <col min="1800" max="1800" width="2.7109375" style="434" customWidth="1"/>
    <col min="1801" max="1801" width="9.7109375" style="434" customWidth="1"/>
    <col min="1802" max="1802" width="8.7109375" style="434" customWidth="1"/>
    <col min="1803" max="1803" width="2.85546875" style="434" customWidth="1"/>
    <col min="1804" max="1804" width="9.42578125" style="434" customWidth="1"/>
    <col min="1805" max="1805" width="9.7109375" style="434" customWidth="1"/>
    <col min="1806" max="1806" width="3.7109375" style="434" customWidth="1"/>
    <col min="1807" max="2048" width="8.85546875" style="434"/>
    <col min="2049" max="2049" width="30.85546875" style="434" customWidth="1"/>
    <col min="2050" max="2050" width="2.42578125" style="434" customWidth="1"/>
    <col min="2051" max="2051" width="9.7109375" style="434" customWidth="1"/>
    <col min="2052" max="2052" width="8.7109375" style="434" customWidth="1"/>
    <col min="2053" max="2053" width="2.5703125" style="434" customWidth="1"/>
    <col min="2054" max="2054" width="9.7109375" style="434" customWidth="1"/>
    <col min="2055" max="2055" width="8.7109375" style="434" customWidth="1"/>
    <col min="2056" max="2056" width="2.7109375" style="434" customWidth="1"/>
    <col min="2057" max="2057" width="9.7109375" style="434" customWidth="1"/>
    <col min="2058" max="2058" width="8.7109375" style="434" customWidth="1"/>
    <col min="2059" max="2059" width="2.85546875" style="434" customWidth="1"/>
    <col min="2060" max="2060" width="9.42578125" style="434" customWidth="1"/>
    <col min="2061" max="2061" width="9.7109375" style="434" customWidth="1"/>
    <col min="2062" max="2062" width="3.7109375" style="434" customWidth="1"/>
    <col min="2063" max="2304" width="8.85546875" style="434"/>
    <col min="2305" max="2305" width="30.85546875" style="434" customWidth="1"/>
    <col min="2306" max="2306" width="2.42578125" style="434" customWidth="1"/>
    <col min="2307" max="2307" width="9.7109375" style="434" customWidth="1"/>
    <col min="2308" max="2308" width="8.7109375" style="434" customWidth="1"/>
    <col min="2309" max="2309" width="2.5703125" style="434" customWidth="1"/>
    <col min="2310" max="2310" width="9.7109375" style="434" customWidth="1"/>
    <col min="2311" max="2311" width="8.7109375" style="434" customWidth="1"/>
    <col min="2312" max="2312" width="2.7109375" style="434" customWidth="1"/>
    <col min="2313" max="2313" width="9.7109375" style="434" customWidth="1"/>
    <col min="2314" max="2314" width="8.7109375" style="434" customWidth="1"/>
    <col min="2315" max="2315" width="2.85546875" style="434" customWidth="1"/>
    <col min="2316" max="2316" width="9.42578125" style="434" customWidth="1"/>
    <col min="2317" max="2317" width="9.7109375" style="434" customWidth="1"/>
    <col min="2318" max="2318" width="3.7109375" style="434" customWidth="1"/>
    <col min="2319" max="2560" width="8.85546875" style="434"/>
    <col min="2561" max="2561" width="30.85546875" style="434" customWidth="1"/>
    <col min="2562" max="2562" width="2.42578125" style="434" customWidth="1"/>
    <col min="2563" max="2563" width="9.7109375" style="434" customWidth="1"/>
    <col min="2564" max="2564" width="8.7109375" style="434" customWidth="1"/>
    <col min="2565" max="2565" width="2.5703125" style="434" customWidth="1"/>
    <col min="2566" max="2566" width="9.7109375" style="434" customWidth="1"/>
    <col min="2567" max="2567" width="8.7109375" style="434" customWidth="1"/>
    <col min="2568" max="2568" width="2.7109375" style="434" customWidth="1"/>
    <col min="2569" max="2569" width="9.7109375" style="434" customWidth="1"/>
    <col min="2570" max="2570" width="8.7109375" style="434" customWidth="1"/>
    <col min="2571" max="2571" width="2.85546875" style="434" customWidth="1"/>
    <col min="2572" max="2572" width="9.42578125" style="434" customWidth="1"/>
    <col min="2573" max="2573" width="9.7109375" style="434" customWidth="1"/>
    <col min="2574" max="2574" width="3.7109375" style="434" customWidth="1"/>
    <col min="2575" max="2816" width="8.85546875" style="434"/>
    <col min="2817" max="2817" width="30.85546875" style="434" customWidth="1"/>
    <col min="2818" max="2818" width="2.42578125" style="434" customWidth="1"/>
    <col min="2819" max="2819" width="9.7109375" style="434" customWidth="1"/>
    <col min="2820" max="2820" width="8.7109375" style="434" customWidth="1"/>
    <col min="2821" max="2821" width="2.5703125" style="434" customWidth="1"/>
    <col min="2822" max="2822" width="9.7109375" style="434" customWidth="1"/>
    <col min="2823" max="2823" width="8.7109375" style="434" customWidth="1"/>
    <col min="2824" max="2824" width="2.7109375" style="434" customWidth="1"/>
    <col min="2825" max="2825" width="9.7109375" style="434" customWidth="1"/>
    <col min="2826" max="2826" width="8.7109375" style="434" customWidth="1"/>
    <col min="2827" max="2827" width="2.85546875" style="434" customWidth="1"/>
    <col min="2828" max="2828" width="9.42578125" style="434" customWidth="1"/>
    <col min="2829" max="2829" width="9.7109375" style="434" customWidth="1"/>
    <col min="2830" max="2830" width="3.7109375" style="434" customWidth="1"/>
    <col min="2831" max="3072" width="8.85546875" style="434"/>
    <col min="3073" max="3073" width="30.85546875" style="434" customWidth="1"/>
    <col min="3074" max="3074" width="2.42578125" style="434" customWidth="1"/>
    <col min="3075" max="3075" width="9.7109375" style="434" customWidth="1"/>
    <col min="3076" max="3076" width="8.7109375" style="434" customWidth="1"/>
    <col min="3077" max="3077" width="2.5703125" style="434" customWidth="1"/>
    <col min="3078" max="3078" width="9.7109375" style="434" customWidth="1"/>
    <col min="3079" max="3079" width="8.7109375" style="434" customWidth="1"/>
    <col min="3080" max="3080" width="2.7109375" style="434" customWidth="1"/>
    <col min="3081" max="3081" width="9.7109375" style="434" customWidth="1"/>
    <col min="3082" max="3082" width="8.7109375" style="434" customWidth="1"/>
    <col min="3083" max="3083" width="2.85546875" style="434" customWidth="1"/>
    <col min="3084" max="3084" width="9.42578125" style="434" customWidth="1"/>
    <col min="3085" max="3085" width="9.7109375" style="434" customWidth="1"/>
    <col min="3086" max="3086" width="3.7109375" style="434" customWidth="1"/>
    <col min="3087" max="3328" width="8.85546875" style="434"/>
    <col min="3329" max="3329" width="30.85546875" style="434" customWidth="1"/>
    <col min="3330" max="3330" width="2.42578125" style="434" customWidth="1"/>
    <col min="3331" max="3331" width="9.7109375" style="434" customWidth="1"/>
    <col min="3332" max="3332" width="8.7109375" style="434" customWidth="1"/>
    <col min="3333" max="3333" width="2.5703125" style="434" customWidth="1"/>
    <col min="3334" max="3334" width="9.7109375" style="434" customWidth="1"/>
    <col min="3335" max="3335" width="8.7109375" style="434" customWidth="1"/>
    <col min="3336" max="3336" width="2.7109375" style="434" customWidth="1"/>
    <col min="3337" max="3337" width="9.7109375" style="434" customWidth="1"/>
    <col min="3338" max="3338" width="8.7109375" style="434" customWidth="1"/>
    <col min="3339" max="3339" width="2.85546875" style="434" customWidth="1"/>
    <col min="3340" max="3340" width="9.42578125" style="434" customWidth="1"/>
    <col min="3341" max="3341" width="9.7109375" style="434" customWidth="1"/>
    <col min="3342" max="3342" width="3.7109375" style="434" customWidth="1"/>
    <col min="3343" max="3584" width="8.85546875" style="434"/>
    <col min="3585" max="3585" width="30.85546875" style="434" customWidth="1"/>
    <col min="3586" max="3586" width="2.42578125" style="434" customWidth="1"/>
    <col min="3587" max="3587" width="9.7109375" style="434" customWidth="1"/>
    <col min="3588" max="3588" width="8.7109375" style="434" customWidth="1"/>
    <col min="3589" max="3589" width="2.5703125" style="434" customWidth="1"/>
    <col min="3590" max="3590" width="9.7109375" style="434" customWidth="1"/>
    <col min="3591" max="3591" width="8.7109375" style="434" customWidth="1"/>
    <col min="3592" max="3592" width="2.7109375" style="434" customWidth="1"/>
    <col min="3593" max="3593" width="9.7109375" style="434" customWidth="1"/>
    <col min="3594" max="3594" width="8.7109375" style="434" customWidth="1"/>
    <col min="3595" max="3595" width="2.85546875" style="434" customWidth="1"/>
    <col min="3596" max="3596" width="9.42578125" style="434" customWidth="1"/>
    <col min="3597" max="3597" width="9.7109375" style="434" customWidth="1"/>
    <col min="3598" max="3598" width="3.7109375" style="434" customWidth="1"/>
    <col min="3599" max="3840" width="8.85546875" style="434"/>
    <col min="3841" max="3841" width="30.85546875" style="434" customWidth="1"/>
    <col min="3842" max="3842" width="2.42578125" style="434" customWidth="1"/>
    <col min="3843" max="3843" width="9.7109375" style="434" customWidth="1"/>
    <col min="3844" max="3844" width="8.7109375" style="434" customWidth="1"/>
    <col min="3845" max="3845" width="2.5703125" style="434" customWidth="1"/>
    <col min="3846" max="3846" width="9.7109375" style="434" customWidth="1"/>
    <col min="3847" max="3847" width="8.7109375" style="434" customWidth="1"/>
    <col min="3848" max="3848" width="2.7109375" style="434" customWidth="1"/>
    <col min="3849" max="3849" width="9.7109375" style="434" customWidth="1"/>
    <col min="3850" max="3850" width="8.7109375" style="434" customWidth="1"/>
    <col min="3851" max="3851" width="2.85546875" style="434" customWidth="1"/>
    <col min="3852" max="3852" width="9.42578125" style="434" customWidth="1"/>
    <col min="3853" max="3853" width="9.7109375" style="434" customWidth="1"/>
    <col min="3854" max="3854" width="3.7109375" style="434" customWidth="1"/>
    <col min="3855" max="4096" width="8.85546875" style="434"/>
    <col min="4097" max="4097" width="30.85546875" style="434" customWidth="1"/>
    <col min="4098" max="4098" width="2.42578125" style="434" customWidth="1"/>
    <col min="4099" max="4099" width="9.7109375" style="434" customWidth="1"/>
    <col min="4100" max="4100" width="8.7109375" style="434" customWidth="1"/>
    <col min="4101" max="4101" width="2.5703125" style="434" customWidth="1"/>
    <col min="4102" max="4102" width="9.7109375" style="434" customWidth="1"/>
    <col min="4103" max="4103" width="8.7109375" style="434" customWidth="1"/>
    <col min="4104" max="4104" width="2.7109375" style="434" customWidth="1"/>
    <col min="4105" max="4105" width="9.7109375" style="434" customWidth="1"/>
    <col min="4106" max="4106" width="8.7109375" style="434" customWidth="1"/>
    <col min="4107" max="4107" width="2.85546875" style="434" customWidth="1"/>
    <col min="4108" max="4108" width="9.42578125" style="434" customWidth="1"/>
    <col min="4109" max="4109" width="9.7109375" style="434" customWidth="1"/>
    <col min="4110" max="4110" width="3.7109375" style="434" customWidth="1"/>
    <col min="4111" max="4352" width="8.85546875" style="434"/>
    <col min="4353" max="4353" width="30.85546875" style="434" customWidth="1"/>
    <col min="4354" max="4354" width="2.42578125" style="434" customWidth="1"/>
    <col min="4355" max="4355" width="9.7109375" style="434" customWidth="1"/>
    <col min="4356" max="4356" width="8.7109375" style="434" customWidth="1"/>
    <col min="4357" max="4357" width="2.5703125" style="434" customWidth="1"/>
    <col min="4358" max="4358" width="9.7109375" style="434" customWidth="1"/>
    <col min="4359" max="4359" width="8.7109375" style="434" customWidth="1"/>
    <col min="4360" max="4360" width="2.7109375" style="434" customWidth="1"/>
    <col min="4361" max="4361" width="9.7109375" style="434" customWidth="1"/>
    <col min="4362" max="4362" width="8.7109375" style="434" customWidth="1"/>
    <col min="4363" max="4363" width="2.85546875" style="434" customWidth="1"/>
    <col min="4364" max="4364" width="9.42578125" style="434" customWidth="1"/>
    <col min="4365" max="4365" width="9.7109375" style="434" customWidth="1"/>
    <col min="4366" max="4366" width="3.7109375" style="434" customWidth="1"/>
    <col min="4367" max="4608" width="8.85546875" style="434"/>
    <col min="4609" max="4609" width="30.85546875" style="434" customWidth="1"/>
    <col min="4610" max="4610" width="2.42578125" style="434" customWidth="1"/>
    <col min="4611" max="4611" width="9.7109375" style="434" customWidth="1"/>
    <col min="4612" max="4612" width="8.7109375" style="434" customWidth="1"/>
    <col min="4613" max="4613" width="2.5703125" style="434" customWidth="1"/>
    <col min="4614" max="4614" width="9.7109375" style="434" customWidth="1"/>
    <col min="4615" max="4615" width="8.7109375" style="434" customWidth="1"/>
    <col min="4616" max="4616" width="2.7109375" style="434" customWidth="1"/>
    <col min="4617" max="4617" width="9.7109375" style="434" customWidth="1"/>
    <col min="4618" max="4618" width="8.7109375" style="434" customWidth="1"/>
    <col min="4619" max="4619" width="2.85546875" style="434" customWidth="1"/>
    <col min="4620" max="4620" width="9.42578125" style="434" customWidth="1"/>
    <col min="4621" max="4621" width="9.7109375" style="434" customWidth="1"/>
    <col min="4622" max="4622" width="3.7109375" style="434" customWidth="1"/>
    <col min="4623" max="4864" width="8.85546875" style="434"/>
    <col min="4865" max="4865" width="30.85546875" style="434" customWidth="1"/>
    <col min="4866" max="4866" width="2.42578125" style="434" customWidth="1"/>
    <col min="4867" max="4867" width="9.7109375" style="434" customWidth="1"/>
    <col min="4868" max="4868" width="8.7109375" style="434" customWidth="1"/>
    <col min="4869" max="4869" width="2.5703125" style="434" customWidth="1"/>
    <col min="4870" max="4870" width="9.7109375" style="434" customWidth="1"/>
    <col min="4871" max="4871" width="8.7109375" style="434" customWidth="1"/>
    <col min="4872" max="4872" width="2.7109375" style="434" customWidth="1"/>
    <col min="4873" max="4873" width="9.7109375" style="434" customWidth="1"/>
    <col min="4874" max="4874" width="8.7109375" style="434" customWidth="1"/>
    <col min="4875" max="4875" width="2.85546875" style="434" customWidth="1"/>
    <col min="4876" max="4876" width="9.42578125" style="434" customWidth="1"/>
    <col min="4877" max="4877" width="9.7109375" style="434" customWidth="1"/>
    <col min="4878" max="4878" width="3.7109375" style="434" customWidth="1"/>
    <col min="4879" max="5120" width="8.85546875" style="434"/>
    <col min="5121" max="5121" width="30.85546875" style="434" customWidth="1"/>
    <col min="5122" max="5122" width="2.42578125" style="434" customWidth="1"/>
    <col min="5123" max="5123" width="9.7109375" style="434" customWidth="1"/>
    <col min="5124" max="5124" width="8.7109375" style="434" customWidth="1"/>
    <col min="5125" max="5125" width="2.5703125" style="434" customWidth="1"/>
    <col min="5126" max="5126" width="9.7109375" style="434" customWidth="1"/>
    <col min="5127" max="5127" width="8.7109375" style="434" customWidth="1"/>
    <col min="5128" max="5128" width="2.7109375" style="434" customWidth="1"/>
    <col min="5129" max="5129" width="9.7109375" style="434" customWidth="1"/>
    <col min="5130" max="5130" width="8.7109375" style="434" customWidth="1"/>
    <col min="5131" max="5131" width="2.85546875" style="434" customWidth="1"/>
    <col min="5132" max="5132" width="9.42578125" style="434" customWidth="1"/>
    <col min="5133" max="5133" width="9.7109375" style="434" customWidth="1"/>
    <col min="5134" max="5134" width="3.7109375" style="434" customWidth="1"/>
    <col min="5135" max="5376" width="8.85546875" style="434"/>
    <col min="5377" max="5377" width="30.85546875" style="434" customWidth="1"/>
    <col min="5378" max="5378" width="2.42578125" style="434" customWidth="1"/>
    <col min="5379" max="5379" width="9.7109375" style="434" customWidth="1"/>
    <col min="5380" max="5380" width="8.7109375" style="434" customWidth="1"/>
    <col min="5381" max="5381" width="2.5703125" style="434" customWidth="1"/>
    <col min="5382" max="5382" width="9.7109375" style="434" customWidth="1"/>
    <col min="5383" max="5383" width="8.7109375" style="434" customWidth="1"/>
    <col min="5384" max="5384" width="2.7109375" style="434" customWidth="1"/>
    <col min="5385" max="5385" width="9.7109375" style="434" customWidth="1"/>
    <col min="5386" max="5386" width="8.7109375" style="434" customWidth="1"/>
    <col min="5387" max="5387" width="2.85546875" style="434" customWidth="1"/>
    <col min="5388" max="5388" width="9.42578125" style="434" customWidth="1"/>
    <col min="5389" max="5389" width="9.7109375" style="434" customWidth="1"/>
    <col min="5390" max="5390" width="3.7109375" style="434" customWidth="1"/>
    <col min="5391" max="5632" width="8.85546875" style="434"/>
    <col min="5633" max="5633" width="30.85546875" style="434" customWidth="1"/>
    <col min="5634" max="5634" width="2.42578125" style="434" customWidth="1"/>
    <col min="5635" max="5635" width="9.7109375" style="434" customWidth="1"/>
    <col min="5636" max="5636" width="8.7109375" style="434" customWidth="1"/>
    <col min="5637" max="5637" width="2.5703125" style="434" customWidth="1"/>
    <col min="5638" max="5638" width="9.7109375" style="434" customWidth="1"/>
    <col min="5639" max="5639" width="8.7109375" style="434" customWidth="1"/>
    <col min="5640" max="5640" width="2.7109375" style="434" customWidth="1"/>
    <col min="5641" max="5641" width="9.7109375" style="434" customWidth="1"/>
    <col min="5642" max="5642" width="8.7109375" style="434" customWidth="1"/>
    <col min="5643" max="5643" width="2.85546875" style="434" customWidth="1"/>
    <col min="5644" max="5644" width="9.42578125" style="434" customWidth="1"/>
    <col min="5645" max="5645" width="9.7109375" style="434" customWidth="1"/>
    <col min="5646" max="5646" width="3.7109375" style="434" customWidth="1"/>
    <col min="5647" max="5888" width="8.85546875" style="434"/>
    <col min="5889" max="5889" width="30.85546875" style="434" customWidth="1"/>
    <col min="5890" max="5890" width="2.42578125" style="434" customWidth="1"/>
    <col min="5891" max="5891" width="9.7109375" style="434" customWidth="1"/>
    <col min="5892" max="5892" width="8.7109375" style="434" customWidth="1"/>
    <col min="5893" max="5893" width="2.5703125" style="434" customWidth="1"/>
    <col min="5894" max="5894" width="9.7109375" style="434" customWidth="1"/>
    <col min="5895" max="5895" width="8.7109375" style="434" customWidth="1"/>
    <col min="5896" max="5896" width="2.7109375" style="434" customWidth="1"/>
    <col min="5897" max="5897" width="9.7109375" style="434" customWidth="1"/>
    <col min="5898" max="5898" width="8.7109375" style="434" customWidth="1"/>
    <col min="5899" max="5899" width="2.85546875" style="434" customWidth="1"/>
    <col min="5900" max="5900" width="9.42578125" style="434" customWidth="1"/>
    <col min="5901" max="5901" width="9.7109375" style="434" customWidth="1"/>
    <col min="5902" max="5902" width="3.7109375" style="434" customWidth="1"/>
    <col min="5903" max="6144" width="8.85546875" style="434"/>
    <col min="6145" max="6145" width="30.85546875" style="434" customWidth="1"/>
    <col min="6146" max="6146" width="2.42578125" style="434" customWidth="1"/>
    <col min="6147" max="6147" width="9.7109375" style="434" customWidth="1"/>
    <col min="6148" max="6148" width="8.7109375" style="434" customWidth="1"/>
    <col min="6149" max="6149" width="2.5703125" style="434" customWidth="1"/>
    <col min="6150" max="6150" width="9.7109375" style="434" customWidth="1"/>
    <col min="6151" max="6151" width="8.7109375" style="434" customWidth="1"/>
    <col min="6152" max="6152" width="2.7109375" style="434" customWidth="1"/>
    <col min="6153" max="6153" width="9.7109375" style="434" customWidth="1"/>
    <col min="6154" max="6154" width="8.7109375" style="434" customWidth="1"/>
    <col min="6155" max="6155" width="2.85546875" style="434" customWidth="1"/>
    <col min="6156" max="6156" width="9.42578125" style="434" customWidth="1"/>
    <col min="6157" max="6157" width="9.7109375" style="434" customWidth="1"/>
    <col min="6158" max="6158" width="3.7109375" style="434" customWidth="1"/>
    <col min="6159" max="6400" width="8.85546875" style="434"/>
    <col min="6401" max="6401" width="30.85546875" style="434" customWidth="1"/>
    <col min="6402" max="6402" width="2.42578125" style="434" customWidth="1"/>
    <col min="6403" max="6403" width="9.7109375" style="434" customWidth="1"/>
    <col min="6404" max="6404" width="8.7109375" style="434" customWidth="1"/>
    <col min="6405" max="6405" width="2.5703125" style="434" customWidth="1"/>
    <col min="6406" max="6406" width="9.7109375" style="434" customWidth="1"/>
    <col min="6407" max="6407" width="8.7109375" style="434" customWidth="1"/>
    <col min="6408" max="6408" width="2.7109375" style="434" customWidth="1"/>
    <col min="6409" max="6409" width="9.7109375" style="434" customWidth="1"/>
    <col min="6410" max="6410" width="8.7109375" style="434" customWidth="1"/>
    <col min="6411" max="6411" width="2.85546875" style="434" customWidth="1"/>
    <col min="6412" max="6412" width="9.42578125" style="434" customWidth="1"/>
    <col min="6413" max="6413" width="9.7109375" style="434" customWidth="1"/>
    <col min="6414" max="6414" width="3.7109375" style="434" customWidth="1"/>
    <col min="6415" max="6656" width="8.85546875" style="434"/>
    <col min="6657" max="6657" width="30.85546875" style="434" customWidth="1"/>
    <col min="6658" max="6658" width="2.42578125" style="434" customWidth="1"/>
    <col min="6659" max="6659" width="9.7109375" style="434" customWidth="1"/>
    <col min="6660" max="6660" width="8.7109375" style="434" customWidth="1"/>
    <col min="6661" max="6661" width="2.5703125" style="434" customWidth="1"/>
    <col min="6662" max="6662" width="9.7109375" style="434" customWidth="1"/>
    <col min="6663" max="6663" width="8.7109375" style="434" customWidth="1"/>
    <col min="6664" max="6664" width="2.7109375" style="434" customWidth="1"/>
    <col min="6665" max="6665" width="9.7109375" style="434" customWidth="1"/>
    <col min="6666" max="6666" width="8.7109375" style="434" customWidth="1"/>
    <col min="6667" max="6667" width="2.85546875" style="434" customWidth="1"/>
    <col min="6668" max="6668" width="9.42578125" style="434" customWidth="1"/>
    <col min="6669" max="6669" width="9.7109375" style="434" customWidth="1"/>
    <col min="6670" max="6670" width="3.7109375" style="434" customWidth="1"/>
    <col min="6671" max="6912" width="8.85546875" style="434"/>
    <col min="6913" max="6913" width="30.85546875" style="434" customWidth="1"/>
    <col min="6914" max="6914" width="2.42578125" style="434" customWidth="1"/>
    <col min="6915" max="6915" width="9.7109375" style="434" customWidth="1"/>
    <col min="6916" max="6916" width="8.7109375" style="434" customWidth="1"/>
    <col min="6917" max="6917" width="2.5703125" style="434" customWidth="1"/>
    <col min="6918" max="6918" width="9.7109375" style="434" customWidth="1"/>
    <col min="6919" max="6919" width="8.7109375" style="434" customWidth="1"/>
    <col min="6920" max="6920" width="2.7109375" style="434" customWidth="1"/>
    <col min="6921" max="6921" width="9.7109375" style="434" customWidth="1"/>
    <col min="6922" max="6922" width="8.7109375" style="434" customWidth="1"/>
    <col min="6923" max="6923" width="2.85546875" style="434" customWidth="1"/>
    <col min="6924" max="6924" width="9.42578125" style="434" customWidth="1"/>
    <col min="6925" max="6925" width="9.7109375" style="434" customWidth="1"/>
    <col min="6926" max="6926" width="3.7109375" style="434" customWidth="1"/>
    <col min="6927" max="7168" width="8.85546875" style="434"/>
    <col min="7169" max="7169" width="30.85546875" style="434" customWidth="1"/>
    <col min="7170" max="7170" width="2.42578125" style="434" customWidth="1"/>
    <col min="7171" max="7171" width="9.7109375" style="434" customWidth="1"/>
    <col min="7172" max="7172" width="8.7109375" style="434" customWidth="1"/>
    <col min="7173" max="7173" width="2.5703125" style="434" customWidth="1"/>
    <col min="7174" max="7174" width="9.7109375" style="434" customWidth="1"/>
    <col min="7175" max="7175" width="8.7109375" style="434" customWidth="1"/>
    <col min="7176" max="7176" width="2.7109375" style="434" customWidth="1"/>
    <col min="7177" max="7177" width="9.7109375" style="434" customWidth="1"/>
    <col min="7178" max="7178" width="8.7109375" style="434" customWidth="1"/>
    <col min="7179" max="7179" width="2.85546875" style="434" customWidth="1"/>
    <col min="7180" max="7180" width="9.42578125" style="434" customWidth="1"/>
    <col min="7181" max="7181" width="9.7109375" style="434" customWidth="1"/>
    <col min="7182" max="7182" width="3.7109375" style="434" customWidth="1"/>
    <col min="7183" max="7424" width="8.85546875" style="434"/>
    <col min="7425" max="7425" width="30.85546875" style="434" customWidth="1"/>
    <col min="7426" max="7426" width="2.42578125" style="434" customWidth="1"/>
    <col min="7427" max="7427" width="9.7109375" style="434" customWidth="1"/>
    <col min="7428" max="7428" width="8.7109375" style="434" customWidth="1"/>
    <col min="7429" max="7429" width="2.5703125" style="434" customWidth="1"/>
    <col min="7430" max="7430" width="9.7109375" style="434" customWidth="1"/>
    <col min="7431" max="7431" width="8.7109375" style="434" customWidth="1"/>
    <col min="7432" max="7432" width="2.7109375" style="434" customWidth="1"/>
    <col min="7433" max="7433" width="9.7109375" style="434" customWidth="1"/>
    <col min="7434" max="7434" width="8.7109375" style="434" customWidth="1"/>
    <col min="7435" max="7435" width="2.85546875" style="434" customWidth="1"/>
    <col min="7436" max="7436" width="9.42578125" style="434" customWidth="1"/>
    <col min="7437" max="7437" width="9.7109375" style="434" customWidth="1"/>
    <col min="7438" max="7438" width="3.7109375" style="434" customWidth="1"/>
    <col min="7439" max="7680" width="8.85546875" style="434"/>
    <col min="7681" max="7681" width="30.85546875" style="434" customWidth="1"/>
    <col min="7682" max="7682" width="2.42578125" style="434" customWidth="1"/>
    <col min="7683" max="7683" width="9.7109375" style="434" customWidth="1"/>
    <col min="7684" max="7684" width="8.7109375" style="434" customWidth="1"/>
    <col min="7685" max="7685" width="2.5703125" style="434" customWidth="1"/>
    <col min="7686" max="7686" width="9.7109375" style="434" customWidth="1"/>
    <col min="7687" max="7687" width="8.7109375" style="434" customWidth="1"/>
    <col min="7688" max="7688" width="2.7109375" style="434" customWidth="1"/>
    <col min="7689" max="7689" width="9.7109375" style="434" customWidth="1"/>
    <col min="7690" max="7690" width="8.7109375" style="434" customWidth="1"/>
    <col min="7691" max="7691" width="2.85546875" style="434" customWidth="1"/>
    <col min="7692" max="7692" width="9.42578125" style="434" customWidth="1"/>
    <col min="7693" max="7693" width="9.7109375" style="434" customWidth="1"/>
    <col min="7694" max="7694" width="3.7109375" style="434" customWidth="1"/>
    <col min="7695" max="7936" width="8.85546875" style="434"/>
    <col min="7937" max="7937" width="30.85546875" style="434" customWidth="1"/>
    <col min="7938" max="7938" width="2.42578125" style="434" customWidth="1"/>
    <col min="7939" max="7939" width="9.7109375" style="434" customWidth="1"/>
    <col min="7940" max="7940" width="8.7109375" style="434" customWidth="1"/>
    <col min="7941" max="7941" width="2.5703125" style="434" customWidth="1"/>
    <col min="7942" max="7942" width="9.7109375" style="434" customWidth="1"/>
    <col min="7943" max="7943" width="8.7109375" style="434" customWidth="1"/>
    <col min="7944" max="7944" width="2.7109375" style="434" customWidth="1"/>
    <col min="7945" max="7945" width="9.7109375" style="434" customWidth="1"/>
    <col min="7946" max="7946" width="8.7109375" style="434" customWidth="1"/>
    <col min="7947" max="7947" width="2.85546875" style="434" customWidth="1"/>
    <col min="7948" max="7948" width="9.42578125" style="434" customWidth="1"/>
    <col min="7949" max="7949" width="9.7109375" style="434" customWidth="1"/>
    <col min="7950" max="7950" width="3.7109375" style="434" customWidth="1"/>
    <col min="7951" max="8192" width="8.85546875" style="434"/>
    <col min="8193" max="8193" width="30.85546875" style="434" customWidth="1"/>
    <col min="8194" max="8194" width="2.42578125" style="434" customWidth="1"/>
    <col min="8195" max="8195" width="9.7109375" style="434" customWidth="1"/>
    <col min="8196" max="8196" width="8.7109375" style="434" customWidth="1"/>
    <col min="8197" max="8197" width="2.5703125" style="434" customWidth="1"/>
    <col min="8198" max="8198" width="9.7109375" style="434" customWidth="1"/>
    <col min="8199" max="8199" width="8.7109375" style="434" customWidth="1"/>
    <col min="8200" max="8200" width="2.7109375" style="434" customWidth="1"/>
    <col min="8201" max="8201" width="9.7109375" style="434" customWidth="1"/>
    <col min="8202" max="8202" width="8.7109375" style="434" customWidth="1"/>
    <col min="8203" max="8203" width="2.85546875" style="434" customWidth="1"/>
    <col min="8204" max="8204" width="9.42578125" style="434" customWidth="1"/>
    <col min="8205" max="8205" width="9.7109375" style="434" customWidth="1"/>
    <col min="8206" max="8206" width="3.7109375" style="434" customWidth="1"/>
    <col min="8207" max="8448" width="8.85546875" style="434"/>
    <col min="8449" max="8449" width="30.85546875" style="434" customWidth="1"/>
    <col min="8450" max="8450" width="2.42578125" style="434" customWidth="1"/>
    <col min="8451" max="8451" width="9.7109375" style="434" customWidth="1"/>
    <col min="8452" max="8452" width="8.7109375" style="434" customWidth="1"/>
    <col min="8453" max="8453" width="2.5703125" style="434" customWidth="1"/>
    <col min="8454" max="8454" width="9.7109375" style="434" customWidth="1"/>
    <col min="8455" max="8455" width="8.7109375" style="434" customWidth="1"/>
    <col min="8456" max="8456" width="2.7109375" style="434" customWidth="1"/>
    <col min="8457" max="8457" width="9.7109375" style="434" customWidth="1"/>
    <col min="8458" max="8458" width="8.7109375" style="434" customWidth="1"/>
    <col min="8459" max="8459" width="2.85546875" style="434" customWidth="1"/>
    <col min="8460" max="8460" width="9.42578125" style="434" customWidth="1"/>
    <col min="8461" max="8461" width="9.7109375" style="434" customWidth="1"/>
    <col min="8462" max="8462" width="3.7109375" style="434" customWidth="1"/>
    <col min="8463" max="8704" width="8.85546875" style="434"/>
    <col min="8705" max="8705" width="30.85546875" style="434" customWidth="1"/>
    <col min="8706" max="8706" width="2.42578125" style="434" customWidth="1"/>
    <col min="8707" max="8707" width="9.7109375" style="434" customWidth="1"/>
    <col min="8708" max="8708" width="8.7109375" style="434" customWidth="1"/>
    <col min="8709" max="8709" width="2.5703125" style="434" customWidth="1"/>
    <col min="8710" max="8710" width="9.7109375" style="434" customWidth="1"/>
    <col min="8711" max="8711" width="8.7109375" style="434" customWidth="1"/>
    <col min="8712" max="8712" width="2.7109375" style="434" customWidth="1"/>
    <col min="8713" max="8713" width="9.7109375" style="434" customWidth="1"/>
    <col min="8714" max="8714" width="8.7109375" style="434" customWidth="1"/>
    <col min="8715" max="8715" width="2.85546875" style="434" customWidth="1"/>
    <col min="8716" max="8716" width="9.42578125" style="434" customWidth="1"/>
    <col min="8717" max="8717" width="9.7109375" style="434" customWidth="1"/>
    <col min="8718" max="8718" width="3.7109375" style="434" customWidth="1"/>
    <col min="8719" max="8960" width="8.85546875" style="434"/>
    <col min="8961" max="8961" width="30.85546875" style="434" customWidth="1"/>
    <col min="8962" max="8962" width="2.42578125" style="434" customWidth="1"/>
    <col min="8963" max="8963" width="9.7109375" style="434" customWidth="1"/>
    <col min="8964" max="8964" width="8.7109375" style="434" customWidth="1"/>
    <col min="8965" max="8965" width="2.5703125" style="434" customWidth="1"/>
    <col min="8966" max="8966" width="9.7109375" style="434" customWidth="1"/>
    <col min="8967" max="8967" width="8.7109375" style="434" customWidth="1"/>
    <col min="8968" max="8968" width="2.7109375" style="434" customWidth="1"/>
    <col min="8969" max="8969" width="9.7109375" style="434" customWidth="1"/>
    <col min="8970" max="8970" width="8.7109375" style="434" customWidth="1"/>
    <col min="8971" max="8971" width="2.85546875" style="434" customWidth="1"/>
    <col min="8972" max="8972" width="9.42578125" style="434" customWidth="1"/>
    <col min="8973" max="8973" width="9.7109375" style="434" customWidth="1"/>
    <col min="8974" max="8974" width="3.7109375" style="434" customWidth="1"/>
    <col min="8975" max="9216" width="8.85546875" style="434"/>
    <col min="9217" max="9217" width="30.85546875" style="434" customWidth="1"/>
    <col min="9218" max="9218" width="2.42578125" style="434" customWidth="1"/>
    <col min="9219" max="9219" width="9.7109375" style="434" customWidth="1"/>
    <col min="9220" max="9220" width="8.7109375" style="434" customWidth="1"/>
    <col min="9221" max="9221" width="2.5703125" style="434" customWidth="1"/>
    <col min="9222" max="9222" width="9.7109375" style="434" customWidth="1"/>
    <col min="9223" max="9223" width="8.7109375" style="434" customWidth="1"/>
    <col min="9224" max="9224" width="2.7109375" style="434" customWidth="1"/>
    <col min="9225" max="9225" width="9.7109375" style="434" customWidth="1"/>
    <col min="9226" max="9226" width="8.7109375" style="434" customWidth="1"/>
    <col min="9227" max="9227" width="2.85546875" style="434" customWidth="1"/>
    <col min="9228" max="9228" width="9.42578125" style="434" customWidth="1"/>
    <col min="9229" max="9229" width="9.7109375" style="434" customWidth="1"/>
    <col min="9230" max="9230" width="3.7109375" style="434" customWidth="1"/>
    <col min="9231" max="9472" width="8.85546875" style="434"/>
    <col min="9473" max="9473" width="30.85546875" style="434" customWidth="1"/>
    <col min="9474" max="9474" width="2.42578125" style="434" customWidth="1"/>
    <col min="9475" max="9475" width="9.7109375" style="434" customWidth="1"/>
    <col min="9476" max="9476" width="8.7109375" style="434" customWidth="1"/>
    <col min="9477" max="9477" width="2.5703125" style="434" customWidth="1"/>
    <col min="9478" max="9478" width="9.7109375" style="434" customWidth="1"/>
    <col min="9479" max="9479" width="8.7109375" style="434" customWidth="1"/>
    <col min="9480" max="9480" width="2.7109375" style="434" customWidth="1"/>
    <col min="9481" max="9481" width="9.7109375" style="434" customWidth="1"/>
    <col min="9482" max="9482" width="8.7109375" style="434" customWidth="1"/>
    <col min="9483" max="9483" width="2.85546875" style="434" customWidth="1"/>
    <col min="9484" max="9484" width="9.42578125" style="434" customWidth="1"/>
    <col min="9485" max="9485" width="9.7109375" style="434" customWidth="1"/>
    <col min="9486" max="9486" width="3.7109375" style="434" customWidth="1"/>
    <col min="9487" max="9728" width="8.85546875" style="434"/>
    <col min="9729" max="9729" width="30.85546875" style="434" customWidth="1"/>
    <col min="9730" max="9730" width="2.42578125" style="434" customWidth="1"/>
    <col min="9731" max="9731" width="9.7109375" style="434" customWidth="1"/>
    <col min="9732" max="9732" width="8.7109375" style="434" customWidth="1"/>
    <col min="9733" max="9733" width="2.5703125" style="434" customWidth="1"/>
    <col min="9734" max="9734" width="9.7109375" style="434" customWidth="1"/>
    <col min="9735" max="9735" width="8.7109375" style="434" customWidth="1"/>
    <col min="9736" max="9736" width="2.7109375" style="434" customWidth="1"/>
    <col min="9737" max="9737" width="9.7109375" style="434" customWidth="1"/>
    <col min="9738" max="9738" width="8.7109375" style="434" customWidth="1"/>
    <col min="9739" max="9739" width="2.85546875" style="434" customWidth="1"/>
    <col min="9740" max="9740" width="9.42578125" style="434" customWidth="1"/>
    <col min="9741" max="9741" width="9.7109375" style="434" customWidth="1"/>
    <col min="9742" max="9742" width="3.7109375" style="434" customWidth="1"/>
    <col min="9743" max="9984" width="8.85546875" style="434"/>
    <col min="9985" max="9985" width="30.85546875" style="434" customWidth="1"/>
    <col min="9986" max="9986" width="2.42578125" style="434" customWidth="1"/>
    <col min="9987" max="9987" width="9.7109375" style="434" customWidth="1"/>
    <col min="9988" max="9988" width="8.7109375" style="434" customWidth="1"/>
    <col min="9989" max="9989" width="2.5703125" style="434" customWidth="1"/>
    <col min="9990" max="9990" width="9.7109375" style="434" customWidth="1"/>
    <col min="9991" max="9991" width="8.7109375" style="434" customWidth="1"/>
    <col min="9992" max="9992" width="2.7109375" style="434" customWidth="1"/>
    <col min="9993" max="9993" width="9.7109375" style="434" customWidth="1"/>
    <col min="9994" max="9994" width="8.7109375" style="434" customWidth="1"/>
    <col min="9995" max="9995" width="2.85546875" style="434" customWidth="1"/>
    <col min="9996" max="9996" width="9.42578125" style="434" customWidth="1"/>
    <col min="9997" max="9997" width="9.7109375" style="434" customWidth="1"/>
    <col min="9998" max="9998" width="3.7109375" style="434" customWidth="1"/>
    <col min="9999" max="10240" width="8.85546875" style="434"/>
    <col min="10241" max="10241" width="30.85546875" style="434" customWidth="1"/>
    <col min="10242" max="10242" width="2.42578125" style="434" customWidth="1"/>
    <col min="10243" max="10243" width="9.7109375" style="434" customWidth="1"/>
    <col min="10244" max="10244" width="8.7109375" style="434" customWidth="1"/>
    <col min="10245" max="10245" width="2.5703125" style="434" customWidth="1"/>
    <col min="10246" max="10246" width="9.7109375" style="434" customWidth="1"/>
    <col min="10247" max="10247" width="8.7109375" style="434" customWidth="1"/>
    <col min="10248" max="10248" width="2.7109375" style="434" customWidth="1"/>
    <col min="10249" max="10249" width="9.7109375" style="434" customWidth="1"/>
    <col min="10250" max="10250" width="8.7109375" style="434" customWidth="1"/>
    <col min="10251" max="10251" width="2.85546875" style="434" customWidth="1"/>
    <col min="10252" max="10252" width="9.42578125" style="434" customWidth="1"/>
    <col min="10253" max="10253" width="9.7109375" style="434" customWidth="1"/>
    <col min="10254" max="10254" width="3.7109375" style="434" customWidth="1"/>
    <col min="10255" max="10496" width="8.85546875" style="434"/>
    <col min="10497" max="10497" width="30.85546875" style="434" customWidth="1"/>
    <col min="10498" max="10498" width="2.42578125" style="434" customWidth="1"/>
    <col min="10499" max="10499" width="9.7109375" style="434" customWidth="1"/>
    <col min="10500" max="10500" width="8.7109375" style="434" customWidth="1"/>
    <col min="10501" max="10501" width="2.5703125" style="434" customWidth="1"/>
    <col min="10502" max="10502" width="9.7109375" style="434" customWidth="1"/>
    <col min="10503" max="10503" width="8.7109375" style="434" customWidth="1"/>
    <col min="10504" max="10504" width="2.7109375" style="434" customWidth="1"/>
    <col min="10505" max="10505" width="9.7109375" style="434" customWidth="1"/>
    <col min="10506" max="10506" width="8.7109375" style="434" customWidth="1"/>
    <col min="10507" max="10507" width="2.85546875" style="434" customWidth="1"/>
    <col min="10508" max="10508" width="9.42578125" style="434" customWidth="1"/>
    <col min="10509" max="10509" width="9.7109375" style="434" customWidth="1"/>
    <col min="10510" max="10510" width="3.7109375" style="434" customWidth="1"/>
    <col min="10511" max="10752" width="8.85546875" style="434"/>
    <col min="10753" max="10753" width="30.85546875" style="434" customWidth="1"/>
    <col min="10754" max="10754" width="2.42578125" style="434" customWidth="1"/>
    <col min="10755" max="10755" width="9.7109375" style="434" customWidth="1"/>
    <col min="10756" max="10756" width="8.7109375" style="434" customWidth="1"/>
    <col min="10757" max="10757" width="2.5703125" style="434" customWidth="1"/>
    <col min="10758" max="10758" width="9.7109375" style="434" customWidth="1"/>
    <col min="10759" max="10759" width="8.7109375" style="434" customWidth="1"/>
    <col min="10760" max="10760" width="2.7109375" style="434" customWidth="1"/>
    <col min="10761" max="10761" width="9.7109375" style="434" customWidth="1"/>
    <col min="10762" max="10762" width="8.7109375" style="434" customWidth="1"/>
    <col min="10763" max="10763" width="2.85546875" style="434" customWidth="1"/>
    <col min="10764" max="10764" width="9.42578125" style="434" customWidth="1"/>
    <col min="10765" max="10765" width="9.7109375" style="434" customWidth="1"/>
    <col min="10766" max="10766" width="3.7109375" style="434" customWidth="1"/>
    <col min="10767" max="11008" width="8.85546875" style="434"/>
    <col min="11009" max="11009" width="30.85546875" style="434" customWidth="1"/>
    <col min="11010" max="11010" width="2.42578125" style="434" customWidth="1"/>
    <col min="11011" max="11011" width="9.7109375" style="434" customWidth="1"/>
    <col min="11012" max="11012" width="8.7109375" style="434" customWidth="1"/>
    <col min="11013" max="11013" width="2.5703125" style="434" customWidth="1"/>
    <col min="11014" max="11014" width="9.7109375" style="434" customWidth="1"/>
    <col min="11015" max="11015" width="8.7109375" style="434" customWidth="1"/>
    <col min="11016" max="11016" width="2.7109375" style="434" customWidth="1"/>
    <col min="11017" max="11017" width="9.7109375" style="434" customWidth="1"/>
    <col min="11018" max="11018" width="8.7109375" style="434" customWidth="1"/>
    <col min="11019" max="11019" width="2.85546875" style="434" customWidth="1"/>
    <col min="11020" max="11020" width="9.42578125" style="434" customWidth="1"/>
    <col min="11021" max="11021" width="9.7109375" style="434" customWidth="1"/>
    <col min="11022" max="11022" width="3.7109375" style="434" customWidth="1"/>
    <col min="11023" max="11264" width="8.85546875" style="434"/>
    <col min="11265" max="11265" width="30.85546875" style="434" customWidth="1"/>
    <col min="11266" max="11266" width="2.42578125" style="434" customWidth="1"/>
    <col min="11267" max="11267" width="9.7109375" style="434" customWidth="1"/>
    <col min="11268" max="11268" width="8.7109375" style="434" customWidth="1"/>
    <col min="11269" max="11269" width="2.5703125" style="434" customWidth="1"/>
    <col min="11270" max="11270" width="9.7109375" style="434" customWidth="1"/>
    <col min="11271" max="11271" width="8.7109375" style="434" customWidth="1"/>
    <col min="11272" max="11272" width="2.7109375" style="434" customWidth="1"/>
    <col min="11273" max="11273" width="9.7109375" style="434" customWidth="1"/>
    <col min="11274" max="11274" width="8.7109375" style="434" customWidth="1"/>
    <col min="11275" max="11275" width="2.85546875" style="434" customWidth="1"/>
    <col min="11276" max="11276" width="9.42578125" style="434" customWidth="1"/>
    <col min="11277" max="11277" width="9.7109375" style="434" customWidth="1"/>
    <col min="11278" max="11278" width="3.7109375" style="434" customWidth="1"/>
    <col min="11279" max="11520" width="8.85546875" style="434"/>
    <col min="11521" max="11521" width="30.85546875" style="434" customWidth="1"/>
    <col min="11522" max="11522" width="2.42578125" style="434" customWidth="1"/>
    <col min="11523" max="11523" width="9.7109375" style="434" customWidth="1"/>
    <col min="11524" max="11524" width="8.7109375" style="434" customWidth="1"/>
    <col min="11525" max="11525" width="2.5703125" style="434" customWidth="1"/>
    <col min="11526" max="11526" width="9.7109375" style="434" customWidth="1"/>
    <col min="11527" max="11527" width="8.7109375" style="434" customWidth="1"/>
    <col min="11528" max="11528" width="2.7109375" style="434" customWidth="1"/>
    <col min="11529" max="11529" width="9.7109375" style="434" customWidth="1"/>
    <col min="11530" max="11530" width="8.7109375" style="434" customWidth="1"/>
    <col min="11531" max="11531" width="2.85546875" style="434" customWidth="1"/>
    <col min="11532" max="11532" width="9.42578125" style="434" customWidth="1"/>
    <col min="11533" max="11533" width="9.7109375" style="434" customWidth="1"/>
    <col min="11534" max="11534" width="3.7109375" style="434" customWidth="1"/>
    <col min="11535" max="11776" width="8.85546875" style="434"/>
    <col min="11777" max="11777" width="30.85546875" style="434" customWidth="1"/>
    <col min="11778" max="11778" width="2.42578125" style="434" customWidth="1"/>
    <col min="11779" max="11779" width="9.7109375" style="434" customWidth="1"/>
    <col min="11780" max="11780" width="8.7109375" style="434" customWidth="1"/>
    <col min="11781" max="11781" width="2.5703125" style="434" customWidth="1"/>
    <col min="11782" max="11782" width="9.7109375" style="434" customWidth="1"/>
    <col min="11783" max="11783" width="8.7109375" style="434" customWidth="1"/>
    <col min="11784" max="11784" width="2.7109375" style="434" customWidth="1"/>
    <col min="11785" max="11785" width="9.7109375" style="434" customWidth="1"/>
    <col min="11786" max="11786" width="8.7109375" style="434" customWidth="1"/>
    <col min="11787" max="11787" width="2.85546875" style="434" customWidth="1"/>
    <col min="11788" max="11788" width="9.42578125" style="434" customWidth="1"/>
    <col min="11789" max="11789" width="9.7109375" style="434" customWidth="1"/>
    <col min="11790" max="11790" width="3.7109375" style="434" customWidth="1"/>
    <col min="11791" max="12032" width="8.85546875" style="434"/>
    <col min="12033" max="12033" width="30.85546875" style="434" customWidth="1"/>
    <col min="12034" max="12034" width="2.42578125" style="434" customWidth="1"/>
    <col min="12035" max="12035" width="9.7109375" style="434" customWidth="1"/>
    <col min="12036" max="12036" width="8.7109375" style="434" customWidth="1"/>
    <col min="12037" max="12037" width="2.5703125" style="434" customWidth="1"/>
    <col min="12038" max="12038" width="9.7109375" style="434" customWidth="1"/>
    <col min="12039" max="12039" width="8.7109375" style="434" customWidth="1"/>
    <col min="12040" max="12040" width="2.7109375" style="434" customWidth="1"/>
    <col min="12041" max="12041" width="9.7109375" style="434" customWidth="1"/>
    <col min="12042" max="12042" width="8.7109375" style="434" customWidth="1"/>
    <col min="12043" max="12043" width="2.85546875" style="434" customWidth="1"/>
    <col min="12044" max="12044" width="9.42578125" style="434" customWidth="1"/>
    <col min="12045" max="12045" width="9.7109375" style="434" customWidth="1"/>
    <col min="12046" max="12046" width="3.7109375" style="434" customWidth="1"/>
    <col min="12047" max="12288" width="8.85546875" style="434"/>
    <col min="12289" max="12289" width="30.85546875" style="434" customWidth="1"/>
    <col min="12290" max="12290" width="2.42578125" style="434" customWidth="1"/>
    <col min="12291" max="12291" width="9.7109375" style="434" customWidth="1"/>
    <col min="12292" max="12292" width="8.7109375" style="434" customWidth="1"/>
    <col min="12293" max="12293" width="2.5703125" style="434" customWidth="1"/>
    <col min="12294" max="12294" width="9.7109375" style="434" customWidth="1"/>
    <col min="12295" max="12295" width="8.7109375" style="434" customWidth="1"/>
    <col min="12296" max="12296" width="2.7109375" style="434" customWidth="1"/>
    <col min="12297" max="12297" width="9.7109375" style="434" customWidth="1"/>
    <col min="12298" max="12298" width="8.7109375" style="434" customWidth="1"/>
    <col min="12299" max="12299" width="2.85546875" style="434" customWidth="1"/>
    <col min="12300" max="12300" width="9.42578125" style="434" customWidth="1"/>
    <col min="12301" max="12301" width="9.7109375" style="434" customWidth="1"/>
    <col min="12302" max="12302" width="3.7109375" style="434" customWidth="1"/>
    <col min="12303" max="12544" width="8.85546875" style="434"/>
    <col min="12545" max="12545" width="30.85546875" style="434" customWidth="1"/>
    <col min="12546" max="12546" width="2.42578125" style="434" customWidth="1"/>
    <col min="12547" max="12547" width="9.7109375" style="434" customWidth="1"/>
    <col min="12548" max="12548" width="8.7109375" style="434" customWidth="1"/>
    <col min="12549" max="12549" width="2.5703125" style="434" customWidth="1"/>
    <col min="12550" max="12550" width="9.7109375" style="434" customWidth="1"/>
    <col min="12551" max="12551" width="8.7109375" style="434" customWidth="1"/>
    <col min="12552" max="12552" width="2.7109375" style="434" customWidth="1"/>
    <col min="12553" max="12553" width="9.7109375" style="434" customWidth="1"/>
    <col min="12554" max="12554" width="8.7109375" style="434" customWidth="1"/>
    <col min="12555" max="12555" width="2.85546875" style="434" customWidth="1"/>
    <col min="12556" max="12556" width="9.42578125" style="434" customWidth="1"/>
    <col min="12557" max="12557" width="9.7109375" style="434" customWidth="1"/>
    <col min="12558" max="12558" width="3.7109375" style="434" customWidth="1"/>
    <col min="12559" max="12800" width="8.85546875" style="434"/>
    <col min="12801" max="12801" width="30.85546875" style="434" customWidth="1"/>
    <col min="12802" max="12802" width="2.42578125" style="434" customWidth="1"/>
    <col min="12803" max="12803" width="9.7109375" style="434" customWidth="1"/>
    <col min="12804" max="12804" width="8.7109375" style="434" customWidth="1"/>
    <col min="12805" max="12805" width="2.5703125" style="434" customWidth="1"/>
    <col min="12806" max="12806" width="9.7109375" style="434" customWidth="1"/>
    <col min="12807" max="12807" width="8.7109375" style="434" customWidth="1"/>
    <col min="12808" max="12808" width="2.7109375" style="434" customWidth="1"/>
    <col min="12809" max="12809" width="9.7109375" style="434" customWidth="1"/>
    <col min="12810" max="12810" width="8.7109375" style="434" customWidth="1"/>
    <col min="12811" max="12811" width="2.85546875" style="434" customWidth="1"/>
    <col min="12812" max="12812" width="9.42578125" style="434" customWidth="1"/>
    <col min="12813" max="12813" width="9.7109375" style="434" customWidth="1"/>
    <col min="12814" max="12814" width="3.7109375" style="434" customWidth="1"/>
    <col min="12815" max="13056" width="8.85546875" style="434"/>
    <col min="13057" max="13057" width="30.85546875" style="434" customWidth="1"/>
    <col min="13058" max="13058" width="2.42578125" style="434" customWidth="1"/>
    <col min="13059" max="13059" width="9.7109375" style="434" customWidth="1"/>
    <col min="13060" max="13060" width="8.7109375" style="434" customWidth="1"/>
    <col min="13061" max="13061" width="2.5703125" style="434" customWidth="1"/>
    <col min="13062" max="13062" width="9.7109375" style="434" customWidth="1"/>
    <col min="13063" max="13063" width="8.7109375" style="434" customWidth="1"/>
    <col min="13064" max="13064" width="2.7109375" style="434" customWidth="1"/>
    <col min="13065" max="13065" width="9.7109375" style="434" customWidth="1"/>
    <col min="13066" max="13066" width="8.7109375" style="434" customWidth="1"/>
    <col min="13067" max="13067" width="2.85546875" style="434" customWidth="1"/>
    <col min="13068" max="13068" width="9.42578125" style="434" customWidth="1"/>
    <col min="13069" max="13069" width="9.7109375" style="434" customWidth="1"/>
    <col min="13070" max="13070" width="3.7109375" style="434" customWidth="1"/>
    <col min="13071" max="13312" width="8.85546875" style="434"/>
    <col min="13313" max="13313" width="30.85546875" style="434" customWidth="1"/>
    <col min="13314" max="13314" width="2.42578125" style="434" customWidth="1"/>
    <col min="13315" max="13315" width="9.7109375" style="434" customWidth="1"/>
    <col min="13316" max="13316" width="8.7109375" style="434" customWidth="1"/>
    <col min="13317" max="13317" width="2.5703125" style="434" customWidth="1"/>
    <col min="13318" max="13318" width="9.7109375" style="434" customWidth="1"/>
    <col min="13319" max="13319" width="8.7109375" style="434" customWidth="1"/>
    <col min="13320" max="13320" width="2.7109375" style="434" customWidth="1"/>
    <col min="13321" max="13321" width="9.7109375" style="434" customWidth="1"/>
    <col min="13322" max="13322" width="8.7109375" style="434" customWidth="1"/>
    <col min="13323" max="13323" width="2.85546875" style="434" customWidth="1"/>
    <col min="13324" max="13324" width="9.42578125" style="434" customWidth="1"/>
    <col min="13325" max="13325" width="9.7109375" style="434" customWidth="1"/>
    <col min="13326" max="13326" width="3.7109375" style="434" customWidth="1"/>
    <col min="13327" max="13568" width="8.85546875" style="434"/>
    <col min="13569" max="13569" width="30.85546875" style="434" customWidth="1"/>
    <col min="13570" max="13570" width="2.42578125" style="434" customWidth="1"/>
    <col min="13571" max="13571" width="9.7109375" style="434" customWidth="1"/>
    <col min="13572" max="13572" width="8.7109375" style="434" customWidth="1"/>
    <col min="13573" max="13573" width="2.5703125" style="434" customWidth="1"/>
    <col min="13574" max="13574" width="9.7109375" style="434" customWidth="1"/>
    <col min="13575" max="13575" width="8.7109375" style="434" customWidth="1"/>
    <col min="13576" max="13576" width="2.7109375" style="434" customWidth="1"/>
    <col min="13577" max="13577" width="9.7109375" style="434" customWidth="1"/>
    <col min="13578" max="13578" width="8.7109375" style="434" customWidth="1"/>
    <col min="13579" max="13579" width="2.85546875" style="434" customWidth="1"/>
    <col min="13580" max="13580" width="9.42578125" style="434" customWidth="1"/>
    <col min="13581" max="13581" width="9.7109375" style="434" customWidth="1"/>
    <col min="13582" max="13582" width="3.7109375" style="434" customWidth="1"/>
    <col min="13583" max="13824" width="8.85546875" style="434"/>
    <col min="13825" max="13825" width="30.85546875" style="434" customWidth="1"/>
    <col min="13826" max="13826" width="2.42578125" style="434" customWidth="1"/>
    <col min="13827" max="13827" width="9.7109375" style="434" customWidth="1"/>
    <col min="13828" max="13828" width="8.7109375" style="434" customWidth="1"/>
    <col min="13829" max="13829" width="2.5703125" style="434" customWidth="1"/>
    <col min="13830" max="13830" width="9.7109375" style="434" customWidth="1"/>
    <col min="13831" max="13831" width="8.7109375" style="434" customWidth="1"/>
    <col min="13832" max="13832" width="2.7109375" style="434" customWidth="1"/>
    <col min="13833" max="13833" width="9.7109375" style="434" customWidth="1"/>
    <col min="13834" max="13834" width="8.7109375" style="434" customWidth="1"/>
    <col min="13835" max="13835" width="2.85546875" style="434" customWidth="1"/>
    <col min="13836" max="13836" width="9.42578125" style="434" customWidth="1"/>
    <col min="13837" max="13837" width="9.7109375" style="434" customWidth="1"/>
    <col min="13838" max="13838" width="3.7109375" style="434" customWidth="1"/>
    <col min="13839" max="14080" width="8.85546875" style="434"/>
    <col min="14081" max="14081" width="30.85546875" style="434" customWidth="1"/>
    <col min="14082" max="14082" width="2.42578125" style="434" customWidth="1"/>
    <col min="14083" max="14083" width="9.7109375" style="434" customWidth="1"/>
    <col min="14084" max="14084" width="8.7109375" style="434" customWidth="1"/>
    <col min="14085" max="14085" width="2.5703125" style="434" customWidth="1"/>
    <col min="14086" max="14086" width="9.7109375" style="434" customWidth="1"/>
    <col min="14087" max="14087" width="8.7109375" style="434" customWidth="1"/>
    <col min="14088" max="14088" width="2.7109375" style="434" customWidth="1"/>
    <col min="14089" max="14089" width="9.7109375" style="434" customWidth="1"/>
    <col min="14090" max="14090" width="8.7109375" style="434" customWidth="1"/>
    <col min="14091" max="14091" width="2.85546875" style="434" customWidth="1"/>
    <col min="14092" max="14092" width="9.42578125" style="434" customWidth="1"/>
    <col min="14093" max="14093" width="9.7109375" style="434" customWidth="1"/>
    <col min="14094" max="14094" width="3.7109375" style="434" customWidth="1"/>
    <col min="14095" max="14336" width="8.85546875" style="434"/>
    <col min="14337" max="14337" width="30.85546875" style="434" customWidth="1"/>
    <col min="14338" max="14338" width="2.42578125" style="434" customWidth="1"/>
    <col min="14339" max="14339" width="9.7109375" style="434" customWidth="1"/>
    <col min="14340" max="14340" width="8.7109375" style="434" customWidth="1"/>
    <col min="14341" max="14341" width="2.5703125" style="434" customWidth="1"/>
    <col min="14342" max="14342" width="9.7109375" style="434" customWidth="1"/>
    <col min="14343" max="14343" width="8.7109375" style="434" customWidth="1"/>
    <col min="14344" max="14344" width="2.7109375" style="434" customWidth="1"/>
    <col min="14345" max="14345" width="9.7109375" style="434" customWidth="1"/>
    <col min="14346" max="14346" width="8.7109375" style="434" customWidth="1"/>
    <col min="14347" max="14347" width="2.85546875" style="434" customWidth="1"/>
    <col min="14348" max="14348" width="9.42578125" style="434" customWidth="1"/>
    <col min="14349" max="14349" width="9.7109375" style="434" customWidth="1"/>
    <col min="14350" max="14350" width="3.7109375" style="434" customWidth="1"/>
    <col min="14351" max="14592" width="8.85546875" style="434"/>
    <col min="14593" max="14593" width="30.85546875" style="434" customWidth="1"/>
    <col min="14594" max="14594" width="2.42578125" style="434" customWidth="1"/>
    <col min="14595" max="14595" width="9.7109375" style="434" customWidth="1"/>
    <col min="14596" max="14596" width="8.7109375" style="434" customWidth="1"/>
    <col min="14597" max="14597" width="2.5703125" style="434" customWidth="1"/>
    <col min="14598" max="14598" width="9.7109375" style="434" customWidth="1"/>
    <col min="14599" max="14599" width="8.7109375" style="434" customWidth="1"/>
    <col min="14600" max="14600" width="2.7109375" style="434" customWidth="1"/>
    <col min="14601" max="14601" width="9.7109375" style="434" customWidth="1"/>
    <col min="14602" max="14602" width="8.7109375" style="434" customWidth="1"/>
    <col min="14603" max="14603" width="2.85546875" style="434" customWidth="1"/>
    <col min="14604" max="14604" width="9.42578125" style="434" customWidth="1"/>
    <col min="14605" max="14605" width="9.7109375" style="434" customWidth="1"/>
    <col min="14606" max="14606" width="3.7109375" style="434" customWidth="1"/>
    <col min="14607" max="14848" width="8.85546875" style="434"/>
    <col min="14849" max="14849" width="30.85546875" style="434" customWidth="1"/>
    <col min="14850" max="14850" width="2.42578125" style="434" customWidth="1"/>
    <col min="14851" max="14851" width="9.7109375" style="434" customWidth="1"/>
    <col min="14852" max="14852" width="8.7109375" style="434" customWidth="1"/>
    <col min="14853" max="14853" width="2.5703125" style="434" customWidth="1"/>
    <col min="14854" max="14854" width="9.7109375" style="434" customWidth="1"/>
    <col min="14855" max="14855" width="8.7109375" style="434" customWidth="1"/>
    <col min="14856" max="14856" width="2.7109375" style="434" customWidth="1"/>
    <col min="14857" max="14857" width="9.7109375" style="434" customWidth="1"/>
    <col min="14858" max="14858" width="8.7109375" style="434" customWidth="1"/>
    <col min="14859" max="14859" width="2.85546875" style="434" customWidth="1"/>
    <col min="14860" max="14860" width="9.42578125" style="434" customWidth="1"/>
    <col min="14861" max="14861" width="9.7109375" style="434" customWidth="1"/>
    <col min="14862" max="14862" width="3.7109375" style="434" customWidth="1"/>
    <col min="14863" max="15104" width="8.85546875" style="434"/>
    <col min="15105" max="15105" width="30.85546875" style="434" customWidth="1"/>
    <col min="15106" max="15106" width="2.42578125" style="434" customWidth="1"/>
    <col min="15107" max="15107" width="9.7109375" style="434" customWidth="1"/>
    <col min="15108" max="15108" width="8.7109375" style="434" customWidth="1"/>
    <col min="15109" max="15109" width="2.5703125" style="434" customWidth="1"/>
    <col min="15110" max="15110" width="9.7109375" style="434" customWidth="1"/>
    <col min="15111" max="15111" width="8.7109375" style="434" customWidth="1"/>
    <col min="15112" max="15112" width="2.7109375" style="434" customWidth="1"/>
    <col min="15113" max="15113" width="9.7109375" style="434" customWidth="1"/>
    <col min="15114" max="15114" width="8.7109375" style="434" customWidth="1"/>
    <col min="15115" max="15115" width="2.85546875" style="434" customWidth="1"/>
    <col min="15116" max="15116" width="9.42578125" style="434" customWidth="1"/>
    <col min="15117" max="15117" width="9.7109375" style="434" customWidth="1"/>
    <col min="15118" max="15118" width="3.7109375" style="434" customWidth="1"/>
    <col min="15119" max="15360" width="8.85546875" style="434"/>
    <col min="15361" max="15361" width="30.85546875" style="434" customWidth="1"/>
    <col min="15362" max="15362" width="2.42578125" style="434" customWidth="1"/>
    <col min="15363" max="15363" width="9.7109375" style="434" customWidth="1"/>
    <col min="15364" max="15364" width="8.7109375" style="434" customWidth="1"/>
    <col min="15365" max="15365" width="2.5703125" style="434" customWidth="1"/>
    <col min="15366" max="15366" width="9.7109375" style="434" customWidth="1"/>
    <col min="15367" max="15367" width="8.7109375" style="434" customWidth="1"/>
    <col min="15368" max="15368" width="2.7109375" style="434" customWidth="1"/>
    <col min="15369" max="15369" width="9.7109375" style="434" customWidth="1"/>
    <col min="15370" max="15370" width="8.7109375" style="434" customWidth="1"/>
    <col min="15371" max="15371" width="2.85546875" style="434" customWidth="1"/>
    <col min="15372" max="15372" width="9.42578125" style="434" customWidth="1"/>
    <col min="15373" max="15373" width="9.7109375" style="434" customWidth="1"/>
    <col min="15374" max="15374" width="3.7109375" style="434" customWidth="1"/>
    <col min="15375" max="15616" width="8.85546875" style="434"/>
    <col min="15617" max="15617" width="30.85546875" style="434" customWidth="1"/>
    <col min="15618" max="15618" width="2.42578125" style="434" customWidth="1"/>
    <col min="15619" max="15619" width="9.7109375" style="434" customWidth="1"/>
    <col min="15620" max="15620" width="8.7109375" style="434" customWidth="1"/>
    <col min="15621" max="15621" width="2.5703125" style="434" customWidth="1"/>
    <col min="15622" max="15622" width="9.7109375" style="434" customWidth="1"/>
    <col min="15623" max="15623" width="8.7109375" style="434" customWidth="1"/>
    <col min="15624" max="15624" width="2.7109375" style="434" customWidth="1"/>
    <col min="15625" max="15625" width="9.7109375" style="434" customWidth="1"/>
    <col min="15626" max="15626" width="8.7109375" style="434" customWidth="1"/>
    <col min="15627" max="15627" width="2.85546875" style="434" customWidth="1"/>
    <col min="15628" max="15628" width="9.42578125" style="434" customWidth="1"/>
    <col min="15629" max="15629" width="9.7109375" style="434" customWidth="1"/>
    <col min="15630" max="15630" width="3.7109375" style="434" customWidth="1"/>
    <col min="15631" max="15872" width="8.85546875" style="434"/>
    <col min="15873" max="15873" width="30.85546875" style="434" customWidth="1"/>
    <col min="15874" max="15874" width="2.42578125" style="434" customWidth="1"/>
    <col min="15875" max="15875" width="9.7109375" style="434" customWidth="1"/>
    <col min="15876" max="15876" width="8.7109375" style="434" customWidth="1"/>
    <col min="15877" max="15877" width="2.5703125" style="434" customWidth="1"/>
    <col min="15878" max="15878" width="9.7109375" style="434" customWidth="1"/>
    <col min="15879" max="15879" width="8.7109375" style="434" customWidth="1"/>
    <col min="15880" max="15880" width="2.7109375" style="434" customWidth="1"/>
    <col min="15881" max="15881" width="9.7109375" style="434" customWidth="1"/>
    <col min="15882" max="15882" width="8.7109375" style="434" customWidth="1"/>
    <col min="15883" max="15883" width="2.85546875" style="434" customWidth="1"/>
    <col min="15884" max="15884" width="9.42578125" style="434" customWidth="1"/>
    <col min="15885" max="15885" width="9.7109375" style="434" customWidth="1"/>
    <col min="15886" max="15886" width="3.7109375" style="434" customWidth="1"/>
    <col min="15887" max="16128" width="8.85546875" style="434"/>
    <col min="16129" max="16129" width="30.85546875" style="434" customWidth="1"/>
    <col min="16130" max="16130" width="2.42578125" style="434" customWidth="1"/>
    <col min="16131" max="16131" width="9.7109375" style="434" customWidth="1"/>
    <col min="16132" max="16132" width="8.7109375" style="434" customWidth="1"/>
    <col min="16133" max="16133" width="2.5703125" style="434" customWidth="1"/>
    <col min="16134" max="16134" width="9.7109375" style="434" customWidth="1"/>
    <col min="16135" max="16135" width="8.7109375" style="434" customWidth="1"/>
    <col min="16136" max="16136" width="2.7109375" style="434" customWidth="1"/>
    <col min="16137" max="16137" width="9.7109375" style="434" customWidth="1"/>
    <col min="16138" max="16138" width="8.7109375" style="434" customWidth="1"/>
    <col min="16139" max="16139" width="2.85546875" style="434" customWidth="1"/>
    <col min="16140" max="16140" width="9.42578125" style="434" customWidth="1"/>
    <col min="16141" max="16141" width="9.7109375" style="434" customWidth="1"/>
    <col min="16142" max="16142" width="3.7109375" style="434" customWidth="1"/>
    <col min="16143" max="16384" width="8.85546875" style="434"/>
  </cols>
  <sheetData>
    <row r="1" spans="1:14">
      <c r="A1" s="455" t="s">
        <v>0</v>
      </c>
    </row>
    <row r="2" spans="1:14">
      <c r="A2" s="455" t="s">
        <v>1</v>
      </c>
    </row>
    <row r="3" spans="1:14" ht="6.95" customHeight="1"/>
    <row r="4" spans="1:14">
      <c r="A4" s="4" t="s">
        <v>1965</v>
      </c>
    </row>
    <row r="5" spans="1:14" ht="7.5" customHeight="1" thickBot="1"/>
    <row r="6" spans="1:14" ht="6.95" customHeight="1">
      <c r="A6" s="486"/>
      <c r="B6" s="437"/>
      <c r="C6" s="786"/>
      <c r="D6" s="486"/>
      <c r="E6" s="486"/>
      <c r="F6" s="786"/>
      <c r="G6" s="786"/>
      <c r="H6" s="786"/>
      <c r="I6" s="786"/>
      <c r="J6" s="786"/>
      <c r="K6" s="786"/>
      <c r="L6" s="786"/>
      <c r="M6" s="786"/>
    </row>
    <row r="7" spans="1:14" ht="14.25">
      <c r="C7" s="1257" t="s">
        <v>3</v>
      </c>
      <c r="D7" s="1257"/>
      <c r="E7" s="1257"/>
      <c r="F7" s="1257"/>
      <c r="G7" s="1257"/>
      <c r="H7" s="1257"/>
      <c r="I7" s="1257"/>
      <c r="J7" s="1257"/>
      <c r="K7" s="1257"/>
      <c r="L7" s="1257"/>
      <c r="M7" s="1257"/>
      <c r="N7" s="8"/>
    </row>
    <row r="8" spans="1:14">
      <c r="A8" s="9" t="s">
        <v>4</v>
      </c>
      <c r="C8" s="1258" t="s">
        <v>5</v>
      </c>
      <c r="D8" s="1258"/>
      <c r="F8" s="477" t="s">
        <v>6</v>
      </c>
      <c r="G8" s="1191"/>
      <c r="H8" s="10"/>
      <c r="I8" s="477" t="s">
        <v>7</v>
      </c>
      <c r="J8" s="1191"/>
      <c r="K8" s="10"/>
      <c r="L8" s="477" t="s">
        <v>8</v>
      </c>
      <c r="M8" s="1191"/>
      <c r="N8" s="8"/>
    </row>
    <row r="9" spans="1:14">
      <c r="C9" s="11" t="s">
        <v>9</v>
      </c>
      <c r="D9" s="12" t="s">
        <v>10</v>
      </c>
      <c r="F9" s="12" t="s">
        <v>9</v>
      </c>
      <c r="G9" s="12" t="s">
        <v>10</v>
      </c>
      <c r="I9" s="12" t="s">
        <v>9</v>
      </c>
      <c r="J9" s="12" t="s">
        <v>10</v>
      </c>
      <c r="L9" s="12" t="s">
        <v>9</v>
      </c>
      <c r="M9" s="12" t="s">
        <v>10</v>
      </c>
      <c r="N9" s="13"/>
    </row>
    <row r="10" spans="1:14" ht="6.95" customHeight="1" thickBot="1">
      <c r="A10" s="503"/>
      <c r="B10" s="445"/>
      <c r="C10" s="787"/>
      <c r="D10" s="503"/>
      <c r="E10" s="503"/>
      <c r="F10" s="787"/>
      <c r="G10" s="787"/>
      <c r="H10" s="787"/>
      <c r="I10" s="787"/>
      <c r="J10" s="787"/>
      <c r="K10" s="787"/>
      <c r="L10" s="787"/>
      <c r="M10" s="787"/>
    </row>
    <row r="11" spans="1:14" ht="6.95" customHeight="1"/>
    <row r="12" spans="1:14">
      <c r="A12" s="9" t="s">
        <v>183</v>
      </c>
      <c r="C12" s="784">
        <f>IF($A12&lt;&gt;0,F12+I12+L12,"")</f>
        <v>665.7</v>
      </c>
      <c r="D12" s="454">
        <f>IF($A12&lt;&gt;0,G12+J12+M12,"")</f>
        <v>100</v>
      </c>
      <c r="F12" s="784">
        <f>SUM(F14+F53)</f>
        <v>60.25</v>
      </c>
      <c r="G12" s="784">
        <f>IF($A12&lt;&gt;0,F12/$C12*100,"")</f>
        <v>9.0506234039357061</v>
      </c>
      <c r="I12" s="784">
        <f>SUM(I14+I53)</f>
        <v>21.25</v>
      </c>
      <c r="J12" s="784">
        <f>IF($A12&lt;&gt;0,I12/$C12*100,"")</f>
        <v>3.1921285864503526</v>
      </c>
      <c r="L12" s="784">
        <f>SUM(L14+L53)</f>
        <v>584.20000000000005</v>
      </c>
      <c r="M12" s="784">
        <f>IF($A12&lt;&gt;0,L12/$C12*100,"")</f>
        <v>87.757248009613946</v>
      </c>
    </row>
    <row r="13" spans="1:14" ht="6.95" customHeight="1">
      <c r="C13" s="784" t="str">
        <f>IF($A13&lt;&gt;0,F13+I13+L13,"")</f>
        <v/>
      </c>
      <c r="D13" s="454" t="str">
        <f>IF($A13&lt;&gt;0,G13+J13+M13,"")</f>
        <v/>
      </c>
      <c r="G13" s="784" t="str">
        <f>IF($A13&lt;&gt;0,F13/$C13*100,"")</f>
        <v/>
      </c>
      <c r="J13" s="784" t="str">
        <f>IF($A13&lt;&gt;0,I13/$C13*100,"")</f>
        <v/>
      </c>
      <c r="L13" s="784" t="s">
        <v>11</v>
      </c>
      <c r="M13" s="784" t="str">
        <f>IF($A13&lt;&gt;0,L13/$C13*100,"")</f>
        <v/>
      </c>
    </row>
    <row r="14" spans="1:14">
      <c r="A14" s="9" t="s">
        <v>326</v>
      </c>
      <c r="C14" s="784">
        <f t="shared" ref="C14:D54" si="0">IF($A14&lt;&gt;0,F14+I14+L14,"")</f>
        <v>664.7</v>
      </c>
      <c r="D14" s="454">
        <f t="shared" si="0"/>
        <v>100</v>
      </c>
      <c r="F14" s="784">
        <f>SUM(F20+F28+F40+F16+F18)</f>
        <v>59.25</v>
      </c>
      <c r="G14" s="784">
        <f t="shared" ref="G14:G54" si="1">IF($A14&lt;&gt;0,F14/$C14*100,"")</f>
        <v>8.9137956973070551</v>
      </c>
      <c r="I14" s="784">
        <f>SUM(I20+I28+I40+I16+I18)</f>
        <v>21.25</v>
      </c>
      <c r="J14" s="784">
        <f t="shared" ref="J14:J54" si="2">IF($A14&lt;&gt;0,I14/$C14*100,"")</f>
        <v>3.1969309462915598</v>
      </c>
      <c r="L14" s="784">
        <f>SUM(L20+L28+L40+L16+L18)</f>
        <v>584.20000000000005</v>
      </c>
      <c r="M14" s="784">
        <f t="shared" ref="M14:M54" si="3">IF($A14&lt;&gt;0,L14/$C14*100,"")</f>
        <v>87.889273356401389</v>
      </c>
    </row>
    <row r="15" spans="1:14" ht="6.95" customHeight="1">
      <c r="C15" s="784" t="str">
        <f t="shared" si="0"/>
        <v/>
      </c>
      <c r="D15" s="454" t="str">
        <f t="shared" si="0"/>
        <v/>
      </c>
      <c r="G15" s="784" t="str">
        <f t="shared" si="1"/>
        <v/>
      </c>
      <c r="J15" s="784" t="str">
        <f t="shared" si="2"/>
        <v/>
      </c>
      <c r="L15" s="784" t="s">
        <v>11</v>
      </c>
      <c r="M15" s="784" t="str">
        <f t="shared" si="3"/>
        <v/>
      </c>
    </row>
    <row r="16" spans="1:14">
      <c r="A16" s="455" t="s">
        <v>184</v>
      </c>
      <c r="C16" s="784">
        <f t="shared" si="0"/>
        <v>56.75</v>
      </c>
      <c r="D16" s="454">
        <f t="shared" si="0"/>
        <v>100</v>
      </c>
      <c r="F16" s="784">
        <v>8.5</v>
      </c>
      <c r="G16" s="784">
        <f t="shared" si="1"/>
        <v>14.977973568281937</v>
      </c>
      <c r="I16" s="784">
        <v>0</v>
      </c>
      <c r="J16" s="784">
        <f t="shared" si="2"/>
        <v>0</v>
      </c>
      <c r="L16" s="784">
        <v>48.25</v>
      </c>
      <c r="M16" s="784">
        <f t="shared" si="3"/>
        <v>85.022026431718061</v>
      </c>
    </row>
    <row r="17" spans="1:13" ht="9.75" customHeight="1">
      <c r="C17" s="784" t="str">
        <f t="shared" si="0"/>
        <v/>
      </c>
      <c r="D17" s="454" t="str">
        <f t="shared" si="0"/>
        <v/>
      </c>
      <c r="G17" s="784" t="str">
        <f t="shared" si="1"/>
        <v/>
      </c>
      <c r="J17" s="784" t="str">
        <f t="shared" si="2"/>
        <v/>
      </c>
      <c r="L17" s="784" t="s">
        <v>11</v>
      </c>
      <c r="M17" s="784" t="str">
        <f t="shared" si="3"/>
        <v/>
      </c>
    </row>
    <row r="18" spans="1:13" ht="12.95" customHeight="1">
      <c r="A18" s="455" t="s">
        <v>185</v>
      </c>
      <c r="C18" s="784">
        <f t="shared" si="0"/>
        <v>28</v>
      </c>
      <c r="D18" s="454">
        <f t="shared" si="0"/>
        <v>100</v>
      </c>
      <c r="F18" s="784">
        <v>1</v>
      </c>
      <c r="G18" s="784">
        <f t="shared" si="1"/>
        <v>3.5714285714285712</v>
      </c>
      <c r="I18" s="784">
        <v>0</v>
      </c>
      <c r="J18" s="784">
        <f t="shared" si="2"/>
        <v>0</v>
      </c>
      <c r="L18" s="784">
        <v>27</v>
      </c>
      <c r="M18" s="784">
        <f t="shared" si="3"/>
        <v>96.428571428571431</v>
      </c>
    </row>
    <row r="19" spans="1:13" ht="9.75" customHeight="1">
      <c r="C19" s="784" t="str">
        <f t="shared" si="0"/>
        <v/>
      </c>
      <c r="D19" s="454" t="str">
        <f t="shared" si="0"/>
        <v/>
      </c>
      <c r="G19" s="784" t="str">
        <f t="shared" si="1"/>
        <v/>
      </c>
      <c r="J19" s="784" t="str">
        <f t="shared" si="2"/>
        <v/>
      </c>
      <c r="L19" s="784" t="s">
        <v>11</v>
      </c>
      <c r="M19" s="784" t="str">
        <f t="shared" si="3"/>
        <v/>
      </c>
    </row>
    <row r="20" spans="1:13" ht="12.95" customHeight="1">
      <c r="A20" s="455" t="s">
        <v>186</v>
      </c>
      <c r="C20" s="784">
        <f t="shared" si="0"/>
        <v>151.875</v>
      </c>
      <c r="D20" s="454">
        <f t="shared" si="0"/>
        <v>100</v>
      </c>
      <c r="F20" s="784">
        <f>SUM(F22:F26)</f>
        <v>18</v>
      </c>
      <c r="G20" s="784">
        <f t="shared" si="1"/>
        <v>11.851851851851853</v>
      </c>
      <c r="I20" s="784">
        <f>SUM(I22:I26)</f>
        <v>17</v>
      </c>
      <c r="J20" s="784">
        <f t="shared" si="2"/>
        <v>11.193415637860083</v>
      </c>
      <c r="L20" s="784">
        <f>SUM(L22:L26)</f>
        <v>116.875</v>
      </c>
      <c r="M20" s="784">
        <f t="shared" si="3"/>
        <v>76.954732510288068</v>
      </c>
    </row>
    <row r="21" spans="1:13" ht="9.75" customHeight="1">
      <c r="C21" s="784" t="str">
        <f t="shared" si="0"/>
        <v/>
      </c>
      <c r="D21" s="454" t="str">
        <f t="shared" si="0"/>
        <v/>
      </c>
      <c r="G21" s="784" t="str">
        <f t="shared" si="1"/>
        <v/>
      </c>
      <c r="J21" s="784" t="str">
        <f t="shared" si="2"/>
        <v/>
      </c>
      <c r="L21" s="784" t="s">
        <v>11</v>
      </c>
      <c r="M21" s="784" t="str">
        <f t="shared" si="3"/>
        <v/>
      </c>
    </row>
    <row r="22" spans="1:13" ht="12.95" customHeight="1">
      <c r="A22" s="19" t="s">
        <v>187</v>
      </c>
      <c r="C22" s="784">
        <f t="shared" si="0"/>
        <v>21</v>
      </c>
      <c r="D22" s="454">
        <f t="shared" si="0"/>
        <v>99.999999999999986</v>
      </c>
      <c r="F22" s="784">
        <v>6</v>
      </c>
      <c r="G22" s="784">
        <f t="shared" si="1"/>
        <v>28.571428571428569</v>
      </c>
      <c r="I22" s="784">
        <v>1</v>
      </c>
      <c r="J22" s="784">
        <f t="shared" si="2"/>
        <v>4.7619047619047619</v>
      </c>
      <c r="L22" s="784">
        <v>14</v>
      </c>
      <c r="M22" s="784">
        <f t="shared" si="3"/>
        <v>66.666666666666657</v>
      </c>
    </row>
    <row r="23" spans="1:13" ht="12.95" customHeight="1">
      <c r="A23" s="19" t="s">
        <v>188</v>
      </c>
      <c r="C23" s="784">
        <f t="shared" si="0"/>
        <v>51.75</v>
      </c>
      <c r="D23" s="454">
        <f t="shared" si="0"/>
        <v>100</v>
      </c>
      <c r="F23" s="784">
        <v>5.5</v>
      </c>
      <c r="G23" s="784">
        <f t="shared" si="1"/>
        <v>10.628019323671497</v>
      </c>
      <c r="I23" s="784">
        <v>15.5</v>
      </c>
      <c r="J23" s="784">
        <f t="shared" si="2"/>
        <v>29.951690821256037</v>
      </c>
      <c r="L23" s="784">
        <v>30.75</v>
      </c>
      <c r="M23" s="784">
        <f t="shared" si="3"/>
        <v>59.420289855072461</v>
      </c>
    </row>
    <row r="24" spans="1:13" ht="12.95" customHeight="1">
      <c r="A24" s="19" t="s">
        <v>189</v>
      </c>
      <c r="C24" s="784">
        <f t="shared" si="0"/>
        <v>38.5</v>
      </c>
      <c r="D24" s="454">
        <f t="shared" si="0"/>
        <v>100</v>
      </c>
      <c r="F24" s="784">
        <v>4</v>
      </c>
      <c r="G24" s="784">
        <f t="shared" si="1"/>
        <v>10.38961038961039</v>
      </c>
      <c r="I24" s="784">
        <v>0.5</v>
      </c>
      <c r="J24" s="784">
        <f t="shared" si="2"/>
        <v>1.2987012987012987</v>
      </c>
      <c r="L24" s="784">
        <v>34</v>
      </c>
      <c r="M24" s="784">
        <f t="shared" si="3"/>
        <v>88.311688311688314</v>
      </c>
    </row>
    <row r="25" spans="1:13" ht="12.95" customHeight="1">
      <c r="A25" s="19" t="s">
        <v>190</v>
      </c>
      <c r="C25" s="784">
        <f t="shared" si="0"/>
        <v>11.5</v>
      </c>
      <c r="D25" s="454">
        <f t="shared" si="0"/>
        <v>100</v>
      </c>
      <c r="F25" s="784">
        <v>1.5</v>
      </c>
      <c r="G25" s="784">
        <f t="shared" si="1"/>
        <v>13.043478260869565</v>
      </c>
      <c r="I25" s="784">
        <v>0</v>
      </c>
      <c r="J25" s="784">
        <f t="shared" si="2"/>
        <v>0</v>
      </c>
      <c r="L25" s="784">
        <v>10</v>
      </c>
      <c r="M25" s="784">
        <f t="shared" si="3"/>
        <v>86.956521739130437</v>
      </c>
    </row>
    <row r="26" spans="1:13" ht="12.95" customHeight="1">
      <c r="A26" s="19" t="s">
        <v>191</v>
      </c>
      <c r="C26" s="784">
        <f t="shared" si="0"/>
        <v>29.125</v>
      </c>
      <c r="D26" s="454">
        <f t="shared" si="0"/>
        <v>100</v>
      </c>
      <c r="F26" s="784">
        <v>1</v>
      </c>
      <c r="G26" s="784">
        <f t="shared" si="1"/>
        <v>3.4334763948497855</v>
      </c>
      <c r="I26" s="784">
        <v>0</v>
      </c>
      <c r="J26" s="784">
        <f t="shared" si="2"/>
        <v>0</v>
      </c>
      <c r="L26" s="784">
        <v>28.125</v>
      </c>
      <c r="M26" s="784">
        <f t="shared" si="3"/>
        <v>96.566523605150209</v>
      </c>
    </row>
    <row r="27" spans="1:13" ht="9.75" customHeight="1">
      <c r="A27" s="4"/>
      <c r="C27" s="784" t="str">
        <f t="shared" si="0"/>
        <v/>
      </c>
      <c r="D27" s="454" t="str">
        <f t="shared" si="0"/>
        <v/>
      </c>
      <c r="G27" s="784" t="str">
        <f t="shared" si="1"/>
        <v/>
      </c>
      <c r="J27" s="784" t="str">
        <f t="shared" si="2"/>
        <v/>
      </c>
      <c r="L27" s="784" t="s">
        <v>11</v>
      </c>
      <c r="M27" s="784" t="str">
        <f t="shared" si="3"/>
        <v/>
      </c>
    </row>
    <row r="28" spans="1:13" ht="12.95" customHeight="1">
      <c r="A28" s="4" t="s">
        <v>192</v>
      </c>
      <c r="C28" s="784">
        <f t="shared" si="0"/>
        <v>149.5</v>
      </c>
      <c r="D28" s="454">
        <f t="shared" si="0"/>
        <v>100</v>
      </c>
      <c r="F28" s="784">
        <f>SUM(F30:F38)</f>
        <v>10.25</v>
      </c>
      <c r="G28" s="784">
        <f t="shared" si="1"/>
        <v>6.8561872909698991</v>
      </c>
      <c r="I28" s="784">
        <f>SUM(I30:I38)</f>
        <v>3.25</v>
      </c>
      <c r="J28" s="784">
        <f t="shared" si="2"/>
        <v>2.1739130434782608</v>
      </c>
      <c r="L28" s="784">
        <f>SUM(L30:L38)</f>
        <v>136</v>
      </c>
      <c r="M28" s="784">
        <f t="shared" si="3"/>
        <v>90.969899665551836</v>
      </c>
    </row>
    <row r="29" spans="1:13" ht="9.75" customHeight="1">
      <c r="A29" s="4"/>
      <c r="C29" s="784" t="str">
        <f t="shared" si="0"/>
        <v/>
      </c>
      <c r="D29" s="454" t="str">
        <f t="shared" si="0"/>
        <v/>
      </c>
      <c r="G29" s="784" t="str">
        <f t="shared" si="1"/>
        <v/>
      </c>
      <c r="J29" s="784" t="str">
        <f t="shared" si="2"/>
        <v/>
      </c>
      <c r="L29" s="784" t="s">
        <v>11</v>
      </c>
      <c r="M29" s="784" t="str">
        <f t="shared" si="3"/>
        <v/>
      </c>
    </row>
    <row r="30" spans="1:13" ht="12.95" customHeight="1">
      <c r="A30" s="19" t="s">
        <v>193</v>
      </c>
      <c r="C30" s="784">
        <f t="shared" si="0"/>
        <v>5</v>
      </c>
      <c r="D30" s="454">
        <f t="shared" si="0"/>
        <v>100</v>
      </c>
      <c r="F30" s="784">
        <v>1</v>
      </c>
      <c r="G30" s="784">
        <f t="shared" si="1"/>
        <v>20</v>
      </c>
      <c r="I30" s="784">
        <v>0</v>
      </c>
      <c r="J30" s="784">
        <f t="shared" si="2"/>
        <v>0</v>
      </c>
      <c r="L30" s="784">
        <v>4</v>
      </c>
      <c r="M30" s="784">
        <f t="shared" si="3"/>
        <v>80</v>
      </c>
    </row>
    <row r="31" spans="1:13" ht="12.95" customHeight="1">
      <c r="A31" s="19" t="s">
        <v>194</v>
      </c>
      <c r="C31" s="784">
        <f t="shared" si="0"/>
        <v>17</v>
      </c>
      <c r="D31" s="454">
        <f t="shared" si="0"/>
        <v>99.999999999999986</v>
      </c>
      <c r="F31" s="784">
        <v>1</v>
      </c>
      <c r="G31" s="784">
        <f t="shared" si="1"/>
        <v>5.8823529411764701</v>
      </c>
      <c r="I31" s="784">
        <v>0</v>
      </c>
      <c r="J31" s="784">
        <f t="shared" si="2"/>
        <v>0</v>
      </c>
      <c r="L31" s="784">
        <v>16</v>
      </c>
      <c r="M31" s="784">
        <f t="shared" si="3"/>
        <v>94.117647058823522</v>
      </c>
    </row>
    <row r="32" spans="1:13" ht="12.95" customHeight="1">
      <c r="A32" s="19" t="s">
        <v>195</v>
      </c>
      <c r="C32" s="784">
        <f t="shared" si="0"/>
        <v>3</v>
      </c>
      <c r="D32" s="454">
        <f t="shared" si="0"/>
        <v>99.999999999999986</v>
      </c>
      <c r="F32" s="784">
        <v>1</v>
      </c>
      <c r="G32" s="784">
        <f t="shared" si="1"/>
        <v>33.333333333333329</v>
      </c>
      <c r="I32" s="784">
        <v>0</v>
      </c>
      <c r="J32" s="784">
        <f t="shared" si="2"/>
        <v>0</v>
      </c>
      <c r="L32" s="784">
        <v>2</v>
      </c>
      <c r="M32" s="784">
        <f t="shared" si="3"/>
        <v>66.666666666666657</v>
      </c>
    </row>
    <row r="33" spans="1:13" ht="12.95" customHeight="1">
      <c r="A33" s="19" t="s">
        <v>196</v>
      </c>
      <c r="C33" s="784">
        <f t="shared" si="0"/>
        <v>19.5</v>
      </c>
      <c r="D33" s="454">
        <f t="shared" si="0"/>
        <v>99.999999999999986</v>
      </c>
      <c r="F33" s="784">
        <v>1</v>
      </c>
      <c r="G33" s="784">
        <f t="shared" si="1"/>
        <v>5.1282051282051277</v>
      </c>
      <c r="I33" s="784">
        <v>0</v>
      </c>
      <c r="J33" s="784">
        <f t="shared" si="2"/>
        <v>0</v>
      </c>
      <c r="L33" s="784">
        <v>18.5</v>
      </c>
      <c r="M33" s="784">
        <f t="shared" si="3"/>
        <v>94.871794871794862</v>
      </c>
    </row>
    <row r="34" spans="1:13" ht="12.95" customHeight="1">
      <c r="A34" s="19" t="s">
        <v>197</v>
      </c>
      <c r="C34" s="784">
        <f t="shared" si="0"/>
        <v>18.25</v>
      </c>
      <c r="D34" s="454">
        <f t="shared" si="0"/>
        <v>100</v>
      </c>
      <c r="F34" s="784">
        <v>2.25</v>
      </c>
      <c r="G34" s="784">
        <f t="shared" si="1"/>
        <v>12.328767123287671</v>
      </c>
      <c r="I34" s="784">
        <v>0</v>
      </c>
      <c r="J34" s="784">
        <f t="shared" si="2"/>
        <v>0</v>
      </c>
      <c r="L34" s="784">
        <v>16</v>
      </c>
      <c r="M34" s="784">
        <f t="shared" si="3"/>
        <v>87.671232876712324</v>
      </c>
    </row>
    <row r="35" spans="1:13" ht="12.95" customHeight="1">
      <c r="A35" s="19" t="s">
        <v>198</v>
      </c>
      <c r="C35" s="784">
        <f t="shared" si="0"/>
        <v>35</v>
      </c>
      <c r="D35" s="454">
        <f t="shared" si="0"/>
        <v>100</v>
      </c>
      <c r="F35" s="784">
        <v>1</v>
      </c>
      <c r="G35" s="784">
        <f t="shared" si="1"/>
        <v>2.8571428571428572</v>
      </c>
      <c r="I35" s="784">
        <v>0</v>
      </c>
      <c r="J35" s="784">
        <f t="shared" si="2"/>
        <v>0</v>
      </c>
      <c r="L35" s="784">
        <v>34</v>
      </c>
      <c r="M35" s="784">
        <f t="shared" si="3"/>
        <v>97.142857142857139</v>
      </c>
    </row>
    <row r="36" spans="1:13" ht="12.95" customHeight="1">
      <c r="A36" s="19" t="s">
        <v>199</v>
      </c>
      <c r="C36" s="784">
        <f t="shared" si="0"/>
        <v>20.25</v>
      </c>
      <c r="D36" s="454">
        <f t="shared" si="0"/>
        <v>100</v>
      </c>
      <c r="F36" s="784">
        <v>1</v>
      </c>
      <c r="G36" s="784">
        <f t="shared" si="1"/>
        <v>4.9382716049382713</v>
      </c>
      <c r="I36" s="784">
        <v>1.75</v>
      </c>
      <c r="J36" s="784">
        <f t="shared" si="2"/>
        <v>8.6419753086419746</v>
      </c>
      <c r="L36" s="784">
        <v>17.5</v>
      </c>
      <c r="M36" s="784">
        <f t="shared" si="3"/>
        <v>86.419753086419746</v>
      </c>
    </row>
    <row r="37" spans="1:13" ht="12.95" customHeight="1">
      <c r="A37" s="19" t="s">
        <v>200</v>
      </c>
      <c r="C37" s="784">
        <f t="shared" si="0"/>
        <v>14.5</v>
      </c>
      <c r="D37" s="454">
        <f t="shared" si="0"/>
        <v>100</v>
      </c>
      <c r="F37" s="784">
        <v>1</v>
      </c>
      <c r="G37" s="784">
        <f t="shared" si="1"/>
        <v>6.8965517241379306</v>
      </c>
      <c r="I37" s="784">
        <v>1.5</v>
      </c>
      <c r="J37" s="784">
        <f t="shared" si="2"/>
        <v>10.344827586206897</v>
      </c>
      <c r="L37" s="784">
        <v>12</v>
      </c>
      <c r="M37" s="784">
        <f t="shared" si="3"/>
        <v>82.758620689655174</v>
      </c>
    </row>
    <row r="38" spans="1:13" ht="12.95" customHeight="1">
      <c r="A38" s="19" t="s">
        <v>201</v>
      </c>
      <c r="C38" s="784">
        <f t="shared" si="0"/>
        <v>17</v>
      </c>
      <c r="D38" s="454">
        <f t="shared" si="0"/>
        <v>99.999999999999986</v>
      </c>
      <c r="F38" s="784">
        <v>1</v>
      </c>
      <c r="G38" s="784">
        <f t="shared" si="1"/>
        <v>5.8823529411764701</v>
      </c>
      <c r="I38" s="784">
        <v>0</v>
      </c>
      <c r="J38" s="784">
        <f t="shared" si="2"/>
        <v>0</v>
      </c>
      <c r="L38" s="784">
        <v>16</v>
      </c>
      <c r="M38" s="784">
        <f t="shared" si="3"/>
        <v>94.117647058823522</v>
      </c>
    </row>
    <row r="39" spans="1:13" ht="9" customHeight="1">
      <c r="C39" s="784" t="str">
        <f t="shared" si="0"/>
        <v/>
      </c>
      <c r="D39" s="454" t="str">
        <f t="shared" si="0"/>
        <v/>
      </c>
      <c r="G39" s="784" t="str">
        <f t="shared" si="1"/>
        <v/>
      </c>
      <c r="J39" s="784" t="str">
        <f t="shared" si="2"/>
        <v/>
      </c>
      <c r="L39" s="784" t="s">
        <v>11</v>
      </c>
      <c r="M39" s="784" t="str">
        <f t="shared" si="3"/>
        <v/>
      </c>
    </row>
    <row r="40" spans="1:13" ht="12.95" customHeight="1">
      <c r="A40" s="455" t="s">
        <v>202</v>
      </c>
      <c r="C40" s="784">
        <f t="shared" si="0"/>
        <v>278.57499999999999</v>
      </c>
      <c r="D40" s="454">
        <f t="shared" si="0"/>
        <v>100</v>
      </c>
      <c r="F40" s="784">
        <f>SUM(F42:F51)</f>
        <v>21.5</v>
      </c>
      <c r="G40" s="784">
        <f t="shared" si="1"/>
        <v>7.7178497711567804</v>
      </c>
      <c r="I40" s="784">
        <f>SUM(I42:I51)</f>
        <v>1</v>
      </c>
      <c r="J40" s="784">
        <f t="shared" si="2"/>
        <v>0.35896975679798976</v>
      </c>
      <c r="L40" s="784">
        <f>SUM(L42:L51)</f>
        <v>256.07499999999999</v>
      </c>
      <c r="M40" s="784">
        <f t="shared" si="3"/>
        <v>91.923180472045232</v>
      </c>
    </row>
    <row r="41" spans="1:13" ht="9" customHeight="1">
      <c r="C41" s="784" t="str">
        <f t="shared" si="0"/>
        <v/>
      </c>
      <c r="D41" s="454" t="str">
        <f t="shared" si="0"/>
        <v/>
      </c>
      <c r="G41" s="784" t="str">
        <f t="shared" si="1"/>
        <v/>
      </c>
      <c r="J41" s="784" t="str">
        <f t="shared" si="2"/>
        <v/>
      </c>
      <c r="L41" s="784" t="s">
        <v>11</v>
      </c>
      <c r="M41" s="784" t="str">
        <f t="shared" si="3"/>
        <v/>
      </c>
    </row>
    <row r="42" spans="1:13" ht="12.95" customHeight="1">
      <c r="A42" s="455" t="s">
        <v>203</v>
      </c>
      <c r="C42" s="784">
        <f t="shared" si="0"/>
        <v>32.5</v>
      </c>
      <c r="D42" s="454">
        <f t="shared" si="0"/>
        <v>100</v>
      </c>
      <c r="F42" s="784">
        <v>0</v>
      </c>
      <c r="G42" s="784">
        <f t="shared" si="1"/>
        <v>0</v>
      </c>
      <c r="I42" s="784">
        <v>0</v>
      </c>
      <c r="J42" s="784">
        <f t="shared" si="2"/>
        <v>0</v>
      </c>
      <c r="L42" s="784">
        <v>32.5</v>
      </c>
      <c r="M42" s="784">
        <f t="shared" si="3"/>
        <v>100</v>
      </c>
    </row>
    <row r="43" spans="1:13" ht="12.95" customHeight="1">
      <c r="A43" s="455" t="s">
        <v>204</v>
      </c>
      <c r="C43" s="784">
        <f t="shared" si="0"/>
        <v>35</v>
      </c>
      <c r="D43" s="454">
        <f t="shared" si="0"/>
        <v>100</v>
      </c>
      <c r="F43" s="784">
        <v>0</v>
      </c>
      <c r="G43" s="784">
        <f t="shared" si="1"/>
        <v>0</v>
      </c>
      <c r="I43" s="784">
        <v>0</v>
      </c>
      <c r="J43" s="784">
        <f t="shared" si="2"/>
        <v>0</v>
      </c>
      <c r="L43" s="784">
        <v>35</v>
      </c>
      <c r="M43" s="784">
        <f t="shared" si="3"/>
        <v>100</v>
      </c>
    </row>
    <row r="44" spans="1:13" ht="12.95" customHeight="1">
      <c r="A44" s="455" t="s">
        <v>205</v>
      </c>
      <c r="C44" s="784">
        <f t="shared" si="0"/>
        <v>17.824999999999999</v>
      </c>
      <c r="D44" s="454">
        <f t="shared" si="0"/>
        <v>100</v>
      </c>
      <c r="F44" s="784">
        <v>0</v>
      </c>
      <c r="G44" s="784">
        <f t="shared" si="1"/>
        <v>0</v>
      </c>
      <c r="I44" s="784">
        <v>0</v>
      </c>
      <c r="J44" s="784">
        <f t="shared" si="2"/>
        <v>0</v>
      </c>
      <c r="L44" s="784">
        <v>17.824999999999999</v>
      </c>
      <c r="M44" s="784">
        <f t="shared" si="3"/>
        <v>100</v>
      </c>
    </row>
    <row r="45" spans="1:13" ht="12.95" customHeight="1">
      <c r="A45" s="455" t="s">
        <v>206</v>
      </c>
      <c r="C45" s="784">
        <f t="shared" si="0"/>
        <v>28.75</v>
      </c>
      <c r="D45" s="454">
        <f t="shared" si="0"/>
        <v>100</v>
      </c>
      <c r="F45" s="784">
        <v>0</v>
      </c>
      <c r="G45" s="784">
        <f t="shared" si="1"/>
        <v>0</v>
      </c>
      <c r="I45" s="784">
        <v>0</v>
      </c>
      <c r="J45" s="784">
        <f t="shared" si="2"/>
        <v>0</v>
      </c>
      <c r="L45" s="784">
        <v>28.75</v>
      </c>
      <c r="M45" s="784">
        <f t="shared" si="3"/>
        <v>100</v>
      </c>
    </row>
    <row r="46" spans="1:13" ht="12.95" customHeight="1">
      <c r="A46" s="455" t="s">
        <v>207</v>
      </c>
      <c r="C46" s="784">
        <f t="shared" si="0"/>
        <v>18</v>
      </c>
      <c r="D46" s="454">
        <f t="shared" si="0"/>
        <v>100</v>
      </c>
      <c r="F46" s="784">
        <v>2</v>
      </c>
      <c r="G46" s="784">
        <f t="shared" si="1"/>
        <v>11.111111111111111</v>
      </c>
      <c r="I46" s="784">
        <v>0</v>
      </c>
      <c r="J46" s="784">
        <f t="shared" si="2"/>
        <v>0</v>
      </c>
      <c r="L46" s="784">
        <v>16</v>
      </c>
      <c r="M46" s="784">
        <f t="shared" si="3"/>
        <v>88.888888888888886</v>
      </c>
    </row>
    <row r="47" spans="1:13" ht="12.95" customHeight="1">
      <c r="A47" s="455" t="s">
        <v>208</v>
      </c>
      <c r="C47" s="784">
        <f t="shared" si="0"/>
        <v>86.5</v>
      </c>
      <c r="D47" s="454">
        <f t="shared" si="0"/>
        <v>100</v>
      </c>
      <c r="F47" s="784">
        <v>0</v>
      </c>
      <c r="G47" s="784">
        <f t="shared" si="1"/>
        <v>0</v>
      </c>
      <c r="I47" s="784">
        <v>0</v>
      </c>
      <c r="J47" s="784">
        <f t="shared" si="2"/>
        <v>0</v>
      </c>
      <c r="L47" s="784">
        <v>86.5</v>
      </c>
      <c r="M47" s="784">
        <f t="shared" si="3"/>
        <v>100</v>
      </c>
    </row>
    <row r="48" spans="1:13" ht="12.95" customHeight="1">
      <c r="A48" s="455" t="s">
        <v>209</v>
      </c>
      <c r="C48" s="784">
        <f t="shared" si="0"/>
        <v>4.5</v>
      </c>
      <c r="D48" s="454">
        <f t="shared" si="0"/>
        <v>99.999999999999986</v>
      </c>
      <c r="F48" s="784">
        <v>1.5</v>
      </c>
      <c r="G48" s="784">
        <f t="shared" si="1"/>
        <v>33.333333333333329</v>
      </c>
      <c r="I48" s="784">
        <v>0</v>
      </c>
      <c r="J48" s="784">
        <f t="shared" si="2"/>
        <v>0</v>
      </c>
      <c r="L48" s="784">
        <v>3</v>
      </c>
      <c r="M48" s="784">
        <f t="shared" si="3"/>
        <v>66.666666666666657</v>
      </c>
    </row>
    <row r="49" spans="1:13" ht="12.95" customHeight="1">
      <c r="A49" s="455" t="s">
        <v>210</v>
      </c>
      <c r="C49" s="784">
        <f t="shared" si="0"/>
        <v>9</v>
      </c>
      <c r="D49" s="454">
        <f t="shared" si="0"/>
        <v>100</v>
      </c>
      <c r="F49" s="784">
        <v>5</v>
      </c>
      <c r="G49" s="784">
        <f t="shared" si="1"/>
        <v>55.555555555555557</v>
      </c>
      <c r="I49" s="784">
        <v>0</v>
      </c>
      <c r="J49" s="784">
        <f t="shared" si="2"/>
        <v>0</v>
      </c>
      <c r="L49" s="784">
        <v>4</v>
      </c>
      <c r="M49" s="784">
        <f t="shared" si="3"/>
        <v>44.444444444444443</v>
      </c>
    </row>
    <row r="50" spans="1:13" ht="12.95" customHeight="1">
      <c r="A50" s="455" t="s">
        <v>211</v>
      </c>
      <c r="C50" s="784">
        <f t="shared" si="0"/>
        <v>38.5</v>
      </c>
      <c r="D50" s="454">
        <f t="shared" si="0"/>
        <v>100</v>
      </c>
      <c r="F50" s="784">
        <v>13</v>
      </c>
      <c r="G50" s="784">
        <f t="shared" si="1"/>
        <v>33.766233766233768</v>
      </c>
      <c r="I50" s="784">
        <v>1</v>
      </c>
      <c r="J50" s="784">
        <f t="shared" si="2"/>
        <v>2.5974025974025974</v>
      </c>
      <c r="L50" s="784">
        <v>24.5</v>
      </c>
      <c r="M50" s="784">
        <f t="shared" si="3"/>
        <v>63.636363636363633</v>
      </c>
    </row>
    <row r="51" spans="1:13" ht="12.95" customHeight="1">
      <c r="A51" s="455" t="s">
        <v>212</v>
      </c>
      <c r="C51" s="784">
        <f t="shared" si="0"/>
        <v>8</v>
      </c>
      <c r="D51" s="454">
        <f t="shared" si="0"/>
        <v>100</v>
      </c>
      <c r="F51" s="784">
        <v>0</v>
      </c>
      <c r="G51" s="784">
        <f t="shared" si="1"/>
        <v>0</v>
      </c>
      <c r="I51" s="784">
        <v>0</v>
      </c>
      <c r="J51" s="784">
        <f t="shared" si="2"/>
        <v>0</v>
      </c>
      <c r="L51" s="784">
        <v>8</v>
      </c>
      <c r="M51" s="784">
        <f t="shared" si="3"/>
        <v>100</v>
      </c>
    </row>
    <row r="52" spans="1:13" ht="8.25" customHeight="1">
      <c r="C52" s="784" t="str">
        <f t="shared" si="0"/>
        <v/>
      </c>
      <c r="D52" s="454" t="str">
        <f t="shared" si="0"/>
        <v/>
      </c>
      <c r="G52" s="784" t="str">
        <f t="shared" si="1"/>
        <v/>
      </c>
      <c r="J52" s="784" t="str">
        <f t="shared" si="2"/>
        <v/>
      </c>
      <c r="L52" s="784" t="s">
        <v>11</v>
      </c>
      <c r="M52" s="784" t="str">
        <f t="shared" si="3"/>
        <v/>
      </c>
    </row>
    <row r="53" spans="1:13" ht="12.95" customHeight="1">
      <c r="A53" s="9" t="s">
        <v>213</v>
      </c>
      <c r="C53" s="784">
        <f t="shared" si="0"/>
        <v>1</v>
      </c>
      <c r="D53" s="454">
        <f t="shared" si="0"/>
        <v>100</v>
      </c>
      <c r="F53" s="784">
        <f>SUM(F55)</f>
        <v>1</v>
      </c>
      <c r="G53" s="784">
        <f t="shared" si="1"/>
        <v>100</v>
      </c>
      <c r="I53" s="784">
        <f>SUM(I55)</f>
        <v>0</v>
      </c>
      <c r="J53" s="784">
        <f t="shared" si="2"/>
        <v>0</v>
      </c>
      <c r="L53" s="784">
        <f>SUM(L55)</f>
        <v>0</v>
      </c>
      <c r="M53" s="784">
        <f t="shared" si="3"/>
        <v>0</v>
      </c>
    </row>
    <row r="54" spans="1:13" ht="9.75" customHeight="1">
      <c r="C54" s="784" t="str">
        <f t="shared" si="0"/>
        <v/>
      </c>
      <c r="D54" s="454" t="str">
        <f t="shared" si="0"/>
        <v/>
      </c>
      <c r="G54" s="784" t="str">
        <f t="shared" si="1"/>
        <v/>
      </c>
      <c r="J54" s="784" t="str">
        <f t="shared" si="2"/>
        <v/>
      </c>
      <c r="L54" s="784" t="s">
        <v>11</v>
      </c>
      <c r="M54" s="784" t="str">
        <f t="shared" si="3"/>
        <v/>
      </c>
    </row>
    <row r="55" spans="1:13" ht="12.95" customHeight="1">
      <c r="A55" s="19" t="s">
        <v>244</v>
      </c>
      <c r="C55" s="784">
        <f>IF($A55&lt;&gt;0,F55+I55+L55,"")</f>
        <v>1</v>
      </c>
      <c r="D55" s="454">
        <f>IF($A55&lt;&gt;0,G55+J55+M55,"")</f>
        <v>100</v>
      </c>
      <c r="F55" s="784">
        <v>1</v>
      </c>
      <c r="G55" s="784">
        <f>IF($A55&lt;&gt;0,F55/$C55*100,"")</f>
        <v>100</v>
      </c>
      <c r="I55" s="784">
        <v>0</v>
      </c>
      <c r="J55" s="784">
        <f>IF($A55&lt;&gt;0,I55/$C55*100,"")</f>
        <v>0</v>
      </c>
      <c r="L55" s="784">
        <v>0</v>
      </c>
      <c r="M55" s="784">
        <f>IF($A55&lt;&gt;0,L55/$C55*100,"")</f>
        <v>0</v>
      </c>
    </row>
    <row r="56" spans="1:13" ht="6.75" customHeight="1" thickBot="1">
      <c r="A56" s="503"/>
      <c r="B56" s="445"/>
      <c r="C56" s="787"/>
      <c r="D56" s="503"/>
      <c r="E56" s="503"/>
      <c r="F56" s="787"/>
      <c r="G56" s="787"/>
      <c r="H56" s="787"/>
      <c r="I56" s="787"/>
      <c r="J56" s="787"/>
      <c r="K56" s="787"/>
      <c r="L56" s="787"/>
      <c r="M56" s="787"/>
    </row>
    <row r="57" spans="1:13" ht="9" customHeight="1"/>
    <row r="58" spans="1:13" ht="12.95" customHeight="1">
      <c r="A58" s="4" t="s">
        <v>249</v>
      </c>
    </row>
    <row r="59" spans="1:13" ht="12.95" customHeight="1">
      <c r="A59" s="455" t="s">
        <v>250</v>
      </c>
    </row>
    <row r="60" spans="1:13" ht="12.95" customHeight="1"/>
    <row r="61" spans="1:13" ht="12.95" customHeight="1">
      <c r="A61" s="791"/>
    </row>
  </sheetData>
  <mergeCells count="2">
    <mergeCell ref="C7:M7"/>
    <mergeCell ref="C8:D8"/>
  </mergeCells>
  <printOptions horizontalCentered="1" verticalCentered="1"/>
  <pageMargins left="0" right="0" top="0" bottom="0" header="0.31496062992125984" footer="0.31496062992125984"/>
  <pageSetup paperSize="9" scale="70" orientation="portrait" r:id="rId1"/>
</worksheet>
</file>

<file path=xl/worksheets/sheet139.xml><?xml version="1.0" encoding="utf-8"?>
<worksheet xmlns="http://schemas.openxmlformats.org/spreadsheetml/2006/main" xmlns:r="http://schemas.openxmlformats.org/officeDocument/2006/relationships">
  <sheetPr>
    <tabColor theme="5" tint="0.59999389629810485"/>
  </sheetPr>
  <dimension ref="B1:K5"/>
  <sheetViews>
    <sheetView workbookViewId="0">
      <selection activeCell="J3" sqref="J3"/>
    </sheetView>
  </sheetViews>
  <sheetFormatPr baseColWidth="10" defaultRowHeight="15"/>
  <sheetData>
    <row r="1" spans="2:11" ht="12.75" customHeight="1"/>
    <row r="2" spans="2:11" ht="12.75" customHeight="1">
      <c r="J2" s="32"/>
    </row>
    <row r="3" spans="2:11" ht="12.75" customHeight="1">
      <c r="B3" s="42" t="s">
        <v>8</v>
      </c>
      <c r="C3" s="42" t="s">
        <v>6</v>
      </c>
      <c r="D3" s="42" t="s">
        <v>1966</v>
      </c>
      <c r="H3" s="33"/>
    </row>
    <row r="4" spans="2:11" ht="12.75" customHeight="1">
      <c r="B4" s="606">
        <v>87.76</v>
      </c>
      <c r="C4" s="606">
        <v>9.0500000000000007</v>
      </c>
      <c r="D4" s="606">
        <v>3.19</v>
      </c>
      <c r="H4" s="34"/>
      <c r="K4" s="35"/>
    </row>
    <row r="5" spans="2:11">
      <c r="C5" t="s">
        <v>11</v>
      </c>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sheetPr>
    <tabColor theme="5" tint="0.59999389629810485"/>
  </sheetPr>
  <dimension ref="B2:O52"/>
  <sheetViews>
    <sheetView workbookViewId="0">
      <selection activeCell="M23" sqref="M23"/>
    </sheetView>
  </sheetViews>
  <sheetFormatPr baseColWidth="10" defaultRowHeight="15"/>
  <sheetData>
    <row r="2" spans="2:14">
      <c r="F2" s="42"/>
      <c r="G2" s="42"/>
      <c r="H2" s="42"/>
      <c r="I2" s="42"/>
      <c r="K2" s="42"/>
      <c r="L2" s="42"/>
      <c r="M2" s="42"/>
      <c r="N2" s="42"/>
    </row>
    <row r="3" spans="2:14">
      <c r="C3" t="s">
        <v>293</v>
      </c>
      <c r="D3" t="s">
        <v>294</v>
      </c>
      <c r="F3" s="41"/>
      <c r="G3" s="41"/>
      <c r="H3" s="41"/>
      <c r="I3" s="41"/>
      <c r="J3" s="42"/>
      <c r="K3" s="31"/>
      <c r="L3" s="31"/>
      <c r="M3" s="31"/>
      <c r="N3" s="31"/>
    </row>
    <row r="4" spans="2:14">
      <c r="B4" t="s">
        <v>295</v>
      </c>
      <c r="C4" s="43">
        <v>57.07</v>
      </c>
      <c r="D4" s="42">
        <v>56.59</v>
      </c>
      <c r="F4" s="43"/>
      <c r="G4" s="42"/>
      <c r="M4" s="31"/>
      <c r="N4" s="31"/>
    </row>
    <row r="5" spans="2:14">
      <c r="B5" t="s">
        <v>296</v>
      </c>
      <c r="C5" s="31">
        <v>11.65</v>
      </c>
      <c r="D5" s="31">
        <v>11.41</v>
      </c>
      <c r="F5" s="31"/>
      <c r="G5" s="31"/>
      <c r="H5" s="31"/>
      <c r="I5" s="31"/>
      <c r="J5" s="31"/>
      <c r="K5" s="31"/>
    </row>
    <row r="6" spans="2:14">
      <c r="B6" t="s">
        <v>297</v>
      </c>
      <c r="C6" s="43">
        <v>30.8</v>
      </c>
      <c r="D6" s="31">
        <v>31.24</v>
      </c>
      <c r="E6" s="44"/>
      <c r="F6" s="43"/>
      <c r="G6" s="31"/>
      <c r="H6" s="31"/>
      <c r="I6" s="31"/>
      <c r="J6" s="31"/>
      <c r="K6" s="31"/>
    </row>
    <row r="7" spans="2:14">
      <c r="B7" s="42" t="s">
        <v>298</v>
      </c>
      <c r="C7" s="43">
        <v>0.32</v>
      </c>
      <c r="D7" s="31">
        <v>0.59</v>
      </c>
      <c r="E7" s="44"/>
      <c r="F7" s="43"/>
      <c r="G7" s="31"/>
      <c r="H7" s="31"/>
      <c r="I7" s="31"/>
      <c r="J7" s="31"/>
      <c r="K7" s="31"/>
    </row>
    <row r="8" spans="2:14">
      <c r="B8" t="s">
        <v>299</v>
      </c>
      <c r="C8" s="43">
        <v>0.16</v>
      </c>
      <c r="D8" s="31">
        <v>0.16</v>
      </c>
      <c r="E8" s="44"/>
      <c r="F8" s="43"/>
      <c r="G8" s="31"/>
    </row>
    <row r="52" spans="3:15">
      <c r="C52" s="31"/>
      <c r="F52" s="31"/>
      <c r="I52" s="31"/>
      <c r="L52" s="31"/>
      <c r="O52" s="31"/>
    </row>
  </sheetData>
  <printOptions horizontalCentered="1" verticalCentered="1"/>
  <pageMargins left="0" right="0" top="0" bottom="0" header="0.31496062992125984" footer="0.31496062992125984"/>
  <pageSetup paperSize="9" orientation="landscape" r:id="rId1"/>
  <drawing r:id="rId2"/>
</worksheet>
</file>

<file path=xl/worksheets/sheet140.xml><?xml version="1.0" encoding="utf-8"?>
<worksheet xmlns="http://schemas.openxmlformats.org/spreadsheetml/2006/main" xmlns:r="http://schemas.openxmlformats.org/officeDocument/2006/relationships">
  <dimension ref="A1:J57"/>
  <sheetViews>
    <sheetView workbookViewId="0"/>
  </sheetViews>
  <sheetFormatPr baseColWidth="10" defaultColWidth="8.85546875" defaultRowHeight="15.75"/>
  <cols>
    <col min="1" max="1" width="43.7109375" style="339" customWidth="1"/>
    <col min="2" max="2" width="16.7109375" style="553" customWidth="1"/>
    <col min="3" max="3" width="22.5703125" style="553" customWidth="1"/>
    <col min="4" max="4" width="3.42578125" style="295" customWidth="1"/>
    <col min="5" max="5" width="20.7109375" style="553" customWidth="1"/>
    <col min="6" max="6" width="3.5703125" style="553" hidden="1" customWidth="1"/>
    <col min="7" max="7" width="3" customWidth="1"/>
    <col min="8" max="8" width="11.7109375" customWidth="1"/>
    <col min="257" max="257" width="43.7109375" customWidth="1"/>
    <col min="258" max="258" width="16.7109375" customWidth="1"/>
    <col min="259" max="259" width="22.5703125" customWidth="1"/>
    <col min="260" max="260" width="3.42578125" customWidth="1"/>
    <col min="261" max="261" width="20.7109375" customWidth="1"/>
    <col min="262" max="262" width="0" hidden="1" customWidth="1"/>
    <col min="263" max="263" width="3" customWidth="1"/>
    <col min="264" max="264" width="11.7109375" customWidth="1"/>
    <col min="513" max="513" width="43.7109375" customWidth="1"/>
    <col min="514" max="514" width="16.7109375" customWidth="1"/>
    <col min="515" max="515" width="22.5703125" customWidth="1"/>
    <col min="516" max="516" width="3.42578125" customWidth="1"/>
    <col min="517" max="517" width="20.7109375" customWidth="1"/>
    <col min="518" max="518" width="0" hidden="1" customWidth="1"/>
    <col min="519" max="519" width="3" customWidth="1"/>
    <col min="520" max="520" width="11.7109375" customWidth="1"/>
    <col min="769" max="769" width="43.7109375" customWidth="1"/>
    <col min="770" max="770" width="16.7109375" customWidth="1"/>
    <col min="771" max="771" width="22.5703125" customWidth="1"/>
    <col min="772" max="772" width="3.42578125" customWidth="1"/>
    <col min="773" max="773" width="20.7109375" customWidth="1"/>
    <col min="774" max="774" width="0" hidden="1" customWidth="1"/>
    <col min="775" max="775" width="3" customWidth="1"/>
    <col min="776" max="776" width="11.7109375" customWidth="1"/>
    <col min="1025" max="1025" width="43.7109375" customWidth="1"/>
    <col min="1026" max="1026" width="16.7109375" customWidth="1"/>
    <col min="1027" max="1027" width="22.5703125" customWidth="1"/>
    <col min="1028" max="1028" width="3.42578125" customWidth="1"/>
    <col min="1029" max="1029" width="20.7109375" customWidth="1"/>
    <col min="1030" max="1030" width="0" hidden="1" customWidth="1"/>
    <col min="1031" max="1031" width="3" customWidth="1"/>
    <col min="1032" max="1032" width="11.7109375" customWidth="1"/>
    <col min="1281" max="1281" width="43.7109375" customWidth="1"/>
    <col min="1282" max="1282" width="16.7109375" customWidth="1"/>
    <col min="1283" max="1283" width="22.5703125" customWidth="1"/>
    <col min="1284" max="1284" width="3.42578125" customWidth="1"/>
    <col min="1285" max="1285" width="20.7109375" customWidth="1"/>
    <col min="1286" max="1286" width="0" hidden="1" customWidth="1"/>
    <col min="1287" max="1287" width="3" customWidth="1"/>
    <col min="1288" max="1288" width="11.7109375" customWidth="1"/>
    <col min="1537" max="1537" width="43.7109375" customWidth="1"/>
    <col min="1538" max="1538" width="16.7109375" customWidth="1"/>
    <col min="1539" max="1539" width="22.5703125" customWidth="1"/>
    <col min="1540" max="1540" width="3.42578125" customWidth="1"/>
    <col min="1541" max="1541" width="20.7109375" customWidth="1"/>
    <col min="1542" max="1542" width="0" hidden="1" customWidth="1"/>
    <col min="1543" max="1543" width="3" customWidth="1"/>
    <col min="1544" max="1544" width="11.7109375" customWidth="1"/>
    <col min="1793" max="1793" width="43.7109375" customWidth="1"/>
    <col min="1794" max="1794" width="16.7109375" customWidth="1"/>
    <col min="1795" max="1795" width="22.5703125" customWidth="1"/>
    <col min="1796" max="1796" width="3.42578125" customWidth="1"/>
    <col min="1797" max="1797" width="20.7109375" customWidth="1"/>
    <col min="1798" max="1798" width="0" hidden="1" customWidth="1"/>
    <col min="1799" max="1799" width="3" customWidth="1"/>
    <col min="1800" max="1800" width="11.7109375" customWidth="1"/>
    <col min="2049" max="2049" width="43.7109375" customWidth="1"/>
    <col min="2050" max="2050" width="16.7109375" customWidth="1"/>
    <col min="2051" max="2051" width="22.5703125" customWidth="1"/>
    <col min="2052" max="2052" width="3.42578125" customWidth="1"/>
    <col min="2053" max="2053" width="20.7109375" customWidth="1"/>
    <col min="2054" max="2054" width="0" hidden="1" customWidth="1"/>
    <col min="2055" max="2055" width="3" customWidth="1"/>
    <col min="2056" max="2056" width="11.7109375" customWidth="1"/>
    <col min="2305" max="2305" width="43.7109375" customWidth="1"/>
    <col min="2306" max="2306" width="16.7109375" customWidth="1"/>
    <col min="2307" max="2307" width="22.5703125" customWidth="1"/>
    <col min="2308" max="2308" width="3.42578125" customWidth="1"/>
    <col min="2309" max="2309" width="20.7109375" customWidth="1"/>
    <col min="2310" max="2310" width="0" hidden="1" customWidth="1"/>
    <col min="2311" max="2311" width="3" customWidth="1"/>
    <col min="2312" max="2312" width="11.7109375" customWidth="1"/>
    <col min="2561" max="2561" width="43.7109375" customWidth="1"/>
    <col min="2562" max="2562" width="16.7109375" customWidth="1"/>
    <col min="2563" max="2563" width="22.5703125" customWidth="1"/>
    <col min="2564" max="2564" width="3.42578125" customWidth="1"/>
    <col min="2565" max="2565" width="20.7109375" customWidth="1"/>
    <col min="2566" max="2566" width="0" hidden="1" customWidth="1"/>
    <col min="2567" max="2567" width="3" customWidth="1"/>
    <col min="2568" max="2568" width="11.7109375" customWidth="1"/>
    <col min="2817" max="2817" width="43.7109375" customWidth="1"/>
    <col min="2818" max="2818" width="16.7109375" customWidth="1"/>
    <col min="2819" max="2819" width="22.5703125" customWidth="1"/>
    <col min="2820" max="2820" width="3.42578125" customWidth="1"/>
    <col min="2821" max="2821" width="20.7109375" customWidth="1"/>
    <col min="2822" max="2822" width="0" hidden="1" customWidth="1"/>
    <col min="2823" max="2823" width="3" customWidth="1"/>
    <col min="2824" max="2824" width="11.7109375" customWidth="1"/>
    <col min="3073" max="3073" width="43.7109375" customWidth="1"/>
    <col min="3074" max="3074" width="16.7109375" customWidth="1"/>
    <col min="3075" max="3075" width="22.5703125" customWidth="1"/>
    <col min="3076" max="3076" width="3.42578125" customWidth="1"/>
    <col min="3077" max="3077" width="20.7109375" customWidth="1"/>
    <col min="3078" max="3078" width="0" hidden="1" customWidth="1"/>
    <col min="3079" max="3079" width="3" customWidth="1"/>
    <col min="3080" max="3080" width="11.7109375" customWidth="1"/>
    <col min="3329" max="3329" width="43.7109375" customWidth="1"/>
    <col min="3330" max="3330" width="16.7109375" customWidth="1"/>
    <col min="3331" max="3331" width="22.5703125" customWidth="1"/>
    <col min="3332" max="3332" width="3.42578125" customWidth="1"/>
    <col min="3333" max="3333" width="20.7109375" customWidth="1"/>
    <col min="3334" max="3334" width="0" hidden="1" customWidth="1"/>
    <col min="3335" max="3335" width="3" customWidth="1"/>
    <col min="3336" max="3336" width="11.7109375" customWidth="1"/>
    <col min="3585" max="3585" width="43.7109375" customWidth="1"/>
    <col min="3586" max="3586" width="16.7109375" customWidth="1"/>
    <col min="3587" max="3587" width="22.5703125" customWidth="1"/>
    <col min="3588" max="3588" width="3.42578125" customWidth="1"/>
    <col min="3589" max="3589" width="20.7109375" customWidth="1"/>
    <col min="3590" max="3590" width="0" hidden="1" customWidth="1"/>
    <col min="3591" max="3591" width="3" customWidth="1"/>
    <col min="3592" max="3592" width="11.7109375" customWidth="1"/>
    <col min="3841" max="3841" width="43.7109375" customWidth="1"/>
    <col min="3842" max="3842" width="16.7109375" customWidth="1"/>
    <col min="3843" max="3843" width="22.5703125" customWidth="1"/>
    <col min="3844" max="3844" width="3.42578125" customWidth="1"/>
    <col min="3845" max="3845" width="20.7109375" customWidth="1"/>
    <col min="3846" max="3846" width="0" hidden="1" customWidth="1"/>
    <col min="3847" max="3847" width="3" customWidth="1"/>
    <col min="3848" max="3848" width="11.7109375" customWidth="1"/>
    <col min="4097" max="4097" width="43.7109375" customWidth="1"/>
    <col min="4098" max="4098" width="16.7109375" customWidth="1"/>
    <col min="4099" max="4099" width="22.5703125" customWidth="1"/>
    <col min="4100" max="4100" width="3.42578125" customWidth="1"/>
    <col min="4101" max="4101" width="20.7109375" customWidth="1"/>
    <col min="4102" max="4102" width="0" hidden="1" customWidth="1"/>
    <col min="4103" max="4103" width="3" customWidth="1"/>
    <col min="4104" max="4104" width="11.7109375" customWidth="1"/>
    <col min="4353" max="4353" width="43.7109375" customWidth="1"/>
    <col min="4354" max="4354" width="16.7109375" customWidth="1"/>
    <col min="4355" max="4355" width="22.5703125" customWidth="1"/>
    <col min="4356" max="4356" width="3.42578125" customWidth="1"/>
    <col min="4357" max="4357" width="20.7109375" customWidth="1"/>
    <col min="4358" max="4358" width="0" hidden="1" customWidth="1"/>
    <col min="4359" max="4359" width="3" customWidth="1"/>
    <col min="4360" max="4360" width="11.7109375" customWidth="1"/>
    <col min="4609" max="4609" width="43.7109375" customWidth="1"/>
    <col min="4610" max="4610" width="16.7109375" customWidth="1"/>
    <col min="4611" max="4611" width="22.5703125" customWidth="1"/>
    <col min="4612" max="4612" width="3.42578125" customWidth="1"/>
    <col min="4613" max="4613" width="20.7109375" customWidth="1"/>
    <col min="4614" max="4614" width="0" hidden="1" customWidth="1"/>
    <col min="4615" max="4615" width="3" customWidth="1"/>
    <col min="4616" max="4616" width="11.7109375" customWidth="1"/>
    <col min="4865" max="4865" width="43.7109375" customWidth="1"/>
    <col min="4866" max="4866" width="16.7109375" customWidth="1"/>
    <col min="4867" max="4867" width="22.5703125" customWidth="1"/>
    <col min="4868" max="4868" width="3.42578125" customWidth="1"/>
    <col min="4869" max="4869" width="20.7109375" customWidth="1"/>
    <col min="4870" max="4870" width="0" hidden="1" customWidth="1"/>
    <col min="4871" max="4871" width="3" customWidth="1"/>
    <col min="4872" max="4872" width="11.7109375" customWidth="1"/>
    <col min="5121" max="5121" width="43.7109375" customWidth="1"/>
    <col min="5122" max="5122" width="16.7109375" customWidth="1"/>
    <col min="5123" max="5123" width="22.5703125" customWidth="1"/>
    <col min="5124" max="5124" width="3.42578125" customWidth="1"/>
    <col min="5125" max="5125" width="20.7109375" customWidth="1"/>
    <col min="5126" max="5126" width="0" hidden="1" customWidth="1"/>
    <col min="5127" max="5127" width="3" customWidth="1"/>
    <col min="5128" max="5128" width="11.7109375" customWidth="1"/>
    <col min="5377" max="5377" width="43.7109375" customWidth="1"/>
    <col min="5378" max="5378" width="16.7109375" customWidth="1"/>
    <col min="5379" max="5379" width="22.5703125" customWidth="1"/>
    <col min="5380" max="5380" width="3.42578125" customWidth="1"/>
    <col min="5381" max="5381" width="20.7109375" customWidth="1"/>
    <col min="5382" max="5382" width="0" hidden="1" customWidth="1"/>
    <col min="5383" max="5383" width="3" customWidth="1"/>
    <col min="5384" max="5384" width="11.7109375" customWidth="1"/>
    <col min="5633" max="5633" width="43.7109375" customWidth="1"/>
    <col min="5634" max="5634" width="16.7109375" customWidth="1"/>
    <col min="5635" max="5635" width="22.5703125" customWidth="1"/>
    <col min="5636" max="5636" width="3.42578125" customWidth="1"/>
    <col min="5637" max="5637" width="20.7109375" customWidth="1"/>
    <col min="5638" max="5638" width="0" hidden="1" customWidth="1"/>
    <col min="5639" max="5639" width="3" customWidth="1"/>
    <col min="5640" max="5640" width="11.7109375" customWidth="1"/>
    <col min="5889" max="5889" width="43.7109375" customWidth="1"/>
    <col min="5890" max="5890" width="16.7109375" customWidth="1"/>
    <col min="5891" max="5891" width="22.5703125" customWidth="1"/>
    <col min="5892" max="5892" width="3.42578125" customWidth="1"/>
    <col min="5893" max="5893" width="20.7109375" customWidth="1"/>
    <col min="5894" max="5894" width="0" hidden="1" customWidth="1"/>
    <col min="5895" max="5895" width="3" customWidth="1"/>
    <col min="5896" max="5896" width="11.7109375" customWidth="1"/>
    <col min="6145" max="6145" width="43.7109375" customWidth="1"/>
    <col min="6146" max="6146" width="16.7109375" customWidth="1"/>
    <col min="6147" max="6147" width="22.5703125" customWidth="1"/>
    <col min="6148" max="6148" width="3.42578125" customWidth="1"/>
    <col min="6149" max="6149" width="20.7109375" customWidth="1"/>
    <col min="6150" max="6150" width="0" hidden="1" customWidth="1"/>
    <col min="6151" max="6151" width="3" customWidth="1"/>
    <col min="6152" max="6152" width="11.7109375" customWidth="1"/>
    <col min="6401" max="6401" width="43.7109375" customWidth="1"/>
    <col min="6402" max="6402" width="16.7109375" customWidth="1"/>
    <col min="6403" max="6403" width="22.5703125" customWidth="1"/>
    <col min="6404" max="6404" width="3.42578125" customWidth="1"/>
    <col min="6405" max="6405" width="20.7109375" customWidth="1"/>
    <col min="6406" max="6406" width="0" hidden="1" customWidth="1"/>
    <col min="6407" max="6407" width="3" customWidth="1"/>
    <col min="6408" max="6408" width="11.7109375" customWidth="1"/>
    <col min="6657" max="6657" width="43.7109375" customWidth="1"/>
    <col min="6658" max="6658" width="16.7109375" customWidth="1"/>
    <col min="6659" max="6659" width="22.5703125" customWidth="1"/>
    <col min="6660" max="6660" width="3.42578125" customWidth="1"/>
    <col min="6661" max="6661" width="20.7109375" customWidth="1"/>
    <col min="6662" max="6662" width="0" hidden="1" customWidth="1"/>
    <col min="6663" max="6663" width="3" customWidth="1"/>
    <col min="6664" max="6664" width="11.7109375" customWidth="1"/>
    <col min="6913" max="6913" width="43.7109375" customWidth="1"/>
    <col min="6914" max="6914" width="16.7109375" customWidth="1"/>
    <col min="6915" max="6915" width="22.5703125" customWidth="1"/>
    <col min="6916" max="6916" width="3.42578125" customWidth="1"/>
    <col min="6917" max="6917" width="20.7109375" customWidth="1"/>
    <col min="6918" max="6918" width="0" hidden="1" customWidth="1"/>
    <col min="6919" max="6919" width="3" customWidth="1"/>
    <col min="6920" max="6920" width="11.7109375" customWidth="1"/>
    <col min="7169" max="7169" width="43.7109375" customWidth="1"/>
    <col min="7170" max="7170" width="16.7109375" customWidth="1"/>
    <col min="7171" max="7171" width="22.5703125" customWidth="1"/>
    <col min="7172" max="7172" width="3.42578125" customWidth="1"/>
    <col min="7173" max="7173" width="20.7109375" customWidth="1"/>
    <col min="7174" max="7174" width="0" hidden="1" customWidth="1"/>
    <col min="7175" max="7175" width="3" customWidth="1"/>
    <col min="7176" max="7176" width="11.7109375" customWidth="1"/>
    <col min="7425" max="7425" width="43.7109375" customWidth="1"/>
    <col min="7426" max="7426" width="16.7109375" customWidth="1"/>
    <col min="7427" max="7427" width="22.5703125" customWidth="1"/>
    <col min="7428" max="7428" width="3.42578125" customWidth="1"/>
    <col min="7429" max="7429" width="20.7109375" customWidth="1"/>
    <col min="7430" max="7430" width="0" hidden="1" customWidth="1"/>
    <col min="7431" max="7431" width="3" customWidth="1"/>
    <col min="7432" max="7432" width="11.7109375" customWidth="1"/>
    <col min="7681" max="7681" width="43.7109375" customWidth="1"/>
    <col min="7682" max="7682" width="16.7109375" customWidth="1"/>
    <col min="7683" max="7683" width="22.5703125" customWidth="1"/>
    <col min="7684" max="7684" width="3.42578125" customWidth="1"/>
    <col min="7685" max="7685" width="20.7109375" customWidth="1"/>
    <col min="7686" max="7686" width="0" hidden="1" customWidth="1"/>
    <col min="7687" max="7687" width="3" customWidth="1"/>
    <col min="7688" max="7688" width="11.7109375" customWidth="1"/>
    <col min="7937" max="7937" width="43.7109375" customWidth="1"/>
    <col min="7938" max="7938" width="16.7109375" customWidth="1"/>
    <col min="7939" max="7939" width="22.5703125" customWidth="1"/>
    <col min="7940" max="7940" width="3.42578125" customWidth="1"/>
    <col min="7941" max="7941" width="20.7109375" customWidth="1"/>
    <col min="7942" max="7942" width="0" hidden="1" customWidth="1"/>
    <col min="7943" max="7943" width="3" customWidth="1"/>
    <col min="7944" max="7944" width="11.7109375" customWidth="1"/>
    <col min="8193" max="8193" width="43.7109375" customWidth="1"/>
    <col min="8194" max="8194" width="16.7109375" customWidth="1"/>
    <col min="8195" max="8195" width="22.5703125" customWidth="1"/>
    <col min="8196" max="8196" width="3.42578125" customWidth="1"/>
    <col min="8197" max="8197" width="20.7109375" customWidth="1"/>
    <col min="8198" max="8198" width="0" hidden="1" customWidth="1"/>
    <col min="8199" max="8199" width="3" customWidth="1"/>
    <col min="8200" max="8200" width="11.7109375" customWidth="1"/>
    <col min="8449" max="8449" width="43.7109375" customWidth="1"/>
    <col min="8450" max="8450" width="16.7109375" customWidth="1"/>
    <col min="8451" max="8451" width="22.5703125" customWidth="1"/>
    <col min="8452" max="8452" width="3.42578125" customWidth="1"/>
    <col min="8453" max="8453" width="20.7109375" customWidth="1"/>
    <col min="8454" max="8454" width="0" hidden="1" customWidth="1"/>
    <col min="8455" max="8455" width="3" customWidth="1"/>
    <col min="8456" max="8456" width="11.7109375" customWidth="1"/>
    <col min="8705" max="8705" width="43.7109375" customWidth="1"/>
    <col min="8706" max="8706" width="16.7109375" customWidth="1"/>
    <col min="8707" max="8707" width="22.5703125" customWidth="1"/>
    <col min="8708" max="8708" width="3.42578125" customWidth="1"/>
    <col min="8709" max="8709" width="20.7109375" customWidth="1"/>
    <col min="8710" max="8710" width="0" hidden="1" customWidth="1"/>
    <col min="8711" max="8711" width="3" customWidth="1"/>
    <col min="8712" max="8712" width="11.7109375" customWidth="1"/>
    <col min="8961" max="8961" width="43.7109375" customWidth="1"/>
    <col min="8962" max="8962" width="16.7109375" customWidth="1"/>
    <col min="8963" max="8963" width="22.5703125" customWidth="1"/>
    <col min="8964" max="8964" width="3.42578125" customWidth="1"/>
    <col min="8965" max="8965" width="20.7109375" customWidth="1"/>
    <col min="8966" max="8966" width="0" hidden="1" customWidth="1"/>
    <col min="8967" max="8967" width="3" customWidth="1"/>
    <col min="8968" max="8968" width="11.7109375" customWidth="1"/>
    <col min="9217" max="9217" width="43.7109375" customWidth="1"/>
    <col min="9218" max="9218" width="16.7109375" customWidth="1"/>
    <col min="9219" max="9219" width="22.5703125" customWidth="1"/>
    <col min="9220" max="9220" width="3.42578125" customWidth="1"/>
    <col min="9221" max="9221" width="20.7109375" customWidth="1"/>
    <col min="9222" max="9222" width="0" hidden="1" customWidth="1"/>
    <col min="9223" max="9223" width="3" customWidth="1"/>
    <col min="9224" max="9224" width="11.7109375" customWidth="1"/>
    <col min="9473" max="9473" width="43.7109375" customWidth="1"/>
    <col min="9474" max="9474" width="16.7109375" customWidth="1"/>
    <col min="9475" max="9475" width="22.5703125" customWidth="1"/>
    <col min="9476" max="9476" width="3.42578125" customWidth="1"/>
    <col min="9477" max="9477" width="20.7109375" customWidth="1"/>
    <col min="9478" max="9478" width="0" hidden="1" customWidth="1"/>
    <col min="9479" max="9479" width="3" customWidth="1"/>
    <col min="9480" max="9480" width="11.7109375" customWidth="1"/>
    <col min="9729" max="9729" width="43.7109375" customWidth="1"/>
    <col min="9730" max="9730" width="16.7109375" customWidth="1"/>
    <col min="9731" max="9731" width="22.5703125" customWidth="1"/>
    <col min="9732" max="9732" width="3.42578125" customWidth="1"/>
    <col min="9733" max="9733" width="20.7109375" customWidth="1"/>
    <col min="9734" max="9734" width="0" hidden="1" customWidth="1"/>
    <col min="9735" max="9735" width="3" customWidth="1"/>
    <col min="9736" max="9736" width="11.7109375" customWidth="1"/>
    <col min="9985" max="9985" width="43.7109375" customWidth="1"/>
    <col min="9986" max="9986" width="16.7109375" customWidth="1"/>
    <col min="9987" max="9987" width="22.5703125" customWidth="1"/>
    <col min="9988" max="9988" width="3.42578125" customWidth="1"/>
    <col min="9989" max="9989" width="20.7109375" customWidth="1"/>
    <col min="9990" max="9990" width="0" hidden="1" customWidth="1"/>
    <col min="9991" max="9991" width="3" customWidth="1"/>
    <col min="9992" max="9992" width="11.7109375" customWidth="1"/>
    <col min="10241" max="10241" width="43.7109375" customWidth="1"/>
    <col min="10242" max="10242" width="16.7109375" customWidth="1"/>
    <col min="10243" max="10243" width="22.5703125" customWidth="1"/>
    <col min="10244" max="10244" width="3.42578125" customWidth="1"/>
    <col min="10245" max="10245" width="20.7109375" customWidth="1"/>
    <col min="10246" max="10246" width="0" hidden="1" customWidth="1"/>
    <col min="10247" max="10247" width="3" customWidth="1"/>
    <col min="10248" max="10248" width="11.7109375" customWidth="1"/>
    <col min="10497" max="10497" width="43.7109375" customWidth="1"/>
    <col min="10498" max="10498" width="16.7109375" customWidth="1"/>
    <col min="10499" max="10499" width="22.5703125" customWidth="1"/>
    <col min="10500" max="10500" width="3.42578125" customWidth="1"/>
    <col min="10501" max="10501" width="20.7109375" customWidth="1"/>
    <col min="10502" max="10502" width="0" hidden="1" customWidth="1"/>
    <col min="10503" max="10503" width="3" customWidth="1"/>
    <col min="10504" max="10504" width="11.7109375" customWidth="1"/>
    <col min="10753" max="10753" width="43.7109375" customWidth="1"/>
    <col min="10754" max="10754" width="16.7109375" customWidth="1"/>
    <col min="10755" max="10755" width="22.5703125" customWidth="1"/>
    <col min="10756" max="10756" width="3.42578125" customWidth="1"/>
    <col min="10757" max="10757" width="20.7109375" customWidth="1"/>
    <col min="10758" max="10758" width="0" hidden="1" customWidth="1"/>
    <col min="10759" max="10759" width="3" customWidth="1"/>
    <col min="10760" max="10760" width="11.7109375" customWidth="1"/>
    <col min="11009" max="11009" width="43.7109375" customWidth="1"/>
    <col min="11010" max="11010" width="16.7109375" customWidth="1"/>
    <col min="11011" max="11011" width="22.5703125" customWidth="1"/>
    <col min="11012" max="11012" width="3.42578125" customWidth="1"/>
    <col min="11013" max="11013" width="20.7109375" customWidth="1"/>
    <col min="11014" max="11014" width="0" hidden="1" customWidth="1"/>
    <col min="11015" max="11015" width="3" customWidth="1"/>
    <col min="11016" max="11016" width="11.7109375" customWidth="1"/>
    <col min="11265" max="11265" width="43.7109375" customWidth="1"/>
    <col min="11266" max="11266" width="16.7109375" customWidth="1"/>
    <col min="11267" max="11267" width="22.5703125" customWidth="1"/>
    <col min="11268" max="11268" width="3.42578125" customWidth="1"/>
    <col min="11269" max="11269" width="20.7109375" customWidth="1"/>
    <col min="11270" max="11270" width="0" hidden="1" customWidth="1"/>
    <col min="11271" max="11271" width="3" customWidth="1"/>
    <col min="11272" max="11272" width="11.7109375" customWidth="1"/>
    <col min="11521" max="11521" width="43.7109375" customWidth="1"/>
    <col min="11522" max="11522" width="16.7109375" customWidth="1"/>
    <col min="11523" max="11523" width="22.5703125" customWidth="1"/>
    <col min="11524" max="11524" width="3.42578125" customWidth="1"/>
    <col min="11525" max="11525" width="20.7109375" customWidth="1"/>
    <col min="11526" max="11526" width="0" hidden="1" customWidth="1"/>
    <col min="11527" max="11527" width="3" customWidth="1"/>
    <col min="11528" max="11528" width="11.7109375" customWidth="1"/>
    <col min="11777" max="11777" width="43.7109375" customWidth="1"/>
    <col min="11778" max="11778" width="16.7109375" customWidth="1"/>
    <col min="11779" max="11779" width="22.5703125" customWidth="1"/>
    <col min="11780" max="11780" width="3.42578125" customWidth="1"/>
    <col min="11781" max="11781" width="20.7109375" customWidth="1"/>
    <col min="11782" max="11782" width="0" hidden="1" customWidth="1"/>
    <col min="11783" max="11783" width="3" customWidth="1"/>
    <col min="11784" max="11784" width="11.7109375" customWidth="1"/>
    <col min="12033" max="12033" width="43.7109375" customWidth="1"/>
    <col min="12034" max="12034" width="16.7109375" customWidth="1"/>
    <col min="12035" max="12035" width="22.5703125" customWidth="1"/>
    <col min="12036" max="12036" width="3.42578125" customWidth="1"/>
    <col min="12037" max="12037" width="20.7109375" customWidth="1"/>
    <col min="12038" max="12038" width="0" hidden="1" customWidth="1"/>
    <col min="12039" max="12039" width="3" customWidth="1"/>
    <col min="12040" max="12040" width="11.7109375" customWidth="1"/>
    <col min="12289" max="12289" width="43.7109375" customWidth="1"/>
    <col min="12290" max="12290" width="16.7109375" customWidth="1"/>
    <col min="12291" max="12291" width="22.5703125" customWidth="1"/>
    <col min="12292" max="12292" width="3.42578125" customWidth="1"/>
    <col min="12293" max="12293" width="20.7109375" customWidth="1"/>
    <col min="12294" max="12294" width="0" hidden="1" customWidth="1"/>
    <col min="12295" max="12295" width="3" customWidth="1"/>
    <col min="12296" max="12296" width="11.7109375" customWidth="1"/>
    <col min="12545" max="12545" width="43.7109375" customWidth="1"/>
    <col min="12546" max="12546" width="16.7109375" customWidth="1"/>
    <col min="12547" max="12547" width="22.5703125" customWidth="1"/>
    <col min="12548" max="12548" width="3.42578125" customWidth="1"/>
    <col min="12549" max="12549" width="20.7109375" customWidth="1"/>
    <col min="12550" max="12550" width="0" hidden="1" customWidth="1"/>
    <col min="12551" max="12551" width="3" customWidth="1"/>
    <col min="12552" max="12552" width="11.7109375" customWidth="1"/>
    <col min="12801" max="12801" width="43.7109375" customWidth="1"/>
    <col min="12802" max="12802" width="16.7109375" customWidth="1"/>
    <col min="12803" max="12803" width="22.5703125" customWidth="1"/>
    <col min="12804" max="12804" width="3.42578125" customWidth="1"/>
    <col min="12805" max="12805" width="20.7109375" customWidth="1"/>
    <col min="12806" max="12806" width="0" hidden="1" customWidth="1"/>
    <col min="12807" max="12807" width="3" customWidth="1"/>
    <col min="12808" max="12808" width="11.7109375" customWidth="1"/>
    <col min="13057" max="13057" width="43.7109375" customWidth="1"/>
    <col min="13058" max="13058" width="16.7109375" customWidth="1"/>
    <col min="13059" max="13059" width="22.5703125" customWidth="1"/>
    <col min="13060" max="13060" width="3.42578125" customWidth="1"/>
    <col min="13061" max="13061" width="20.7109375" customWidth="1"/>
    <col min="13062" max="13062" width="0" hidden="1" customWidth="1"/>
    <col min="13063" max="13063" width="3" customWidth="1"/>
    <col min="13064" max="13064" width="11.7109375" customWidth="1"/>
    <col min="13313" max="13313" width="43.7109375" customWidth="1"/>
    <col min="13314" max="13314" width="16.7109375" customWidth="1"/>
    <col min="13315" max="13315" width="22.5703125" customWidth="1"/>
    <col min="13316" max="13316" width="3.42578125" customWidth="1"/>
    <col min="13317" max="13317" width="20.7109375" customWidth="1"/>
    <col min="13318" max="13318" width="0" hidden="1" customWidth="1"/>
    <col min="13319" max="13319" width="3" customWidth="1"/>
    <col min="13320" max="13320" width="11.7109375" customWidth="1"/>
    <col min="13569" max="13569" width="43.7109375" customWidth="1"/>
    <col min="13570" max="13570" width="16.7109375" customWidth="1"/>
    <col min="13571" max="13571" width="22.5703125" customWidth="1"/>
    <col min="13572" max="13572" width="3.42578125" customWidth="1"/>
    <col min="13573" max="13573" width="20.7109375" customWidth="1"/>
    <col min="13574" max="13574" width="0" hidden="1" customWidth="1"/>
    <col min="13575" max="13575" width="3" customWidth="1"/>
    <col min="13576" max="13576" width="11.7109375" customWidth="1"/>
    <col min="13825" max="13825" width="43.7109375" customWidth="1"/>
    <col min="13826" max="13826" width="16.7109375" customWidth="1"/>
    <col min="13827" max="13827" width="22.5703125" customWidth="1"/>
    <col min="13828" max="13828" width="3.42578125" customWidth="1"/>
    <col min="13829" max="13829" width="20.7109375" customWidth="1"/>
    <col min="13830" max="13830" width="0" hidden="1" customWidth="1"/>
    <col min="13831" max="13831" width="3" customWidth="1"/>
    <col min="13832" max="13832" width="11.7109375" customWidth="1"/>
    <col min="14081" max="14081" width="43.7109375" customWidth="1"/>
    <col min="14082" max="14082" width="16.7109375" customWidth="1"/>
    <col min="14083" max="14083" width="22.5703125" customWidth="1"/>
    <col min="14084" max="14084" width="3.42578125" customWidth="1"/>
    <col min="14085" max="14085" width="20.7109375" customWidth="1"/>
    <col min="14086" max="14086" width="0" hidden="1" customWidth="1"/>
    <col min="14087" max="14087" width="3" customWidth="1"/>
    <col min="14088" max="14088" width="11.7109375" customWidth="1"/>
    <col min="14337" max="14337" width="43.7109375" customWidth="1"/>
    <col min="14338" max="14338" width="16.7109375" customWidth="1"/>
    <col min="14339" max="14339" width="22.5703125" customWidth="1"/>
    <col min="14340" max="14340" width="3.42578125" customWidth="1"/>
    <col min="14341" max="14341" width="20.7109375" customWidth="1"/>
    <col min="14342" max="14342" width="0" hidden="1" customWidth="1"/>
    <col min="14343" max="14343" width="3" customWidth="1"/>
    <col min="14344" max="14344" width="11.7109375" customWidth="1"/>
    <col min="14593" max="14593" width="43.7109375" customWidth="1"/>
    <col min="14594" max="14594" width="16.7109375" customWidth="1"/>
    <col min="14595" max="14595" width="22.5703125" customWidth="1"/>
    <col min="14596" max="14596" width="3.42578125" customWidth="1"/>
    <col min="14597" max="14597" width="20.7109375" customWidth="1"/>
    <col min="14598" max="14598" width="0" hidden="1" customWidth="1"/>
    <col min="14599" max="14599" width="3" customWidth="1"/>
    <col min="14600" max="14600" width="11.7109375" customWidth="1"/>
    <col min="14849" max="14849" width="43.7109375" customWidth="1"/>
    <col min="14850" max="14850" width="16.7109375" customWidth="1"/>
    <col min="14851" max="14851" width="22.5703125" customWidth="1"/>
    <col min="14852" max="14852" width="3.42578125" customWidth="1"/>
    <col min="14853" max="14853" width="20.7109375" customWidth="1"/>
    <col min="14854" max="14854" width="0" hidden="1" customWidth="1"/>
    <col min="14855" max="14855" width="3" customWidth="1"/>
    <col min="14856" max="14856" width="11.7109375" customWidth="1"/>
    <col min="15105" max="15105" width="43.7109375" customWidth="1"/>
    <col min="15106" max="15106" width="16.7109375" customWidth="1"/>
    <col min="15107" max="15107" width="22.5703125" customWidth="1"/>
    <col min="15108" max="15108" width="3.42578125" customWidth="1"/>
    <col min="15109" max="15109" width="20.7109375" customWidth="1"/>
    <col min="15110" max="15110" width="0" hidden="1" customWidth="1"/>
    <col min="15111" max="15111" width="3" customWidth="1"/>
    <col min="15112" max="15112" width="11.7109375" customWidth="1"/>
    <col min="15361" max="15361" width="43.7109375" customWidth="1"/>
    <col min="15362" max="15362" width="16.7109375" customWidth="1"/>
    <col min="15363" max="15363" width="22.5703125" customWidth="1"/>
    <col min="15364" max="15364" width="3.42578125" customWidth="1"/>
    <col min="15365" max="15365" width="20.7109375" customWidth="1"/>
    <col min="15366" max="15366" width="0" hidden="1" customWidth="1"/>
    <col min="15367" max="15367" width="3" customWidth="1"/>
    <col min="15368" max="15368" width="11.7109375" customWidth="1"/>
    <col min="15617" max="15617" width="43.7109375" customWidth="1"/>
    <col min="15618" max="15618" width="16.7109375" customWidth="1"/>
    <col min="15619" max="15619" width="22.5703125" customWidth="1"/>
    <col min="15620" max="15620" width="3.42578125" customWidth="1"/>
    <col min="15621" max="15621" width="20.7109375" customWidth="1"/>
    <col min="15622" max="15622" width="0" hidden="1" customWidth="1"/>
    <col min="15623" max="15623" width="3" customWidth="1"/>
    <col min="15624" max="15624" width="11.7109375" customWidth="1"/>
    <col min="15873" max="15873" width="43.7109375" customWidth="1"/>
    <col min="15874" max="15874" width="16.7109375" customWidth="1"/>
    <col min="15875" max="15875" width="22.5703125" customWidth="1"/>
    <col min="15876" max="15876" width="3.42578125" customWidth="1"/>
    <col min="15877" max="15877" width="20.7109375" customWidth="1"/>
    <col min="15878" max="15878" width="0" hidden="1" customWidth="1"/>
    <col min="15879" max="15879" width="3" customWidth="1"/>
    <col min="15880" max="15880" width="11.7109375" customWidth="1"/>
    <col min="16129" max="16129" width="43.7109375" customWidth="1"/>
    <col min="16130" max="16130" width="16.7109375" customWidth="1"/>
    <col min="16131" max="16131" width="22.5703125" customWidth="1"/>
    <col min="16132" max="16132" width="3.42578125" customWidth="1"/>
    <col min="16133" max="16133" width="20.7109375" customWidth="1"/>
    <col min="16134" max="16134" width="0" hidden="1" customWidth="1"/>
    <col min="16135" max="16135" width="3" customWidth="1"/>
    <col min="16136" max="16136" width="11.7109375" customWidth="1"/>
  </cols>
  <sheetData>
    <row r="1" spans="1:7" ht="16.899999999999999" customHeight="1">
      <c r="A1" s="339" t="s">
        <v>0</v>
      </c>
      <c r="B1"/>
      <c r="C1" s="31"/>
    </row>
    <row r="2" spans="1:7" ht="16.899999999999999" customHeight="1">
      <c r="A2" s="339" t="s">
        <v>1</v>
      </c>
      <c r="B2"/>
      <c r="C2" s="31"/>
    </row>
    <row r="3" spans="1:7" ht="13.5" customHeight="1">
      <c r="C3" s="610"/>
      <c r="D3" s="460"/>
    </row>
    <row r="4" spans="1:7" ht="16.899999999999999" customHeight="1">
      <c r="A4" s="339" t="s">
        <v>1967</v>
      </c>
      <c r="F4" s="553" t="s">
        <v>1968</v>
      </c>
    </row>
    <row r="5" spans="1:7" ht="13.5" customHeight="1">
      <c r="A5" s="339" t="s">
        <v>1969</v>
      </c>
    </row>
    <row r="6" spans="1:7" ht="13.5" customHeight="1" thickBot="1">
      <c r="G6" s="553"/>
    </row>
    <row r="7" spans="1:7" ht="15" customHeight="1">
      <c r="A7" s="340"/>
      <c r="B7" s="554"/>
      <c r="C7" s="554"/>
      <c r="D7" s="462"/>
      <c r="E7" s="554"/>
      <c r="F7" s="554"/>
      <c r="G7" s="554"/>
    </row>
    <row r="8" spans="1:7" ht="15" customHeight="1">
      <c r="A8" s="341" t="s">
        <v>1970</v>
      </c>
      <c r="B8" s="342" t="s">
        <v>1839</v>
      </c>
      <c r="C8" s="342" t="s">
        <v>1971</v>
      </c>
      <c r="D8" s="306"/>
      <c r="E8" s="342" t="s">
        <v>1972</v>
      </c>
      <c r="F8" s="776"/>
    </row>
    <row r="9" spans="1:7" ht="15" customHeight="1">
      <c r="A9" s="341"/>
      <c r="B9" s="342" t="s">
        <v>1973</v>
      </c>
      <c r="C9" s="342"/>
      <c r="D9" s="306"/>
      <c r="E9" s="342" t="s">
        <v>1974</v>
      </c>
      <c r="F9" s="776"/>
    </row>
    <row r="10" spans="1:7" ht="15" customHeight="1" thickBot="1">
      <c r="A10" s="345"/>
      <c r="B10" s="345"/>
      <c r="C10" s="557"/>
      <c r="D10" s="304"/>
      <c r="E10" s="345"/>
      <c r="F10" s="557"/>
    </row>
    <row r="11" spans="1:7" ht="15" customHeight="1">
      <c r="A11" s="341"/>
      <c r="B11" s="341"/>
      <c r="C11" s="563"/>
      <c r="D11" s="465"/>
      <c r="E11" s="342"/>
      <c r="F11" s="563"/>
      <c r="G11" s="554"/>
    </row>
    <row r="12" spans="1:7" ht="15" customHeight="1">
      <c r="A12" s="573" t="s">
        <v>1975</v>
      </c>
      <c r="B12" s="342">
        <f>SUM(B14+B16)</f>
        <v>308</v>
      </c>
      <c r="C12" s="777">
        <f>SUM(C14+C16)</f>
        <v>2592677606.6900001</v>
      </c>
      <c r="D12" s="465"/>
      <c r="E12" s="777">
        <f>IF(B12&lt;&gt;0,C12/B12,"")</f>
        <v>8417784.4373051953</v>
      </c>
      <c r="F12" s="563"/>
    </row>
    <row r="13" spans="1:7" ht="15" customHeight="1">
      <c r="A13" s="341"/>
      <c r="B13" s="563"/>
      <c r="C13" s="778"/>
      <c r="D13" s="465"/>
      <c r="E13" s="778"/>
      <c r="F13" s="563"/>
    </row>
    <row r="14" spans="1:7" ht="15" customHeight="1">
      <c r="A14" s="339" t="s">
        <v>1976</v>
      </c>
      <c r="B14" s="352">
        <v>271</v>
      </c>
      <c r="C14" s="779">
        <f>E14*B14</f>
        <v>2507905359.7200003</v>
      </c>
      <c r="E14" s="777">
        <v>9254263.3200000003</v>
      </c>
    </row>
    <row r="15" spans="1:7" ht="15" customHeight="1">
      <c r="B15" s="352"/>
      <c r="C15" s="779"/>
      <c r="E15" s="780"/>
    </row>
    <row r="16" spans="1:7" ht="15" customHeight="1">
      <c r="A16" s="339" t="s">
        <v>1977</v>
      </c>
      <c r="B16" s="351">
        <v>37</v>
      </c>
      <c r="C16" s="779">
        <f>E16*B16</f>
        <v>84772246.969999999</v>
      </c>
      <c r="D16" s="297"/>
      <c r="E16" s="779">
        <v>2291141.81</v>
      </c>
    </row>
    <row r="17" spans="1:8" ht="15" customHeight="1" thickBot="1"/>
    <row r="18" spans="1:8" ht="15" customHeight="1">
      <c r="A18" s="340"/>
      <c r="B18" s="554"/>
      <c r="C18" s="554"/>
      <c r="D18" s="462"/>
      <c r="E18" s="554"/>
      <c r="F18" s="554"/>
      <c r="G18" s="554"/>
    </row>
    <row r="19" spans="1:8" ht="15" customHeight="1">
      <c r="A19" s="339" t="s">
        <v>1978</v>
      </c>
    </row>
    <row r="20" spans="1:8" ht="15" customHeight="1">
      <c r="A20" s="339" t="s">
        <v>365</v>
      </c>
    </row>
    <row r="21" spans="1:8">
      <c r="C21" s="607"/>
    </row>
    <row r="23" spans="1:8">
      <c r="A23" s="607"/>
    </row>
    <row r="24" spans="1:8">
      <c r="A24" s="607"/>
    </row>
    <row r="25" spans="1:8" hidden="1">
      <c r="A25" s="607"/>
    </row>
    <row r="26" spans="1:8" hidden="1">
      <c r="A26" s="607"/>
      <c r="H26" s="339"/>
    </row>
    <row r="27" spans="1:8" hidden="1">
      <c r="A27" s="607"/>
      <c r="E27" s="607"/>
      <c r="H27" s="339"/>
    </row>
    <row r="28" spans="1:8" hidden="1">
      <c r="A28" s="607"/>
      <c r="E28" s="607"/>
      <c r="H28" s="339"/>
    </row>
    <row r="29" spans="1:8" hidden="1">
      <c r="A29" s="607"/>
      <c r="E29" s="607"/>
      <c r="H29" s="339"/>
    </row>
    <row r="30" spans="1:8" hidden="1">
      <c r="A30" s="607"/>
      <c r="E30" s="607"/>
      <c r="H30" s="339"/>
    </row>
    <row r="31" spans="1:8" hidden="1">
      <c r="A31" s="607"/>
      <c r="E31" s="607"/>
      <c r="H31" s="339"/>
    </row>
    <row r="32" spans="1:8" hidden="1">
      <c r="A32" s="607"/>
      <c r="E32" s="607"/>
      <c r="H32" s="339"/>
    </row>
    <row r="33" spans="1:10" hidden="1">
      <c r="A33" s="607"/>
      <c r="E33" s="607"/>
      <c r="H33" s="553"/>
      <c r="J33" s="41"/>
    </row>
    <row r="34" spans="1:10" hidden="1">
      <c r="A34" s="607"/>
    </row>
    <row r="35" spans="1:10" hidden="1">
      <c r="A35" s="607"/>
    </row>
    <row r="36" spans="1:10" hidden="1">
      <c r="A36" s="607"/>
      <c r="H36" s="339"/>
    </row>
    <row r="37" spans="1:10" hidden="1">
      <c r="A37" s="607"/>
      <c r="H37" s="339"/>
    </row>
    <row r="38" spans="1:10" hidden="1">
      <c r="A38" s="607"/>
      <c r="H38" s="339"/>
    </row>
    <row r="39" spans="1:10" hidden="1">
      <c r="A39" s="607"/>
      <c r="H39" s="339"/>
    </row>
    <row r="40" spans="1:10" hidden="1">
      <c r="A40" s="607"/>
      <c r="H40" s="339"/>
    </row>
    <row r="41" spans="1:10" hidden="1">
      <c r="A41" s="607"/>
      <c r="H41" s="339"/>
    </row>
    <row r="42" spans="1:10" hidden="1">
      <c r="A42" s="607"/>
      <c r="H42" s="553"/>
    </row>
    <row r="43" spans="1:10" ht="15.75" hidden="1" customHeight="1">
      <c r="A43" s="607"/>
    </row>
    <row r="44" spans="1:10" hidden="1">
      <c r="A44" s="607"/>
    </row>
    <row r="45" spans="1:10" hidden="1">
      <c r="A45" s="607"/>
    </row>
    <row r="46" spans="1:10" hidden="1">
      <c r="A46" s="607"/>
    </row>
    <row r="47" spans="1:10" hidden="1">
      <c r="A47" s="607"/>
    </row>
    <row r="48" spans="1:10" hidden="1">
      <c r="A48" s="607"/>
    </row>
    <row r="49" spans="1:3" hidden="1">
      <c r="A49" s="607"/>
    </row>
    <row r="51" spans="1:3">
      <c r="B51" s="561"/>
      <c r="C51" s="561"/>
    </row>
    <row r="52" spans="1:3">
      <c r="B52" s="607"/>
      <c r="C52" s="607"/>
    </row>
    <row r="53" spans="1:3">
      <c r="B53" s="561"/>
      <c r="C53" s="561"/>
    </row>
    <row r="54" spans="1:3">
      <c r="B54" s="561"/>
      <c r="C54" s="561"/>
    </row>
    <row r="55" spans="1:3">
      <c r="B55" s="561"/>
      <c r="C55" s="561"/>
    </row>
    <row r="56" spans="1:3">
      <c r="B56" s="561"/>
      <c r="C56" s="561"/>
    </row>
    <row r="57" spans="1:3">
      <c r="B57" s="561"/>
      <c r="C57" s="561"/>
    </row>
  </sheetData>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141.xml><?xml version="1.0" encoding="utf-8"?>
<worksheet xmlns="http://schemas.openxmlformats.org/spreadsheetml/2006/main" xmlns:r="http://schemas.openxmlformats.org/officeDocument/2006/relationships">
  <dimension ref="A1:D50"/>
  <sheetViews>
    <sheetView workbookViewId="0">
      <selection activeCell="A2" sqref="A2"/>
    </sheetView>
  </sheetViews>
  <sheetFormatPr baseColWidth="10" defaultColWidth="8.85546875" defaultRowHeight="15.75"/>
  <cols>
    <col min="1" max="1" width="43.7109375" style="339" customWidth="1"/>
    <col min="2" max="2" width="22.7109375" style="553" customWidth="1"/>
    <col min="3" max="3" width="18.7109375" style="553" customWidth="1"/>
    <col min="4" max="4" width="3.5703125" customWidth="1"/>
    <col min="257" max="257" width="43.7109375" customWidth="1"/>
    <col min="258" max="258" width="22.7109375" customWidth="1"/>
    <col min="259" max="259" width="18.7109375" customWidth="1"/>
    <col min="260" max="260" width="3.5703125" customWidth="1"/>
    <col min="513" max="513" width="43.7109375" customWidth="1"/>
    <col min="514" max="514" width="22.7109375" customWidth="1"/>
    <col min="515" max="515" width="18.7109375" customWidth="1"/>
    <col min="516" max="516" width="3.5703125" customWidth="1"/>
    <col min="769" max="769" width="43.7109375" customWidth="1"/>
    <col min="770" max="770" width="22.7109375" customWidth="1"/>
    <col min="771" max="771" width="18.7109375" customWidth="1"/>
    <col min="772" max="772" width="3.5703125" customWidth="1"/>
    <col min="1025" max="1025" width="43.7109375" customWidth="1"/>
    <col min="1026" max="1026" width="22.7109375" customWidth="1"/>
    <col min="1027" max="1027" width="18.7109375" customWidth="1"/>
    <col min="1028" max="1028" width="3.5703125" customWidth="1"/>
    <col min="1281" max="1281" width="43.7109375" customWidth="1"/>
    <col min="1282" max="1282" width="22.7109375" customWidth="1"/>
    <col min="1283" max="1283" width="18.7109375" customWidth="1"/>
    <col min="1284" max="1284" width="3.5703125" customWidth="1"/>
    <col min="1537" max="1537" width="43.7109375" customWidth="1"/>
    <col min="1538" max="1538" width="22.7109375" customWidth="1"/>
    <col min="1539" max="1539" width="18.7109375" customWidth="1"/>
    <col min="1540" max="1540" width="3.5703125" customWidth="1"/>
    <col min="1793" max="1793" width="43.7109375" customWidth="1"/>
    <col min="1794" max="1794" width="22.7109375" customWidth="1"/>
    <col min="1795" max="1795" width="18.7109375" customWidth="1"/>
    <col min="1796" max="1796" width="3.5703125" customWidth="1"/>
    <col min="2049" max="2049" width="43.7109375" customWidth="1"/>
    <col min="2050" max="2050" width="22.7109375" customWidth="1"/>
    <col min="2051" max="2051" width="18.7109375" customWidth="1"/>
    <col min="2052" max="2052" width="3.5703125" customWidth="1"/>
    <col min="2305" max="2305" width="43.7109375" customWidth="1"/>
    <col min="2306" max="2306" width="22.7109375" customWidth="1"/>
    <col min="2307" max="2307" width="18.7109375" customWidth="1"/>
    <col min="2308" max="2308" width="3.5703125" customWidth="1"/>
    <col min="2561" max="2561" width="43.7109375" customWidth="1"/>
    <col min="2562" max="2562" width="22.7109375" customWidth="1"/>
    <col min="2563" max="2563" width="18.7109375" customWidth="1"/>
    <col min="2564" max="2564" width="3.5703125" customWidth="1"/>
    <col min="2817" max="2817" width="43.7109375" customWidth="1"/>
    <col min="2818" max="2818" width="22.7109375" customWidth="1"/>
    <col min="2819" max="2819" width="18.7109375" customWidth="1"/>
    <col min="2820" max="2820" width="3.5703125" customWidth="1"/>
    <col min="3073" max="3073" width="43.7109375" customWidth="1"/>
    <col min="3074" max="3074" width="22.7109375" customWidth="1"/>
    <col min="3075" max="3075" width="18.7109375" customWidth="1"/>
    <col min="3076" max="3076" width="3.5703125" customWidth="1"/>
    <col min="3329" max="3329" width="43.7109375" customWidth="1"/>
    <col min="3330" max="3330" width="22.7109375" customWidth="1"/>
    <col min="3331" max="3331" width="18.7109375" customWidth="1"/>
    <col min="3332" max="3332" width="3.5703125" customWidth="1"/>
    <col min="3585" max="3585" width="43.7109375" customWidth="1"/>
    <col min="3586" max="3586" width="22.7109375" customWidth="1"/>
    <col min="3587" max="3587" width="18.7109375" customWidth="1"/>
    <col min="3588" max="3588" width="3.5703125" customWidth="1"/>
    <col min="3841" max="3841" width="43.7109375" customWidth="1"/>
    <col min="3842" max="3842" width="22.7109375" customWidth="1"/>
    <col min="3843" max="3843" width="18.7109375" customWidth="1"/>
    <col min="3844" max="3844" width="3.5703125" customWidth="1"/>
    <col min="4097" max="4097" width="43.7109375" customWidth="1"/>
    <col min="4098" max="4098" width="22.7109375" customWidth="1"/>
    <col min="4099" max="4099" width="18.7109375" customWidth="1"/>
    <col min="4100" max="4100" width="3.5703125" customWidth="1"/>
    <col min="4353" max="4353" width="43.7109375" customWidth="1"/>
    <col min="4354" max="4354" width="22.7109375" customWidth="1"/>
    <col min="4355" max="4355" width="18.7109375" customWidth="1"/>
    <col min="4356" max="4356" width="3.5703125" customWidth="1"/>
    <col min="4609" max="4609" width="43.7109375" customWidth="1"/>
    <col min="4610" max="4610" width="22.7109375" customWidth="1"/>
    <col min="4611" max="4611" width="18.7109375" customWidth="1"/>
    <col min="4612" max="4612" width="3.5703125" customWidth="1"/>
    <col min="4865" max="4865" width="43.7109375" customWidth="1"/>
    <col min="4866" max="4866" width="22.7109375" customWidth="1"/>
    <col min="4867" max="4867" width="18.7109375" customWidth="1"/>
    <col min="4868" max="4868" width="3.5703125" customWidth="1"/>
    <col min="5121" max="5121" width="43.7109375" customWidth="1"/>
    <col min="5122" max="5122" width="22.7109375" customWidth="1"/>
    <col min="5123" max="5123" width="18.7109375" customWidth="1"/>
    <col min="5124" max="5124" width="3.5703125" customWidth="1"/>
    <col min="5377" max="5377" width="43.7109375" customWidth="1"/>
    <col min="5378" max="5378" width="22.7109375" customWidth="1"/>
    <col min="5379" max="5379" width="18.7109375" customWidth="1"/>
    <col min="5380" max="5380" width="3.5703125" customWidth="1"/>
    <col min="5633" max="5633" width="43.7109375" customWidth="1"/>
    <col min="5634" max="5634" width="22.7109375" customWidth="1"/>
    <col min="5635" max="5635" width="18.7109375" customWidth="1"/>
    <col min="5636" max="5636" width="3.5703125" customWidth="1"/>
    <col min="5889" max="5889" width="43.7109375" customWidth="1"/>
    <col min="5890" max="5890" width="22.7109375" customWidth="1"/>
    <col min="5891" max="5891" width="18.7109375" customWidth="1"/>
    <col min="5892" max="5892" width="3.5703125" customWidth="1"/>
    <col min="6145" max="6145" width="43.7109375" customWidth="1"/>
    <col min="6146" max="6146" width="22.7109375" customWidth="1"/>
    <col min="6147" max="6147" width="18.7109375" customWidth="1"/>
    <col min="6148" max="6148" width="3.5703125" customWidth="1"/>
    <col min="6401" max="6401" width="43.7109375" customWidth="1"/>
    <col min="6402" max="6402" width="22.7109375" customWidth="1"/>
    <col min="6403" max="6403" width="18.7109375" customWidth="1"/>
    <col min="6404" max="6404" width="3.5703125" customWidth="1"/>
    <col min="6657" max="6657" width="43.7109375" customWidth="1"/>
    <col min="6658" max="6658" width="22.7109375" customWidth="1"/>
    <col min="6659" max="6659" width="18.7109375" customWidth="1"/>
    <col min="6660" max="6660" width="3.5703125" customWidth="1"/>
    <col min="6913" max="6913" width="43.7109375" customWidth="1"/>
    <col min="6914" max="6914" width="22.7109375" customWidth="1"/>
    <col min="6915" max="6915" width="18.7109375" customWidth="1"/>
    <col min="6916" max="6916" width="3.5703125" customWidth="1"/>
    <col min="7169" max="7169" width="43.7109375" customWidth="1"/>
    <col min="7170" max="7170" width="22.7109375" customWidth="1"/>
    <col min="7171" max="7171" width="18.7109375" customWidth="1"/>
    <col min="7172" max="7172" width="3.5703125" customWidth="1"/>
    <col min="7425" max="7425" width="43.7109375" customWidth="1"/>
    <col min="7426" max="7426" width="22.7109375" customWidth="1"/>
    <col min="7427" max="7427" width="18.7109375" customWidth="1"/>
    <col min="7428" max="7428" width="3.5703125" customWidth="1"/>
    <col min="7681" max="7681" width="43.7109375" customWidth="1"/>
    <col min="7682" max="7682" width="22.7109375" customWidth="1"/>
    <col min="7683" max="7683" width="18.7109375" customWidth="1"/>
    <col min="7684" max="7684" width="3.5703125" customWidth="1"/>
    <col min="7937" max="7937" width="43.7109375" customWidth="1"/>
    <col min="7938" max="7938" width="22.7109375" customWidth="1"/>
    <col min="7939" max="7939" width="18.7109375" customWidth="1"/>
    <col min="7940" max="7940" width="3.5703125" customWidth="1"/>
    <col min="8193" max="8193" width="43.7109375" customWidth="1"/>
    <col min="8194" max="8194" width="22.7109375" customWidth="1"/>
    <col min="8195" max="8195" width="18.7109375" customWidth="1"/>
    <col min="8196" max="8196" width="3.5703125" customWidth="1"/>
    <col min="8449" max="8449" width="43.7109375" customWidth="1"/>
    <col min="8450" max="8450" width="22.7109375" customWidth="1"/>
    <col min="8451" max="8451" width="18.7109375" customWidth="1"/>
    <col min="8452" max="8452" width="3.5703125" customWidth="1"/>
    <col min="8705" max="8705" width="43.7109375" customWidth="1"/>
    <col min="8706" max="8706" width="22.7109375" customWidth="1"/>
    <col min="8707" max="8707" width="18.7109375" customWidth="1"/>
    <col min="8708" max="8708" width="3.5703125" customWidth="1"/>
    <col min="8961" max="8961" width="43.7109375" customWidth="1"/>
    <col min="8962" max="8962" width="22.7109375" customWidth="1"/>
    <col min="8963" max="8963" width="18.7109375" customWidth="1"/>
    <col min="8964" max="8964" width="3.5703125" customWidth="1"/>
    <col min="9217" max="9217" width="43.7109375" customWidth="1"/>
    <col min="9218" max="9218" width="22.7109375" customWidth="1"/>
    <col min="9219" max="9219" width="18.7109375" customWidth="1"/>
    <col min="9220" max="9220" width="3.5703125" customWidth="1"/>
    <col min="9473" max="9473" width="43.7109375" customWidth="1"/>
    <col min="9474" max="9474" width="22.7109375" customWidth="1"/>
    <col min="9475" max="9475" width="18.7109375" customWidth="1"/>
    <col min="9476" max="9476" width="3.5703125" customWidth="1"/>
    <col min="9729" max="9729" width="43.7109375" customWidth="1"/>
    <col min="9730" max="9730" width="22.7109375" customWidth="1"/>
    <col min="9731" max="9731" width="18.7109375" customWidth="1"/>
    <col min="9732" max="9732" width="3.5703125" customWidth="1"/>
    <col min="9985" max="9985" width="43.7109375" customWidth="1"/>
    <col min="9986" max="9986" width="22.7109375" customWidth="1"/>
    <col min="9987" max="9987" width="18.7109375" customWidth="1"/>
    <col min="9988" max="9988" width="3.5703125" customWidth="1"/>
    <col min="10241" max="10241" width="43.7109375" customWidth="1"/>
    <col min="10242" max="10242" width="22.7109375" customWidth="1"/>
    <col min="10243" max="10243" width="18.7109375" customWidth="1"/>
    <col min="10244" max="10244" width="3.5703125" customWidth="1"/>
    <col min="10497" max="10497" width="43.7109375" customWidth="1"/>
    <col min="10498" max="10498" width="22.7109375" customWidth="1"/>
    <col min="10499" max="10499" width="18.7109375" customWidth="1"/>
    <col min="10500" max="10500" width="3.5703125" customWidth="1"/>
    <col min="10753" max="10753" width="43.7109375" customWidth="1"/>
    <col min="10754" max="10754" width="22.7109375" customWidth="1"/>
    <col min="10755" max="10755" width="18.7109375" customWidth="1"/>
    <col min="10756" max="10756" width="3.5703125" customWidth="1"/>
    <col min="11009" max="11009" width="43.7109375" customWidth="1"/>
    <col min="11010" max="11010" width="22.7109375" customWidth="1"/>
    <col min="11011" max="11011" width="18.7109375" customWidth="1"/>
    <col min="11012" max="11012" width="3.5703125" customWidth="1"/>
    <col min="11265" max="11265" width="43.7109375" customWidth="1"/>
    <col min="11266" max="11266" width="22.7109375" customWidth="1"/>
    <col min="11267" max="11267" width="18.7109375" customWidth="1"/>
    <col min="11268" max="11268" width="3.5703125" customWidth="1"/>
    <col min="11521" max="11521" width="43.7109375" customWidth="1"/>
    <col min="11522" max="11522" width="22.7109375" customWidth="1"/>
    <col min="11523" max="11523" width="18.7109375" customWidth="1"/>
    <col min="11524" max="11524" width="3.5703125" customWidth="1"/>
    <col min="11777" max="11777" width="43.7109375" customWidth="1"/>
    <col min="11778" max="11778" width="22.7109375" customWidth="1"/>
    <col min="11779" max="11779" width="18.7109375" customWidth="1"/>
    <col min="11780" max="11780" width="3.5703125" customWidth="1"/>
    <col min="12033" max="12033" width="43.7109375" customWidth="1"/>
    <col min="12034" max="12034" width="22.7109375" customWidth="1"/>
    <col min="12035" max="12035" width="18.7109375" customWidth="1"/>
    <col min="12036" max="12036" width="3.5703125" customWidth="1"/>
    <col min="12289" max="12289" width="43.7109375" customWidth="1"/>
    <col min="12290" max="12290" width="22.7109375" customWidth="1"/>
    <col min="12291" max="12291" width="18.7109375" customWidth="1"/>
    <col min="12292" max="12292" width="3.5703125" customWidth="1"/>
    <col min="12545" max="12545" width="43.7109375" customWidth="1"/>
    <col min="12546" max="12546" width="22.7109375" customWidth="1"/>
    <col min="12547" max="12547" width="18.7109375" customWidth="1"/>
    <col min="12548" max="12548" width="3.5703125" customWidth="1"/>
    <col min="12801" max="12801" width="43.7109375" customWidth="1"/>
    <col min="12802" max="12802" width="22.7109375" customWidth="1"/>
    <col min="12803" max="12803" width="18.7109375" customWidth="1"/>
    <col min="12804" max="12804" width="3.5703125" customWidth="1"/>
    <col min="13057" max="13057" width="43.7109375" customWidth="1"/>
    <col min="13058" max="13058" width="22.7109375" customWidth="1"/>
    <col min="13059" max="13059" width="18.7109375" customWidth="1"/>
    <col min="13060" max="13060" width="3.5703125" customWidth="1"/>
    <col min="13313" max="13313" width="43.7109375" customWidth="1"/>
    <col min="13314" max="13314" width="22.7109375" customWidth="1"/>
    <col min="13315" max="13315" width="18.7109375" customWidth="1"/>
    <col min="13316" max="13316" width="3.5703125" customWidth="1"/>
    <col min="13569" max="13569" width="43.7109375" customWidth="1"/>
    <col min="13570" max="13570" width="22.7109375" customWidth="1"/>
    <col min="13571" max="13571" width="18.7109375" customWidth="1"/>
    <col min="13572" max="13572" width="3.5703125" customWidth="1"/>
    <col min="13825" max="13825" width="43.7109375" customWidth="1"/>
    <col min="13826" max="13826" width="22.7109375" customWidth="1"/>
    <col min="13827" max="13827" width="18.7109375" customWidth="1"/>
    <col min="13828" max="13828" width="3.5703125" customWidth="1"/>
    <col min="14081" max="14081" width="43.7109375" customWidth="1"/>
    <col min="14082" max="14082" width="22.7109375" customWidth="1"/>
    <col min="14083" max="14083" width="18.7109375" customWidth="1"/>
    <col min="14084" max="14084" width="3.5703125" customWidth="1"/>
    <col min="14337" max="14337" width="43.7109375" customWidth="1"/>
    <col min="14338" max="14338" width="22.7109375" customWidth="1"/>
    <col min="14339" max="14339" width="18.7109375" customWidth="1"/>
    <col min="14340" max="14340" width="3.5703125" customWidth="1"/>
    <col min="14593" max="14593" width="43.7109375" customWidth="1"/>
    <col min="14594" max="14594" width="22.7109375" customWidth="1"/>
    <col min="14595" max="14595" width="18.7109375" customWidth="1"/>
    <col min="14596" max="14596" width="3.5703125" customWidth="1"/>
    <col min="14849" max="14849" width="43.7109375" customWidth="1"/>
    <col min="14850" max="14850" width="22.7109375" customWidth="1"/>
    <col min="14851" max="14851" width="18.7109375" customWidth="1"/>
    <col min="14852" max="14852" width="3.5703125" customWidth="1"/>
    <col min="15105" max="15105" width="43.7109375" customWidth="1"/>
    <col min="15106" max="15106" width="22.7109375" customWidth="1"/>
    <col min="15107" max="15107" width="18.7109375" customWidth="1"/>
    <col min="15108" max="15108" width="3.5703125" customWidth="1"/>
    <col min="15361" max="15361" width="43.7109375" customWidth="1"/>
    <col min="15362" max="15362" width="22.7109375" customWidth="1"/>
    <col min="15363" max="15363" width="18.7109375" customWidth="1"/>
    <col min="15364" max="15364" width="3.5703125" customWidth="1"/>
    <col min="15617" max="15617" width="43.7109375" customWidth="1"/>
    <col min="15618" max="15618" width="22.7109375" customWidth="1"/>
    <col min="15619" max="15619" width="18.7109375" customWidth="1"/>
    <col min="15620" max="15620" width="3.5703125" customWidth="1"/>
    <col min="15873" max="15873" width="43.7109375" customWidth="1"/>
    <col min="15874" max="15874" width="22.7109375" customWidth="1"/>
    <col min="15875" max="15875" width="18.7109375" customWidth="1"/>
    <col min="15876" max="15876" width="3.5703125" customWidth="1"/>
    <col min="16129" max="16129" width="43.7109375" customWidth="1"/>
    <col min="16130" max="16130" width="22.7109375" customWidth="1"/>
    <col min="16131" max="16131" width="18.7109375" customWidth="1"/>
    <col min="16132" max="16132" width="3.5703125" customWidth="1"/>
  </cols>
  <sheetData>
    <row r="1" spans="1:4" ht="16.899999999999999" customHeight="1">
      <c r="A1" s="339" t="s">
        <v>0</v>
      </c>
      <c r="B1" s="339"/>
      <c r="C1" s="607"/>
    </row>
    <row r="2" spans="1:4" ht="16.899999999999999" customHeight="1">
      <c r="A2" s="339" t="s">
        <v>1</v>
      </c>
      <c r="B2" s="339"/>
      <c r="C2" s="607"/>
    </row>
    <row r="3" spans="1:4" ht="10.5" customHeight="1">
      <c r="C3" s="610"/>
    </row>
    <row r="4" spans="1:4" ht="16.899999999999999" customHeight="1">
      <c r="A4" s="339" t="s">
        <v>1979</v>
      </c>
    </row>
    <row r="5" spans="1:4" ht="11.25" customHeight="1" thickBot="1"/>
    <row r="6" spans="1:4" ht="13.5" customHeight="1">
      <c r="A6" s="340"/>
      <c r="B6" s="554"/>
      <c r="C6" s="554"/>
      <c r="D6" s="554"/>
    </row>
    <row r="7" spans="1:4" ht="15.95" customHeight="1">
      <c r="A7" s="341" t="s">
        <v>1970</v>
      </c>
      <c r="B7" s="342" t="s">
        <v>1980</v>
      </c>
      <c r="C7" s="342" t="s">
        <v>1981</v>
      </c>
    </row>
    <row r="8" spans="1:4" ht="15.75" customHeight="1" thickBot="1">
      <c r="A8" s="345"/>
      <c r="B8" s="557"/>
      <c r="C8" s="557"/>
    </row>
    <row r="9" spans="1:4" ht="10.5" customHeight="1">
      <c r="A9" s="341"/>
      <c r="B9" s="563"/>
      <c r="C9" s="563"/>
      <c r="D9" s="554"/>
    </row>
    <row r="10" spans="1:4" ht="15" customHeight="1">
      <c r="A10" s="348" t="s">
        <v>325</v>
      </c>
      <c r="B10" s="352">
        <f>SUM(B12:B26)</f>
        <v>271</v>
      </c>
      <c r="C10" s="352">
        <f>SUM(C12:C26)</f>
        <v>37</v>
      </c>
    </row>
    <row r="11" spans="1:4" ht="15" customHeight="1">
      <c r="B11" s="352" t="str">
        <f>IF(A11&lt;&gt;0,C11+#REF!+#REF!,"")</f>
        <v/>
      </c>
      <c r="C11" s="352"/>
    </row>
    <row r="12" spans="1:4" ht="15" customHeight="1">
      <c r="A12" s="339" t="s">
        <v>1982</v>
      </c>
      <c r="B12" s="517">
        <v>30</v>
      </c>
      <c r="C12" s="353">
        <v>1</v>
      </c>
    </row>
    <row r="13" spans="1:4" ht="15" customHeight="1">
      <c r="B13" s="517"/>
      <c r="C13" s="353"/>
    </row>
    <row r="14" spans="1:4" ht="15" customHeight="1">
      <c r="A14" s="339" t="s">
        <v>1983</v>
      </c>
      <c r="B14" s="517">
        <v>45</v>
      </c>
      <c r="C14" s="353">
        <v>11</v>
      </c>
    </row>
    <row r="15" spans="1:4" ht="15" customHeight="1">
      <c r="B15" s="517"/>
      <c r="C15" s="353"/>
    </row>
    <row r="16" spans="1:4" ht="15" customHeight="1">
      <c r="A16" s="339" t="s">
        <v>1984</v>
      </c>
      <c r="B16" s="517">
        <v>48</v>
      </c>
      <c r="C16" s="353">
        <v>9</v>
      </c>
    </row>
    <row r="17" spans="1:4" ht="15" customHeight="1">
      <c r="B17" s="517"/>
      <c r="C17" s="353"/>
    </row>
    <row r="18" spans="1:4" ht="15" customHeight="1">
      <c r="A18" s="339" t="s">
        <v>1985</v>
      </c>
      <c r="B18" s="517">
        <v>37</v>
      </c>
      <c r="C18" s="353">
        <v>6</v>
      </c>
    </row>
    <row r="19" spans="1:4" ht="15" customHeight="1">
      <c r="B19" s="517"/>
      <c r="C19" s="353"/>
    </row>
    <row r="20" spans="1:4" ht="15" customHeight="1">
      <c r="A20" s="339" t="s">
        <v>1986</v>
      </c>
      <c r="B20" s="517">
        <v>48</v>
      </c>
      <c r="C20" s="353">
        <v>2</v>
      </c>
    </row>
    <row r="21" spans="1:4" ht="15" customHeight="1">
      <c r="B21" s="517"/>
      <c r="C21" s="353"/>
    </row>
    <row r="22" spans="1:4" s="63" customFormat="1" ht="15" customHeight="1">
      <c r="A22" s="339" t="s">
        <v>1987</v>
      </c>
      <c r="B22" s="517">
        <v>19</v>
      </c>
      <c r="C22" s="353">
        <v>5</v>
      </c>
      <c r="D22" s="318"/>
    </row>
    <row r="23" spans="1:4" s="63" customFormat="1" ht="15" customHeight="1">
      <c r="A23" s="339"/>
      <c r="B23" s="517"/>
      <c r="C23" s="353"/>
      <c r="D23" s="318"/>
    </row>
    <row r="24" spans="1:4" s="63" customFormat="1" ht="15" customHeight="1">
      <c r="A24" s="339" t="s">
        <v>942</v>
      </c>
      <c r="B24" s="517">
        <v>42</v>
      </c>
      <c r="C24" s="353">
        <v>1</v>
      </c>
      <c r="D24" s="318"/>
    </row>
    <row r="25" spans="1:4" s="63" customFormat="1" ht="15" customHeight="1">
      <c r="A25" s="339"/>
      <c r="B25" s="353"/>
      <c r="C25" s="353"/>
      <c r="D25" s="318"/>
    </row>
    <row r="26" spans="1:4" s="63" customFormat="1" ht="15" customHeight="1">
      <c r="A26" s="339" t="s">
        <v>1988</v>
      </c>
      <c r="B26" s="353">
        <v>2</v>
      </c>
      <c r="C26" s="353">
        <v>2</v>
      </c>
      <c r="D26" s="318"/>
    </row>
    <row r="27" spans="1:4" ht="13.5" customHeight="1" thickBot="1">
      <c r="C27" s="352"/>
    </row>
    <row r="28" spans="1:4" ht="11.25" customHeight="1">
      <c r="A28" s="340"/>
      <c r="B28" s="554"/>
      <c r="C28" s="554"/>
      <c r="D28" s="554"/>
    </row>
    <row r="29" spans="1:4" s="42" customFormat="1" ht="15" customHeight="1">
      <c r="A29" s="618" t="s">
        <v>1989</v>
      </c>
      <c r="B29" s="251"/>
      <c r="C29" s="251"/>
    </row>
    <row r="30" spans="1:4" s="42" customFormat="1" ht="18" customHeight="1">
      <c r="A30" s="618" t="s">
        <v>1990</v>
      </c>
      <c r="B30" s="251"/>
      <c r="C30" s="251"/>
    </row>
    <row r="31" spans="1:4" ht="9" customHeight="1">
      <c r="A31" s="341"/>
      <c r="B31" s="563"/>
      <c r="C31" s="563"/>
    </row>
    <row r="32" spans="1:4">
      <c r="A32" s="339" t="s">
        <v>1991</v>
      </c>
    </row>
    <row r="33" spans="1:3">
      <c r="A33" s="339" t="s">
        <v>365</v>
      </c>
    </row>
    <row r="35" spans="1:3">
      <c r="A35" s="348"/>
      <c r="B35" s="352"/>
      <c r="C35" s="352"/>
    </row>
    <row r="36" spans="1:3">
      <c r="B36" s="352"/>
      <c r="C36"/>
    </row>
    <row r="37" spans="1:3">
      <c r="B37" s="352"/>
      <c r="C37" s="353"/>
    </row>
    <row r="38" spans="1:3">
      <c r="B38" s="352"/>
      <c r="C38" s="353"/>
    </row>
    <row r="39" spans="1:3">
      <c r="B39" s="352"/>
      <c r="C39" s="353"/>
    </row>
    <row r="40" spans="1:3">
      <c r="B40" s="352"/>
      <c r="C40" s="353"/>
    </row>
    <row r="41" spans="1:3">
      <c r="B41" s="352"/>
      <c r="C41" s="353"/>
    </row>
    <row r="42" spans="1:3">
      <c r="B42" s="352"/>
      <c r="C42" s="353"/>
    </row>
    <row r="43" spans="1:3">
      <c r="B43" s="352"/>
      <c r="C43" s="353"/>
    </row>
    <row r="44" spans="1:3">
      <c r="B44" s="352"/>
      <c r="C44" s="353"/>
    </row>
    <row r="45" spans="1:3">
      <c r="B45" s="352"/>
      <c r="C45" s="353"/>
    </row>
    <row r="46" spans="1:3">
      <c r="B46" s="517"/>
      <c r="C46" s="353"/>
    </row>
    <row r="47" spans="1:3">
      <c r="B47" s="353"/>
      <c r="C47" s="353"/>
    </row>
    <row r="48" spans="1:3">
      <c r="B48" s="353"/>
      <c r="C48" s="353"/>
    </row>
    <row r="49" spans="2:3">
      <c r="B49" s="353"/>
      <c r="C49" s="353"/>
    </row>
    <row r="50" spans="2:3">
      <c r="B50" s="353"/>
      <c r="C50" s="353"/>
    </row>
  </sheetData>
  <printOptions horizontalCentered="1" verticalCentered="1"/>
  <pageMargins left="0" right="0" top="0.74803149606299213" bottom="0.74803149606299213" header="0.31496062992125984" footer="0.31496062992125984"/>
  <pageSetup paperSize="9" scale="95" orientation="portrait" r:id="rId1"/>
</worksheet>
</file>

<file path=xl/worksheets/sheet142.xml><?xml version="1.0" encoding="utf-8"?>
<worksheet xmlns="http://schemas.openxmlformats.org/spreadsheetml/2006/main" xmlns:r="http://schemas.openxmlformats.org/officeDocument/2006/relationships">
  <dimension ref="B1:M16"/>
  <sheetViews>
    <sheetView workbookViewId="0">
      <selection activeCell="L22" sqref="L22"/>
    </sheetView>
  </sheetViews>
  <sheetFormatPr baseColWidth="10" defaultRowHeight="15"/>
  <cols>
    <col min="6" max="6" width="18.7109375" customWidth="1"/>
    <col min="11" max="11" width="21.5703125" customWidth="1"/>
    <col min="262" max="262" width="18.7109375" customWidth="1"/>
    <col min="267" max="267" width="21.5703125" customWidth="1"/>
    <col min="518" max="518" width="18.7109375" customWidth="1"/>
    <col min="523" max="523" width="21.5703125" customWidth="1"/>
    <col min="774" max="774" width="18.7109375" customWidth="1"/>
    <col min="779" max="779" width="21.5703125" customWidth="1"/>
    <col min="1030" max="1030" width="18.7109375" customWidth="1"/>
    <col min="1035" max="1035" width="21.5703125" customWidth="1"/>
    <col min="1286" max="1286" width="18.7109375" customWidth="1"/>
    <col min="1291" max="1291" width="21.5703125" customWidth="1"/>
    <col min="1542" max="1542" width="18.7109375" customWidth="1"/>
    <col min="1547" max="1547" width="21.5703125" customWidth="1"/>
    <col min="1798" max="1798" width="18.7109375" customWidth="1"/>
    <col min="1803" max="1803" width="21.5703125" customWidth="1"/>
    <col min="2054" max="2054" width="18.7109375" customWidth="1"/>
    <col min="2059" max="2059" width="21.5703125" customWidth="1"/>
    <col min="2310" max="2310" width="18.7109375" customWidth="1"/>
    <col min="2315" max="2315" width="21.5703125" customWidth="1"/>
    <col min="2566" max="2566" width="18.7109375" customWidth="1"/>
    <col min="2571" max="2571" width="21.5703125" customWidth="1"/>
    <col min="2822" max="2822" width="18.7109375" customWidth="1"/>
    <col min="2827" max="2827" width="21.5703125" customWidth="1"/>
    <col min="3078" max="3078" width="18.7109375" customWidth="1"/>
    <col min="3083" max="3083" width="21.5703125" customWidth="1"/>
    <col min="3334" max="3334" width="18.7109375" customWidth="1"/>
    <col min="3339" max="3339" width="21.5703125" customWidth="1"/>
    <col min="3590" max="3590" width="18.7109375" customWidth="1"/>
    <col min="3595" max="3595" width="21.5703125" customWidth="1"/>
    <col min="3846" max="3846" width="18.7109375" customWidth="1"/>
    <col min="3851" max="3851" width="21.5703125" customWidth="1"/>
    <col min="4102" max="4102" width="18.7109375" customWidth="1"/>
    <col min="4107" max="4107" width="21.5703125" customWidth="1"/>
    <col min="4358" max="4358" width="18.7109375" customWidth="1"/>
    <col min="4363" max="4363" width="21.5703125" customWidth="1"/>
    <col min="4614" max="4614" width="18.7109375" customWidth="1"/>
    <col min="4619" max="4619" width="21.5703125" customWidth="1"/>
    <col min="4870" max="4870" width="18.7109375" customWidth="1"/>
    <col min="4875" max="4875" width="21.5703125" customWidth="1"/>
    <col min="5126" max="5126" width="18.7109375" customWidth="1"/>
    <col min="5131" max="5131" width="21.5703125" customWidth="1"/>
    <col min="5382" max="5382" width="18.7109375" customWidth="1"/>
    <col min="5387" max="5387" width="21.5703125" customWidth="1"/>
    <col min="5638" max="5638" width="18.7109375" customWidth="1"/>
    <col min="5643" max="5643" width="21.5703125" customWidth="1"/>
    <col min="5894" max="5894" width="18.7109375" customWidth="1"/>
    <col min="5899" max="5899" width="21.5703125" customWidth="1"/>
    <col min="6150" max="6150" width="18.7109375" customWidth="1"/>
    <col min="6155" max="6155" width="21.5703125" customWidth="1"/>
    <col min="6406" max="6406" width="18.7109375" customWidth="1"/>
    <col min="6411" max="6411" width="21.5703125" customWidth="1"/>
    <col min="6662" max="6662" width="18.7109375" customWidth="1"/>
    <col min="6667" max="6667" width="21.5703125" customWidth="1"/>
    <col min="6918" max="6918" width="18.7109375" customWidth="1"/>
    <col min="6923" max="6923" width="21.5703125" customWidth="1"/>
    <col min="7174" max="7174" width="18.7109375" customWidth="1"/>
    <col min="7179" max="7179" width="21.5703125" customWidth="1"/>
    <col min="7430" max="7430" width="18.7109375" customWidth="1"/>
    <col min="7435" max="7435" width="21.5703125" customWidth="1"/>
    <col min="7686" max="7686" width="18.7109375" customWidth="1"/>
    <col min="7691" max="7691" width="21.5703125" customWidth="1"/>
    <col min="7942" max="7942" width="18.7109375" customWidth="1"/>
    <col min="7947" max="7947" width="21.5703125" customWidth="1"/>
    <col min="8198" max="8198" width="18.7109375" customWidth="1"/>
    <col min="8203" max="8203" width="21.5703125" customWidth="1"/>
    <col min="8454" max="8454" width="18.7109375" customWidth="1"/>
    <col min="8459" max="8459" width="21.5703125" customWidth="1"/>
    <col min="8710" max="8710" width="18.7109375" customWidth="1"/>
    <col min="8715" max="8715" width="21.5703125" customWidth="1"/>
    <col min="8966" max="8966" width="18.7109375" customWidth="1"/>
    <col min="8971" max="8971" width="21.5703125" customWidth="1"/>
    <col min="9222" max="9222" width="18.7109375" customWidth="1"/>
    <col min="9227" max="9227" width="21.5703125" customWidth="1"/>
    <col min="9478" max="9478" width="18.7109375" customWidth="1"/>
    <col min="9483" max="9483" width="21.5703125" customWidth="1"/>
    <col min="9734" max="9734" width="18.7109375" customWidth="1"/>
    <col min="9739" max="9739" width="21.5703125" customWidth="1"/>
    <col min="9990" max="9990" width="18.7109375" customWidth="1"/>
    <col min="9995" max="9995" width="21.5703125" customWidth="1"/>
    <col min="10246" max="10246" width="18.7109375" customWidth="1"/>
    <col min="10251" max="10251" width="21.5703125" customWidth="1"/>
    <col min="10502" max="10502" width="18.7109375" customWidth="1"/>
    <col min="10507" max="10507" width="21.5703125" customWidth="1"/>
    <col min="10758" max="10758" width="18.7109375" customWidth="1"/>
    <col min="10763" max="10763" width="21.5703125" customWidth="1"/>
    <col min="11014" max="11014" width="18.7109375" customWidth="1"/>
    <col min="11019" max="11019" width="21.5703125" customWidth="1"/>
    <col min="11270" max="11270" width="18.7109375" customWidth="1"/>
    <col min="11275" max="11275" width="21.5703125" customWidth="1"/>
    <col min="11526" max="11526" width="18.7109375" customWidth="1"/>
    <col min="11531" max="11531" width="21.5703125" customWidth="1"/>
    <col min="11782" max="11782" width="18.7109375" customWidth="1"/>
    <col min="11787" max="11787" width="21.5703125" customWidth="1"/>
    <col min="12038" max="12038" width="18.7109375" customWidth="1"/>
    <col min="12043" max="12043" width="21.5703125" customWidth="1"/>
    <col min="12294" max="12294" width="18.7109375" customWidth="1"/>
    <col min="12299" max="12299" width="21.5703125" customWidth="1"/>
    <col min="12550" max="12550" width="18.7109375" customWidth="1"/>
    <col min="12555" max="12555" width="21.5703125" customWidth="1"/>
    <col min="12806" max="12806" width="18.7109375" customWidth="1"/>
    <col min="12811" max="12811" width="21.5703125" customWidth="1"/>
    <col min="13062" max="13062" width="18.7109375" customWidth="1"/>
    <col min="13067" max="13067" width="21.5703125" customWidth="1"/>
    <col min="13318" max="13318" width="18.7109375" customWidth="1"/>
    <col min="13323" max="13323" width="21.5703125" customWidth="1"/>
    <col min="13574" max="13574" width="18.7109375" customWidth="1"/>
    <col min="13579" max="13579" width="21.5703125" customWidth="1"/>
    <col min="13830" max="13830" width="18.7109375" customWidth="1"/>
    <col min="13835" max="13835" width="21.5703125" customWidth="1"/>
    <col min="14086" max="14086" width="18.7109375" customWidth="1"/>
    <col min="14091" max="14091" width="21.5703125" customWidth="1"/>
    <col min="14342" max="14342" width="18.7109375" customWidth="1"/>
    <col min="14347" max="14347" width="21.5703125" customWidth="1"/>
    <col min="14598" max="14598" width="18.7109375" customWidth="1"/>
    <col min="14603" max="14603" width="21.5703125" customWidth="1"/>
    <col min="14854" max="14854" width="18.7109375" customWidth="1"/>
    <col min="14859" max="14859" width="21.5703125" customWidth="1"/>
    <col min="15110" max="15110" width="18.7109375" customWidth="1"/>
    <col min="15115" max="15115" width="21.5703125" customWidth="1"/>
    <col min="15366" max="15366" width="18.7109375" customWidth="1"/>
    <col min="15371" max="15371" width="21.5703125" customWidth="1"/>
    <col min="15622" max="15622" width="18.7109375" customWidth="1"/>
    <col min="15627" max="15627" width="21.5703125" customWidth="1"/>
    <col min="15878" max="15878" width="18.7109375" customWidth="1"/>
    <col min="15883" max="15883" width="21.5703125" customWidth="1"/>
    <col min="16134" max="16134" width="18.7109375" customWidth="1"/>
    <col min="16139" max="16139" width="21.5703125" customWidth="1"/>
  </cols>
  <sheetData>
    <row r="1" spans="2:13" ht="15.75">
      <c r="C1" s="42" t="s">
        <v>1992</v>
      </c>
      <c r="D1" s="42" t="s">
        <v>1977</v>
      </c>
      <c r="H1" s="339"/>
      <c r="I1" s="517"/>
      <c r="J1" s="353"/>
    </row>
    <row r="2" spans="2:13" ht="15.75">
      <c r="B2" s="42" t="s">
        <v>1993</v>
      </c>
      <c r="C2">
        <v>2</v>
      </c>
      <c r="D2">
        <v>2</v>
      </c>
      <c r="I2" s="517"/>
      <c r="J2" s="353"/>
      <c r="K2" s="339"/>
      <c r="L2" s="517"/>
      <c r="M2" s="353"/>
    </row>
    <row r="3" spans="2:13" ht="15.75">
      <c r="B3" s="42" t="s">
        <v>1075</v>
      </c>
      <c r="C3">
        <v>19</v>
      </c>
      <c r="D3">
        <v>5</v>
      </c>
      <c r="I3" s="517"/>
      <c r="J3" s="353"/>
      <c r="K3" s="339"/>
      <c r="L3" s="517"/>
      <c r="M3" s="353"/>
    </row>
    <row r="4" spans="2:13" ht="15.75">
      <c r="B4" s="4" t="s">
        <v>1078</v>
      </c>
      <c r="C4" s="567">
        <v>30</v>
      </c>
      <c r="D4" s="44">
        <v>1</v>
      </c>
      <c r="I4" s="517"/>
      <c r="J4" s="353"/>
      <c r="K4" s="339"/>
      <c r="L4" s="517"/>
      <c r="M4" s="353"/>
    </row>
    <row r="5" spans="2:13" ht="15.75">
      <c r="B5" s="4" t="s">
        <v>1079</v>
      </c>
      <c r="C5" s="1">
        <v>37</v>
      </c>
      <c r="D5" s="1">
        <v>6</v>
      </c>
      <c r="F5" s="4"/>
      <c r="G5" s="567"/>
      <c r="H5" s="44"/>
      <c r="I5" s="517"/>
      <c r="J5" s="353"/>
      <c r="K5" s="339"/>
      <c r="L5" s="517"/>
      <c r="M5" s="353"/>
    </row>
    <row r="6" spans="2:13" ht="15.75">
      <c r="B6" s="42" t="s">
        <v>346</v>
      </c>
      <c r="C6">
        <v>42</v>
      </c>
      <c r="D6">
        <v>1</v>
      </c>
      <c r="F6" s="4"/>
      <c r="I6" s="517"/>
      <c r="J6" s="353"/>
      <c r="K6" s="339"/>
      <c r="L6" s="517"/>
      <c r="M6" s="353"/>
    </row>
    <row r="7" spans="2:13" ht="15.75">
      <c r="B7" s="4" t="s">
        <v>1076</v>
      </c>
      <c r="C7" s="1">
        <v>45</v>
      </c>
      <c r="D7" s="1">
        <v>11</v>
      </c>
      <c r="I7" s="517"/>
      <c r="J7" s="353"/>
      <c r="K7" s="339"/>
      <c r="L7" s="517"/>
      <c r="M7" s="353"/>
    </row>
    <row r="8" spans="2:13" ht="15.75">
      <c r="B8" s="4" t="s">
        <v>1080</v>
      </c>
      <c r="C8" s="1">
        <v>48</v>
      </c>
      <c r="D8" s="1">
        <v>9</v>
      </c>
      <c r="I8" s="353"/>
      <c r="J8" s="353"/>
      <c r="K8" s="339"/>
      <c r="L8" s="517"/>
      <c r="M8" s="353"/>
    </row>
    <row r="9" spans="2:13" ht="15.75">
      <c r="B9" s="4" t="s">
        <v>1077</v>
      </c>
      <c r="C9" s="1">
        <v>48</v>
      </c>
      <c r="D9" s="1">
        <v>2</v>
      </c>
      <c r="K9" s="339"/>
      <c r="L9" s="517"/>
      <c r="M9" s="353"/>
    </row>
    <row r="10" spans="2:13" ht="15.75">
      <c r="B10" s="4"/>
      <c r="C10" s="1"/>
      <c r="D10" s="1"/>
      <c r="K10" s="339"/>
      <c r="L10" s="517"/>
      <c r="M10" s="353"/>
    </row>
    <row r="11" spans="2:13" ht="15.75">
      <c r="K11" s="339"/>
      <c r="L11" s="517"/>
      <c r="M11" s="353"/>
    </row>
    <row r="12" spans="2:13" ht="15.75">
      <c r="K12" s="339"/>
      <c r="L12" s="517"/>
      <c r="M12" s="353"/>
    </row>
    <row r="13" spans="2:13" ht="15.75">
      <c r="K13" s="339"/>
      <c r="L13" s="517"/>
      <c r="M13" s="353"/>
    </row>
    <row r="14" spans="2:13" ht="15.75">
      <c r="K14" s="339"/>
      <c r="L14" s="517"/>
      <c r="M14" s="353"/>
    </row>
    <row r="15" spans="2:13" ht="15.75">
      <c r="K15" s="339"/>
      <c r="L15" s="353"/>
      <c r="M15" s="353"/>
    </row>
    <row r="16" spans="2:13" ht="15.75">
      <c r="K16" s="339"/>
      <c r="L16" s="353"/>
      <c r="M16" s="353"/>
    </row>
  </sheetData>
  <printOptions horizontalCentered="1" verticalCentered="1"/>
  <pageMargins left="0" right="0" top="0" bottom="0"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dimension ref="A1:T123"/>
  <sheetViews>
    <sheetView topLeftCell="A82" workbookViewId="0">
      <selection activeCell="A83" sqref="A83"/>
    </sheetView>
  </sheetViews>
  <sheetFormatPr baseColWidth="10" defaultRowHeight="15"/>
  <cols>
    <col min="1" max="1" width="34.85546875" customWidth="1"/>
    <col min="2" max="2" width="7.42578125" style="1" customWidth="1"/>
    <col min="3" max="3" width="7.140625" customWidth="1"/>
    <col min="4" max="4" width="3" customWidth="1"/>
    <col min="5" max="5" width="7.42578125" customWidth="1"/>
    <col min="6" max="6" width="8.42578125" customWidth="1"/>
    <col min="7" max="7" width="2.7109375" customWidth="1"/>
    <col min="8" max="8" width="7.28515625" customWidth="1"/>
    <col min="9" max="9" width="8.42578125" customWidth="1"/>
    <col min="10" max="10" width="2.7109375" customWidth="1"/>
    <col min="11" max="11" width="7.5703125" customWidth="1"/>
    <col min="12" max="12" width="8.42578125" customWidth="1"/>
    <col min="13" max="13" width="2.7109375" customWidth="1"/>
    <col min="14" max="14" width="7.140625" customWidth="1"/>
    <col min="15" max="15" width="8" customWidth="1"/>
    <col min="16" max="16" width="2.7109375" customWidth="1"/>
    <col min="17" max="17" width="7.5703125" customWidth="1"/>
    <col min="18" max="18" width="8.42578125" customWidth="1"/>
    <col min="19" max="19" width="2.7109375" customWidth="1"/>
    <col min="20" max="20" width="9" customWidth="1"/>
    <col min="257" max="257" width="34.85546875" customWidth="1"/>
    <col min="258" max="258" width="7.42578125" customWidth="1"/>
    <col min="259" max="259" width="7.140625" customWidth="1"/>
    <col min="260" max="260" width="3" customWidth="1"/>
    <col min="261" max="261" width="7.42578125" customWidth="1"/>
    <col min="262" max="262" width="8.42578125" customWidth="1"/>
    <col min="263" max="263" width="2.7109375" customWidth="1"/>
    <col min="264" max="264" width="7.28515625" customWidth="1"/>
    <col min="265" max="265" width="8.42578125" customWidth="1"/>
    <col min="266" max="266" width="2.7109375" customWidth="1"/>
    <col min="267" max="267" width="7.5703125" customWidth="1"/>
    <col min="268" max="268" width="8.42578125" customWidth="1"/>
    <col min="269" max="269" width="2.7109375" customWidth="1"/>
    <col min="270" max="270" width="7.140625" customWidth="1"/>
    <col min="271" max="271" width="8" customWidth="1"/>
    <col min="272" max="272" width="2.7109375" customWidth="1"/>
    <col min="273" max="273" width="7.5703125" customWidth="1"/>
    <col min="274" max="274" width="8.42578125" customWidth="1"/>
    <col min="275" max="275" width="2.7109375" customWidth="1"/>
    <col min="276" max="276" width="9" customWidth="1"/>
    <col min="513" max="513" width="34.85546875" customWidth="1"/>
    <col min="514" max="514" width="7.42578125" customWidth="1"/>
    <col min="515" max="515" width="7.140625" customWidth="1"/>
    <col min="516" max="516" width="3" customWidth="1"/>
    <col min="517" max="517" width="7.42578125" customWidth="1"/>
    <col min="518" max="518" width="8.42578125" customWidth="1"/>
    <col min="519" max="519" width="2.7109375" customWidth="1"/>
    <col min="520" max="520" width="7.28515625" customWidth="1"/>
    <col min="521" max="521" width="8.42578125" customWidth="1"/>
    <col min="522" max="522" width="2.7109375" customWidth="1"/>
    <col min="523" max="523" width="7.5703125" customWidth="1"/>
    <col min="524" max="524" width="8.42578125" customWidth="1"/>
    <col min="525" max="525" width="2.7109375" customWidth="1"/>
    <col min="526" max="526" width="7.140625" customWidth="1"/>
    <col min="527" max="527" width="8" customWidth="1"/>
    <col min="528" max="528" width="2.7109375" customWidth="1"/>
    <col min="529" max="529" width="7.5703125" customWidth="1"/>
    <col min="530" max="530" width="8.42578125" customWidth="1"/>
    <col min="531" max="531" width="2.7109375" customWidth="1"/>
    <col min="532" max="532" width="9" customWidth="1"/>
    <col min="769" max="769" width="34.85546875" customWidth="1"/>
    <col min="770" max="770" width="7.42578125" customWidth="1"/>
    <col min="771" max="771" width="7.140625" customWidth="1"/>
    <col min="772" max="772" width="3" customWidth="1"/>
    <col min="773" max="773" width="7.42578125" customWidth="1"/>
    <col min="774" max="774" width="8.42578125" customWidth="1"/>
    <col min="775" max="775" width="2.7109375" customWidth="1"/>
    <col min="776" max="776" width="7.28515625" customWidth="1"/>
    <col min="777" max="777" width="8.42578125" customWidth="1"/>
    <col min="778" max="778" width="2.7109375" customWidth="1"/>
    <col min="779" max="779" width="7.5703125" customWidth="1"/>
    <col min="780" max="780" width="8.42578125" customWidth="1"/>
    <col min="781" max="781" width="2.7109375" customWidth="1"/>
    <col min="782" max="782" width="7.140625" customWidth="1"/>
    <col min="783" max="783" width="8" customWidth="1"/>
    <col min="784" max="784" width="2.7109375" customWidth="1"/>
    <col min="785" max="785" width="7.5703125" customWidth="1"/>
    <col min="786" max="786" width="8.42578125" customWidth="1"/>
    <col min="787" max="787" width="2.7109375" customWidth="1"/>
    <col min="788" max="788" width="9" customWidth="1"/>
    <col min="1025" max="1025" width="34.85546875" customWidth="1"/>
    <col min="1026" max="1026" width="7.42578125" customWidth="1"/>
    <col min="1027" max="1027" width="7.140625" customWidth="1"/>
    <col min="1028" max="1028" width="3" customWidth="1"/>
    <col min="1029" max="1029" width="7.42578125" customWidth="1"/>
    <col min="1030" max="1030" width="8.42578125" customWidth="1"/>
    <col min="1031" max="1031" width="2.7109375" customWidth="1"/>
    <col min="1032" max="1032" width="7.28515625" customWidth="1"/>
    <col min="1033" max="1033" width="8.42578125" customWidth="1"/>
    <col min="1034" max="1034" width="2.7109375" customWidth="1"/>
    <col min="1035" max="1035" width="7.5703125" customWidth="1"/>
    <col min="1036" max="1036" width="8.42578125" customWidth="1"/>
    <col min="1037" max="1037" width="2.7109375" customWidth="1"/>
    <col min="1038" max="1038" width="7.140625" customWidth="1"/>
    <col min="1039" max="1039" width="8" customWidth="1"/>
    <col min="1040" max="1040" width="2.7109375" customWidth="1"/>
    <col min="1041" max="1041" width="7.5703125" customWidth="1"/>
    <col min="1042" max="1042" width="8.42578125" customWidth="1"/>
    <col min="1043" max="1043" width="2.7109375" customWidth="1"/>
    <col min="1044" max="1044" width="9" customWidth="1"/>
    <col min="1281" max="1281" width="34.85546875" customWidth="1"/>
    <col min="1282" max="1282" width="7.42578125" customWidth="1"/>
    <col min="1283" max="1283" width="7.140625" customWidth="1"/>
    <col min="1284" max="1284" width="3" customWidth="1"/>
    <col min="1285" max="1285" width="7.42578125" customWidth="1"/>
    <col min="1286" max="1286" width="8.42578125" customWidth="1"/>
    <col min="1287" max="1287" width="2.7109375" customWidth="1"/>
    <col min="1288" max="1288" width="7.28515625" customWidth="1"/>
    <col min="1289" max="1289" width="8.42578125" customWidth="1"/>
    <col min="1290" max="1290" width="2.7109375" customWidth="1"/>
    <col min="1291" max="1291" width="7.5703125" customWidth="1"/>
    <col min="1292" max="1292" width="8.42578125" customWidth="1"/>
    <col min="1293" max="1293" width="2.7109375" customWidth="1"/>
    <col min="1294" max="1294" width="7.140625" customWidth="1"/>
    <col min="1295" max="1295" width="8" customWidth="1"/>
    <col min="1296" max="1296" width="2.7109375" customWidth="1"/>
    <col min="1297" max="1297" width="7.5703125" customWidth="1"/>
    <col min="1298" max="1298" width="8.42578125" customWidth="1"/>
    <col min="1299" max="1299" width="2.7109375" customWidth="1"/>
    <col min="1300" max="1300" width="9" customWidth="1"/>
    <col min="1537" max="1537" width="34.85546875" customWidth="1"/>
    <col min="1538" max="1538" width="7.42578125" customWidth="1"/>
    <col min="1539" max="1539" width="7.140625" customWidth="1"/>
    <col min="1540" max="1540" width="3" customWidth="1"/>
    <col min="1541" max="1541" width="7.42578125" customWidth="1"/>
    <col min="1542" max="1542" width="8.42578125" customWidth="1"/>
    <col min="1543" max="1543" width="2.7109375" customWidth="1"/>
    <col min="1544" max="1544" width="7.28515625" customWidth="1"/>
    <col min="1545" max="1545" width="8.42578125" customWidth="1"/>
    <col min="1546" max="1546" width="2.7109375" customWidth="1"/>
    <col min="1547" max="1547" width="7.5703125" customWidth="1"/>
    <col min="1548" max="1548" width="8.42578125" customWidth="1"/>
    <col min="1549" max="1549" width="2.7109375" customWidth="1"/>
    <col min="1550" max="1550" width="7.140625" customWidth="1"/>
    <col min="1551" max="1551" width="8" customWidth="1"/>
    <col min="1552" max="1552" width="2.7109375" customWidth="1"/>
    <col min="1553" max="1553" width="7.5703125" customWidth="1"/>
    <col min="1554" max="1554" width="8.42578125" customWidth="1"/>
    <col min="1555" max="1555" width="2.7109375" customWidth="1"/>
    <col min="1556" max="1556" width="9" customWidth="1"/>
    <col min="1793" max="1793" width="34.85546875" customWidth="1"/>
    <col min="1794" max="1794" width="7.42578125" customWidth="1"/>
    <col min="1795" max="1795" width="7.140625" customWidth="1"/>
    <col min="1796" max="1796" width="3" customWidth="1"/>
    <col min="1797" max="1797" width="7.42578125" customWidth="1"/>
    <col min="1798" max="1798" width="8.42578125" customWidth="1"/>
    <col min="1799" max="1799" width="2.7109375" customWidth="1"/>
    <col min="1800" max="1800" width="7.28515625" customWidth="1"/>
    <col min="1801" max="1801" width="8.42578125" customWidth="1"/>
    <col min="1802" max="1802" width="2.7109375" customWidth="1"/>
    <col min="1803" max="1803" width="7.5703125" customWidth="1"/>
    <col min="1804" max="1804" width="8.42578125" customWidth="1"/>
    <col min="1805" max="1805" width="2.7109375" customWidth="1"/>
    <col min="1806" max="1806" width="7.140625" customWidth="1"/>
    <col min="1807" max="1807" width="8" customWidth="1"/>
    <col min="1808" max="1808" width="2.7109375" customWidth="1"/>
    <col min="1809" max="1809" width="7.5703125" customWidth="1"/>
    <col min="1810" max="1810" width="8.42578125" customWidth="1"/>
    <col min="1811" max="1811" width="2.7109375" customWidth="1"/>
    <col min="1812" max="1812" width="9" customWidth="1"/>
    <col min="2049" max="2049" width="34.85546875" customWidth="1"/>
    <col min="2050" max="2050" width="7.42578125" customWidth="1"/>
    <col min="2051" max="2051" width="7.140625" customWidth="1"/>
    <col min="2052" max="2052" width="3" customWidth="1"/>
    <col min="2053" max="2053" width="7.42578125" customWidth="1"/>
    <col min="2054" max="2054" width="8.42578125" customWidth="1"/>
    <col min="2055" max="2055" width="2.7109375" customWidth="1"/>
    <col min="2056" max="2056" width="7.28515625" customWidth="1"/>
    <col min="2057" max="2057" width="8.42578125" customWidth="1"/>
    <col min="2058" max="2058" width="2.7109375" customWidth="1"/>
    <col min="2059" max="2059" width="7.5703125" customWidth="1"/>
    <col min="2060" max="2060" width="8.42578125" customWidth="1"/>
    <col min="2061" max="2061" width="2.7109375" customWidth="1"/>
    <col min="2062" max="2062" width="7.140625" customWidth="1"/>
    <col min="2063" max="2063" width="8" customWidth="1"/>
    <col min="2064" max="2064" width="2.7109375" customWidth="1"/>
    <col min="2065" max="2065" width="7.5703125" customWidth="1"/>
    <col min="2066" max="2066" width="8.42578125" customWidth="1"/>
    <col min="2067" max="2067" width="2.7109375" customWidth="1"/>
    <col min="2068" max="2068" width="9" customWidth="1"/>
    <col min="2305" max="2305" width="34.85546875" customWidth="1"/>
    <col min="2306" max="2306" width="7.42578125" customWidth="1"/>
    <col min="2307" max="2307" width="7.140625" customWidth="1"/>
    <col min="2308" max="2308" width="3" customWidth="1"/>
    <col min="2309" max="2309" width="7.42578125" customWidth="1"/>
    <col min="2310" max="2310" width="8.42578125" customWidth="1"/>
    <col min="2311" max="2311" width="2.7109375" customWidth="1"/>
    <col min="2312" max="2312" width="7.28515625" customWidth="1"/>
    <col min="2313" max="2313" width="8.42578125" customWidth="1"/>
    <col min="2314" max="2314" width="2.7109375" customWidth="1"/>
    <col min="2315" max="2315" width="7.5703125" customWidth="1"/>
    <col min="2316" max="2316" width="8.42578125" customWidth="1"/>
    <col min="2317" max="2317" width="2.7109375" customWidth="1"/>
    <col min="2318" max="2318" width="7.140625" customWidth="1"/>
    <col min="2319" max="2319" width="8" customWidth="1"/>
    <col min="2320" max="2320" width="2.7109375" customWidth="1"/>
    <col min="2321" max="2321" width="7.5703125" customWidth="1"/>
    <col min="2322" max="2322" width="8.42578125" customWidth="1"/>
    <col min="2323" max="2323" width="2.7109375" customWidth="1"/>
    <col min="2324" max="2324" width="9" customWidth="1"/>
    <col min="2561" max="2561" width="34.85546875" customWidth="1"/>
    <col min="2562" max="2562" width="7.42578125" customWidth="1"/>
    <col min="2563" max="2563" width="7.140625" customWidth="1"/>
    <col min="2564" max="2564" width="3" customWidth="1"/>
    <col min="2565" max="2565" width="7.42578125" customWidth="1"/>
    <col min="2566" max="2566" width="8.42578125" customWidth="1"/>
    <col min="2567" max="2567" width="2.7109375" customWidth="1"/>
    <col min="2568" max="2568" width="7.28515625" customWidth="1"/>
    <col min="2569" max="2569" width="8.42578125" customWidth="1"/>
    <col min="2570" max="2570" width="2.7109375" customWidth="1"/>
    <col min="2571" max="2571" width="7.5703125" customWidth="1"/>
    <col min="2572" max="2572" width="8.42578125" customWidth="1"/>
    <col min="2573" max="2573" width="2.7109375" customWidth="1"/>
    <col min="2574" max="2574" width="7.140625" customWidth="1"/>
    <col min="2575" max="2575" width="8" customWidth="1"/>
    <col min="2576" max="2576" width="2.7109375" customWidth="1"/>
    <col min="2577" max="2577" width="7.5703125" customWidth="1"/>
    <col min="2578" max="2578" width="8.42578125" customWidth="1"/>
    <col min="2579" max="2579" width="2.7109375" customWidth="1"/>
    <col min="2580" max="2580" width="9" customWidth="1"/>
    <col min="2817" max="2817" width="34.85546875" customWidth="1"/>
    <col min="2818" max="2818" width="7.42578125" customWidth="1"/>
    <col min="2819" max="2819" width="7.140625" customWidth="1"/>
    <col min="2820" max="2820" width="3" customWidth="1"/>
    <col min="2821" max="2821" width="7.42578125" customWidth="1"/>
    <col min="2822" max="2822" width="8.42578125" customWidth="1"/>
    <col min="2823" max="2823" width="2.7109375" customWidth="1"/>
    <col min="2824" max="2824" width="7.28515625" customWidth="1"/>
    <col min="2825" max="2825" width="8.42578125" customWidth="1"/>
    <col min="2826" max="2826" width="2.7109375" customWidth="1"/>
    <col min="2827" max="2827" width="7.5703125" customWidth="1"/>
    <col min="2828" max="2828" width="8.42578125" customWidth="1"/>
    <col min="2829" max="2829" width="2.7109375" customWidth="1"/>
    <col min="2830" max="2830" width="7.140625" customWidth="1"/>
    <col min="2831" max="2831" width="8" customWidth="1"/>
    <col min="2832" max="2832" width="2.7109375" customWidth="1"/>
    <col min="2833" max="2833" width="7.5703125" customWidth="1"/>
    <col min="2834" max="2834" width="8.42578125" customWidth="1"/>
    <col min="2835" max="2835" width="2.7109375" customWidth="1"/>
    <col min="2836" max="2836" width="9" customWidth="1"/>
    <col min="3073" max="3073" width="34.85546875" customWidth="1"/>
    <col min="3074" max="3074" width="7.42578125" customWidth="1"/>
    <col min="3075" max="3075" width="7.140625" customWidth="1"/>
    <col min="3076" max="3076" width="3" customWidth="1"/>
    <col min="3077" max="3077" width="7.42578125" customWidth="1"/>
    <col min="3078" max="3078" width="8.42578125" customWidth="1"/>
    <col min="3079" max="3079" width="2.7109375" customWidth="1"/>
    <col min="3080" max="3080" width="7.28515625" customWidth="1"/>
    <col min="3081" max="3081" width="8.42578125" customWidth="1"/>
    <col min="3082" max="3082" width="2.7109375" customWidth="1"/>
    <col min="3083" max="3083" width="7.5703125" customWidth="1"/>
    <col min="3084" max="3084" width="8.42578125" customWidth="1"/>
    <col min="3085" max="3085" width="2.7109375" customWidth="1"/>
    <col min="3086" max="3086" width="7.140625" customWidth="1"/>
    <col min="3087" max="3087" width="8" customWidth="1"/>
    <col min="3088" max="3088" width="2.7109375" customWidth="1"/>
    <col min="3089" max="3089" width="7.5703125" customWidth="1"/>
    <col min="3090" max="3090" width="8.42578125" customWidth="1"/>
    <col min="3091" max="3091" width="2.7109375" customWidth="1"/>
    <col min="3092" max="3092" width="9" customWidth="1"/>
    <col min="3329" max="3329" width="34.85546875" customWidth="1"/>
    <col min="3330" max="3330" width="7.42578125" customWidth="1"/>
    <col min="3331" max="3331" width="7.140625" customWidth="1"/>
    <col min="3332" max="3332" width="3" customWidth="1"/>
    <col min="3333" max="3333" width="7.42578125" customWidth="1"/>
    <col min="3334" max="3334" width="8.42578125" customWidth="1"/>
    <col min="3335" max="3335" width="2.7109375" customWidth="1"/>
    <col min="3336" max="3336" width="7.28515625" customWidth="1"/>
    <col min="3337" max="3337" width="8.42578125" customWidth="1"/>
    <col min="3338" max="3338" width="2.7109375" customWidth="1"/>
    <col min="3339" max="3339" width="7.5703125" customWidth="1"/>
    <col min="3340" max="3340" width="8.42578125" customWidth="1"/>
    <col min="3341" max="3341" width="2.7109375" customWidth="1"/>
    <col min="3342" max="3342" width="7.140625" customWidth="1"/>
    <col min="3343" max="3343" width="8" customWidth="1"/>
    <col min="3344" max="3344" width="2.7109375" customWidth="1"/>
    <col min="3345" max="3345" width="7.5703125" customWidth="1"/>
    <col min="3346" max="3346" width="8.42578125" customWidth="1"/>
    <col min="3347" max="3347" width="2.7109375" customWidth="1"/>
    <col min="3348" max="3348" width="9" customWidth="1"/>
    <col min="3585" max="3585" width="34.85546875" customWidth="1"/>
    <col min="3586" max="3586" width="7.42578125" customWidth="1"/>
    <col min="3587" max="3587" width="7.140625" customWidth="1"/>
    <col min="3588" max="3588" width="3" customWidth="1"/>
    <col min="3589" max="3589" width="7.42578125" customWidth="1"/>
    <col min="3590" max="3590" width="8.42578125" customWidth="1"/>
    <col min="3591" max="3591" width="2.7109375" customWidth="1"/>
    <col min="3592" max="3592" width="7.28515625" customWidth="1"/>
    <col min="3593" max="3593" width="8.42578125" customWidth="1"/>
    <col min="3594" max="3594" width="2.7109375" customWidth="1"/>
    <col min="3595" max="3595" width="7.5703125" customWidth="1"/>
    <col min="3596" max="3596" width="8.42578125" customWidth="1"/>
    <col min="3597" max="3597" width="2.7109375" customWidth="1"/>
    <col min="3598" max="3598" width="7.140625" customWidth="1"/>
    <col min="3599" max="3599" width="8" customWidth="1"/>
    <col min="3600" max="3600" width="2.7109375" customWidth="1"/>
    <col min="3601" max="3601" width="7.5703125" customWidth="1"/>
    <col min="3602" max="3602" width="8.42578125" customWidth="1"/>
    <col min="3603" max="3603" width="2.7109375" customWidth="1"/>
    <col min="3604" max="3604" width="9" customWidth="1"/>
    <col min="3841" max="3841" width="34.85546875" customWidth="1"/>
    <col min="3842" max="3842" width="7.42578125" customWidth="1"/>
    <col min="3843" max="3843" width="7.140625" customWidth="1"/>
    <col min="3844" max="3844" width="3" customWidth="1"/>
    <col min="3845" max="3845" width="7.42578125" customWidth="1"/>
    <col min="3846" max="3846" width="8.42578125" customWidth="1"/>
    <col min="3847" max="3847" width="2.7109375" customWidth="1"/>
    <col min="3848" max="3848" width="7.28515625" customWidth="1"/>
    <col min="3849" max="3849" width="8.42578125" customWidth="1"/>
    <col min="3850" max="3850" width="2.7109375" customWidth="1"/>
    <col min="3851" max="3851" width="7.5703125" customWidth="1"/>
    <col min="3852" max="3852" width="8.42578125" customWidth="1"/>
    <col min="3853" max="3853" width="2.7109375" customWidth="1"/>
    <col min="3854" max="3854" width="7.140625" customWidth="1"/>
    <col min="3855" max="3855" width="8" customWidth="1"/>
    <col min="3856" max="3856" width="2.7109375" customWidth="1"/>
    <col min="3857" max="3857" width="7.5703125" customWidth="1"/>
    <col min="3858" max="3858" width="8.42578125" customWidth="1"/>
    <col min="3859" max="3859" width="2.7109375" customWidth="1"/>
    <col min="3860" max="3860" width="9" customWidth="1"/>
    <col min="4097" max="4097" width="34.85546875" customWidth="1"/>
    <col min="4098" max="4098" width="7.42578125" customWidth="1"/>
    <col min="4099" max="4099" width="7.140625" customWidth="1"/>
    <col min="4100" max="4100" width="3" customWidth="1"/>
    <col min="4101" max="4101" width="7.42578125" customWidth="1"/>
    <col min="4102" max="4102" width="8.42578125" customWidth="1"/>
    <col min="4103" max="4103" width="2.7109375" customWidth="1"/>
    <col min="4104" max="4104" width="7.28515625" customWidth="1"/>
    <col min="4105" max="4105" width="8.42578125" customWidth="1"/>
    <col min="4106" max="4106" width="2.7109375" customWidth="1"/>
    <col min="4107" max="4107" width="7.5703125" customWidth="1"/>
    <col min="4108" max="4108" width="8.42578125" customWidth="1"/>
    <col min="4109" max="4109" width="2.7109375" customWidth="1"/>
    <col min="4110" max="4110" width="7.140625" customWidth="1"/>
    <col min="4111" max="4111" width="8" customWidth="1"/>
    <col min="4112" max="4112" width="2.7109375" customWidth="1"/>
    <col min="4113" max="4113" width="7.5703125" customWidth="1"/>
    <col min="4114" max="4114" width="8.42578125" customWidth="1"/>
    <col min="4115" max="4115" width="2.7109375" customWidth="1"/>
    <col min="4116" max="4116" width="9" customWidth="1"/>
    <col min="4353" max="4353" width="34.85546875" customWidth="1"/>
    <col min="4354" max="4354" width="7.42578125" customWidth="1"/>
    <col min="4355" max="4355" width="7.140625" customWidth="1"/>
    <col min="4356" max="4356" width="3" customWidth="1"/>
    <col min="4357" max="4357" width="7.42578125" customWidth="1"/>
    <col min="4358" max="4358" width="8.42578125" customWidth="1"/>
    <col min="4359" max="4359" width="2.7109375" customWidth="1"/>
    <col min="4360" max="4360" width="7.28515625" customWidth="1"/>
    <col min="4361" max="4361" width="8.42578125" customWidth="1"/>
    <col min="4362" max="4362" width="2.7109375" customWidth="1"/>
    <col min="4363" max="4363" width="7.5703125" customWidth="1"/>
    <col min="4364" max="4364" width="8.42578125" customWidth="1"/>
    <col min="4365" max="4365" width="2.7109375" customWidth="1"/>
    <col min="4366" max="4366" width="7.140625" customWidth="1"/>
    <col min="4367" max="4367" width="8" customWidth="1"/>
    <col min="4368" max="4368" width="2.7109375" customWidth="1"/>
    <col min="4369" max="4369" width="7.5703125" customWidth="1"/>
    <col min="4370" max="4370" width="8.42578125" customWidth="1"/>
    <col min="4371" max="4371" width="2.7109375" customWidth="1"/>
    <col min="4372" max="4372" width="9" customWidth="1"/>
    <col min="4609" max="4609" width="34.85546875" customWidth="1"/>
    <col min="4610" max="4610" width="7.42578125" customWidth="1"/>
    <col min="4611" max="4611" width="7.140625" customWidth="1"/>
    <col min="4612" max="4612" width="3" customWidth="1"/>
    <col min="4613" max="4613" width="7.42578125" customWidth="1"/>
    <col min="4614" max="4614" width="8.42578125" customWidth="1"/>
    <col min="4615" max="4615" width="2.7109375" customWidth="1"/>
    <col min="4616" max="4616" width="7.28515625" customWidth="1"/>
    <col min="4617" max="4617" width="8.42578125" customWidth="1"/>
    <col min="4618" max="4618" width="2.7109375" customWidth="1"/>
    <col min="4619" max="4619" width="7.5703125" customWidth="1"/>
    <col min="4620" max="4620" width="8.42578125" customWidth="1"/>
    <col min="4621" max="4621" width="2.7109375" customWidth="1"/>
    <col min="4622" max="4622" width="7.140625" customWidth="1"/>
    <col min="4623" max="4623" width="8" customWidth="1"/>
    <col min="4624" max="4624" width="2.7109375" customWidth="1"/>
    <col min="4625" max="4625" width="7.5703125" customWidth="1"/>
    <col min="4626" max="4626" width="8.42578125" customWidth="1"/>
    <col min="4627" max="4627" width="2.7109375" customWidth="1"/>
    <col min="4628" max="4628" width="9" customWidth="1"/>
    <col min="4865" max="4865" width="34.85546875" customWidth="1"/>
    <col min="4866" max="4866" width="7.42578125" customWidth="1"/>
    <col min="4867" max="4867" width="7.140625" customWidth="1"/>
    <col min="4868" max="4868" width="3" customWidth="1"/>
    <col min="4869" max="4869" width="7.42578125" customWidth="1"/>
    <col min="4870" max="4870" width="8.42578125" customWidth="1"/>
    <col min="4871" max="4871" width="2.7109375" customWidth="1"/>
    <col min="4872" max="4872" width="7.28515625" customWidth="1"/>
    <col min="4873" max="4873" width="8.42578125" customWidth="1"/>
    <col min="4874" max="4874" width="2.7109375" customWidth="1"/>
    <col min="4875" max="4875" width="7.5703125" customWidth="1"/>
    <col min="4876" max="4876" width="8.42578125" customWidth="1"/>
    <col min="4877" max="4877" width="2.7109375" customWidth="1"/>
    <col min="4878" max="4878" width="7.140625" customWidth="1"/>
    <col min="4879" max="4879" width="8" customWidth="1"/>
    <col min="4880" max="4880" width="2.7109375" customWidth="1"/>
    <col min="4881" max="4881" width="7.5703125" customWidth="1"/>
    <col min="4882" max="4882" width="8.42578125" customWidth="1"/>
    <col min="4883" max="4883" width="2.7109375" customWidth="1"/>
    <col min="4884" max="4884" width="9" customWidth="1"/>
    <col min="5121" max="5121" width="34.85546875" customWidth="1"/>
    <col min="5122" max="5122" width="7.42578125" customWidth="1"/>
    <col min="5123" max="5123" width="7.140625" customWidth="1"/>
    <col min="5124" max="5124" width="3" customWidth="1"/>
    <col min="5125" max="5125" width="7.42578125" customWidth="1"/>
    <col min="5126" max="5126" width="8.42578125" customWidth="1"/>
    <col min="5127" max="5127" width="2.7109375" customWidth="1"/>
    <col min="5128" max="5128" width="7.28515625" customWidth="1"/>
    <col min="5129" max="5129" width="8.42578125" customWidth="1"/>
    <col min="5130" max="5130" width="2.7109375" customWidth="1"/>
    <col min="5131" max="5131" width="7.5703125" customWidth="1"/>
    <col min="5132" max="5132" width="8.42578125" customWidth="1"/>
    <col min="5133" max="5133" width="2.7109375" customWidth="1"/>
    <col min="5134" max="5134" width="7.140625" customWidth="1"/>
    <col min="5135" max="5135" width="8" customWidth="1"/>
    <col min="5136" max="5136" width="2.7109375" customWidth="1"/>
    <col min="5137" max="5137" width="7.5703125" customWidth="1"/>
    <col min="5138" max="5138" width="8.42578125" customWidth="1"/>
    <col min="5139" max="5139" width="2.7109375" customWidth="1"/>
    <col min="5140" max="5140" width="9" customWidth="1"/>
    <col min="5377" max="5377" width="34.85546875" customWidth="1"/>
    <col min="5378" max="5378" width="7.42578125" customWidth="1"/>
    <col min="5379" max="5379" width="7.140625" customWidth="1"/>
    <col min="5380" max="5380" width="3" customWidth="1"/>
    <col min="5381" max="5381" width="7.42578125" customWidth="1"/>
    <col min="5382" max="5382" width="8.42578125" customWidth="1"/>
    <col min="5383" max="5383" width="2.7109375" customWidth="1"/>
    <col min="5384" max="5384" width="7.28515625" customWidth="1"/>
    <col min="5385" max="5385" width="8.42578125" customWidth="1"/>
    <col min="5386" max="5386" width="2.7109375" customWidth="1"/>
    <col min="5387" max="5387" width="7.5703125" customWidth="1"/>
    <col min="5388" max="5388" width="8.42578125" customWidth="1"/>
    <col min="5389" max="5389" width="2.7109375" customWidth="1"/>
    <col min="5390" max="5390" width="7.140625" customWidth="1"/>
    <col min="5391" max="5391" width="8" customWidth="1"/>
    <col min="5392" max="5392" width="2.7109375" customWidth="1"/>
    <col min="5393" max="5393" width="7.5703125" customWidth="1"/>
    <col min="5394" max="5394" width="8.42578125" customWidth="1"/>
    <col min="5395" max="5395" width="2.7109375" customWidth="1"/>
    <col min="5396" max="5396" width="9" customWidth="1"/>
    <col min="5633" max="5633" width="34.85546875" customWidth="1"/>
    <col min="5634" max="5634" width="7.42578125" customWidth="1"/>
    <col min="5635" max="5635" width="7.140625" customWidth="1"/>
    <col min="5636" max="5636" width="3" customWidth="1"/>
    <col min="5637" max="5637" width="7.42578125" customWidth="1"/>
    <col min="5638" max="5638" width="8.42578125" customWidth="1"/>
    <col min="5639" max="5639" width="2.7109375" customWidth="1"/>
    <col min="5640" max="5640" width="7.28515625" customWidth="1"/>
    <col min="5641" max="5641" width="8.42578125" customWidth="1"/>
    <col min="5642" max="5642" width="2.7109375" customWidth="1"/>
    <col min="5643" max="5643" width="7.5703125" customWidth="1"/>
    <col min="5644" max="5644" width="8.42578125" customWidth="1"/>
    <col min="5645" max="5645" width="2.7109375" customWidth="1"/>
    <col min="5646" max="5646" width="7.140625" customWidth="1"/>
    <col min="5647" max="5647" width="8" customWidth="1"/>
    <col min="5648" max="5648" width="2.7109375" customWidth="1"/>
    <col min="5649" max="5649" width="7.5703125" customWidth="1"/>
    <col min="5650" max="5650" width="8.42578125" customWidth="1"/>
    <col min="5651" max="5651" width="2.7109375" customWidth="1"/>
    <col min="5652" max="5652" width="9" customWidth="1"/>
    <col min="5889" max="5889" width="34.85546875" customWidth="1"/>
    <col min="5890" max="5890" width="7.42578125" customWidth="1"/>
    <col min="5891" max="5891" width="7.140625" customWidth="1"/>
    <col min="5892" max="5892" width="3" customWidth="1"/>
    <col min="5893" max="5893" width="7.42578125" customWidth="1"/>
    <col min="5894" max="5894" width="8.42578125" customWidth="1"/>
    <col min="5895" max="5895" width="2.7109375" customWidth="1"/>
    <col min="5896" max="5896" width="7.28515625" customWidth="1"/>
    <col min="5897" max="5897" width="8.42578125" customWidth="1"/>
    <col min="5898" max="5898" width="2.7109375" customWidth="1"/>
    <col min="5899" max="5899" width="7.5703125" customWidth="1"/>
    <col min="5900" max="5900" width="8.42578125" customWidth="1"/>
    <col min="5901" max="5901" width="2.7109375" customWidth="1"/>
    <col min="5902" max="5902" width="7.140625" customWidth="1"/>
    <col min="5903" max="5903" width="8" customWidth="1"/>
    <col min="5904" max="5904" width="2.7109375" customWidth="1"/>
    <col min="5905" max="5905" width="7.5703125" customWidth="1"/>
    <col min="5906" max="5906" width="8.42578125" customWidth="1"/>
    <col min="5907" max="5907" width="2.7109375" customWidth="1"/>
    <col min="5908" max="5908" width="9" customWidth="1"/>
    <col min="6145" max="6145" width="34.85546875" customWidth="1"/>
    <col min="6146" max="6146" width="7.42578125" customWidth="1"/>
    <col min="6147" max="6147" width="7.140625" customWidth="1"/>
    <col min="6148" max="6148" width="3" customWidth="1"/>
    <col min="6149" max="6149" width="7.42578125" customWidth="1"/>
    <col min="6150" max="6150" width="8.42578125" customWidth="1"/>
    <col min="6151" max="6151" width="2.7109375" customWidth="1"/>
    <col min="6152" max="6152" width="7.28515625" customWidth="1"/>
    <col min="6153" max="6153" width="8.42578125" customWidth="1"/>
    <col min="6154" max="6154" width="2.7109375" customWidth="1"/>
    <col min="6155" max="6155" width="7.5703125" customWidth="1"/>
    <col min="6156" max="6156" width="8.42578125" customWidth="1"/>
    <col min="6157" max="6157" width="2.7109375" customWidth="1"/>
    <col min="6158" max="6158" width="7.140625" customWidth="1"/>
    <col min="6159" max="6159" width="8" customWidth="1"/>
    <col min="6160" max="6160" width="2.7109375" customWidth="1"/>
    <col min="6161" max="6161" width="7.5703125" customWidth="1"/>
    <col min="6162" max="6162" width="8.42578125" customWidth="1"/>
    <col min="6163" max="6163" width="2.7109375" customWidth="1"/>
    <col min="6164" max="6164" width="9" customWidth="1"/>
    <col min="6401" max="6401" width="34.85546875" customWidth="1"/>
    <col min="6402" max="6402" width="7.42578125" customWidth="1"/>
    <col min="6403" max="6403" width="7.140625" customWidth="1"/>
    <col min="6404" max="6404" width="3" customWidth="1"/>
    <col min="6405" max="6405" width="7.42578125" customWidth="1"/>
    <col min="6406" max="6406" width="8.42578125" customWidth="1"/>
    <col min="6407" max="6407" width="2.7109375" customWidth="1"/>
    <col min="6408" max="6408" width="7.28515625" customWidth="1"/>
    <col min="6409" max="6409" width="8.42578125" customWidth="1"/>
    <col min="6410" max="6410" width="2.7109375" customWidth="1"/>
    <col min="6411" max="6411" width="7.5703125" customWidth="1"/>
    <col min="6412" max="6412" width="8.42578125" customWidth="1"/>
    <col min="6413" max="6413" width="2.7109375" customWidth="1"/>
    <col min="6414" max="6414" width="7.140625" customWidth="1"/>
    <col min="6415" max="6415" width="8" customWidth="1"/>
    <col min="6416" max="6416" width="2.7109375" customWidth="1"/>
    <col min="6417" max="6417" width="7.5703125" customWidth="1"/>
    <col min="6418" max="6418" width="8.42578125" customWidth="1"/>
    <col min="6419" max="6419" width="2.7109375" customWidth="1"/>
    <col min="6420" max="6420" width="9" customWidth="1"/>
    <col min="6657" max="6657" width="34.85546875" customWidth="1"/>
    <col min="6658" max="6658" width="7.42578125" customWidth="1"/>
    <col min="6659" max="6659" width="7.140625" customWidth="1"/>
    <col min="6660" max="6660" width="3" customWidth="1"/>
    <col min="6661" max="6661" width="7.42578125" customWidth="1"/>
    <col min="6662" max="6662" width="8.42578125" customWidth="1"/>
    <col min="6663" max="6663" width="2.7109375" customWidth="1"/>
    <col min="6664" max="6664" width="7.28515625" customWidth="1"/>
    <col min="6665" max="6665" width="8.42578125" customWidth="1"/>
    <col min="6666" max="6666" width="2.7109375" customWidth="1"/>
    <col min="6667" max="6667" width="7.5703125" customWidth="1"/>
    <col min="6668" max="6668" width="8.42578125" customWidth="1"/>
    <col min="6669" max="6669" width="2.7109375" customWidth="1"/>
    <col min="6670" max="6670" width="7.140625" customWidth="1"/>
    <col min="6671" max="6671" width="8" customWidth="1"/>
    <col min="6672" max="6672" width="2.7109375" customWidth="1"/>
    <col min="6673" max="6673" width="7.5703125" customWidth="1"/>
    <col min="6674" max="6674" width="8.42578125" customWidth="1"/>
    <col min="6675" max="6675" width="2.7109375" customWidth="1"/>
    <col min="6676" max="6676" width="9" customWidth="1"/>
    <col min="6913" max="6913" width="34.85546875" customWidth="1"/>
    <col min="6914" max="6914" width="7.42578125" customWidth="1"/>
    <col min="6915" max="6915" width="7.140625" customWidth="1"/>
    <col min="6916" max="6916" width="3" customWidth="1"/>
    <col min="6917" max="6917" width="7.42578125" customWidth="1"/>
    <col min="6918" max="6918" width="8.42578125" customWidth="1"/>
    <col min="6919" max="6919" width="2.7109375" customWidth="1"/>
    <col min="6920" max="6920" width="7.28515625" customWidth="1"/>
    <col min="6921" max="6921" width="8.42578125" customWidth="1"/>
    <col min="6922" max="6922" width="2.7109375" customWidth="1"/>
    <col min="6923" max="6923" width="7.5703125" customWidth="1"/>
    <col min="6924" max="6924" width="8.42578125" customWidth="1"/>
    <col min="6925" max="6925" width="2.7109375" customWidth="1"/>
    <col min="6926" max="6926" width="7.140625" customWidth="1"/>
    <col min="6927" max="6927" width="8" customWidth="1"/>
    <col min="6928" max="6928" width="2.7109375" customWidth="1"/>
    <col min="6929" max="6929" width="7.5703125" customWidth="1"/>
    <col min="6930" max="6930" width="8.42578125" customWidth="1"/>
    <col min="6931" max="6931" width="2.7109375" customWidth="1"/>
    <col min="6932" max="6932" width="9" customWidth="1"/>
    <col min="7169" max="7169" width="34.85546875" customWidth="1"/>
    <col min="7170" max="7170" width="7.42578125" customWidth="1"/>
    <col min="7171" max="7171" width="7.140625" customWidth="1"/>
    <col min="7172" max="7172" width="3" customWidth="1"/>
    <col min="7173" max="7173" width="7.42578125" customWidth="1"/>
    <col min="7174" max="7174" width="8.42578125" customWidth="1"/>
    <col min="7175" max="7175" width="2.7109375" customWidth="1"/>
    <col min="7176" max="7176" width="7.28515625" customWidth="1"/>
    <col min="7177" max="7177" width="8.42578125" customWidth="1"/>
    <col min="7178" max="7178" width="2.7109375" customWidth="1"/>
    <col min="7179" max="7179" width="7.5703125" customWidth="1"/>
    <col min="7180" max="7180" width="8.42578125" customWidth="1"/>
    <col min="7181" max="7181" width="2.7109375" customWidth="1"/>
    <col min="7182" max="7182" width="7.140625" customWidth="1"/>
    <col min="7183" max="7183" width="8" customWidth="1"/>
    <col min="7184" max="7184" width="2.7109375" customWidth="1"/>
    <col min="7185" max="7185" width="7.5703125" customWidth="1"/>
    <col min="7186" max="7186" width="8.42578125" customWidth="1"/>
    <col min="7187" max="7187" width="2.7109375" customWidth="1"/>
    <col min="7188" max="7188" width="9" customWidth="1"/>
    <col min="7425" max="7425" width="34.85546875" customWidth="1"/>
    <col min="7426" max="7426" width="7.42578125" customWidth="1"/>
    <col min="7427" max="7427" width="7.140625" customWidth="1"/>
    <col min="7428" max="7428" width="3" customWidth="1"/>
    <col min="7429" max="7429" width="7.42578125" customWidth="1"/>
    <col min="7430" max="7430" width="8.42578125" customWidth="1"/>
    <col min="7431" max="7431" width="2.7109375" customWidth="1"/>
    <col min="7432" max="7432" width="7.28515625" customWidth="1"/>
    <col min="7433" max="7433" width="8.42578125" customWidth="1"/>
    <col min="7434" max="7434" width="2.7109375" customWidth="1"/>
    <col min="7435" max="7435" width="7.5703125" customWidth="1"/>
    <col min="7436" max="7436" width="8.42578125" customWidth="1"/>
    <col min="7437" max="7437" width="2.7109375" customWidth="1"/>
    <col min="7438" max="7438" width="7.140625" customWidth="1"/>
    <col min="7439" max="7439" width="8" customWidth="1"/>
    <col min="7440" max="7440" width="2.7109375" customWidth="1"/>
    <col min="7441" max="7441" width="7.5703125" customWidth="1"/>
    <col min="7442" max="7442" width="8.42578125" customWidth="1"/>
    <col min="7443" max="7443" width="2.7109375" customWidth="1"/>
    <col min="7444" max="7444" width="9" customWidth="1"/>
    <col min="7681" max="7681" width="34.85546875" customWidth="1"/>
    <col min="7682" max="7682" width="7.42578125" customWidth="1"/>
    <col min="7683" max="7683" width="7.140625" customWidth="1"/>
    <col min="7684" max="7684" width="3" customWidth="1"/>
    <col min="7685" max="7685" width="7.42578125" customWidth="1"/>
    <col min="7686" max="7686" width="8.42578125" customWidth="1"/>
    <col min="7687" max="7687" width="2.7109375" customWidth="1"/>
    <col min="7688" max="7688" width="7.28515625" customWidth="1"/>
    <col min="7689" max="7689" width="8.42578125" customWidth="1"/>
    <col min="7690" max="7690" width="2.7109375" customWidth="1"/>
    <col min="7691" max="7691" width="7.5703125" customWidth="1"/>
    <col min="7692" max="7692" width="8.42578125" customWidth="1"/>
    <col min="7693" max="7693" width="2.7109375" customWidth="1"/>
    <col min="7694" max="7694" width="7.140625" customWidth="1"/>
    <col min="7695" max="7695" width="8" customWidth="1"/>
    <col min="7696" max="7696" width="2.7109375" customWidth="1"/>
    <col min="7697" max="7697" width="7.5703125" customWidth="1"/>
    <col min="7698" max="7698" width="8.42578125" customWidth="1"/>
    <col min="7699" max="7699" width="2.7109375" customWidth="1"/>
    <col min="7700" max="7700" width="9" customWidth="1"/>
    <col min="7937" max="7937" width="34.85546875" customWidth="1"/>
    <col min="7938" max="7938" width="7.42578125" customWidth="1"/>
    <col min="7939" max="7939" width="7.140625" customWidth="1"/>
    <col min="7940" max="7940" width="3" customWidth="1"/>
    <col min="7941" max="7941" width="7.42578125" customWidth="1"/>
    <col min="7942" max="7942" width="8.42578125" customWidth="1"/>
    <col min="7943" max="7943" width="2.7109375" customWidth="1"/>
    <col min="7944" max="7944" width="7.28515625" customWidth="1"/>
    <col min="7945" max="7945" width="8.42578125" customWidth="1"/>
    <col min="7946" max="7946" width="2.7109375" customWidth="1"/>
    <col min="7947" max="7947" width="7.5703125" customWidth="1"/>
    <col min="7948" max="7948" width="8.42578125" customWidth="1"/>
    <col min="7949" max="7949" width="2.7109375" customWidth="1"/>
    <col min="7950" max="7950" width="7.140625" customWidth="1"/>
    <col min="7951" max="7951" width="8" customWidth="1"/>
    <col min="7952" max="7952" width="2.7109375" customWidth="1"/>
    <col min="7953" max="7953" width="7.5703125" customWidth="1"/>
    <col min="7954" max="7954" width="8.42578125" customWidth="1"/>
    <col min="7955" max="7955" width="2.7109375" customWidth="1"/>
    <col min="7956" max="7956" width="9" customWidth="1"/>
    <col min="8193" max="8193" width="34.85546875" customWidth="1"/>
    <col min="8194" max="8194" width="7.42578125" customWidth="1"/>
    <col min="8195" max="8195" width="7.140625" customWidth="1"/>
    <col min="8196" max="8196" width="3" customWidth="1"/>
    <col min="8197" max="8197" width="7.42578125" customWidth="1"/>
    <col min="8198" max="8198" width="8.42578125" customWidth="1"/>
    <col min="8199" max="8199" width="2.7109375" customWidth="1"/>
    <col min="8200" max="8200" width="7.28515625" customWidth="1"/>
    <col min="8201" max="8201" width="8.42578125" customWidth="1"/>
    <col min="8202" max="8202" width="2.7109375" customWidth="1"/>
    <col min="8203" max="8203" width="7.5703125" customWidth="1"/>
    <col min="8204" max="8204" width="8.42578125" customWidth="1"/>
    <col min="8205" max="8205" width="2.7109375" customWidth="1"/>
    <col min="8206" max="8206" width="7.140625" customWidth="1"/>
    <col min="8207" max="8207" width="8" customWidth="1"/>
    <col min="8208" max="8208" width="2.7109375" customWidth="1"/>
    <col min="8209" max="8209" width="7.5703125" customWidth="1"/>
    <col min="8210" max="8210" width="8.42578125" customWidth="1"/>
    <col min="8211" max="8211" width="2.7109375" customWidth="1"/>
    <col min="8212" max="8212" width="9" customWidth="1"/>
    <col min="8449" max="8449" width="34.85546875" customWidth="1"/>
    <col min="8450" max="8450" width="7.42578125" customWidth="1"/>
    <col min="8451" max="8451" width="7.140625" customWidth="1"/>
    <col min="8452" max="8452" width="3" customWidth="1"/>
    <col min="8453" max="8453" width="7.42578125" customWidth="1"/>
    <col min="8454" max="8454" width="8.42578125" customWidth="1"/>
    <col min="8455" max="8455" width="2.7109375" customWidth="1"/>
    <col min="8456" max="8456" width="7.28515625" customWidth="1"/>
    <col min="8457" max="8457" width="8.42578125" customWidth="1"/>
    <col min="8458" max="8458" width="2.7109375" customWidth="1"/>
    <col min="8459" max="8459" width="7.5703125" customWidth="1"/>
    <col min="8460" max="8460" width="8.42578125" customWidth="1"/>
    <col min="8461" max="8461" width="2.7109375" customWidth="1"/>
    <col min="8462" max="8462" width="7.140625" customWidth="1"/>
    <col min="8463" max="8463" width="8" customWidth="1"/>
    <col min="8464" max="8464" width="2.7109375" customWidth="1"/>
    <col min="8465" max="8465" width="7.5703125" customWidth="1"/>
    <col min="8466" max="8466" width="8.42578125" customWidth="1"/>
    <col min="8467" max="8467" width="2.7109375" customWidth="1"/>
    <col min="8468" max="8468" width="9" customWidth="1"/>
    <col min="8705" max="8705" width="34.85546875" customWidth="1"/>
    <col min="8706" max="8706" width="7.42578125" customWidth="1"/>
    <col min="8707" max="8707" width="7.140625" customWidth="1"/>
    <col min="8708" max="8708" width="3" customWidth="1"/>
    <col min="8709" max="8709" width="7.42578125" customWidth="1"/>
    <col min="8710" max="8710" width="8.42578125" customWidth="1"/>
    <col min="8711" max="8711" width="2.7109375" customWidth="1"/>
    <col min="8712" max="8712" width="7.28515625" customWidth="1"/>
    <col min="8713" max="8713" width="8.42578125" customWidth="1"/>
    <col min="8714" max="8714" width="2.7109375" customWidth="1"/>
    <col min="8715" max="8715" width="7.5703125" customWidth="1"/>
    <col min="8716" max="8716" width="8.42578125" customWidth="1"/>
    <col min="8717" max="8717" width="2.7109375" customWidth="1"/>
    <col min="8718" max="8718" width="7.140625" customWidth="1"/>
    <col min="8719" max="8719" width="8" customWidth="1"/>
    <col min="8720" max="8720" width="2.7109375" customWidth="1"/>
    <col min="8721" max="8721" width="7.5703125" customWidth="1"/>
    <col min="8722" max="8722" width="8.42578125" customWidth="1"/>
    <col min="8723" max="8723" width="2.7109375" customWidth="1"/>
    <col min="8724" max="8724" width="9" customWidth="1"/>
    <col min="8961" max="8961" width="34.85546875" customWidth="1"/>
    <col min="8962" max="8962" width="7.42578125" customWidth="1"/>
    <col min="8963" max="8963" width="7.140625" customWidth="1"/>
    <col min="8964" max="8964" width="3" customWidth="1"/>
    <col min="8965" max="8965" width="7.42578125" customWidth="1"/>
    <col min="8966" max="8966" width="8.42578125" customWidth="1"/>
    <col min="8967" max="8967" width="2.7109375" customWidth="1"/>
    <col min="8968" max="8968" width="7.28515625" customWidth="1"/>
    <col min="8969" max="8969" width="8.42578125" customWidth="1"/>
    <col min="8970" max="8970" width="2.7109375" customWidth="1"/>
    <col min="8971" max="8971" width="7.5703125" customWidth="1"/>
    <col min="8972" max="8972" width="8.42578125" customWidth="1"/>
    <col min="8973" max="8973" width="2.7109375" customWidth="1"/>
    <col min="8974" max="8974" width="7.140625" customWidth="1"/>
    <col min="8975" max="8975" width="8" customWidth="1"/>
    <col min="8976" max="8976" width="2.7109375" customWidth="1"/>
    <col min="8977" max="8977" width="7.5703125" customWidth="1"/>
    <col min="8978" max="8978" width="8.42578125" customWidth="1"/>
    <col min="8979" max="8979" width="2.7109375" customWidth="1"/>
    <col min="8980" max="8980" width="9" customWidth="1"/>
    <col min="9217" max="9217" width="34.85546875" customWidth="1"/>
    <col min="9218" max="9218" width="7.42578125" customWidth="1"/>
    <col min="9219" max="9219" width="7.140625" customWidth="1"/>
    <col min="9220" max="9220" width="3" customWidth="1"/>
    <col min="9221" max="9221" width="7.42578125" customWidth="1"/>
    <col min="9222" max="9222" width="8.42578125" customWidth="1"/>
    <col min="9223" max="9223" width="2.7109375" customWidth="1"/>
    <col min="9224" max="9224" width="7.28515625" customWidth="1"/>
    <col min="9225" max="9225" width="8.42578125" customWidth="1"/>
    <col min="9226" max="9226" width="2.7109375" customWidth="1"/>
    <col min="9227" max="9227" width="7.5703125" customWidth="1"/>
    <col min="9228" max="9228" width="8.42578125" customWidth="1"/>
    <col min="9229" max="9229" width="2.7109375" customWidth="1"/>
    <col min="9230" max="9230" width="7.140625" customWidth="1"/>
    <col min="9231" max="9231" width="8" customWidth="1"/>
    <col min="9232" max="9232" width="2.7109375" customWidth="1"/>
    <col min="9233" max="9233" width="7.5703125" customWidth="1"/>
    <col min="9234" max="9234" width="8.42578125" customWidth="1"/>
    <col min="9235" max="9235" width="2.7109375" customWidth="1"/>
    <col min="9236" max="9236" width="9" customWidth="1"/>
    <col min="9473" max="9473" width="34.85546875" customWidth="1"/>
    <col min="9474" max="9474" width="7.42578125" customWidth="1"/>
    <col min="9475" max="9475" width="7.140625" customWidth="1"/>
    <col min="9476" max="9476" width="3" customWidth="1"/>
    <col min="9477" max="9477" width="7.42578125" customWidth="1"/>
    <col min="9478" max="9478" width="8.42578125" customWidth="1"/>
    <col min="9479" max="9479" width="2.7109375" customWidth="1"/>
    <col min="9480" max="9480" width="7.28515625" customWidth="1"/>
    <col min="9481" max="9481" width="8.42578125" customWidth="1"/>
    <col min="9482" max="9482" width="2.7109375" customWidth="1"/>
    <col min="9483" max="9483" width="7.5703125" customWidth="1"/>
    <col min="9484" max="9484" width="8.42578125" customWidth="1"/>
    <col min="9485" max="9485" width="2.7109375" customWidth="1"/>
    <col min="9486" max="9486" width="7.140625" customWidth="1"/>
    <col min="9487" max="9487" width="8" customWidth="1"/>
    <col min="9488" max="9488" width="2.7109375" customWidth="1"/>
    <col min="9489" max="9489" width="7.5703125" customWidth="1"/>
    <col min="9490" max="9490" width="8.42578125" customWidth="1"/>
    <col min="9491" max="9491" width="2.7109375" customWidth="1"/>
    <col min="9492" max="9492" width="9" customWidth="1"/>
    <col min="9729" max="9729" width="34.85546875" customWidth="1"/>
    <col min="9730" max="9730" width="7.42578125" customWidth="1"/>
    <col min="9731" max="9731" width="7.140625" customWidth="1"/>
    <col min="9732" max="9732" width="3" customWidth="1"/>
    <col min="9733" max="9733" width="7.42578125" customWidth="1"/>
    <col min="9734" max="9734" width="8.42578125" customWidth="1"/>
    <col min="9735" max="9735" width="2.7109375" customWidth="1"/>
    <col min="9736" max="9736" width="7.28515625" customWidth="1"/>
    <col min="9737" max="9737" width="8.42578125" customWidth="1"/>
    <col min="9738" max="9738" width="2.7109375" customWidth="1"/>
    <col min="9739" max="9739" width="7.5703125" customWidth="1"/>
    <col min="9740" max="9740" width="8.42578125" customWidth="1"/>
    <col min="9741" max="9741" width="2.7109375" customWidth="1"/>
    <col min="9742" max="9742" width="7.140625" customWidth="1"/>
    <col min="9743" max="9743" width="8" customWidth="1"/>
    <col min="9744" max="9744" width="2.7109375" customWidth="1"/>
    <col min="9745" max="9745" width="7.5703125" customWidth="1"/>
    <col min="9746" max="9746" width="8.42578125" customWidth="1"/>
    <col min="9747" max="9747" width="2.7109375" customWidth="1"/>
    <col min="9748" max="9748" width="9" customWidth="1"/>
    <col min="9985" max="9985" width="34.85546875" customWidth="1"/>
    <col min="9986" max="9986" width="7.42578125" customWidth="1"/>
    <col min="9987" max="9987" width="7.140625" customWidth="1"/>
    <col min="9988" max="9988" width="3" customWidth="1"/>
    <col min="9989" max="9989" width="7.42578125" customWidth="1"/>
    <col min="9990" max="9990" width="8.42578125" customWidth="1"/>
    <col min="9991" max="9991" width="2.7109375" customWidth="1"/>
    <col min="9992" max="9992" width="7.28515625" customWidth="1"/>
    <col min="9993" max="9993" width="8.42578125" customWidth="1"/>
    <col min="9994" max="9994" width="2.7109375" customWidth="1"/>
    <col min="9995" max="9995" width="7.5703125" customWidth="1"/>
    <col min="9996" max="9996" width="8.42578125" customWidth="1"/>
    <col min="9997" max="9997" width="2.7109375" customWidth="1"/>
    <col min="9998" max="9998" width="7.140625" customWidth="1"/>
    <col min="9999" max="9999" width="8" customWidth="1"/>
    <col min="10000" max="10000" width="2.7109375" customWidth="1"/>
    <col min="10001" max="10001" width="7.5703125" customWidth="1"/>
    <col min="10002" max="10002" width="8.42578125" customWidth="1"/>
    <col min="10003" max="10003" width="2.7109375" customWidth="1"/>
    <col min="10004" max="10004" width="9" customWidth="1"/>
    <col min="10241" max="10241" width="34.85546875" customWidth="1"/>
    <col min="10242" max="10242" width="7.42578125" customWidth="1"/>
    <col min="10243" max="10243" width="7.140625" customWidth="1"/>
    <col min="10244" max="10244" width="3" customWidth="1"/>
    <col min="10245" max="10245" width="7.42578125" customWidth="1"/>
    <col min="10246" max="10246" width="8.42578125" customWidth="1"/>
    <col min="10247" max="10247" width="2.7109375" customWidth="1"/>
    <col min="10248" max="10248" width="7.28515625" customWidth="1"/>
    <col min="10249" max="10249" width="8.42578125" customWidth="1"/>
    <col min="10250" max="10250" width="2.7109375" customWidth="1"/>
    <col min="10251" max="10251" width="7.5703125" customWidth="1"/>
    <col min="10252" max="10252" width="8.42578125" customWidth="1"/>
    <col min="10253" max="10253" width="2.7109375" customWidth="1"/>
    <col min="10254" max="10254" width="7.140625" customWidth="1"/>
    <col min="10255" max="10255" width="8" customWidth="1"/>
    <col min="10256" max="10256" width="2.7109375" customWidth="1"/>
    <col min="10257" max="10257" width="7.5703125" customWidth="1"/>
    <col min="10258" max="10258" width="8.42578125" customWidth="1"/>
    <col min="10259" max="10259" width="2.7109375" customWidth="1"/>
    <col min="10260" max="10260" width="9" customWidth="1"/>
    <col min="10497" max="10497" width="34.85546875" customWidth="1"/>
    <col min="10498" max="10498" width="7.42578125" customWidth="1"/>
    <col min="10499" max="10499" width="7.140625" customWidth="1"/>
    <col min="10500" max="10500" width="3" customWidth="1"/>
    <col min="10501" max="10501" width="7.42578125" customWidth="1"/>
    <col min="10502" max="10502" width="8.42578125" customWidth="1"/>
    <col min="10503" max="10503" width="2.7109375" customWidth="1"/>
    <col min="10504" max="10504" width="7.28515625" customWidth="1"/>
    <col min="10505" max="10505" width="8.42578125" customWidth="1"/>
    <col min="10506" max="10506" width="2.7109375" customWidth="1"/>
    <col min="10507" max="10507" width="7.5703125" customWidth="1"/>
    <col min="10508" max="10508" width="8.42578125" customWidth="1"/>
    <col min="10509" max="10509" width="2.7109375" customWidth="1"/>
    <col min="10510" max="10510" width="7.140625" customWidth="1"/>
    <col min="10511" max="10511" width="8" customWidth="1"/>
    <col min="10512" max="10512" width="2.7109375" customWidth="1"/>
    <col min="10513" max="10513" width="7.5703125" customWidth="1"/>
    <col min="10514" max="10514" width="8.42578125" customWidth="1"/>
    <col min="10515" max="10515" width="2.7109375" customWidth="1"/>
    <col min="10516" max="10516" width="9" customWidth="1"/>
    <col min="10753" max="10753" width="34.85546875" customWidth="1"/>
    <col min="10754" max="10754" width="7.42578125" customWidth="1"/>
    <col min="10755" max="10755" width="7.140625" customWidth="1"/>
    <col min="10756" max="10756" width="3" customWidth="1"/>
    <col min="10757" max="10757" width="7.42578125" customWidth="1"/>
    <col min="10758" max="10758" width="8.42578125" customWidth="1"/>
    <col min="10759" max="10759" width="2.7109375" customWidth="1"/>
    <col min="10760" max="10760" width="7.28515625" customWidth="1"/>
    <col min="10761" max="10761" width="8.42578125" customWidth="1"/>
    <col min="10762" max="10762" width="2.7109375" customWidth="1"/>
    <col min="10763" max="10763" width="7.5703125" customWidth="1"/>
    <col min="10764" max="10764" width="8.42578125" customWidth="1"/>
    <col min="10765" max="10765" width="2.7109375" customWidth="1"/>
    <col min="10766" max="10766" width="7.140625" customWidth="1"/>
    <col min="10767" max="10767" width="8" customWidth="1"/>
    <col min="10768" max="10768" width="2.7109375" customWidth="1"/>
    <col min="10769" max="10769" width="7.5703125" customWidth="1"/>
    <col min="10770" max="10770" width="8.42578125" customWidth="1"/>
    <col min="10771" max="10771" width="2.7109375" customWidth="1"/>
    <col min="10772" max="10772" width="9" customWidth="1"/>
    <col min="11009" max="11009" width="34.85546875" customWidth="1"/>
    <col min="11010" max="11010" width="7.42578125" customWidth="1"/>
    <col min="11011" max="11011" width="7.140625" customWidth="1"/>
    <col min="11012" max="11012" width="3" customWidth="1"/>
    <col min="11013" max="11013" width="7.42578125" customWidth="1"/>
    <col min="11014" max="11014" width="8.42578125" customWidth="1"/>
    <col min="11015" max="11015" width="2.7109375" customWidth="1"/>
    <col min="11016" max="11016" width="7.28515625" customWidth="1"/>
    <col min="11017" max="11017" width="8.42578125" customWidth="1"/>
    <col min="11018" max="11018" width="2.7109375" customWidth="1"/>
    <col min="11019" max="11019" width="7.5703125" customWidth="1"/>
    <col min="11020" max="11020" width="8.42578125" customWidth="1"/>
    <col min="11021" max="11021" width="2.7109375" customWidth="1"/>
    <col min="11022" max="11022" width="7.140625" customWidth="1"/>
    <col min="11023" max="11023" width="8" customWidth="1"/>
    <col min="11024" max="11024" width="2.7109375" customWidth="1"/>
    <col min="11025" max="11025" width="7.5703125" customWidth="1"/>
    <col min="11026" max="11026" width="8.42578125" customWidth="1"/>
    <col min="11027" max="11027" width="2.7109375" customWidth="1"/>
    <col min="11028" max="11028" width="9" customWidth="1"/>
    <col min="11265" max="11265" width="34.85546875" customWidth="1"/>
    <col min="11266" max="11266" width="7.42578125" customWidth="1"/>
    <col min="11267" max="11267" width="7.140625" customWidth="1"/>
    <col min="11268" max="11268" width="3" customWidth="1"/>
    <col min="11269" max="11269" width="7.42578125" customWidth="1"/>
    <col min="11270" max="11270" width="8.42578125" customWidth="1"/>
    <col min="11271" max="11271" width="2.7109375" customWidth="1"/>
    <col min="11272" max="11272" width="7.28515625" customWidth="1"/>
    <col min="11273" max="11273" width="8.42578125" customWidth="1"/>
    <col min="11274" max="11274" width="2.7109375" customWidth="1"/>
    <col min="11275" max="11275" width="7.5703125" customWidth="1"/>
    <col min="11276" max="11276" width="8.42578125" customWidth="1"/>
    <col min="11277" max="11277" width="2.7109375" customWidth="1"/>
    <col min="11278" max="11278" width="7.140625" customWidth="1"/>
    <col min="11279" max="11279" width="8" customWidth="1"/>
    <col min="11280" max="11280" width="2.7109375" customWidth="1"/>
    <col min="11281" max="11281" width="7.5703125" customWidth="1"/>
    <col min="11282" max="11282" width="8.42578125" customWidth="1"/>
    <col min="11283" max="11283" width="2.7109375" customWidth="1"/>
    <col min="11284" max="11284" width="9" customWidth="1"/>
    <col min="11521" max="11521" width="34.85546875" customWidth="1"/>
    <col min="11522" max="11522" width="7.42578125" customWidth="1"/>
    <col min="11523" max="11523" width="7.140625" customWidth="1"/>
    <col min="11524" max="11524" width="3" customWidth="1"/>
    <col min="11525" max="11525" width="7.42578125" customWidth="1"/>
    <col min="11526" max="11526" width="8.42578125" customWidth="1"/>
    <col min="11527" max="11527" width="2.7109375" customWidth="1"/>
    <col min="11528" max="11528" width="7.28515625" customWidth="1"/>
    <col min="11529" max="11529" width="8.42578125" customWidth="1"/>
    <col min="11530" max="11530" width="2.7109375" customWidth="1"/>
    <col min="11531" max="11531" width="7.5703125" customWidth="1"/>
    <col min="11532" max="11532" width="8.42578125" customWidth="1"/>
    <col min="11533" max="11533" width="2.7109375" customWidth="1"/>
    <col min="11534" max="11534" width="7.140625" customWidth="1"/>
    <col min="11535" max="11535" width="8" customWidth="1"/>
    <col min="11536" max="11536" width="2.7109375" customWidth="1"/>
    <col min="11537" max="11537" width="7.5703125" customWidth="1"/>
    <col min="11538" max="11538" width="8.42578125" customWidth="1"/>
    <col min="11539" max="11539" width="2.7109375" customWidth="1"/>
    <col min="11540" max="11540" width="9" customWidth="1"/>
    <col min="11777" max="11777" width="34.85546875" customWidth="1"/>
    <col min="11778" max="11778" width="7.42578125" customWidth="1"/>
    <col min="11779" max="11779" width="7.140625" customWidth="1"/>
    <col min="11780" max="11780" width="3" customWidth="1"/>
    <col min="11781" max="11781" width="7.42578125" customWidth="1"/>
    <col min="11782" max="11782" width="8.42578125" customWidth="1"/>
    <col min="11783" max="11783" width="2.7109375" customWidth="1"/>
    <col min="11784" max="11784" width="7.28515625" customWidth="1"/>
    <col min="11785" max="11785" width="8.42578125" customWidth="1"/>
    <col min="11786" max="11786" width="2.7109375" customWidth="1"/>
    <col min="11787" max="11787" width="7.5703125" customWidth="1"/>
    <col min="11788" max="11788" width="8.42578125" customWidth="1"/>
    <col min="11789" max="11789" width="2.7109375" customWidth="1"/>
    <col min="11790" max="11790" width="7.140625" customWidth="1"/>
    <col min="11791" max="11791" width="8" customWidth="1"/>
    <col min="11792" max="11792" width="2.7109375" customWidth="1"/>
    <col min="11793" max="11793" width="7.5703125" customWidth="1"/>
    <col min="11794" max="11794" width="8.42578125" customWidth="1"/>
    <col min="11795" max="11795" width="2.7109375" customWidth="1"/>
    <col min="11796" max="11796" width="9" customWidth="1"/>
    <col min="12033" max="12033" width="34.85546875" customWidth="1"/>
    <col min="12034" max="12034" width="7.42578125" customWidth="1"/>
    <col min="12035" max="12035" width="7.140625" customWidth="1"/>
    <col min="12036" max="12036" width="3" customWidth="1"/>
    <col min="12037" max="12037" width="7.42578125" customWidth="1"/>
    <col min="12038" max="12038" width="8.42578125" customWidth="1"/>
    <col min="12039" max="12039" width="2.7109375" customWidth="1"/>
    <col min="12040" max="12040" width="7.28515625" customWidth="1"/>
    <col min="12041" max="12041" width="8.42578125" customWidth="1"/>
    <col min="12042" max="12042" width="2.7109375" customWidth="1"/>
    <col min="12043" max="12043" width="7.5703125" customWidth="1"/>
    <col min="12044" max="12044" width="8.42578125" customWidth="1"/>
    <col min="12045" max="12045" width="2.7109375" customWidth="1"/>
    <col min="12046" max="12046" width="7.140625" customWidth="1"/>
    <col min="12047" max="12047" width="8" customWidth="1"/>
    <col min="12048" max="12048" width="2.7109375" customWidth="1"/>
    <col min="12049" max="12049" width="7.5703125" customWidth="1"/>
    <col min="12050" max="12050" width="8.42578125" customWidth="1"/>
    <col min="12051" max="12051" width="2.7109375" customWidth="1"/>
    <col min="12052" max="12052" width="9" customWidth="1"/>
    <col min="12289" max="12289" width="34.85546875" customWidth="1"/>
    <col min="12290" max="12290" width="7.42578125" customWidth="1"/>
    <col min="12291" max="12291" width="7.140625" customWidth="1"/>
    <col min="12292" max="12292" width="3" customWidth="1"/>
    <col min="12293" max="12293" width="7.42578125" customWidth="1"/>
    <col min="12294" max="12294" width="8.42578125" customWidth="1"/>
    <col min="12295" max="12295" width="2.7109375" customWidth="1"/>
    <col min="12296" max="12296" width="7.28515625" customWidth="1"/>
    <col min="12297" max="12297" width="8.42578125" customWidth="1"/>
    <col min="12298" max="12298" width="2.7109375" customWidth="1"/>
    <col min="12299" max="12299" width="7.5703125" customWidth="1"/>
    <col min="12300" max="12300" width="8.42578125" customWidth="1"/>
    <col min="12301" max="12301" width="2.7109375" customWidth="1"/>
    <col min="12302" max="12302" width="7.140625" customWidth="1"/>
    <col min="12303" max="12303" width="8" customWidth="1"/>
    <col min="12304" max="12304" width="2.7109375" customWidth="1"/>
    <col min="12305" max="12305" width="7.5703125" customWidth="1"/>
    <col min="12306" max="12306" width="8.42578125" customWidth="1"/>
    <col min="12307" max="12307" width="2.7109375" customWidth="1"/>
    <col min="12308" max="12308" width="9" customWidth="1"/>
    <col min="12545" max="12545" width="34.85546875" customWidth="1"/>
    <col min="12546" max="12546" width="7.42578125" customWidth="1"/>
    <col min="12547" max="12547" width="7.140625" customWidth="1"/>
    <col min="12548" max="12548" width="3" customWidth="1"/>
    <col min="12549" max="12549" width="7.42578125" customWidth="1"/>
    <col min="12550" max="12550" width="8.42578125" customWidth="1"/>
    <col min="12551" max="12551" width="2.7109375" customWidth="1"/>
    <col min="12552" max="12552" width="7.28515625" customWidth="1"/>
    <col min="12553" max="12553" width="8.42578125" customWidth="1"/>
    <col min="12554" max="12554" width="2.7109375" customWidth="1"/>
    <col min="12555" max="12555" width="7.5703125" customWidth="1"/>
    <col min="12556" max="12556" width="8.42578125" customWidth="1"/>
    <col min="12557" max="12557" width="2.7109375" customWidth="1"/>
    <col min="12558" max="12558" width="7.140625" customWidth="1"/>
    <col min="12559" max="12559" width="8" customWidth="1"/>
    <col min="12560" max="12560" width="2.7109375" customWidth="1"/>
    <col min="12561" max="12561" width="7.5703125" customWidth="1"/>
    <col min="12562" max="12562" width="8.42578125" customWidth="1"/>
    <col min="12563" max="12563" width="2.7109375" customWidth="1"/>
    <col min="12564" max="12564" width="9" customWidth="1"/>
    <col min="12801" max="12801" width="34.85546875" customWidth="1"/>
    <col min="12802" max="12802" width="7.42578125" customWidth="1"/>
    <col min="12803" max="12803" width="7.140625" customWidth="1"/>
    <col min="12804" max="12804" width="3" customWidth="1"/>
    <col min="12805" max="12805" width="7.42578125" customWidth="1"/>
    <col min="12806" max="12806" width="8.42578125" customWidth="1"/>
    <col min="12807" max="12807" width="2.7109375" customWidth="1"/>
    <col min="12808" max="12808" width="7.28515625" customWidth="1"/>
    <col min="12809" max="12809" width="8.42578125" customWidth="1"/>
    <col min="12810" max="12810" width="2.7109375" customWidth="1"/>
    <col min="12811" max="12811" width="7.5703125" customWidth="1"/>
    <col min="12812" max="12812" width="8.42578125" customWidth="1"/>
    <col min="12813" max="12813" width="2.7109375" customWidth="1"/>
    <col min="12814" max="12814" width="7.140625" customWidth="1"/>
    <col min="12815" max="12815" width="8" customWidth="1"/>
    <col min="12816" max="12816" width="2.7109375" customWidth="1"/>
    <col min="12817" max="12817" width="7.5703125" customWidth="1"/>
    <col min="12818" max="12818" width="8.42578125" customWidth="1"/>
    <col min="12819" max="12819" width="2.7109375" customWidth="1"/>
    <col min="12820" max="12820" width="9" customWidth="1"/>
    <col min="13057" max="13057" width="34.85546875" customWidth="1"/>
    <col min="13058" max="13058" width="7.42578125" customWidth="1"/>
    <col min="13059" max="13059" width="7.140625" customWidth="1"/>
    <col min="13060" max="13060" width="3" customWidth="1"/>
    <col min="13061" max="13061" width="7.42578125" customWidth="1"/>
    <col min="13062" max="13062" width="8.42578125" customWidth="1"/>
    <col min="13063" max="13063" width="2.7109375" customWidth="1"/>
    <col min="13064" max="13064" width="7.28515625" customWidth="1"/>
    <col min="13065" max="13065" width="8.42578125" customWidth="1"/>
    <col min="13066" max="13066" width="2.7109375" customWidth="1"/>
    <col min="13067" max="13067" width="7.5703125" customWidth="1"/>
    <col min="13068" max="13068" width="8.42578125" customWidth="1"/>
    <col min="13069" max="13069" width="2.7109375" customWidth="1"/>
    <col min="13070" max="13070" width="7.140625" customWidth="1"/>
    <col min="13071" max="13071" width="8" customWidth="1"/>
    <col min="13072" max="13072" width="2.7109375" customWidth="1"/>
    <col min="13073" max="13073" width="7.5703125" customWidth="1"/>
    <col min="13074" max="13074" width="8.42578125" customWidth="1"/>
    <col min="13075" max="13075" width="2.7109375" customWidth="1"/>
    <col min="13076" max="13076" width="9" customWidth="1"/>
    <col min="13313" max="13313" width="34.85546875" customWidth="1"/>
    <col min="13314" max="13314" width="7.42578125" customWidth="1"/>
    <col min="13315" max="13315" width="7.140625" customWidth="1"/>
    <col min="13316" max="13316" width="3" customWidth="1"/>
    <col min="13317" max="13317" width="7.42578125" customWidth="1"/>
    <col min="13318" max="13318" width="8.42578125" customWidth="1"/>
    <col min="13319" max="13319" width="2.7109375" customWidth="1"/>
    <col min="13320" max="13320" width="7.28515625" customWidth="1"/>
    <col min="13321" max="13321" width="8.42578125" customWidth="1"/>
    <col min="13322" max="13322" width="2.7109375" customWidth="1"/>
    <col min="13323" max="13323" width="7.5703125" customWidth="1"/>
    <col min="13324" max="13324" width="8.42578125" customWidth="1"/>
    <col min="13325" max="13325" width="2.7109375" customWidth="1"/>
    <col min="13326" max="13326" width="7.140625" customWidth="1"/>
    <col min="13327" max="13327" width="8" customWidth="1"/>
    <col min="13328" max="13328" width="2.7109375" customWidth="1"/>
    <col min="13329" max="13329" width="7.5703125" customWidth="1"/>
    <col min="13330" max="13330" width="8.42578125" customWidth="1"/>
    <col min="13331" max="13331" width="2.7109375" customWidth="1"/>
    <col min="13332" max="13332" width="9" customWidth="1"/>
    <col min="13569" max="13569" width="34.85546875" customWidth="1"/>
    <col min="13570" max="13570" width="7.42578125" customWidth="1"/>
    <col min="13571" max="13571" width="7.140625" customWidth="1"/>
    <col min="13572" max="13572" width="3" customWidth="1"/>
    <col min="13573" max="13573" width="7.42578125" customWidth="1"/>
    <col min="13574" max="13574" width="8.42578125" customWidth="1"/>
    <col min="13575" max="13575" width="2.7109375" customWidth="1"/>
    <col min="13576" max="13576" width="7.28515625" customWidth="1"/>
    <col min="13577" max="13577" width="8.42578125" customWidth="1"/>
    <col min="13578" max="13578" width="2.7109375" customWidth="1"/>
    <col min="13579" max="13579" width="7.5703125" customWidth="1"/>
    <col min="13580" max="13580" width="8.42578125" customWidth="1"/>
    <col min="13581" max="13581" width="2.7109375" customWidth="1"/>
    <col min="13582" max="13582" width="7.140625" customWidth="1"/>
    <col min="13583" max="13583" width="8" customWidth="1"/>
    <col min="13584" max="13584" width="2.7109375" customWidth="1"/>
    <col min="13585" max="13585" width="7.5703125" customWidth="1"/>
    <col min="13586" max="13586" width="8.42578125" customWidth="1"/>
    <col min="13587" max="13587" width="2.7109375" customWidth="1"/>
    <col min="13588" max="13588" width="9" customWidth="1"/>
    <col min="13825" max="13825" width="34.85546875" customWidth="1"/>
    <col min="13826" max="13826" width="7.42578125" customWidth="1"/>
    <col min="13827" max="13827" width="7.140625" customWidth="1"/>
    <col min="13828" max="13828" width="3" customWidth="1"/>
    <col min="13829" max="13829" width="7.42578125" customWidth="1"/>
    <col min="13830" max="13830" width="8.42578125" customWidth="1"/>
    <col min="13831" max="13831" width="2.7109375" customWidth="1"/>
    <col min="13832" max="13832" width="7.28515625" customWidth="1"/>
    <col min="13833" max="13833" width="8.42578125" customWidth="1"/>
    <col min="13834" max="13834" width="2.7109375" customWidth="1"/>
    <col min="13835" max="13835" width="7.5703125" customWidth="1"/>
    <col min="13836" max="13836" width="8.42578125" customWidth="1"/>
    <col min="13837" max="13837" width="2.7109375" customWidth="1"/>
    <col min="13838" max="13838" width="7.140625" customWidth="1"/>
    <col min="13839" max="13839" width="8" customWidth="1"/>
    <col min="13840" max="13840" width="2.7109375" customWidth="1"/>
    <col min="13841" max="13841" width="7.5703125" customWidth="1"/>
    <col min="13842" max="13842" width="8.42578125" customWidth="1"/>
    <col min="13843" max="13843" width="2.7109375" customWidth="1"/>
    <col min="13844" max="13844" width="9" customWidth="1"/>
    <col min="14081" max="14081" width="34.85546875" customWidth="1"/>
    <col min="14082" max="14082" width="7.42578125" customWidth="1"/>
    <col min="14083" max="14083" width="7.140625" customWidth="1"/>
    <col min="14084" max="14084" width="3" customWidth="1"/>
    <col min="14085" max="14085" width="7.42578125" customWidth="1"/>
    <col min="14086" max="14086" width="8.42578125" customWidth="1"/>
    <col min="14087" max="14087" width="2.7109375" customWidth="1"/>
    <col min="14088" max="14088" width="7.28515625" customWidth="1"/>
    <col min="14089" max="14089" width="8.42578125" customWidth="1"/>
    <col min="14090" max="14090" width="2.7109375" customWidth="1"/>
    <col min="14091" max="14091" width="7.5703125" customWidth="1"/>
    <col min="14092" max="14092" width="8.42578125" customWidth="1"/>
    <col min="14093" max="14093" width="2.7109375" customWidth="1"/>
    <col min="14094" max="14094" width="7.140625" customWidth="1"/>
    <col min="14095" max="14095" width="8" customWidth="1"/>
    <col min="14096" max="14096" width="2.7109375" customWidth="1"/>
    <col min="14097" max="14097" width="7.5703125" customWidth="1"/>
    <col min="14098" max="14098" width="8.42578125" customWidth="1"/>
    <col min="14099" max="14099" width="2.7109375" customWidth="1"/>
    <col min="14100" max="14100" width="9" customWidth="1"/>
    <col min="14337" max="14337" width="34.85546875" customWidth="1"/>
    <col min="14338" max="14338" width="7.42578125" customWidth="1"/>
    <col min="14339" max="14339" width="7.140625" customWidth="1"/>
    <col min="14340" max="14340" width="3" customWidth="1"/>
    <col min="14341" max="14341" width="7.42578125" customWidth="1"/>
    <col min="14342" max="14342" width="8.42578125" customWidth="1"/>
    <col min="14343" max="14343" width="2.7109375" customWidth="1"/>
    <col min="14344" max="14344" width="7.28515625" customWidth="1"/>
    <col min="14345" max="14345" width="8.42578125" customWidth="1"/>
    <col min="14346" max="14346" width="2.7109375" customWidth="1"/>
    <col min="14347" max="14347" width="7.5703125" customWidth="1"/>
    <col min="14348" max="14348" width="8.42578125" customWidth="1"/>
    <col min="14349" max="14349" width="2.7109375" customWidth="1"/>
    <col min="14350" max="14350" width="7.140625" customWidth="1"/>
    <col min="14351" max="14351" width="8" customWidth="1"/>
    <col min="14352" max="14352" width="2.7109375" customWidth="1"/>
    <col min="14353" max="14353" width="7.5703125" customWidth="1"/>
    <col min="14354" max="14354" width="8.42578125" customWidth="1"/>
    <col min="14355" max="14355" width="2.7109375" customWidth="1"/>
    <col min="14356" max="14356" width="9" customWidth="1"/>
    <col min="14593" max="14593" width="34.85546875" customWidth="1"/>
    <col min="14594" max="14594" width="7.42578125" customWidth="1"/>
    <col min="14595" max="14595" width="7.140625" customWidth="1"/>
    <col min="14596" max="14596" width="3" customWidth="1"/>
    <col min="14597" max="14597" width="7.42578125" customWidth="1"/>
    <col min="14598" max="14598" width="8.42578125" customWidth="1"/>
    <col min="14599" max="14599" width="2.7109375" customWidth="1"/>
    <col min="14600" max="14600" width="7.28515625" customWidth="1"/>
    <col min="14601" max="14601" width="8.42578125" customWidth="1"/>
    <col min="14602" max="14602" width="2.7109375" customWidth="1"/>
    <col min="14603" max="14603" width="7.5703125" customWidth="1"/>
    <col min="14604" max="14604" width="8.42578125" customWidth="1"/>
    <col min="14605" max="14605" width="2.7109375" customWidth="1"/>
    <col min="14606" max="14606" width="7.140625" customWidth="1"/>
    <col min="14607" max="14607" width="8" customWidth="1"/>
    <col min="14608" max="14608" width="2.7109375" customWidth="1"/>
    <col min="14609" max="14609" width="7.5703125" customWidth="1"/>
    <col min="14610" max="14610" width="8.42578125" customWidth="1"/>
    <col min="14611" max="14611" width="2.7109375" customWidth="1"/>
    <col min="14612" max="14612" width="9" customWidth="1"/>
    <col min="14849" max="14849" width="34.85546875" customWidth="1"/>
    <col min="14850" max="14850" width="7.42578125" customWidth="1"/>
    <col min="14851" max="14851" width="7.140625" customWidth="1"/>
    <col min="14852" max="14852" width="3" customWidth="1"/>
    <col min="14853" max="14853" width="7.42578125" customWidth="1"/>
    <col min="14854" max="14854" width="8.42578125" customWidth="1"/>
    <col min="14855" max="14855" width="2.7109375" customWidth="1"/>
    <col min="14856" max="14856" width="7.28515625" customWidth="1"/>
    <col min="14857" max="14857" width="8.42578125" customWidth="1"/>
    <col min="14858" max="14858" width="2.7109375" customWidth="1"/>
    <col min="14859" max="14859" width="7.5703125" customWidth="1"/>
    <col min="14860" max="14860" width="8.42578125" customWidth="1"/>
    <col min="14861" max="14861" width="2.7109375" customWidth="1"/>
    <col min="14862" max="14862" width="7.140625" customWidth="1"/>
    <col min="14863" max="14863" width="8" customWidth="1"/>
    <col min="14864" max="14864" width="2.7109375" customWidth="1"/>
    <col min="14865" max="14865" width="7.5703125" customWidth="1"/>
    <col min="14866" max="14866" width="8.42578125" customWidth="1"/>
    <col min="14867" max="14867" width="2.7109375" customWidth="1"/>
    <col min="14868" max="14868" width="9" customWidth="1"/>
    <col min="15105" max="15105" width="34.85546875" customWidth="1"/>
    <col min="15106" max="15106" width="7.42578125" customWidth="1"/>
    <col min="15107" max="15107" width="7.140625" customWidth="1"/>
    <col min="15108" max="15108" width="3" customWidth="1"/>
    <col min="15109" max="15109" width="7.42578125" customWidth="1"/>
    <col min="15110" max="15110" width="8.42578125" customWidth="1"/>
    <col min="15111" max="15111" width="2.7109375" customWidth="1"/>
    <col min="15112" max="15112" width="7.28515625" customWidth="1"/>
    <col min="15113" max="15113" width="8.42578125" customWidth="1"/>
    <col min="15114" max="15114" width="2.7109375" customWidth="1"/>
    <col min="15115" max="15115" width="7.5703125" customWidth="1"/>
    <col min="15116" max="15116" width="8.42578125" customWidth="1"/>
    <col min="15117" max="15117" width="2.7109375" customWidth="1"/>
    <col min="15118" max="15118" width="7.140625" customWidth="1"/>
    <col min="15119" max="15119" width="8" customWidth="1"/>
    <col min="15120" max="15120" width="2.7109375" customWidth="1"/>
    <col min="15121" max="15121" width="7.5703125" customWidth="1"/>
    <col min="15122" max="15122" width="8.42578125" customWidth="1"/>
    <col min="15123" max="15123" width="2.7109375" customWidth="1"/>
    <col min="15124" max="15124" width="9" customWidth="1"/>
    <col min="15361" max="15361" width="34.85546875" customWidth="1"/>
    <col min="15362" max="15362" width="7.42578125" customWidth="1"/>
    <col min="15363" max="15363" width="7.140625" customWidth="1"/>
    <col min="15364" max="15364" width="3" customWidth="1"/>
    <col min="15365" max="15365" width="7.42578125" customWidth="1"/>
    <col min="15366" max="15366" width="8.42578125" customWidth="1"/>
    <col min="15367" max="15367" width="2.7109375" customWidth="1"/>
    <col min="15368" max="15368" width="7.28515625" customWidth="1"/>
    <col min="15369" max="15369" width="8.42578125" customWidth="1"/>
    <col min="15370" max="15370" width="2.7109375" customWidth="1"/>
    <col min="15371" max="15371" width="7.5703125" customWidth="1"/>
    <col min="15372" max="15372" width="8.42578125" customWidth="1"/>
    <col min="15373" max="15373" width="2.7109375" customWidth="1"/>
    <col min="15374" max="15374" width="7.140625" customWidth="1"/>
    <col min="15375" max="15375" width="8" customWidth="1"/>
    <col min="15376" max="15376" width="2.7109375" customWidth="1"/>
    <col min="15377" max="15377" width="7.5703125" customWidth="1"/>
    <col min="15378" max="15378" width="8.42578125" customWidth="1"/>
    <col min="15379" max="15379" width="2.7109375" customWidth="1"/>
    <col min="15380" max="15380" width="9" customWidth="1"/>
    <col min="15617" max="15617" width="34.85546875" customWidth="1"/>
    <col min="15618" max="15618" width="7.42578125" customWidth="1"/>
    <col min="15619" max="15619" width="7.140625" customWidth="1"/>
    <col min="15620" max="15620" width="3" customWidth="1"/>
    <col min="15621" max="15621" width="7.42578125" customWidth="1"/>
    <col min="15622" max="15622" width="8.42578125" customWidth="1"/>
    <col min="15623" max="15623" width="2.7109375" customWidth="1"/>
    <col min="15624" max="15624" width="7.28515625" customWidth="1"/>
    <col min="15625" max="15625" width="8.42578125" customWidth="1"/>
    <col min="15626" max="15626" width="2.7109375" customWidth="1"/>
    <col min="15627" max="15627" width="7.5703125" customWidth="1"/>
    <col min="15628" max="15628" width="8.42578125" customWidth="1"/>
    <col min="15629" max="15629" width="2.7109375" customWidth="1"/>
    <col min="15630" max="15630" width="7.140625" customWidth="1"/>
    <col min="15631" max="15631" width="8" customWidth="1"/>
    <col min="15632" max="15632" width="2.7109375" customWidth="1"/>
    <col min="15633" max="15633" width="7.5703125" customWidth="1"/>
    <col min="15634" max="15634" width="8.42578125" customWidth="1"/>
    <col min="15635" max="15635" width="2.7109375" customWidth="1"/>
    <col min="15636" max="15636" width="9" customWidth="1"/>
    <col min="15873" max="15873" width="34.85546875" customWidth="1"/>
    <col min="15874" max="15874" width="7.42578125" customWidth="1"/>
    <col min="15875" max="15875" width="7.140625" customWidth="1"/>
    <col min="15876" max="15876" width="3" customWidth="1"/>
    <col min="15877" max="15877" width="7.42578125" customWidth="1"/>
    <col min="15878" max="15878" width="8.42578125" customWidth="1"/>
    <col min="15879" max="15879" width="2.7109375" customWidth="1"/>
    <col min="15880" max="15880" width="7.28515625" customWidth="1"/>
    <col min="15881" max="15881" width="8.42578125" customWidth="1"/>
    <col min="15882" max="15882" width="2.7109375" customWidth="1"/>
    <col min="15883" max="15883" width="7.5703125" customWidth="1"/>
    <col min="15884" max="15884" width="8.42578125" customWidth="1"/>
    <col min="15885" max="15885" width="2.7109375" customWidth="1"/>
    <col min="15886" max="15886" width="7.140625" customWidth="1"/>
    <col min="15887" max="15887" width="8" customWidth="1"/>
    <col min="15888" max="15888" width="2.7109375" customWidth="1"/>
    <col min="15889" max="15889" width="7.5703125" customWidth="1"/>
    <col min="15890" max="15890" width="8.42578125" customWidth="1"/>
    <col min="15891" max="15891" width="2.7109375" customWidth="1"/>
    <col min="15892" max="15892" width="9" customWidth="1"/>
    <col min="16129" max="16129" width="34.85546875" customWidth="1"/>
    <col min="16130" max="16130" width="7.42578125" customWidth="1"/>
    <col min="16131" max="16131" width="7.140625" customWidth="1"/>
    <col min="16132" max="16132" width="3" customWidth="1"/>
    <col min="16133" max="16133" width="7.42578125" customWidth="1"/>
    <col min="16134" max="16134" width="8.42578125" customWidth="1"/>
    <col min="16135" max="16135" width="2.7109375" customWidth="1"/>
    <col min="16136" max="16136" width="7.28515625" customWidth="1"/>
    <col min="16137" max="16137" width="8.42578125" customWidth="1"/>
    <col min="16138" max="16138" width="2.7109375" customWidth="1"/>
    <col min="16139" max="16139" width="7.5703125" customWidth="1"/>
    <col min="16140" max="16140" width="8.42578125" customWidth="1"/>
    <col min="16141" max="16141" width="2.7109375" customWidth="1"/>
    <col min="16142" max="16142" width="7.140625" customWidth="1"/>
    <col min="16143" max="16143" width="8" customWidth="1"/>
    <col min="16144" max="16144" width="2.7109375" customWidth="1"/>
    <col min="16145" max="16145" width="7.5703125" customWidth="1"/>
    <col min="16146" max="16146" width="8.42578125" customWidth="1"/>
    <col min="16147" max="16147" width="2.7109375" customWidth="1"/>
    <col min="16148" max="16148" width="9" customWidth="1"/>
  </cols>
  <sheetData>
    <row r="1" spans="1:19" ht="11.1" customHeight="1">
      <c r="A1" t="s">
        <v>366</v>
      </c>
      <c r="B1" s="83"/>
      <c r="C1" s="43"/>
      <c r="E1" s="41"/>
      <c r="F1" s="43"/>
      <c r="H1" s="41"/>
      <c r="I1" s="43"/>
      <c r="J1" s="43"/>
      <c r="K1" s="41"/>
      <c r="L1" s="43"/>
      <c r="N1" s="41"/>
      <c r="Q1" s="41"/>
    </row>
    <row r="2" spans="1:19">
      <c r="A2" t="s">
        <v>367</v>
      </c>
      <c r="B2" s="83"/>
      <c r="C2" s="43"/>
      <c r="E2" s="41"/>
      <c r="F2" s="43"/>
      <c r="H2" s="41"/>
      <c r="I2" s="43"/>
      <c r="J2" s="43"/>
      <c r="K2" s="41"/>
      <c r="L2" s="43"/>
      <c r="N2" s="41"/>
      <c r="Q2" s="41"/>
    </row>
    <row r="3" spans="1:19" ht="11.1" customHeight="1">
      <c r="B3" s="83"/>
      <c r="C3" s="43"/>
      <c r="E3" s="41"/>
      <c r="F3" s="43"/>
      <c r="H3" s="41"/>
      <c r="I3" s="43"/>
      <c r="J3" s="43"/>
      <c r="K3" s="41"/>
      <c r="L3" s="43"/>
      <c r="N3" s="41"/>
      <c r="Q3" s="41"/>
    </row>
    <row r="4" spans="1:19">
      <c r="A4" s="42" t="s">
        <v>412</v>
      </c>
      <c r="B4" s="83"/>
      <c r="C4" s="43"/>
      <c r="E4" s="41"/>
      <c r="F4" s="43"/>
      <c r="H4" s="41"/>
      <c r="I4" s="43"/>
      <c r="J4" s="43"/>
      <c r="K4" s="41"/>
      <c r="L4" s="91"/>
      <c r="N4" s="41"/>
      <c r="O4" s="91"/>
      <c r="Q4" s="41"/>
    </row>
    <row r="5" spans="1:19" ht="15.75" thickBot="1">
      <c r="B5" s="83"/>
      <c r="C5" s="43"/>
      <c r="E5" s="41"/>
      <c r="F5" s="43"/>
      <c r="H5" s="41"/>
      <c r="I5" s="43"/>
      <c r="J5" s="43"/>
      <c r="K5" s="41"/>
      <c r="L5" s="43"/>
      <c r="N5" s="41"/>
      <c r="O5" s="43"/>
      <c r="Q5" s="41"/>
      <c r="R5" s="43"/>
    </row>
    <row r="6" spans="1:19">
      <c r="A6" s="6" t="s">
        <v>386</v>
      </c>
      <c r="B6" s="84"/>
      <c r="C6" s="38"/>
      <c r="D6" s="6"/>
      <c r="E6" s="52"/>
      <c r="F6" s="38"/>
      <c r="G6" s="6"/>
      <c r="H6" s="52"/>
      <c r="I6" s="38"/>
      <c r="J6" s="38"/>
      <c r="K6" s="52"/>
      <c r="L6" s="38"/>
      <c r="M6" s="6"/>
      <c r="N6" s="52"/>
      <c r="O6" s="38"/>
      <c r="P6" s="38"/>
      <c r="Q6" s="52"/>
      <c r="R6" s="38"/>
      <c r="S6" s="38"/>
    </row>
    <row r="7" spans="1:19">
      <c r="A7" s="36" t="s">
        <v>387</v>
      </c>
      <c r="B7" s="1269" t="s">
        <v>413</v>
      </c>
      <c r="C7" s="1269"/>
      <c r="D7" s="36"/>
      <c r="E7" s="1270" t="s">
        <v>304</v>
      </c>
      <c r="F7" s="1270"/>
      <c r="G7" s="36"/>
      <c r="H7" s="1270" t="s">
        <v>303</v>
      </c>
      <c r="I7" s="1270"/>
      <c r="J7" s="53"/>
      <c r="K7" s="1270" t="s">
        <v>296</v>
      </c>
      <c r="L7" s="1270"/>
      <c r="M7" s="36"/>
      <c r="N7" s="1270" t="s">
        <v>299</v>
      </c>
      <c r="O7" s="1270"/>
      <c r="Q7" s="1268" t="s">
        <v>298</v>
      </c>
      <c r="R7" s="1268"/>
    </row>
    <row r="8" spans="1:19">
      <c r="A8" t="s">
        <v>392</v>
      </c>
      <c r="B8" s="88" t="s">
        <v>323</v>
      </c>
      <c r="C8" s="56" t="s">
        <v>324</v>
      </c>
      <c r="D8" s="36"/>
      <c r="E8" s="55" t="s">
        <v>323</v>
      </c>
      <c r="F8" s="56" t="s">
        <v>324</v>
      </c>
      <c r="G8" s="36"/>
      <c r="H8" s="55" t="s">
        <v>323</v>
      </c>
      <c r="I8" s="56" t="s">
        <v>324</v>
      </c>
      <c r="J8" s="57"/>
      <c r="K8" s="55" t="s">
        <v>323</v>
      </c>
      <c r="L8" s="56" t="s">
        <v>324</v>
      </c>
      <c r="M8" s="36"/>
      <c r="N8" s="55" t="s">
        <v>323</v>
      </c>
      <c r="O8" s="56" t="s">
        <v>324</v>
      </c>
      <c r="Q8" s="55" t="s">
        <v>323</v>
      </c>
      <c r="R8" s="56" t="s">
        <v>324</v>
      </c>
    </row>
    <row r="9" spans="1:19" ht="15.75" thickBot="1">
      <c r="A9" s="15" t="s">
        <v>393</v>
      </c>
      <c r="B9" s="89"/>
      <c r="C9" s="60"/>
      <c r="D9" s="15"/>
      <c r="E9" s="59"/>
      <c r="F9" s="60"/>
      <c r="G9" s="15"/>
      <c r="H9" s="59"/>
      <c r="I9" s="60"/>
      <c r="J9" s="60"/>
      <c r="K9" s="59"/>
      <c r="L9" s="60"/>
      <c r="M9" s="15"/>
      <c r="N9" s="59"/>
      <c r="O9" s="60"/>
      <c r="P9" s="60"/>
      <c r="Q9" s="59"/>
      <c r="R9" s="60"/>
      <c r="S9" s="60"/>
    </row>
    <row r="10" spans="1:19" ht="11.1" customHeight="1">
      <c r="B10" s="83"/>
      <c r="C10" s="43"/>
      <c r="E10" s="41"/>
      <c r="F10" s="43"/>
      <c r="H10" s="41"/>
      <c r="I10" s="43"/>
      <c r="J10" s="43"/>
      <c r="K10" s="41"/>
      <c r="L10" s="43"/>
      <c r="N10" s="41"/>
      <c r="Q10" s="41"/>
    </row>
    <row r="11" spans="1:19" ht="12" customHeight="1">
      <c r="A11" s="90" t="s">
        <v>414</v>
      </c>
      <c r="B11" s="83">
        <f>IF($A11&lt;&gt;"",E11+H11+K11+N11+Q11,"")</f>
        <v>4199</v>
      </c>
      <c r="C11" s="43">
        <f>SUM(C13+C107)</f>
        <v>100</v>
      </c>
      <c r="E11" s="41">
        <f>E13+E107</f>
        <v>207</v>
      </c>
      <c r="F11" s="43">
        <f t="shared" ref="F11:F74" si="0">IF($A11&lt;&gt;0,E11/$B11*100,"")</f>
        <v>4.9297451774231966</v>
      </c>
      <c r="H11" s="41">
        <f>H13+H107</f>
        <v>1331</v>
      </c>
      <c r="I11" s="43">
        <f t="shared" ref="I11:I75" si="1">IF($A11&lt;&gt;0,H11/$B11*100,"")</f>
        <v>31.698023338890213</v>
      </c>
      <c r="J11" s="43"/>
      <c r="K11" s="41">
        <f>K13+K107</f>
        <v>945</v>
      </c>
      <c r="L11" s="43">
        <f t="shared" ref="L11:L75" si="2">IF($A11&lt;&gt;0,K11/$B11*100,"")</f>
        <v>22.505358418671111</v>
      </c>
      <c r="M11" s="36"/>
      <c r="N11" s="41">
        <f>N13+N107</f>
        <v>163</v>
      </c>
      <c r="O11" s="43">
        <f t="shared" ref="O11:O75" si="3">IF($A11&lt;&gt;0,N11/$B11*100,"")</f>
        <v>3.8818766372945941</v>
      </c>
      <c r="P11" s="53"/>
      <c r="Q11" s="41">
        <f>Q13+Q107</f>
        <v>1553</v>
      </c>
      <c r="R11" s="43">
        <f t="shared" ref="R11:R19" si="4">IF($A11&lt;&gt;"",Q11/$B11*100,"")</f>
        <v>36.984996427720887</v>
      </c>
      <c r="S11" s="53"/>
    </row>
    <row r="12" spans="1:19" ht="12" customHeight="1">
      <c r="B12" s="83" t="str">
        <f t="shared" ref="B12:B75" si="5">IF($A12&lt;&gt;"",E12+H12+K12+N12+Q12,"")</f>
        <v/>
      </c>
      <c r="C12" s="43" t="str">
        <f>IF(A12&lt;&gt;0,B12/$B$10*100,"")</f>
        <v/>
      </c>
      <c r="E12" s="41"/>
      <c r="F12" s="43" t="str">
        <f t="shared" si="0"/>
        <v/>
      </c>
      <c r="H12" s="41"/>
      <c r="I12" s="43" t="str">
        <f t="shared" si="1"/>
        <v/>
      </c>
      <c r="J12" s="43"/>
      <c r="K12" s="41"/>
      <c r="L12" s="43" t="str">
        <f t="shared" si="2"/>
        <v/>
      </c>
      <c r="M12" s="36"/>
      <c r="N12" s="41"/>
      <c r="O12" s="43" t="str">
        <f t="shared" si="3"/>
        <v/>
      </c>
      <c r="P12" s="53"/>
      <c r="Q12" s="41"/>
      <c r="R12" s="43" t="str">
        <f t="shared" si="4"/>
        <v/>
      </c>
      <c r="S12" s="53"/>
    </row>
    <row r="13" spans="1:19" ht="12" customHeight="1">
      <c r="A13" s="63" t="s">
        <v>326</v>
      </c>
      <c r="B13" s="83">
        <f t="shared" si="5"/>
        <v>3261</v>
      </c>
      <c r="C13" s="43">
        <f>IF(A13&lt;&gt;0,B13/$B$11*100,"")</f>
        <v>77.661347939985717</v>
      </c>
      <c r="E13" s="41">
        <f>E15+E99</f>
        <v>185</v>
      </c>
      <c r="F13" s="43">
        <f t="shared" si="0"/>
        <v>5.6731064090769703</v>
      </c>
      <c r="H13" s="41">
        <f>H15+H99</f>
        <v>1051</v>
      </c>
      <c r="I13" s="43">
        <f t="shared" si="1"/>
        <v>32.229377491567</v>
      </c>
      <c r="J13" s="43"/>
      <c r="K13" s="41">
        <f>K15+K99</f>
        <v>685</v>
      </c>
      <c r="L13" s="43">
        <f t="shared" si="2"/>
        <v>21.005826433609322</v>
      </c>
      <c r="M13" s="36"/>
      <c r="N13" s="41">
        <f>N15+N99</f>
        <v>127</v>
      </c>
      <c r="O13" s="43">
        <f t="shared" si="3"/>
        <v>3.8945108862312172</v>
      </c>
      <c r="P13" s="53"/>
      <c r="Q13" s="41">
        <f>Q15+Q99</f>
        <v>1213</v>
      </c>
      <c r="R13" s="43">
        <f t="shared" si="4"/>
        <v>37.19717877951549</v>
      </c>
      <c r="S13" s="53"/>
    </row>
    <row r="14" spans="1:19" ht="12" customHeight="1">
      <c r="B14" s="83" t="str">
        <f t="shared" si="5"/>
        <v/>
      </c>
      <c r="C14" s="43" t="str">
        <f>IF(A14&lt;&gt;0,B14/$B$11*100,"")</f>
        <v/>
      </c>
      <c r="E14" s="41"/>
      <c r="F14" s="43" t="str">
        <f t="shared" si="0"/>
        <v/>
      </c>
      <c r="H14" s="41"/>
      <c r="I14" s="43" t="str">
        <f t="shared" si="1"/>
        <v/>
      </c>
      <c r="J14" s="43"/>
      <c r="K14" s="41"/>
      <c r="L14" s="43" t="str">
        <f t="shared" si="2"/>
        <v/>
      </c>
      <c r="M14" s="36"/>
      <c r="N14" s="41"/>
      <c r="O14" s="43" t="str">
        <f t="shared" si="3"/>
        <v/>
      </c>
      <c r="P14" s="53"/>
      <c r="Q14" s="41"/>
      <c r="R14" s="43" t="str">
        <f t="shared" si="4"/>
        <v/>
      </c>
      <c r="S14" s="53"/>
    </row>
    <row r="15" spans="1:19" ht="12" customHeight="1">
      <c r="A15" s="63" t="s">
        <v>12</v>
      </c>
      <c r="B15" s="83">
        <f t="shared" si="5"/>
        <v>2761</v>
      </c>
      <c r="C15" s="43">
        <f>IF(A15&lt;&gt;0,B15/$B$11*100,"")</f>
        <v>65.753750893069778</v>
      </c>
      <c r="E15" s="41">
        <f>SUM(E17+E28+E36+E62+E76+E83+E95+E96+E97)</f>
        <v>128</v>
      </c>
      <c r="F15" s="43">
        <f t="shared" si="0"/>
        <v>4.6360014487504531</v>
      </c>
      <c r="G15" s="41"/>
      <c r="H15" s="41">
        <f>SUM(H17+H28+H36+H62+H76+H83+H95+H96+H97)</f>
        <v>873</v>
      </c>
      <c r="I15" s="43">
        <f t="shared" si="1"/>
        <v>31.618978630930823</v>
      </c>
      <c r="J15" s="41"/>
      <c r="K15" s="41">
        <f>SUM(K17+K28+K36+K62+K76+K83+K95+K96+K97)</f>
        <v>598</v>
      </c>
      <c r="L15" s="43">
        <f t="shared" si="2"/>
        <v>21.65881926838102</v>
      </c>
      <c r="M15" s="41"/>
      <c r="N15" s="41">
        <f>SUM(N17+N28+N36+N62+N76+N83+N95+N96+N97)</f>
        <v>102</v>
      </c>
      <c r="O15" s="43">
        <f t="shared" si="3"/>
        <v>3.6943136544730173</v>
      </c>
      <c r="P15" s="41"/>
      <c r="Q15" s="41">
        <f>SUM(Q17+Q28+Q36+Q62+Q76+Q83+Q95+Q96+Q97)</f>
        <v>1060</v>
      </c>
      <c r="R15" s="43">
        <f t="shared" si="4"/>
        <v>38.391886997464688</v>
      </c>
      <c r="S15" s="53"/>
    </row>
    <row r="16" spans="1:19" ht="12" customHeight="1">
      <c r="B16" s="83" t="str">
        <f t="shared" si="5"/>
        <v/>
      </c>
      <c r="C16" s="43" t="str">
        <f t="shared" ref="C16:C79" si="6">IF(A16&lt;&gt;0,B16/$B$11*100,"")</f>
        <v/>
      </c>
      <c r="E16" s="41"/>
      <c r="F16" s="43"/>
      <c r="H16" s="41"/>
      <c r="I16" s="43"/>
      <c r="J16" s="43"/>
      <c r="K16" s="41"/>
      <c r="L16" s="43"/>
      <c r="M16" s="36"/>
      <c r="N16" s="41"/>
      <c r="O16" s="43"/>
      <c r="P16" s="53"/>
      <c r="Q16" s="41"/>
      <c r="R16" s="43"/>
      <c r="S16" s="53"/>
    </row>
    <row r="17" spans="1:19" ht="12" customHeight="1">
      <c r="A17" s="63" t="s">
        <v>327</v>
      </c>
      <c r="B17" s="83">
        <f t="shared" si="5"/>
        <v>192</v>
      </c>
      <c r="C17" s="43">
        <f t="shared" si="6"/>
        <v>4.5725172660157183</v>
      </c>
      <c r="E17" s="41">
        <f>E18+E23</f>
        <v>17</v>
      </c>
      <c r="F17" s="43">
        <f t="shared" si="0"/>
        <v>8.8541666666666679</v>
      </c>
      <c r="H17" s="41">
        <f>H18+H23</f>
        <v>69</v>
      </c>
      <c r="I17" s="43">
        <f t="shared" si="1"/>
        <v>35.9375</v>
      </c>
      <c r="J17" s="43"/>
      <c r="K17" s="41">
        <f>K18+K23</f>
        <v>52</v>
      </c>
      <c r="L17" s="43">
        <f t="shared" si="2"/>
        <v>27.083333333333332</v>
      </c>
      <c r="M17" s="36"/>
      <c r="N17" s="41">
        <f>N18+N23</f>
        <v>13</v>
      </c>
      <c r="O17" s="43">
        <f t="shared" si="3"/>
        <v>6.770833333333333</v>
      </c>
      <c r="P17" s="53"/>
      <c r="Q17" s="41">
        <f>Q18+Q23</f>
        <v>41</v>
      </c>
      <c r="R17" s="43">
        <f t="shared" si="4"/>
        <v>21.354166666666664</v>
      </c>
      <c r="S17" s="53"/>
    </row>
    <row r="18" spans="1:19" ht="12" customHeight="1">
      <c r="A18" t="s">
        <v>20</v>
      </c>
      <c r="B18" s="83">
        <f t="shared" si="5"/>
        <v>94</v>
      </c>
      <c r="C18" s="43">
        <f t="shared" si="6"/>
        <v>2.2386282448201951</v>
      </c>
      <c r="E18" s="41">
        <f>SUM(E19:E21)</f>
        <v>7</v>
      </c>
      <c r="F18" s="43">
        <f t="shared" si="0"/>
        <v>7.4468085106382977</v>
      </c>
      <c r="H18" s="41">
        <f>SUM(H19:H21)</f>
        <v>23</v>
      </c>
      <c r="I18" s="43">
        <f t="shared" si="1"/>
        <v>24.468085106382979</v>
      </c>
      <c r="J18" s="43"/>
      <c r="K18" s="41">
        <f>SUM(K19:K21)</f>
        <v>26</v>
      </c>
      <c r="L18" s="43">
        <f t="shared" si="2"/>
        <v>27.659574468085108</v>
      </c>
      <c r="M18" s="36"/>
      <c r="N18" s="41">
        <f>SUM(N19:N21)</f>
        <v>7</v>
      </c>
      <c r="O18" s="43">
        <f t="shared" si="3"/>
        <v>7.4468085106382977</v>
      </c>
      <c r="P18" s="53"/>
      <c r="Q18" s="41">
        <f>SUM(Q19:Q21)</f>
        <v>31</v>
      </c>
      <c r="R18" s="43">
        <f t="shared" si="4"/>
        <v>32.978723404255319</v>
      </c>
      <c r="S18" s="53"/>
    </row>
    <row r="19" spans="1:19" ht="12" customHeight="1">
      <c r="A19" t="s">
        <v>21</v>
      </c>
      <c r="B19" s="83">
        <f t="shared" si="5"/>
        <v>19</v>
      </c>
      <c r="C19" s="43">
        <f t="shared" si="6"/>
        <v>0.45248868778280549</v>
      </c>
      <c r="E19">
        <v>2</v>
      </c>
      <c r="F19" s="43">
        <f t="shared" si="0"/>
        <v>10.526315789473683</v>
      </c>
      <c r="H19">
        <v>3</v>
      </c>
      <c r="I19" s="43">
        <f t="shared" si="1"/>
        <v>15.789473684210526</v>
      </c>
      <c r="K19">
        <v>5</v>
      </c>
      <c r="L19" s="43">
        <f t="shared" si="2"/>
        <v>26.315789473684209</v>
      </c>
      <c r="N19">
        <v>4</v>
      </c>
      <c r="O19" s="43">
        <f t="shared" si="3"/>
        <v>21.052631578947366</v>
      </c>
      <c r="Q19">
        <v>5</v>
      </c>
      <c r="R19" s="43">
        <f t="shared" si="4"/>
        <v>26.315789473684209</v>
      </c>
      <c r="S19" s="53"/>
    </row>
    <row r="20" spans="1:19" ht="12" customHeight="1">
      <c r="A20" t="s">
        <v>22</v>
      </c>
      <c r="B20" s="83">
        <f t="shared" si="5"/>
        <v>35</v>
      </c>
      <c r="C20" s="43">
        <f t="shared" si="6"/>
        <v>0.83353179328411531</v>
      </c>
      <c r="E20">
        <v>4</v>
      </c>
      <c r="F20" s="43">
        <f t="shared" si="0"/>
        <v>11.428571428571429</v>
      </c>
      <c r="H20">
        <v>10</v>
      </c>
      <c r="I20" s="43">
        <f t="shared" si="1"/>
        <v>28.571428571428569</v>
      </c>
      <c r="K20">
        <v>12</v>
      </c>
      <c r="L20" s="43">
        <f t="shared" si="2"/>
        <v>34.285714285714285</v>
      </c>
      <c r="N20">
        <v>1</v>
      </c>
      <c r="O20" s="43">
        <f t="shared" si="3"/>
        <v>2.8571428571428572</v>
      </c>
      <c r="Q20">
        <v>8</v>
      </c>
      <c r="R20" s="43">
        <f>IF($A20&lt;&gt;"",Q20/$B20*100,"")</f>
        <v>22.857142857142858</v>
      </c>
      <c r="S20" s="53"/>
    </row>
    <row r="21" spans="1:19" ht="12" customHeight="1">
      <c r="A21" t="s">
        <v>23</v>
      </c>
      <c r="B21" s="83">
        <f t="shared" si="5"/>
        <v>40</v>
      </c>
      <c r="C21" s="43">
        <f t="shared" si="6"/>
        <v>0.95260776375327461</v>
      </c>
      <c r="E21">
        <v>1</v>
      </c>
      <c r="F21" s="43">
        <f t="shared" si="0"/>
        <v>2.5</v>
      </c>
      <c r="H21">
        <v>10</v>
      </c>
      <c r="I21" s="43">
        <f t="shared" si="1"/>
        <v>25</v>
      </c>
      <c r="K21">
        <v>9</v>
      </c>
      <c r="L21" s="43">
        <f t="shared" si="2"/>
        <v>22.5</v>
      </c>
      <c r="N21">
        <v>2</v>
      </c>
      <c r="O21" s="43">
        <f t="shared" si="3"/>
        <v>5</v>
      </c>
      <c r="Q21">
        <v>18</v>
      </c>
      <c r="R21" s="43">
        <f>IF($A21&lt;&gt;"",Q21/$B21*100,"")</f>
        <v>45</v>
      </c>
      <c r="S21" s="53"/>
    </row>
    <row r="22" spans="1:19" ht="12" customHeight="1">
      <c r="B22" s="83" t="str">
        <f t="shared" si="5"/>
        <v/>
      </c>
      <c r="C22" s="43" t="str">
        <f t="shared" si="6"/>
        <v/>
      </c>
      <c r="E22" s="41"/>
      <c r="F22" s="43" t="str">
        <f t="shared" si="0"/>
        <v/>
      </c>
      <c r="H22" s="41"/>
      <c r="I22" s="43" t="str">
        <f t="shared" si="1"/>
        <v/>
      </c>
      <c r="J22" s="43"/>
      <c r="K22" s="41"/>
      <c r="L22" s="43" t="str">
        <f t="shared" si="2"/>
        <v/>
      </c>
      <c r="M22" s="36"/>
      <c r="N22" s="41"/>
      <c r="O22" s="43" t="str">
        <f t="shared" si="3"/>
        <v/>
      </c>
      <c r="P22" s="53"/>
      <c r="Q22" s="41"/>
      <c r="R22" s="43" t="str">
        <f t="shared" ref="R22:R86" si="7">IF($A22&lt;&gt;"",Q22/$B22*100,"")</f>
        <v/>
      </c>
      <c r="S22" s="53"/>
    </row>
    <row r="23" spans="1:19" ht="12" customHeight="1">
      <c r="A23" t="s">
        <v>24</v>
      </c>
      <c r="B23" s="83">
        <f t="shared" si="5"/>
        <v>98</v>
      </c>
      <c r="C23" s="43">
        <f t="shared" si="6"/>
        <v>2.3338890211955228</v>
      </c>
      <c r="E23" s="41">
        <f>SUM(E24:E26)</f>
        <v>10</v>
      </c>
      <c r="F23" s="43">
        <f t="shared" si="0"/>
        <v>10.204081632653061</v>
      </c>
      <c r="H23" s="41">
        <f>SUM(H24:H26)</f>
        <v>46</v>
      </c>
      <c r="I23" s="43">
        <f t="shared" si="1"/>
        <v>46.938775510204081</v>
      </c>
      <c r="J23" s="43"/>
      <c r="K23" s="41">
        <f>SUM(K24:K26)</f>
        <v>26</v>
      </c>
      <c r="L23" s="43">
        <f t="shared" si="2"/>
        <v>26.530612244897959</v>
      </c>
      <c r="M23" s="36"/>
      <c r="N23" s="41">
        <f>SUM(N24:N26)</f>
        <v>6</v>
      </c>
      <c r="O23" s="43">
        <f t="shared" si="3"/>
        <v>6.1224489795918364</v>
      </c>
      <c r="P23" s="53"/>
      <c r="Q23" s="41">
        <f>SUM(Q24:Q26)</f>
        <v>10</v>
      </c>
      <c r="R23" s="43">
        <f t="shared" si="7"/>
        <v>10.204081632653061</v>
      </c>
      <c r="S23" s="53"/>
    </row>
    <row r="24" spans="1:19" ht="12" customHeight="1">
      <c r="A24" t="s">
        <v>25</v>
      </c>
      <c r="B24" s="83">
        <f t="shared" si="5"/>
        <v>24</v>
      </c>
      <c r="C24" s="43">
        <f t="shared" si="6"/>
        <v>0.57156465825196479</v>
      </c>
      <c r="E24">
        <v>5</v>
      </c>
      <c r="F24" s="43">
        <f t="shared" si="0"/>
        <v>20.833333333333336</v>
      </c>
      <c r="H24">
        <v>14</v>
      </c>
      <c r="I24" s="43">
        <f t="shared" si="1"/>
        <v>58.333333333333336</v>
      </c>
      <c r="K24">
        <v>3</v>
      </c>
      <c r="L24" s="43">
        <f t="shared" si="2"/>
        <v>12.5</v>
      </c>
      <c r="N24">
        <v>1</v>
      </c>
      <c r="O24" s="43">
        <f t="shared" si="3"/>
        <v>4.1666666666666661</v>
      </c>
      <c r="Q24">
        <v>1</v>
      </c>
      <c r="R24" s="43">
        <f t="shared" si="7"/>
        <v>4.1666666666666661</v>
      </c>
      <c r="S24" s="53"/>
    </row>
    <row r="25" spans="1:19" ht="12" customHeight="1">
      <c r="A25" t="s">
        <v>26</v>
      </c>
      <c r="B25" s="83">
        <f t="shared" si="5"/>
        <v>19</v>
      </c>
      <c r="C25" s="43">
        <f t="shared" si="6"/>
        <v>0.45248868778280549</v>
      </c>
      <c r="E25">
        <v>4</v>
      </c>
      <c r="F25" s="43">
        <f t="shared" si="0"/>
        <v>21.052631578947366</v>
      </c>
      <c r="H25">
        <v>2</v>
      </c>
      <c r="I25" s="43">
        <f t="shared" si="1"/>
        <v>10.526315789473683</v>
      </c>
      <c r="K25">
        <v>12</v>
      </c>
      <c r="L25" s="43">
        <f t="shared" si="2"/>
        <v>63.157894736842103</v>
      </c>
      <c r="N25">
        <v>0</v>
      </c>
      <c r="O25" s="43">
        <f t="shared" si="3"/>
        <v>0</v>
      </c>
      <c r="Q25">
        <v>1</v>
      </c>
      <c r="R25" s="43">
        <f t="shared" si="7"/>
        <v>5.2631578947368416</v>
      </c>
      <c r="S25" s="53"/>
    </row>
    <row r="26" spans="1:19" ht="12" customHeight="1">
      <c r="A26" t="s">
        <v>27</v>
      </c>
      <c r="B26" s="83">
        <f t="shared" si="5"/>
        <v>55</v>
      </c>
      <c r="C26" s="43">
        <f t="shared" si="6"/>
        <v>1.3098356751607527</v>
      </c>
      <c r="E26">
        <v>1</v>
      </c>
      <c r="F26" s="43">
        <f t="shared" si="0"/>
        <v>1.8181818181818181</v>
      </c>
      <c r="H26">
        <v>30</v>
      </c>
      <c r="I26" s="43">
        <f t="shared" si="1"/>
        <v>54.54545454545454</v>
      </c>
      <c r="K26">
        <v>11</v>
      </c>
      <c r="L26" s="43">
        <f t="shared" si="2"/>
        <v>20</v>
      </c>
      <c r="N26">
        <v>5</v>
      </c>
      <c r="O26" s="43">
        <f t="shared" si="3"/>
        <v>9.0909090909090917</v>
      </c>
      <c r="Q26">
        <v>8</v>
      </c>
      <c r="R26" s="43">
        <f t="shared" si="7"/>
        <v>14.545454545454545</v>
      </c>
      <c r="S26" s="53"/>
    </row>
    <row r="27" spans="1:19" ht="12" customHeight="1">
      <c r="B27" s="83" t="str">
        <f t="shared" si="5"/>
        <v/>
      </c>
      <c r="C27" s="43" t="str">
        <f t="shared" si="6"/>
        <v/>
      </c>
      <c r="E27" s="41"/>
      <c r="F27" s="43" t="str">
        <f t="shared" si="0"/>
        <v/>
      </c>
      <c r="H27" s="41"/>
      <c r="I27" s="43" t="str">
        <f t="shared" si="1"/>
        <v/>
      </c>
      <c r="J27" s="43"/>
      <c r="K27" s="41"/>
      <c r="L27" s="43" t="str">
        <f t="shared" si="2"/>
        <v/>
      </c>
      <c r="M27" s="36"/>
      <c r="N27" s="41"/>
      <c r="O27" s="43" t="str">
        <f t="shared" si="3"/>
        <v/>
      </c>
      <c r="P27" s="53"/>
      <c r="Q27" s="41"/>
      <c r="R27" s="43" t="str">
        <f t="shared" si="7"/>
        <v/>
      </c>
      <c r="S27" s="53"/>
    </row>
    <row r="28" spans="1:19" ht="12" customHeight="1">
      <c r="A28" s="63" t="s">
        <v>375</v>
      </c>
      <c r="B28" s="83">
        <f t="shared" si="5"/>
        <v>252</v>
      </c>
      <c r="C28" s="43">
        <f t="shared" si="6"/>
        <v>6.0014289116456299</v>
      </c>
      <c r="E28" s="41">
        <f>SUM(E29)</f>
        <v>23</v>
      </c>
      <c r="F28" s="43">
        <f t="shared" si="0"/>
        <v>9.1269841269841265</v>
      </c>
      <c r="H28" s="41">
        <f>SUM(H29)</f>
        <v>50</v>
      </c>
      <c r="I28" s="43">
        <f t="shared" si="1"/>
        <v>19.841269841269842</v>
      </c>
      <c r="J28" s="43"/>
      <c r="K28" s="41">
        <f>SUM(K29)</f>
        <v>43</v>
      </c>
      <c r="L28" s="43">
        <f t="shared" si="2"/>
        <v>17.063492063492063</v>
      </c>
      <c r="M28" s="36"/>
      <c r="N28" s="41">
        <f>SUM(N29)</f>
        <v>40</v>
      </c>
      <c r="O28" s="43">
        <f t="shared" si="3"/>
        <v>15.873015873015872</v>
      </c>
      <c r="P28" s="53"/>
      <c r="Q28" s="41">
        <f>SUM(Q29)</f>
        <v>96</v>
      </c>
      <c r="R28" s="43">
        <f t="shared" si="7"/>
        <v>38.095238095238095</v>
      </c>
      <c r="S28" s="53"/>
    </row>
    <row r="29" spans="1:19" ht="12" customHeight="1">
      <c r="A29" t="s">
        <v>29</v>
      </c>
      <c r="B29" s="83">
        <f t="shared" si="5"/>
        <v>252</v>
      </c>
      <c r="C29" s="43">
        <f t="shared" si="6"/>
        <v>6.0014289116456299</v>
      </c>
      <c r="E29" s="41">
        <f>SUM(E30:E34)</f>
        <v>23</v>
      </c>
      <c r="F29" s="43">
        <f t="shared" si="0"/>
        <v>9.1269841269841265</v>
      </c>
      <c r="H29" s="41">
        <f>SUM(H30:H34)</f>
        <v>50</v>
      </c>
      <c r="I29" s="43">
        <f t="shared" si="1"/>
        <v>19.841269841269842</v>
      </c>
      <c r="J29" s="43"/>
      <c r="K29" s="41">
        <f>SUM(K30:K34)</f>
        <v>43</v>
      </c>
      <c r="L29" s="43">
        <f t="shared" si="2"/>
        <v>17.063492063492063</v>
      </c>
      <c r="M29" s="36"/>
      <c r="N29" s="41">
        <f>SUM(N30:N34)</f>
        <v>40</v>
      </c>
      <c r="O29" s="43">
        <f t="shared" si="3"/>
        <v>15.873015873015872</v>
      </c>
      <c r="P29" s="53"/>
      <c r="Q29" s="41">
        <f>SUM(Q30:Q34)</f>
        <v>96</v>
      </c>
      <c r="R29" s="43">
        <f t="shared" si="7"/>
        <v>38.095238095238095</v>
      </c>
      <c r="S29" s="53"/>
    </row>
    <row r="30" spans="1:19" ht="12" customHeight="1">
      <c r="A30" t="s">
        <v>30</v>
      </c>
      <c r="B30" s="83">
        <f t="shared" si="5"/>
        <v>26</v>
      </c>
      <c r="C30" s="43">
        <f t="shared" si="6"/>
        <v>0.61919504643962853</v>
      </c>
      <c r="E30">
        <v>8</v>
      </c>
      <c r="F30" s="43">
        <f t="shared" si="0"/>
        <v>30.76923076923077</v>
      </c>
      <c r="H30">
        <v>7</v>
      </c>
      <c r="I30" s="43">
        <f t="shared" si="1"/>
        <v>26.923076923076923</v>
      </c>
      <c r="K30">
        <v>3</v>
      </c>
      <c r="L30" s="43">
        <f t="shared" si="2"/>
        <v>11.538461538461538</v>
      </c>
      <c r="N30">
        <v>2</v>
      </c>
      <c r="O30" s="43">
        <f t="shared" si="3"/>
        <v>7.6923076923076925</v>
      </c>
      <c r="Q30">
        <v>6</v>
      </c>
      <c r="R30" s="43">
        <f t="shared" si="7"/>
        <v>23.076923076923077</v>
      </c>
      <c r="S30" s="53"/>
    </row>
    <row r="31" spans="1:19" ht="12" customHeight="1">
      <c r="A31" t="s">
        <v>31</v>
      </c>
      <c r="B31" s="83">
        <f t="shared" si="5"/>
        <v>70</v>
      </c>
      <c r="C31" s="43">
        <f t="shared" si="6"/>
        <v>1.6670635865682306</v>
      </c>
      <c r="E31">
        <v>4</v>
      </c>
      <c r="F31" s="43">
        <f t="shared" si="0"/>
        <v>5.7142857142857144</v>
      </c>
      <c r="H31">
        <v>15</v>
      </c>
      <c r="I31" s="43">
        <f t="shared" si="1"/>
        <v>21.428571428571427</v>
      </c>
      <c r="K31">
        <v>9</v>
      </c>
      <c r="L31" s="43">
        <f t="shared" si="2"/>
        <v>12.857142857142856</v>
      </c>
      <c r="N31">
        <v>16</v>
      </c>
      <c r="O31" s="43">
        <f t="shared" si="3"/>
        <v>22.857142857142858</v>
      </c>
      <c r="Q31">
        <v>26</v>
      </c>
      <c r="R31" s="43">
        <f t="shared" si="7"/>
        <v>37.142857142857146</v>
      </c>
      <c r="S31" s="53"/>
    </row>
    <row r="32" spans="1:19" ht="12" customHeight="1">
      <c r="A32" t="s">
        <v>32</v>
      </c>
      <c r="B32" s="83">
        <f t="shared" si="5"/>
        <v>14</v>
      </c>
      <c r="C32" s="43">
        <f t="shared" si="6"/>
        <v>0.33341271731364608</v>
      </c>
      <c r="E32">
        <v>3</v>
      </c>
      <c r="F32" s="43">
        <f t="shared" si="0"/>
        <v>21.428571428571427</v>
      </c>
      <c r="H32">
        <v>2</v>
      </c>
      <c r="I32" s="43">
        <f t="shared" si="1"/>
        <v>14.285714285714285</v>
      </c>
      <c r="K32">
        <v>3</v>
      </c>
      <c r="L32" s="43">
        <f t="shared" si="2"/>
        <v>21.428571428571427</v>
      </c>
      <c r="N32">
        <v>2</v>
      </c>
      <c r="O32" s="43">
        <f t="shared" si="3"/>
        <v>14.285714285714285</v>
      </c>
      <c r="Q32">
        <v>4</v>
      </c>
      <c r="R32" s="43">
        <f t="shared" si="7"/>
        <v>28.571428571428569</v>
      </c>
      <c r="S32" s="53"/>
    </row>
    <row r="33" spans="1:19" ht="12" customHeight="1">
      <c r="A33" t="s">
        <v>33</v>
      </c>
      <c r="B33" s="83">
        <f t="shared" si="5"/>
        <v>101</v>
      </c>
      <c r="C33" s="43">
        <f t="shared" si="6"/>
        <v>2.4053346034770184</v>
      </c>
      <c r="E33">
        <v>6</v>
      </c>
      <c r="F33" s="43">
        <f t="shared" si="0"/>
        <v>5.9405940594059405</v>
      </c>
      <c r="H33">
        <v>12</v>
      </c>
      <c r="I33" s="43">
        <f t="shared" si="1"/>
        <v>11.881188118811881</v>
      </c>
      <c r="K33">
        <v>24</v>
      </c>
      <c r="L33" s="43">
        <f t="shared" si="2"/>
        <v>23.762376237623762</v>
      </c>
      <c r="N33">
        <v>12</v>
      </c>
      <c r="O33" s="43">
        <f t="shared" si="3"/>
        <v>11.881188118811881</v>
      </c>
      <c r="Q33">
        <v>47</v>
      </c>
      <c r="R33" s="43">
        <f t="shared" si="7"/>
        <v>46.534653465346537</v>
      </c>
      <c r="S33" s="53"/>
    </row>
    <row r="34" spans="1:19" ht="12" customHeight="1">
      <c r="A34" t="s">
        <v>34</v>
      </c>
      <c r="B34" s="83">
        <f t="shared" si="5"/>
        <v>41</v>
      </c>
      <c r="C34" s="43">
        <f t="shared" si="6"/>
        <v>0.97642295784710642</v>
      </c>
      <c r="E34">
        <v>2</v>
      </c>
      <c r="F34" s="43">
        <f t="shared" si="0"/>
        <v>4.8780487804878048</v>
      </c>
      <c r="H34">
        <v>14</v>
      </c>
      <c r="I34" s="43">
        <f t="shared" si="1"/>
        <v>34.146341463414636</v>
      </c>
      <c r="K34">
        <v>4</v>
      </c>
      <c r="L34" s="43">
        <f t="shared" si="2"/>
        <v>9.7560975609756095</v>
      </c>
      <c r="N34">
        <v>8</v>
      </c>
      <c r="O34" s="43">
        <f t="shared" si="3"/>
        <v>19.512195121951219</v>
      </c>
      <c r="Q34">
        <v>13</v>
      </c>
      <c r="R34" s="43">
        <f t="shared" si="7"/>
        <v>31.707317073170731</v>
      </c>
      <c r="S34" s="53"/>
    </row>
    <row r="35" spans="1:19" ht="12" customHeight="1">
      <c r="B35" s="83" t="str">
        <f t="shared" si="5"/>
        <v/>
      </c>
      <c r="C35" s="43" t="str">
        <f t="shared" si="6"/>
        <v/>
      </c>
      <c r="E35" s="41"/>
      <c r="F35" s="43" t="str">
        <f t="shared" si="0"/>
        <v/>
      </c>
      <c r="H35" s="41"/>
      <c r="I35" s="43" t="str">
        <f t="shared" si="1"/>
        <v/>
      </c>
      <c r="J35" s="43"/>
      <c r="K35" s="41"/>
      <c r="L35" s="43" t="str">
        <f t="shared" si="2"/>
        <v/>
      </c>
      <c r="M35" s="36"/>
      <c r="N35" s="41"/>
      <c r="O35" s="43" t="str">
        <f t="shared" si="3"/>
        <v/>
      </c>
      <c r="P35" s="53"/>
      <c r="Q35" s="41"/>
      <c r="R35" s="43" t="str">
        <f t="shared" si="7"/>
        <v/>
      </c>
      <c r="S35" s="53"/>
    </row>
    <row r="36" spans="1:19" ht="12" customHeight="1">
      <c r="A36" s="63" t="s">
        <v>329</v>
      </c>
      <c r="B36" s="83">
        <f t="shared" si="5"/>
        <v>839</v>
      </c>
      <c r="C36" s="43">
        <f t="shared" si="6"/>
        <v>19.980947844724934</v>
      </c>
      <c r="E36" s="41">
        <f>E37+E43+E53+E55</f>
        <v>51</v>
      </c>
      <c r="F36" s="43">
        <f t="shared" si="0"/>
        <v>6.0786650774731825</v>
      </c>
      <c r="H36" s="41">
        <f>H37+H43+H53+H55</f>
        <v>277</v>
      </c>
      <c r="I36" s="43">
        <f t="shared" si="1"/>
        <v>33.015494636471992</v>
      </c>
      <c r="J36" s="43"/>
      <c r="K36" s="41">
        <f>K37+K43+K53+K55</f>
        <v>193</v>
      </c>
      <c r="L36" s="43">
        <f t="shared" si="2"/>
        <v>23.00357568533969</v>
      </c>
      <c r="M36" s="36"/>
      <c r="N36" s="41">
        <f>N37+N43+N53+N55</f>
        <v>17</v>
      </c>
      <c r="O36" s="43">
        <f t="shared" si="3"/>
        <v>2.026221692491061</v>
      </c>
      <c r="P36" s="53"/>
      <c r="Q36" s="41">
        <f>Q37+Q43+Q53+Q55</f>
        <v>301</v>
      </c>
      <c r="R36" s="43">
        <f t="shared" si="7"/>
        <v>35.876042908224079</v>
      </c>
      <c r="S36" s="53"/>
    </row>
    <row r="37" spans="1:19" ht="12" customHeight="1">
      <c r="A37" t="s">
        <v>36</v>
      </c>
      <c r="B37" s="83">
        <f t="shared" si="5"/>
        <v>224</v>
      </c>
      <c r="C37" s="43">
        <f t="shared" si="6"/>
        <v>5.3346034770183373</v>
      </c>
      <c r="E37" s="41">
        <f>SUM(E38:E41)</f>
        <v>6</v>
      </c>
      <c r="F37" s="43">
        <f t="shared" si="0"/>
        <v>2.6785714285714284</v>
      </c>
      <c r="H37" s="41">
        <f>SUM(H38:H41)</f>
        <v>78</v>
      </c>
      <c r="I37" s="43">
        <f t="shared" si="1"/>
        <v>34.821428571428569</v>
      </c>
      <c r="J37" s="43"/>
      <c r="K37" s="41">
        <f>SUM(K38:K41)</f>
        <v>64</v>
      </c>
      <c r="L37" s="43">
        <f t="shared" si="2"/>
        <v>28.571428571428569</v>
      </c>
      <c r="M37" s="36"/>
      <c r="N37" s="41">
        <f>SUM(N38:N41)</f>
        <v>5</v>
      </c>
      <c r="O37" s="43">
        <f t="shared" si="3"/>
        <v>2.2321428571428572</v>
      </c>
      <c r="P37" s="53"/>
      <c r="Q37" s="41">
        <f>SUM(Q38:Q41)</f>
        <v>71</v>
      </c>
      <c r="R37" s="43">
        <f t="shared" si="7"/>
        <v>31.696428571428569</v>
      </c>
      <c r="S37" s="53"/>
    </row>
    <row r="38" spans="1:19" ht="12" customHeight="1">
      <c r="A38" t="s">
        <v>37</v>
      </c>
      <c r="B38" s="83">
        <f t="shared" si="5"/>
        <v>99</v>
      </c>
      <c r="C38" s="43">
        <f t="shared" si="6"/>
        <v>2.3577042152893544</v>
      </c>
      <c r="E38">
        <v>1</v>
      </c>
      <c r="F38" s="43">
        <f t="shared" si="0"/>
        <v>1.0101010101010102</v>
      </c>
      <c r="H38">
        <v>38</v>
      </c>
      <c r="I38" s="43">
        <f t="shared" si="1"/>
        <v>38.383838383838381</v>
      </c>
      <c r="K38">
        <v>31</v>
      </c>
      <c r="L38" s="43">
        <f t="shared" si="2"/>
        <v>31.313131313131315</v>
      </c>
      <c r="N38">
        <v>1</v>
      </c>
      <c r="O38" s="43">
        <f t="shared" si="3"/>
        <v>1.0101010101010102</v>
      </c>
      <c r="Q38">
        <v>28</v>
      </c>
      <c r="R38" s="43">
        <f t="shared" si="7"/>
        <v>28.28282828282828</v>
      </c>
      <c r="S38" s="53"/>
    </row>
    <row r="39" spans="1:19" ht="12" customHeight="1">
      <c r="A39" t="s">
        <v>38</v>
      </c>
      <c r="B39" s="83">
        <f t="shared" si="5"/>
        <v>68</v>
      </c>
      <c r="C39" s="43">
        <f t="shared" si="6"/>
        <v>1.6194331983805668</v>
      </c>
      <c r="E39">
        <v>1</v>
      </c>
      <c r="F39" s="43">
        <f t="shared" si="0"/>
        <v>1.4705882352941175</v>
      </c>
      <c r="H39">
        <v>24</v>
      </c>
      <c r="I39" s="43">
        <f t="shared" si="1"/>
        <v>35.294117647058826</v>
      </c>
      <c r="K39">
        <v>21</v>
      </c>
      <c r="L39" s="43">
        <f t="shared" si="2"/>
        <v>30.882352941176471</v>
      </c>
      <c r="N39">
        <v>0</v>
      </c>
      <c r="O39" s="43">
        <f t="shared" si="3"/>
        <v>0</v>
      </c>
      <c r="Q39">
        <v>22</v>
      </c>
      <c r="R39" s="43">
        <f t="shared" si="7"/>
        <v>32.352941176470587</v>
      </c>
      <c r="S39" s="53"/>
    </row>
    <row r="40" spans="1:19" ht="12" customHeight="1">
      <c r="A40" t="s">
        <v>39</v>
      </c>
      <c r="B40" s="83">
        <f t="shared" si="5"/>
        <v>29</v>
      </c>
      <c r="C40" s="43">
        <f t="shared" si="6"/>
        <v>0.69064062872112408</v>
      </c>
      <c r="E40">
        <v>3</v>
      </c>
      <c r="F40" s="43">
        <f t="shared" si="0"/>
        <v>10.344827586206897</v>
      </c>
      <c r="H40">
        <v>6</v>
      </c>
      <c r="I40" s="43">
        <f t="shared" si="1"/>
        <v>20.689655172413794</v>
      </c>
      <c r="K40">
        <v>3</v>
      </c>
      <c r="L40" s="43">
        <f t="shared" si="2"/>
        <v>10.344827586206897</v>
      </c>
      <c r="N40">
        <v>3</v>
      </c>
      <c r="O40" s="43">
        <f t="shared" si="3"/>
        <v>10.344827586206897</v>
      </c>
      <c r="Q40">
        <v>14</v>
      </c>
      <c r="R40" s="43">
        <f t="shared" si="7"/>
        <v>48.275862068965516</v>
      </c>
      <c r="S40" s="53"/>
    </row>
    <row r="41" spans="1:19" ht="12" customHeight="1">
      <c r="A41" t="s">
        <v>40</v>
      </c>
      <c r="B41" s="83">
        <f t="shared" si="5"/>
        <v>28</v>
      </c>
      <c r="C41" s="43">
        <f t="shared" si="6"/>
        <v>0.66682543462729216</v>
      </c>
      <c r="E41">
        <v>1</v>
      </c>
      <c r="F41" s="43">
        <f t="shared" si="0"/>
        <v>3.5714285714285712</v>
      </c>
      <c r="H41">
        <v>10</v>
      </c>
      <c r="I41" s="43">
        <f t="shared" si="1"/>
        <v>35.714285714285715</v>
      </c>
      <c r="K41">
        <v>9</v>
      </c>
      <c r="L41" s="43">
        <f t="shared" si="2"/>
        <v>32.142857142857146</v>
      </c>
      <c r="N41">
        <v>1</v>
      </c>
      <c r="O41" s="43">
        <f t="shared" si="3"/>
        <v>3.5714285714285712</v>
      </c>
      <c r="Q41">
        <v>7</v>
      </c>
      <c r="R41" s="43">
        <f t="shared" si="7"/>
        <v>25</v>
      </c>
      <c r="S41" s="53"/>
    </row>
    <row r="42" spans="1:19" ht="12" customHeight="1">
      <c r="B42" s="83" t="str">
        <f t="shared" si="5"/>
        <v/>
      </c>
      <c r="C42" s="43" t="str">
        <f t="shared" si="6"/>
        <v/>
      </c>
      <c r="E42" s="41"/>
      <c r="F42" s="43" t="str">
        <f t="shared" si="0"/>
        <v/>
      </c>
      <c r="H42" s="41"/>
      <c r="I42" s="43" t="str">
        <f t="shared" si="1"/>
        <v/>
      </c>
      <c r="J42" s="43"/>
      <c r="K42" s="41"/>
      <c r="L42" s="43" t="str">
        <f t="shared" si="2"/>
        <v/>
      </c>
      <c r="M42" s="36"/>
      <c r="N42" s="41"/>
      <c r="O42" s="43" t="str">
        <f t="shared" si="3"/>
        <v/>
      </c>
      <c r="P42" s="53"/>
      <c r="Q42" s="41"/>
      <c r="R42" s="43" t="str">
        <f t="shared" si="7"/>
        <v/>
      </c>
      <c r="S42" s="53"/>
    </row>
    <row r="43" spans="1:19" ht="12" customHeight="1">
      <c r="A43" t="s">
        <v>41</v>
      </c>
      <c r="B43" s="83">
        <f t="shared" si="5"/>
        <v>309</v>
      </c>
      <c r="C43" s="43">
        <f t="shared" si="6"/>
        <v>7.3588949749940458</v>
      </c>
      <c r="E43" s="41">
        <f>SUM(E44:E51)</f>
        <v>19</v>
      </c>
      <c r="F43" s="43">
        <f t="shared" si="0"/>
        <v>6.1488673139158578</v>
      </c>
      <c r="H43" s="41">
        <f>SUM(H44:H51)</f>
        <v>103</v>
      </c>
      <c r="I43" s="43">
        <f t="shared" si="1"/>
        <v>33.333333333333329</v>
      </c>
      <c r="J43" s="43"/>
      <c r="K43" s="41">
        <f>SUM(K44:K51)</f>
        <v>77</v>
      </c>
      <c r="L43" s="43">
        <f t="shared" si="2"/>
        <v>24.919093851132686</v>
      </c>
      <c r="M43" s="36"/>
      <c r="N43" s="41">
        <f>SUM(N44:N51)</f>
        <v>8</v>
      </c>
      <c r="O43" s="43">
        <f t="shared" si="3"/>
        <v>2.5889967637540456</v>
      </c>
      <c r="P43" s="53"/>
      <c r="Q43" s="41">
        <f>SUM(Q44:Q51)</f>
        <v>102</v>
      </c>
      <c r="R43" s="43">
        <f t="shared" si="7"/>
        <v>33.009708737864081</v>
      </c>
      <c r="S43" s="53"/>
    </row>
    <row r="44" spans="1:19" ht="12" customHeight="1">
      <c r="A44" t="s">
        <v>43</v>
      </c>
      <c r="B44" s="83">
        <f t="shared" si="5"/>
        <v>49</v>
      </c>
      <c r="C44" s="43">
        <f t="shared" si="6"/>
        <v>1.1669445105977614</v>
      </c>
      <c r="E44">
        <v>4</v>
      </c>
      <c r="F44" s="43">
        <f t="shared" si="0"/>
        <v>8.1632653061224492</v>
      </c>
      <c r="H44">
        <v>18</v>
      </c>
      <c r="I44" s="43">
        <f t="shared" si="1"/>
        <v>36.734693877551024</v>
      </c>
      <c r="K44">
        <v>10</v>
      </c>
      <c r="L44" s="43">
        <f t="shared" si="2"/>
        <v>20.408163265306122</v>
      </c>
      <c r="N44">
        <v>3</v>
      </c>
      <c r="O44" s="43">
        <f t="shared" si="3"/>
        <v>6.1224489795918364</v>
      </c>
      <c r="Q44">
        <v>14</v>
      </c>
      <c r="R44" s="43">
        <f t="shared" si="7"/>
        <v>28.571428571428569</v>
      </c>
      <c r="S44" s="53"/>
    </row>
    <row r="45" spans="1:19" ht="12" customHeight="1">
      <c r="A45" t="s">
        <v>49</v>
      </c>
      <c r="B45" s="83">
        <f t="shared" si="5"/>
        <v>14</v>
      </c>
      <c r="C45" s="43">
        <f>IF(A45&lt;&gt;0,B45/$B$11*100,"")</f>
        <v>0.33341271731364608</v>
      </c>
      <c r="E45">
        <v>2</v>
      </c>
      <c r="F45" s="43">
        <f t="shared" si="0"/>
        <v>14.285714285714285</v>
      </c>
      <c r="H45">
        <v>8</v>
      </c>
      <c r="I45" s="43">
        <f t="shared" si="1"/>
        <v>57.142857142857139</v>
      </c>
      <c r="K45">
        <v>0</v>
      </c>
      <c r="L45" s="43">
        <f t="shared" si="2"/>
        <v>0</v>
      </c>
      <c r="N45">
        <v>1</v>
      </c>
      <c r="O45" s="43">
        <f t="shared" si="3"/>
        <v>7.1428571428571423</v>
      </c>
      <c r="Q45">
        <v>3</v>
      </c>
      <c r="R45" s="43">
        <f t="shared" si="7"/>
        <v>21.428571428571427</v>
      </c>
      <c r="S45" s="53"/>
    </row>
    <row r="46" spans="1:19" ht="12" customHeight="1">
      <c r="A46" t="s">
        <v>42</v>
      </c>
      <c r="B46" s="83">
        <f t="shared" si="5"/>
        <v>25</v>
      </c>
      <c r="C46" s="43">
        <f>IF(A46&lt;&gt;0,B46/$B$11*100,"")</f>
        <v>0.5953798523457966</v>
      </c>
      <c r="E46">
        <v>0</v>
      </c>
      <c r="F46" s="43">
        <f t="shared" si="0"/>
        <v>0</v>
      </c>
      <c r="H46">
        <v>10</v>
      </c>
      <c r="I46" s="43">
        <f t="shared" si="1"/>
        <v>40</v>
      </c>
      <c r="K46">
        <v>3</v>
      </c>
      <c r="L46" s="43">
        <f t="shared" si="2"/>
        <v>12</v>
      </c>
      <c r="N46">
        <v>3</v>
      </c>
      <c r="O46" s="43">
        <f t="shared" si="3"/>
        <v>12</v>
      </c>
      <c r="Q46">
        <v>9</v>
      </c>
      <c r="R46" s="43"/>
      <c r="S46" s="53"/>
    </row>
    <row r="47" spans="1:19" ht="12" customHeight="1">
      <c r="A47" t="s">
        <v>44</v>
      </c>
      <c r="B47" s="83">
        <f t="shared" si="5"/>
        <v>31</v>
      </c>
      <c r="C47" s="43">
        <f t="shared" si="6"/>
        <v>0.73827101690878782</v>
      </c>
      <c r="E47">
        <v>4</v>
      </c>
      <c r="F47" s="43">
        <f t="shared" si="0"/>
        <v>12.903225806451612</v>
      </c>
      <c r="H47">
        <v>5</v>
      </c>
      <c r="I47" s="43">
        <f t="shared" si="1"/>
        <v>16.129032258064516</v>
      </c>
      <c r="K47">
        <v>3</v>
      </c>
      <c r="L47" s="43">
        <f t="shared" si="2"/>
        <v>9.67741935483871</v>
      </c>
      <c r="N47">
        <v>0</v>
      </c>
      <c r="O47" s="43">
        <f t="shared" si="3"/>
        <v>0</v>
      </c>
      <c r="Q47">
        <v>19</v>
      </c>
      <c r="R47" s="43">
        <f t="shared" si="7"/>
        <v>61.29032258064516</v>
      </c>
      <c r="S47" s="53"/>
    </row>
    <row r="48" spans="1:19" ht="12" customHeight="1">
      <c r="A48" t="s">
        <v>331</v>
      </c>
      <c r="B48" s="83">
        <f t="shared" si="5"/>
        <v>36</v>
      </c>
      <c r="C48" s="43">
        <f t="shared" si="6"/>
        <v>0.85734698737794712</v>
      </c>
      <c r="E48">
        <v>2</v>
      </c>
      <c r="F48" s="43">
        <f t="shared" si="0"/>
        <v>5.5555555555555554</v>
      </c>
      <c r="H48">
        <v>12</v>
      </c>
      <c r="I48" s="43">
        <f t="shared" si="1"/>
        <v>33.333333333333329</v>
      </c>
      <c r="K48">
        <v>6</v>
      </c>
      <c r="L48" s="43">
        <f t="shared" si="2"/>
        <v>16.666666666666664</v>
      </c>
      <c r="N48">
        <v>1</v>
      </c>
      <c r="O48" s="43">
        <f t="shared" si="3"/>
        <v>2.7777777777777777</v>
      </c>
      <c r="Q48">
        <v>15</v>
      </c>
      <c r="R48" s="43">
        <f t="shared" si="7"/>
        <v>41.666666666666671</v>
      </c>
      <c r="S48" s="53"/>
    </row>
    <row r="49" spans="1:20" ht="12" customHeight="1">
      <c r="A49" t="s">
        <v>48</v>
      </c>
      <c r="B49" s="83">
        <f t="shared" si="5"/>
        <v>18</v>
      </c>
      <c r="C49" s="43">
        <f t="shared" si="6"/>
        <v>0.42867349368897356</v>
      </c>
      <c r="E49">
        <v>1</v>
      </c>
      <c r="F49" s="43">
        <f t="shared" si="0"/>
        <v>5.5555555555555554</v>
      </c>
      <c r="H49">
        <v>8</v>
      </c>
      <c r="I49" s="43">
        <f t="shared" si="1"/>
        <v>44.444444444444443</v>
      </c>
      <c r="K49">
        <v>3</v>
      </c>
      <c r="L49" s="43">
        <f t="shared" si="2"/>
        <v>16.666666666666664</v>
      </c>
      <c r="N49">
        <v>0</v>
      </c>
      <c r="O49" s="43">
        <f t="shared" si="3"/>
        <v>0</v>
      </c>
      <c r="Q49">
        <v>6</v>
      </c>
      <c r="R49" s="43">
        <f t="shared" si="7"/>
        <v>33.333333333333329</v>
      </c>
      <c r="S49" s="53"/>
    </row>
    <row r="50" spans="1:20" ht="12" customHeight="1">
      <c r="A50" t="s">
        <v>47</v>
      </c>
      <c r="B50" s="83">
        <f t="shared" si="5"/>
        <v>98</v>
      </c>
      <c r="C50" s="43">
        <f t="shared" si="6"/>
        <v>2.3338890211955228</v>
      </c>
      <c r="E50">
        <v>5</v>
      </c>
      <c r="F50" s="43">
        <f t="shared" si="0"/>
        <v>5.1020408163265305</v>
      </c>
      <c r="H50">
        <v>25</v>
      </c>
      <c r="I50" s="43">
        <f t="shared" si="1"/>
        <v>25.510204081632654</v>
      </c>
      <c r="K50">
        <v>40</v>
      </c>
      <c r="L50" s="43">
        <f t="shared" si="2"/>
        <v>40.816326530612244</v>
      </c>
      <c r="N50">
        <v>0</v>
      </c>
      <c r="O50" s="43">
        <f t="shared" si="3"/>
        <v>0</v>
      </c>
      <c r="Q50">
        <v>28</v>
      </c>
      <c r="R50" s="43">
        <f t="shared" si="7"/>
        <v>28.571428571428569</v>
      </c>
      <c r="S50" s="53"/>
    </row>
    <row r="51" spans="1:20" ht="12" customHeight="1">
      <c r="A51" t="s">
        <v>46</v>
      </c>
      <c r="B51" s="83">
        <f t="shared" si="5"/>
        <v>38</v>
      </c>
      <c r="C51" s="43">
        <f t="shared" si="6"/>
        <v>0.90497737556561098</v>
      </c>
      <c r="E51">
        <v>1</v>
      </c>
      <c r="F51" s="43">
        <f t="shared" si="0"/>
        <v>2.6315789473684208</v>
      </c>
      <c r="H51">
        <v>17</v>
      </c>
      <c r="I51" s="43">
        <f t="shared" si="1"/>
        <v>44.736842105263158</v>
      </c>
      <c r="K51">
        <v>12</v>
      </c>
      <c r="L51" s="43">
        <f t="shared" si="2"/>
        <v>31.578947368421051</v>
      </c>
      <c r="N51">
        <v>0</v>
      </c>
      <c r="O51" s="43">
        <f t="shared" si="3"/>
        <v>0</v>
      </c>
      <c r="Q51">
        <v>8</v>
      </c>
      <c r="R51" s="43">
        <f t="shared" si="7"/>
        <v>21.052631578947366</v>
      </c>
      <c r="S51" s="53"/>
    </row>
    <row r="52" spans="1:20" ht="12" customHeight="1">
      <c r="B52" s="83" t="str">
        <f t="shared" si="5"/>
        <v/>
      </c>
      <c r="C52" s="43" t="str">
        <f t="shared" si="6"/>
        <v/>
      </c>
      <c r="F52" s="43" t="str">
        <f t="shared" si="0"/>
        <v/>
      </c>
      <c r="I52" s="43" t="str">
        <f t="shared" si="1"/>
        <v/>
      </c>
      <c r="L52" s="43" t="str">
        <f t="shared" si="2"/>
        <v/>
      </c>
      <c r="O52" s="43" t="str">
        <f t="shared" si="3"/>
        <v/>
      </c>
      <c r="R52" s="43" t="str">
        <f t="shared" si="7"/>
        <v/>
      </c>
      <c r="S52" s="53"/>
    </row>
    <row r="53" spans="1:20" ht="12" customHeight="1">
      <c r="A53" t="s">
        <v>50</v>
      </c>
      <c r="B53" s="83">
        <f t="shared" si="5"/>
        <v>108</v>
      </c>
      <c r="C53" s="43">
        <f t="shared" si="6"/>
        <v>2.5720409621338414</v>
      </c>
      <c r="E53">
        <v>13</v>
      </c>
      <c r="F53" s="43">
        <f t="shared" si="0"/>
        <v>12.037037037037036</v>
      </c>
      <c r="H53">
        <v>26</v>
      </c>
      <c r="I53" s="43">
        <f t="shared" si="1"/>
        <v>24.074074074074073</v>
      </c>
      <c r="K53">
        <v>13</v>
      </c>
      <c r="L53" s="43">
        <f t="shared" si="2"/>
        <v>12.037037037037036</v>
      </c>
      <c r="N53">
        <v>0</v>
      </c>
      <c r="O53" s="43">
        <f t="shared" si="3"/>
        <v>0</v>
      </c>
      <c r="Q53">
        <v>56</v>
      </c>
      <c r="R53" s="43">
        <f t="shared" si="7"/>
        <v>51.851851851851848</v>
      </c>
      <c r="S53" s="53"/>
      <c r="T53">
        <v>0</v>
      </c>
    </row>
    <row r="54" spans="1:20" ht="12" customHeight="1">
      <c r="B54" s="83" t="str">
        <f t="shared" si="5"/>
        <v/>
      </c>
      <c r="C54" s="43" t="str">
        <f t="shared" si="6"/>
        <v/>
      </c>
      <c r="E54" s="41"/>
      <c r="F54" s="43" t="str">
        <f t="shared" si="0"/>
        <v/>
      </c>
      <c r="H54" s="41"/>
      <c r="I54" s="43" t="str">
        <f t="shared" si="1"/>
        <v/>
      </c>
      <c r="J54" s="43"/>
      <c r="K54" s="41"/>
      <c r="L54" s="43" t="str">
        <f t="shared" si="2"/>
        <v/>
      </c>
      <c r="M54" s="36"/>
      <c r="N54" s="41"/>
      <c r="O54" s="43" t="str">
        <f t="shared" si="3"/>
        <v/>
      </c>
      <c r="P54" s="53"/>
      <c r="Q54" s="41"/>
      <c r="R54" s="43" t="str">
        <f t="shared" si="7"/>
        <v/>
      </c>
      <c r="S54" s="53"/>
    </row>
    <row r="55" spans="1:20" ht="12" customHeight="1">
      <c r="A55" t="s">
        <v>51</v>
      </c>
      <c r="B55" s="83">
        <f t="shared" si="5"/>
        <v>198</v>
      </c>
      <c r="C55" s="43">
        <f t="shared" si="6"/>
        <v>4.7154084305787087</v>
      </c>
      <c r="E55" s="41">
        <f>SUM(E56:E60)</f>
        <v>13</v>
      </c>
      <c r="F55" s="43">
        <f t="shared" si="0"/>
        <v>6.5656565656565666</v>
      </c>
      <c r="H55" s="41">
        <f>SUM(H56:H60)</f>
        <v>70</v>
      </c>
      <c r="I55" s="43">
        <f t="shared" si="1"/>
        <v>35.353535353535356</v>
      </c>
      <c r="J55" s="43"/>
      <c r="K55" s="41">
        <f>SUM(K56:K60)</f>
        <v>39</v>
      </c>
      <c r="L55" s="43">
        <f t="shared" si="2"/>
        <v>19.696969696969695</v>
      </c>
      <c r="M55" s="36"/>
      <c r="N55" s="41">
        <f>SUM(N56:N60)</f>
        <v>4</v>
      </c>
      <c r="O55" s="43">
        <f t="shared" si="3"/>
        <v>2.0202020202020203</v>
      </c>
      <c r="P55" s="53"/>
      <c r="Q55" s="41">
        <f>SUM(Q56:Q60)</f>
        <v>72</v>
      </c>
      <c r="R55" s="43">
        <f t="shared" si="7"/>
        <v>36.363636363636367</v>
      </c>
      <c r="S55" s="53"/>
    </row>
    <row r="56" spans="1:20" ht="12" customHeight="1">
      <c r="A56" t="s">
        <v>52</v>
      </c>
      <c r="B56" s="83">
        <f t="shared" si="5"/>
        <v>27</v>
      </c>
      <c r="C56" s="43">
        <f t="shared" si="6"/>
        <v>0.64301024053346034</v>
      </c>
      <c r="E56">
        <v>3</v>
      </c>
      <c r="F56" s="43">
        <f t="shared" si="0"/>
        <v>11.111111111111111</v>
      </c>
      <c r="H56">
        <v>8</v>
      </c>
      <c r="I56" s="43">
        <f t="shared" si="1"/>
        <v>29.629629629629626</v>
      </c>
      <c r="K56">
        <v>6</v>
      </c>
      <c r="L56" s="43">
        <f t="shared" si="2"/>
        <v>22.222222222222221</v>
      </c>
      <c r="N56">
        <v>0</v>
      </c>
      <c r="O56" s="43">
        <f t="shared" si="3"/>
        <v>0</v>
      </c>
      <c r="Q56">
        <v>10</v>
      </c>
      <c r="R56" s="43">
        <f t="shared" si="7"/>
        <v>37.037037037037038</v>
      </c>
      <c r="S56" s="53"/>
    </row>
    <row r="57" spans="1:20" ht="12" customHeight="1">
      <c r="A57" t="s">
        <v>53</v>
      </c>
      <c r="B57" s="83">
        <f t="shared" si="5"/>
        <v>65</v>
      </c>
      <c r="C57" s="43">
        <f t="shared" si="6"/>
        <v>1.5479876160990713</v>
      </c>
      <c r="E57">
        <v>6</v>
      </c>
      <c r="F57" s="43">
        <f t="shared" si="0"/>
        <v>9.2307692307692317</v>
      </c>
      <c r="H57">
        <v>19</v>
      </c>
      <c r="I57" s="43">
        <f t="shared" si="1"/>
        <v>29.230769230769234</v>
      </c>
      <c r="K57">
        <v>18</v>
      </c>
      <c r="L57" s="43">
        <f t="shared" si="2"/>
        <v>27.692307692307693</v>
      </c>
      <c r="N57">
        <v>1</v>
      </c>
      <c r="O57" s="43">
        <f t="shared" si="3"/>
        <v>1.5384615384615385</v>
      </c>
      <c r="Q57">
        <v>21</v>
      </c>
      <c r="R57" s="43">
        <f t="shared" si="7"/>
        <v>32.307692307692307</v>
      </c>
      <c r="S57" s="53"/>
    </row>
    <row r="58" spans="1:20" ht="12" customHeight="1">
      <c r="A58" t="s">
        <v>54</v>
      </c>
      <c r="B58" s="83">
        <f t="shared" si="5"/>
        <v>48</v>
      </c>
      <c r="C58" s="43">
        <f t="shared" si="6"/>
        <v>1.1431293165039296</v>
      </c>
      <c r="E58">
        <v>4</v>
      </c>
      <c r="F58" s="43">
        <f t="shared" si="0"/>
        <v>8.3333333333333321</v>
      </c>
      <c r="H58">
        <v>12</v>
      </c>
      <c r="I58" s="43">
        <f t="shared" si="1"/>
        <v>25</v>
      </c>
      <c r="K58">
        <v>9</v>
      </c>
      <c r="L58" s="43">
        <f t="shared" si="2"/>
        <v>18.75</v>
      </c>
      <c r="N58">
        <v>1</v>
      </c>
      <c r="O58" s="43">
        <f t="shared" si="3"/>
        <v>2.083333333333333</v>
      </c>
      <c r="Q58">
        <v>22</v>
      </c>
      <c r="R58" s="43">
        <f t="shared" si="7"/>
        <v>45.833333333333329</v>
      </c>
      <c r="S58" s="53"/>
    </row>
    <row r="59" spans="1:20" ht="12" customHeight="1">
      <c r="A59" t="s">
        <v>332</v>
      </c>
      <c r="B59" s="83">
        <f t="shared" si="5"/>
        <v>29</v>
      </c>
      <c r="C59" s="43">
        <f t="shared" si="6"/>
        <v>0.69064062872112408</v>
      </c>
      <c r="E59">
        <v>0</v>
      </c>
      <c r="F59" s="43">
        <f t="shared" si="0"/>
        <v>0</v>
      </c>
      <c r="H59">
        <v>16</v>
      </c>
      <c r="I59" s="43">
        <f t="shared" si="1"/>
        <v>55.172413793103445</v>
      </c>
      <c r="K59">
        <v>5</v>
      </c>
      <c r="L59" s="43">
        <f t="shared" si="2"/>
        <v>17.241379310344829</v>
      </c>
      <c r="N59">
        <v>2</v>
      </c>
      <c r="O59" s="43">
        <f t="shared" si="3"/>
        <v>6.8965517241379306</v>
      </c>
      <c r="Q59">
        <v>6</v>
      </c>
      <c r="R59" s="43">
        <f t="shared" si="7"/>
        <v>20.689655172413794</v>
      </c>
      <c r="S59" s="53"/>
    </row>
    <row r="60" spans="1:20" ht="12" customHeight="1">
      <c r="A60" t="s">
        <v>56</v>
      </c>
      <c r="B60" s="83">
        <f t="shared" si="5"/>
        <v>29</v>
      </c>
      <c r="C60" s="43">
        <f t="shared" si="6"/>
        <v>0.69064062872112408</v>
      </c>
      <c r="E60">
        <v>0</v>
      </c>
      <c r="F60" s="43">
        <f t="shared" si="0"/>
        <v>0</v>
      </c>
      <c r="H60">
        <v>15</v>
      </c>
      <c r="I60" s="43">
        <f t="shared" si="1"/>
        <v>51.724137931034484</v>
      </c>
      <c r="K60">
        <v>1</v>
      </c>
      <c r="L60" s="43">
        <f t="shared" si="2"/>
        <v>3.4482758620689653</v>
      </c>
      <c r="N60">
        <v>0</v>
      </c>
      <c r="O60" s="43">
        <f t="shared" si="3"/>
        <v>0</v>
      </c>
      <c r="Q60">
        <v>13</v>
      </c>
      <c r="R60" s="43">
        <f t="shared" si="7"/>
        <v>44.827586206896555</v>
      </c>
      <c r="S60" s="53"/>
    </row>
    <row r="61" spans="1:20" ht="12" customHeight="1">
      <c r="B61" s="83" t="str">
        <f t="shared" si="5"/>
        <v/>
      </c>
      <c r="C61" s="43" t="str">
        <f t="shared" si="6"/>
        <v/>
      </c>
      <c r="E61" s="41"/>
      <c r="F61" s="43" t="str">
        <f t="shared" si="0"/>
        <v/>
      </c>
      <c r="H61" s="41"/>
      <c r="I61" s="43" t="str">
        <f t="shared" si="1"/>
        <v/>
      </c>
      <c r="J61" s="43"/>
      <c r="K61" s="41"/>
      <c r="L61" s="43" t="str">
        <f t="shared" si="2"/>
        <v/>
      </c>
      <c r="M61" s="36"/>
      <c r="N61" s="41"/>
      <c r="O61" s="43" t="str">
        <f t="shared" si="3"/>
        <v/>
      </c>
      <c r="P61" s="53"/>
      <c r="Q61" s="41"/>
      <c r="R61" s="43" t="str">
        <f t="shared" si="7"/>
        <v/>
      </c>
      <c r="S61" s="53"/>
    </row>
    <row r="62" spans="1:20" ht="12" customHeight="1">
      <c r="A62" s="63" t="s">
        <v>333</v>
      </c>
      <c r="B62" s="83">
        <f t="shared" si="5"/>
        <v>826</v>
      </c>
      <c r="C62" s="43">
        <f t="shared" si="6"/>
        <v>19.67135032150512</v>
      </c>
      <c r="E62" s="41">
        <f>E63+E65+E72+E74</f>
        <v>10</v>
      </c>
      <c r="F62" s="43">
        <f t="shared" si="0"/>
        <v>1.2106537530266344</v>
      </c>
      <c r="H62" s="41">
        <f>H63+H65+H72+H74</f>
        <v>295</v>
      </c>
      <c r="I62" s="43">
        <f t="shared" si="1"/>
        <v>35.714285714285715</v>
      </c>
      <c r="J62" s="43"/>
      <c r="K62" s="41">
        <f>K63+K65+K72+K74</f>
        <v>108</v>
      </c>
      <c r="L62" s="43">
        <f t="shared" si="2"/>
        <v>13.075060532687651</v>
      </c>
      <c r="M62" s="36"/>
      <c r="N62" s="41">
        <f>SUM(N63+N65+N72+N74)</f>
        <v>6</v>
      </c>
      <c r="O62" s="43">
        <f t="shared" si="3"/>
        <v>0.72639225181598066</v>
      </c>
      <c r="P62" s="53"/>
      <c r="Q62" s="41">
        <f>SUM(Q63+Q65+Q72+Q74)</f>
        <v>407</v>
      </c>
      <c r="R62" s="43">
        <f t="shared" si="7"/>
        <v>49.27360774818402</v>
      </c>
      <c r="S62" s="53"/>
    </row>
    <row r="63" spans="1:20" ht="12" customHeight="1">
      <c r="A63" t="s">
        <v>334</v>
      </c>
      <c r="B63" s="83">
        <f t="shared" si="5"/>
        <v>99</v>
      </c>
      <c r="C63" s="43">
        <f t="shared" si="6"/>
        <v>2.3577042152893544</v>
      </c>
      <c r="E63">
        <v>0</v>
      </c>
      <c r="F63" s="43">
        <f t="shared" si="0"/>
        <v>0</v>
      </c>
      <c r="H63">
        <v>7</v>
      </c>
      <c r="I63" s="43">
        <f t="shared" si="1"/>
        <v>7.0707070707070701</v>
      </c>
      <c r="K63">
        <v>13</v>
      </c>
      <c r="L63" s="43">
        <f t="shared" si="2"/>
        <v>13.131313131313133</v>
      </c>
      <c r="N63">
        <v>0</v>
      </c>
      <c r="O63" s="43">
        <f t="shared" si="3"/>
        <v>0</v>
      </c>
      <c r="Q63">
        <v>79</v>
      </c>
      <c r="R63" s="43">
        <f t="shared" si="7"/>
        <v>79.797979797979806</v>
      </c>
      <c r="S63" s="53"/>
    </row>
    <row r="64" spans="1:20" ht="12" customHeight="1">
      <c r="B64" s="83" t="str">
        <f t="shared" si="5"/>
        <v/>
      </c>
      <c r="C64" s="43" t="str">
        <f t="shared" si="6"/>
        <v/>
      </c>
      <c r="E64" s="41"/>
      <c r="F64" s="43" t="str">
        <f t="shared" si="0"/>
        <v/>
      </c>
      <c r="H64" s="41"/>
      <c r="I64" s="43" t="str">
        <f t="shared" si="1"/>
        <v/>
      </c>
      <c r="J64" s="43"/>
      <c r="K64" s="41"/>
      <c r="L64" s="43" t="str">
        <f t="shared" si="2"/>
        <v/>
      </c>
      <c r="M64" s="36"/>
      <c r="N64" s="41"/>
      <c r="O64" s="43" t="str">
        <f t="shared" si="3"/>
        <v/>
      </c>
      <c r="P64" s="53"/>
      <c r="Q64" s="41"/>
      <c r="R64" s="43" t="str">
        <f t="shared" si="7"/>
        <v/>
      </c>
      <c r="S64" s="53"/>
    </row>
    <row r="65" spans="1:19" ht="12" customHeight="1">
      <c r="A65" t="s">
        <v>60</v>
      </c>
      <c r="B65" s="83">
        <f t="shared" si="5"/>
        <v>579</v>
      </c>
      <c r="C65" s="43">
        <f t="shared" si="6"/>
        <v>13.788997380328649</v>
      </c>
      <c r="E65" s="41">
        <f>SUM(E66:E70)</f>
        <v>8</v>
      </c>
      <c r="F65" s="43">
        <f t="shared" si="0"/>
        <v>1.3816925734024179</v>
      </c>
      <c r="H65" s="41">
        <f>SUM(H66:H70)</f>
        <v>224</v>
      </c>
      <c r="I65" s="43">
        <f t="shared" si="1"/>
        <v>38.687392055267708</v>
      </c>
      <c r="J65" s="43"/>
      <c r="K65" s="41">
        <f>SUM(K66:K70)</f>
        <v>66</v>
      </c>
      <c r="L65" s="43">
        <f t="shared" si="2"/>
        <v>11.398963730569948</v>
      </c>
      <c r="M65" s="36"/>
      <c r="N65" s="41">
        <f>SUM(N66:N70)</f>
        <v>5</v>
      </c>
      <c r="O65" s="43">
        <f t="shared" si="3"/>
        <v>0.86355785837651122</v>
      </c>
      <c r="P65" s="53"/>
      <c r="Q65" s="41">
        <f>SUM(Q66:Q70)</f>
        <v>276</v>
      </c>
      <c r="R65" s="43">
        <f t="shared" si="7"/>
        <v>47.668393782383419</v>
      </c>
      <c r="S65" s="53"/>
    </row>
    <row r="66" spans="1:19" ht="12" customHeight="1">
      <c r="A66" t="s">
        <v>395</v>
      </c>
      <c r="B66" s="83">
        <f t="shared" si="5"/>
        <v>344</v>
      </c>
      <c r="C66" s="43">
        <f t="shared" si="6"/>
        <v>8.1924267682781622</v>
      </c>
      <c r="E66">
        <v>2</v>
      </c>
      <c r="F66" s="43">
        <f t="shared" si="0"/>
        <v>0.58139534883720934</v>
      </c>
      <c r="H66">
        <v>168</v>
      </c>
      <c r="I66" s="43">
        <f t="shared" si="1"/>
        <v>48.837209302325576</v>
      </c>
      <c r="K66">
        <v>35</v>
      </c>
      <c r="L66" s="43">
        <f t="shared" si="2"/>
        <v>10.174418604651162</v>
      </c>
      <c r="N66">
        <v>2</v>
      </c>
      <c r="O66" s="43">
        <f t="shared" si="3"/>
        <v>0.58139534883720934</v>
      </c>
      <c r="Q66">
        <v>137</v>
      </c>
      <c r="R66" s="43">
        <f t="shared" si="7"/>
        <v>39.825581395348834</v>
      </c>
      <c r="S66" s="53"/>
    </row>
    <row r="67" spans="1:19" ht="12" customHeight="1">
      <c r="A67" t="s">
        <v>62</v>
      </c>
      <c r="B67" s="83">
        <f t="shared" si="5"/>
        <v>36</v>
      </c>
      <c r="C67" s="43">
        <f t="shared" si="6"/>
        <v>0.85734698737794712</v>
      </c>
      <c r="E67">
        <v>2</v>
      </c>
      <c r="F67" s="43">
        <f t="shared" si="0"/>
        <v>5.5555555555555554</v>
      </c>
      <c r="H67">
        <v>14</v>
      </c>
      <c r="I67" s="43">
        <f t="shared" si="1"/>
        <v>38.888888888888893</v>
      </c>
      <c r="K67">
        <v>11</v>
      </c>
      <c r="L67" s="43">
        <f t="shared" si="2"/>
        <v>30.555555555555557</v>
      </c>
      <c r="N67">
        <v>0</v>
      </c>
      <c r="O67" s="43">
        <f t="shared" si="3"/>
        <v>0</v>
      </c>
      <c r="Q67">
        <v>9</v>
      </c>
      <c r="R67" s="43">
        <f t="shared" si="7"/>
        <v>25</v>
      </c>
      <c r="S67" s="53"/>
    </row>
    <row r="68" spans="1:19" ht="12" customHeight="1">
      <c r="A68" t="s">
        <v>64</v>
      </c>
      <c r="B68" s="83">
        <f t="shared" si="5"/>
        <v>42</v>
      </c>
      <c r="C68" s="43">
        <f t="shared" si="6"/>
        <v>1.0002381519409382</v>
      </c>
      <c r="E68">
        <v>0</v>
      </c>
      <c r="F68" s="43">
        <f t="shared" si="0"/>
        <v>0</v>
      </c>
      <c r="H68">
        <v>9</v>
      </c>
      <c r="I68" s="43">
        <f t="shared" si="1"/>
        <v>21.428571428571427</v>
      </c>
      <c r="K68">
        <v>8</v>
      </c>
      <c r="L68" s="43">
        <f t="shared" si="2"/>
        <v>19.047619047619047</v>
      </c>
      <c r="N68">
        <v>0</v>
      </c>
      <c r="O68" s="43">
        <f t="shared" si="3"/>
        <v>0</v>
      </c>
      <c r="Q68">
        <v>25</v>
      </c>
      <c r="R68" s="43">
        <f t="shared" si="7"/>
        <v>59.523809523809526</v>
      </c>
      <c r="S68" s="53"/>
    </row>
    <row r="69" spans="1:19" ht="12" customHeight="1">
      <c r="A69" t="s">
        <v>63</v>
      </c>
      <c r="B69" s="83">
        <f t="shared" si="5"/>
        <v>24</v>
      </c>
      <c r="C69" s="43">
        <f>IF(A69&lt;&gt;0,B69/$B$11*100,"")</f>
        <v>0.57156465825196479</v>
      </c>
      <c r="E69">
        <v>3</v>
      </c>
      <c r="F69" s="43">
        <f t="shared" si="0"/>
        <v>12.5</v>
      </c>
      <c r="H69">
        <v>9</v>
      </c>
      <c r="I69" s="43">
        <f t="shared" si="1"/>
        <v>37.5</v>
      </c>
      <c r="K69">
        <v>2</v>
      </c>
      <c r="L69" s="43">
        <f t="shared" si="2"/>
        <v>8.3333333333333321</v>
      </c>
      <c r="N69">
        <v>1</v>
      </c>
      <c r="O69" s="43">
        <f t="shared" si="3"/>
        <v>4.1666666666666661</v>
      </c>
      <c r="Q69">
        <v>9</v>
      </c>
      <c r="R69" s="43">
        <f t="shared" si="7"/>
        <v>37.5</v>
      </c>
      <c r="S69" s="53"/>
    </row>
    <row r="70" spans="1:19" ht="12" customHeight="1">
      <c r="A70" t="s">
        <v>65</v>
      </c>
      <c r="B70" s="83">
        <f t="shared" si="5"/>
        <v>133</v>
      </c>
      <c r="C70" s="43">
        <f t="shared" si="6"/>
        <v>3.1674208144796379</v>
      </c>
      <c r="E70">
        <v>1</v>
      </c>
      <c r="F70" s="43">
        <f t="shared" si="0"/>
        <v>0.75187969924812026</v>
      </c>
      <c r="H70">
        <v>24</v>
      </c>
      <c r="I70" s="43">
        <f t="shared" si="1"/>
        <v>18.045112781954884</v>
      </c>
      <c r="K70">
        <v>10</v>
      </c>
      <c r="L70" s="43">
        <f t="shared" si="2"/>
        <v>7.518796992481203</v>
      </c>
      <c r="N70">
        <v>2</v>
      </c>
      <c r="O70" s="43">
        <f t="shared" si="3"/>
        <v>1.5037593984962405</v>
      </c>
      <c r="Q70">
        <v>96</v>
      </c>
      <c r="R70" s="43">
        <f t="shared" si="7"/>
        <v>72.180451127819538</v>
      </c>
      <c r="S70" s="53"/>
    </row>
    <row r="71" spans="1:19" ht="12" customHeight="1">
      <c r="B71" s="83" t="str">
        <f t="shared" si="5"/>
        <v/>
      </c>
      <c r="C71" s="43" t="str">
        <f t="shared" si="6"/>
        <v/>
      </c>
      <c r="F71" s="43" t="str">
        <f t="shared" si="0"/>
        <v/>
      </c>
      <c r="I71" s="43" t="str">
        <f t="shared" si="1"/>
        <v/>
      </c>
      <c r="L71" s="43" t="str">
        <f t="shared" si="2"/>
        <v/>
      </c>
      <c r="O71" s="43" t="str">
        <f t="shared" si="3"/>
        <v/>
      </c>
      <c r="R71" s="43" t="str">
        <f t="shared" si="7"/>
        <v/>
      </c>
      <c r="S71" s="53"/>
    </row>
    <row r="72" spans="1:19" ht="12" customHeight="1">
      <c r="A72" t="s">
        <v>66</v>
      </c>
      <c r="B72" s="83">
        <f t="shared" si="5"/>
        <v>53</v>
      </c>
      <c r="C72" s="43">
        <f t="shared" si="6"/>
        <v>1.2622052869730889</v>
      </c>
      <c r="E72">
        <v>0</v>
      </c>
      <c r="F72" s="43">
        <f t="shared" si="0"/>
        <v>0</v>
      </c>
      <c r="H72">
        <v>12</v>
      </c>
      <c r="I72" s="43">
        <f t="shared" si="1"/>
        <v>22.641509433962266</v>
      </c>
      <c r="K72">
        <v>7</v>
      </c>
      <c r="L72" s="43">
        <f t="shared" si="2"/>
        <v>13.20754716981132</v>
      </c>
      <c r="N72">
        <v>1</v>
      </c>
      <c r="O72" s="43">
        <f t="shared" si="3"/>
        <v>1.8867924528301887</v>
      </c>
      <c r="Q72">
        <v>33</v>
      </c>
      <c r="R72" s="43">
        <f t="shared" si="7"/>
        <v>62.264150943396224</v>
      </c>
      <c r="S72" s="53"/>
    </row>
    <row r="73" spans="1:19" ht="12" customHeight="1">
      <c r="B73" s="83" t="str">
        <f t="shared" si="5"/>
        <v/>
      </c>
      <c r="C73" s="43" t="str">
        <f t="shared" si="6"/>
        <v/>
      </c>
      <c r="F73" s="43" t="str">
        <f t="shared" si="0"/>
        <v/>
      </c>
      <c r="I73" s="43" t="str">
        <f t="shared" si="1"/>
        <v/>
      </c>
      <c r="L73" s="43" t="str">
        <f t="shared" si="2"/>
        <v/>
      </c>
      <c r="O73" s="43" t="str">
        <f t="shared" si="3"/>
        <v/>
      </c>
      <c r="R73" s="43" t="str">
        <f t="shared" si="7"/>
        <v/>
      </c>
      <c r="S73" s="53"/>
    </row>
    <row r="74" spans="1:19" ht="12" customHeight="1">
      <c r="A74" t="s">
        <v>67</v>
      </c>
      <c r="B74" s="83">
        <f t="shared" si="5"/>
        <v>95</v>
      </c>
      <c r="C74" s="43">
        <f t="shared" si="6"/>
        <v>2.2624434389140271</v>
      </c>
      <c r="E74">
        <v>2</v>
      </c>
      <c r="F74" s="43">
        <f t="shared" si="0"/>
        <v>2.1052631578947367</v>
      </c>
      <c r="H74">
        <v>52</v>
      </c>
      <c r="I74" s="43">
        <f t="shared" si="1"/>
        <v>54.736842105263165</v>
      </c>
      <c r="K74">
        <v>22</v>
      </c>
      <c r="L74" s="43">
        <f t="shared" si="2"/>
        <v>23.157894736842106</v>
      </c>
      <c r="N74">
        <v>0</v>
      </c>
      <c r="O74" s="43">
        <f t="shared" si="3"/>
        <v>0</v>
      </c>
      <c r="Q74">
        <v>19</v>
      </c>
      <c r="R74" s="43">
        <f t="shared" si="7"/>
        <v>20</v>
      </c>
      <c r="S74" s="53"/>
    </row>
    <row r="75" spans="1:19" ht="12" customHeight="1">
      <c r="B75" s="83" t="str">
        <f t="shared" si="5"/>
        <v/>
      </c>
      <c r="C75" s="43" t="str">
        <f t="shared" si="6"/>
        <v/>
      </c>
      <c r="E75" s="41"/>
      <c r="F75" s="43" t="str">
        <f t="shared" ref="F75:F112" si="8">IF($A75&lt;&gt;0,E75/$B75*100,"")</f>
        <v/>
      </c>
      <c r="H75" s="41"/>
      <c r="I75" s="43" t="str">
        <f t="shared" si="1"/>
        <v/>
      </c>
      <c r="J75" s="43"/>
      <c r="K75" s="41"/>
      <c r="L75" s="43" t="str">
        <f t="shared" si="2"/>
        <v/>
      </c>
      <c r="M75" s="36"/>
      <c r="N75" s="37"/>
      <c r="O75" s="43" t="str">
        <f t="shared" si="3"/>
        <v/>
      </c>
      <c r="P75" s="53"/>
      <c r="Q75" s="41"/>
      <c r="R75" s="43" t="str">
        <f t="shared" si="7"/>
        <v/>
      </c>
      <c r="S75" s="53"/>
    </row>
    <row r="76" spans="1:19" ht="12" customHeight="1">
      <c r="A76" s="63" t="s">
        <v>336</v>
      </c>
      <c r="B76" s="83">
        <f t="shared" ref="B76:B112" si="9">IF($A76&lt;&gt;"",E76+H76+K76+N76+Q76,"")</f>
        <v>55</v>
      </c>
      <c r="C76" s="43">
        <f t="shared" si="6"/>
        <v>1.3098356751607527</v>
      </c>
      <c r="E76" s="41">
        <f>E77</f>
        <v>4</v>
      </c>
      <c r="F76" s="43">
        <f t="shared" si="8"/>
        <v>7.2727272727272725</v>
      </c>
      <c r="H76" s="41">
        <f>H77</f>
        <v>16</v>
      </c>
      <c r="I76" s="43">
        <f t="shared" ref="I76:I112" si="10">IF($A76&lt;&gt;0,H76/$B76*100,"")</f>
        <v>29.09090909090909</v>
      </c>
      <c r="J76" s="43"/>
      <c r="K76" s="41">
        <f>K77</f>
        <v>20</v>
      </c>
      <c r="L76" s="43">
        <f t="shared" ref="L76:L112" si="11">IF($A76&lt;&gt;0,K76/$B76*100,"")</f>
        <v>36.363636363636367</v>
      </c>
      <c r="M76" s="36"/>
      <c r="N76" s="37">
        <f>N77</f>
        <v>2</v>
      </c>
      <c r="O76" s="43">
        <f t="shared" ref="O76:O112" si="12">IF($A76&lt;&gt;0,N76/$B76*100,"")</f>
        <v>3.6363636363636362</v>
      </c>
      <c r="P76" s="53"/>
      <c r="Q76" s="41">
        <f>SUM(Q77)</f>
        <v>13</v>
      </c>
      <c r="R76" s="43">
        <f t="shared" si="7"/>
        <v>23.636363636363637</v>
      </c>
      <c r="S76" s="53"/>
    </row>
    <row r="77" spans="1:19" ht="12" customHeight="1">
      <c r="A77" t="s">
        <v>337</v>
      </c>
      <c r="B77" s="83">
        <f t="shared" si="9"/>
        <v>55</v>
      </c>
      <c r="C77" s="43">
        <f t="shared" si="6"/>
        <v>1.3098356751607527</v>
      </c>
      <c r="E77" s="41">
        <f>SUM(E78:E81)</f>
        <v>4</v>
      </c>
      <c r="F77" s="43">
        <f t="shared" si="8"/>
        <v>7.2727272727272725</v>
      </c>
      <c r="H77" s="41">
        <f>SUM(H78:H81)</f>
        <v>16</v>
      </c>
      <c r="I77" s="43">
        <f t="shared" si="10"/>
        <v>29.09090909090909</v>
      </c>
      <c r="J77" s="43"/>
      <c r="K77" s="41">
        <f>SUM(K78:K81)</f>
        <v>20</v>
      </c>
      <c r="L77" s="43">
        <f t="shared" si="11"/>
        <v>36.363636363636367</v>
      </c>
      <c r="M77" s="36"/>
      <c r="N77" s="37">
        <f>SUM(N78:N81)</f>
        <v>2</v>
      </c>
      <c r="O77" s="43">
        <f t="shared" si="12"/>
        <v>3.6363636363636362</v>
      </c>
      <c r="P77" s="53"/>
      <c r="Q77" s="41">
        <f>SUM(Q78:Q81)</f>
        <v>13</v>
      </c>
      <c r="R77" s="43">
        <f t="shared" si="7"/>
        <v>23.636363636363637</v>
      </c>
      <c r="S77" s="53"/>
    </row>
    <row r="78" spans="1:19" ht="12" customHeight="1">
      <c r="A78" t="s">
        <v>70</v>
      </c>
      <c r="B78" s="83">
        <f t="shared" si="9"/>
        <v>18</v>
      </c>
      <c r="C78" s="43">
        <f t="shared" si="6"/>
        <v>0.42867349368897356</v>
      </c>
      <c r="E78">
        <v>1</v>
      </c>
      <c r="F78" s="43">
        <f t="shared" si="8"/>
        <v>5.5555555555555554</v>
      </c>
      <c r="H78">
        <v>5</v>
      </c>
      <c r="I78" s="43">
        <f t="shared" si="10"/>
        <v>27.777777777777779</v>
      </c>
      <c r="K78">
        <v>5</v>
      </c>
      <c r="L78" s="43">
        <f t="shared" si="11"/>
        <v>27.777777777777779</v>
      </c>
      <c r="N78">
        <v>1</v>
      </c>
      <c r="O78" s="43">
        <f t="shared" si="12"/>
        <v>5.5555555555555554</v>
      </c>
      <c r="Q78">
        <v>6</v>
      </c>
      <c r="R78" s="43">
        <f t="shared" si="7"/>
        <v>33.333333333333329</v>
      </c>
      <c r="S78" s="53"/>
    </row>
    <row r="79" spans="1:19" ht="12" customHeight="1">
      <c r="A79" t="s">
        <v>71</v>
      </c>
      <c r="B79" s="83">
        <f t="shared" si="9"/>
        <v>16</v>
      </c>
      <c r="C79" s="43">
        <f t="shared" si="6"/>
        <v>0.38104310550130982</v>
      </c>
      <c r="E79">
        <v>1</v>
      </c>
      <c r="F79" s="43">
        <f t="shared" si="8"/>
        <v>6.25</v>
      </c>
      <c r="H79">
        <v>5</v>
      </c>
      <c r="I79" s="43">
        <f t="shared" si="10"/>
        <v>31.25</v>
      </c>
      <c r="K79">
        <v>6</v>
      </c>
      <c r="L79" s="43">
        <f t="shared" si="11"/>
        <v>37.5</v>
      </c>
      <c r="N79">
        <v>0</v>
      </c>
      <c r="O79" s="43">
        <f t="shared" si="12"/>
        <v>0</v>
      </c>
      <c r="Q79">
        <v>4</v>
      </c>
      <c r="R79" s="43">
        <f t="shared" si="7"/>
        <v>25</v>
      </c>
      <c r="S79" s="53"/>
    </row>
    <row r="80" spans="1:19" ht="12" customHeight="1">
      <c r="A80" t="s">
        <v>72</v>
      </c>
      <c r="B80" s="83">
        <f t="shared" si="9"/>
        <v>12</v>
      </c>
      <c r="C80" s="43">
        <f t="shared" ref="C80:C112" si="13">IF(A80&lt;&gt;0,B80/$B$11*100,"")</f>
        <v>0.28578232912598239</v>
      </c>
      <c r="E80">
        <v>2</v>
      </c>
      <c r="F80" s="43">
        <f t="shared" si="8"/>
        <v>16.666666666666664</v>
      </c>
      <c r="H80">
        <v>2</v>
      </c>
      <c r="I80" s="43">
        <f t="shared" si="10"/>
        <v>16.666666666666664</v>
      </c>
      <c r="K80">
        <v>5</v>
      </c>
      <c r="L80" s="43">
        <f t="shared" si="11"/>
        <v>41.666666666666671</v>
      </c>
      <c r="N80">
        <v>0</v>
      </c>
      <c r="O80" s="43">
        <f t="shared" si="12"/>
        <v>0</v>
      </c>
      <c r="Q80">
        <v>3</v>
      </c>
      <c r="R80" s="43">
        <f t="shared" si="7"/>
        <v>25</v>
      </c>
      <c r="S80" s="53"/>
    </row>
    <row r="81" spans="1:19" ht="12" customHeight="1">
      <c r="A81" t="s">
        <v>73</v>
      </c>
      <c r="B81" s="83">
        <f t="shared" si="9"/>
        <v>9</v>
      </c>
      <c r="C81" s="43">
        <f t="shared" si="13"/>
        <v>0.21433674684448678</v>
      </c>
      <c r="E81">
        <v>0</v>
      </c>
      <c r="F81" s="43">
        <f t="shared" si="8"/>
        <v>0</v>
      </c>
      <c r="H81">
        <v>4</v>
      </c>
      <c r="I81" s="43">
        <f t="shared" si="10"/>
        <v>44.444444444444443</v>
      </c>
      <c r="K81">
        <v>4</v>
      </c>
      <c r="L81" s="43">
        <f t="shared" si="11"/>
        <v>44.444444444444443</v>
      </c>
      <c r="N81">
        <v>1</v>
      </c>
      <c r="O81" s="43">
        <f t="shared" si="12"/>
        <v>11.111111111111111</v>
      </c>
      <c r="Q81">
        <v>0</v>
      </c>
      <c r="R81" s="43">
        <f t="shared" si="7"/>
        <v>0</v>
      </c>
      <c r="S81" s="53"/>
    </row>
    <row r="82" spans="1:19" ht="12" customHeight="1">
      <c r="B82" s="83" t="str">
        <f t="shared" si="9"/>
        <v/>
      </c>
      <c r="C82" s="43" t="str">
        <f t="shared" si="13"/>
        <v/>
      </c>
      <c r="E82" s="41"/>
      <c r="F82" s="43" t="str">
        <f t="shared" si="8"/>
        <v/>
      </c>
      <c r="H82" s="41"/>
      <c r="I82" s="43" t="str">
        <f t="shared" si="10"/>
        <v/>
      </c>
      <c r="J82" s="43"/>
      <c r="K82" s="41"/>
      <c r="L82" s="43" t="str">
        <f t="shared" si="11"/>
        <v/>
      </c>
      <c r="M82" s="36"/>
      <c r="N82" s="41"/>
      <c r="O82" s="43" t="str">
        <f t="shared" si="12"/>
        <v/>
      </c>
      <c r="P82" s="53"/>
      <c r="Q82" s="41"/>
      <c r="R82" s="43" t="str">
        <f t="shared" si="7"/>
        <v/>
      </c>
      <c r="S82" s="53"/>
    </row>
    <row r="83" spans="1:19" ht="12" customHeight="1">
      <c r="A83" s="63" t="s">
        <v>396</v>
      </c>
      <c r="B83" s="83">
        <f t="shared" si="9"/>
        <v>327</v>
      </c>
      <c r="C83" s="43">
        <f t="shared" si="13"/>
        <v>7.7875684686830207</v>
      </c>
      <c r="E83" s="41">
        <f>SUM(E84)</f>
        <v>16</v>
      </c>
      <c r="F83" s="43">
        <f t="shared" si="8"/>
        <v>4.8929663608562688</v>
      </c>
      <c r="H83" s="41">
        <f>SUM(H84)</f>
        <v>82</v>
      </c>
      <c r="I83" s="43">
        <f t="shared" si="10"/>
        <v>25.076452599388375</v>
      </c>
      <c r="J83" s="43"/>
      <c r="K83" s="41">
        <f>SUM(K84)</f>
        <v>99</v>
      </c>
      <c r="L83" s="43">
        <f t="shared" si="11"/>
        <v>30.275229357798167</v>
      </c>
      <c r="M83" s="36"/>
      <c r="N83" s="41">
        <f>SUM(N84)</f>
        <v>15</v>
      </c>
      <c r="O83" s="43">
        <f t="shared" si="12"/>
        <v>4.5871559633027523</v>
      </c>
      <c r="P83" s="53"/>
      <c r="Q83" s="41">
        <f>SUM(Q84)</f>
        <v>115</v>
      </c>
      <c r="R83" s="43">
        <f t="shared" si="7"/>
        <v>35.168195718654431</v>
      </c>
      <c r="S83" s="53"/>
    </row>
    <row r="84" spans="1:19" ht="12" customHeight="1">
      <c r="A84" t="s">
        <v>75</v>
      </c>
      <c r="B84" s="83">
        <f t="shared" si="9"/>
        <v>327</v>
      </c>
      <c r="C84" s="43">
        <f t="shared" si="13"/>
        <v>7.7875684686830207</v>
      </c>
      <c r="E84" s="41">
        <f>SUM(E85:E93)</f>
        <v>16</v>
      </c>
      <c r="F84" s="43">
        <f t="shared" si="8"/>
        <v>4.8929663608562688</v>
      </c>
      <c r="H84" s="41">
        <f>SUM(H85:H93)</f>
        <v>82</v>
      </c>
      <c r="I84" s="43">
        <f t="shared" si="10"/>
        <v>25.076452599388375</v>
      </c>
      <c r="J84" s="43"/>
      <c r="K84" s="41">
        <f>SUM(K85:K93)</f>
        <v>99</v>
      </c>
      <c r="L84" s="43">
        <f t="shared" si="11"/>
        <v>30.275229357798167</v>
      </c>
      <c r="M84" s="36"/>
      <c r="N84" s="41">
        <f>SUM(N85:N93)</f>
        <v>15</v>
      </c>
      <c r="O84" s="43">
        <f t="shared" si="12"/>
        <v>4.5871559633027523</v>
      </c>
      <c r="P84" s="53"/>
      <c r="Q84" s="41">
        <f>SUM(Q85:Q93)</f>
        <v>115</v>
      </c>
      <c r="R84" s="43">
        <f t="shared" si="7"/>
        <v>35.168195718654431</v>
      </c>
      <c r="S84" s="53"/>
    </row>
    <row r="85" spans="1:19" ht="12" customHeight="1">
      <c r="A85" t="s">
        <v>338</v>
      </c>
      <c r="B85" s="83">
        <f t="shared" si="9"/>
        <v>18</v>
      </c>
      <c r="C85" s="43">
        <f t="shared" si="13"/>
        <v>0.42867349368897356</v>
      </c>
      <c r="E85">
        <v>1</v>
      </c>
      <c r="F85" s="43">
        <f t="shared" si="8"/>
        <v>5.5555555555555554</v>
      </c>
      <c r="H85">
        <v>0</v>
      </c>
      <c r="I85" s="43">
        <f t="shared" si="10"/>
        <v>0</v>
      </c>
      <c r="K85">
        <v>4</v>
      </c>
      <c r="L85" s="43">
        <f t="shared" si="11"/>
        <v>22.222222222222221</v>
      </c>
      <c r="N85">
        <v>3</v>
      </c>
      <c r="O85" s="43">
        <f t="shared" si="12"/>
        <v>16.666666666666664</v>
      </c>
      <c r="Q85">
        <v>10</v>
      </c>
      <c r="R85" s="43">
        <f t="shared" si="7"/>
        <v>55.555555555555557</v>
      </c>
      <c r="S85" s="53"/>
    </row>
    <row r="86" spans="1:19" ht="12" customHeight="1">
      <c r="A86" t="s">
        <v>76</v>
      </c>
      <c r="B86" s="83">
        <f t="shared" si="9"/>
        <v>56</v>
      </c>
      <c r="C86" s="43">
        <f t="shared" si="13"/>
        <v>1.3336508692545843</v>
      </c>
      <c r="E86">
        <v>2</v>
      </c>
      <c r="F86" s="43">
        <f t="shared" si="8"/>
        <v>3.5714285714285712</v>
      </c>
      <c r="H86">
        <v>17</v>
      </c>
      <c r="I86" s="43">
        <f t="shared" si="10"/>
        <v>30.357142857142854</v>
      </c>
      <c r="K86">
        <v>9</v>
      </c>
      <c r="L86" s="43">
        <f t="shared" si="11"/>
        <v>16.071428571428573</v>
      </c>
      <c r="N86">
        <v>0</v>
      </c>
      <c r="O86" s="43">
        <f t="shared" si="12"/>
        <v>0</v>
      </c>
      <c r="Q86">
        <v>28</v>
      </c>
      <c r="R86" s="43">
        <f t="shared" si="7"/>
        <v>50</v>
      </c>
      <c r="S86" s="53"/>
    </row>
    <row r="87" spans="1:19" ht="12" customHeight="1">
      <c r="A87" t="s">
        <v>78</v>
      </c>
      <c r="B87" s="83">
        <f t="shared" si="9"/>
        <v>44</v>
      </c>
      <c r="C87" s="43">
        <f t="shared" si="13"/>
        <v>1.0478685401286021</v>
      </c>
      <c r="E87">
        <v>2</v>
      </c>
      <c r="F87" s="43">
        <f t="shared" si="8"/>
        <v>4.5454545454545459</v>
      </c>
      <c r="H87">
        <v>6</v>
      </c>
      <c r="I87" s="43">
        <f t="shared" si="10"/>
        <v>13.636363636363635</v>
      </c>
      <c r="K87">
        <v>7</v>
      </c>
      <c r="L87" s="43">
        <f t="shared" si="11"/>
        <v>15.909090909090908</v>
      </c>
      <c r="N87">
        <v>3</v>
      </c>
      <c r="O87" s="43">
        <f t="shared" si="12"/>
        <v>6.8181818181818175</v>
      </c>
      <c r="Q87">
        <v>26</v>
      </c>
      <c r="R87" s="43">
        <f t="shared" ref="R87:R112" si="14">IF($A87&lt;&gt;"",Q87/$B87*100,"")</f>
        <v>59.090909090909093</v>
      </c>
      <c r="S87" s="53"/>
    </row>
    <row r="88" spans="1:19" ht="12" customHeight="1">
      <c r="A88" t="s">
        <v>80</v>
      </c>
      <c r="B88" s="83">
        <f t="shared" si="9"/>
        <v>38</v>
      </c>
      <c r="C88" s="43">
        <f t="shared" si="13"/>
        <v>0.90497737556561098</v>
      </c>
      <c r="E88">
        <v>3</v>
      </c>
      <c r="F88" s="43">
        <f t="shared" si="8"/>
        <v>7.8947368421052628</v>
      </c>
      <c r="H88">
        <v>11</v>
      </c>
      <c r="I88" s="43">
        <f t="shared" si="10"/>
        <v>28.947368421052634</v>
      </c>
      <c r="K88">
        <v>9</v>
      </c>
      <c r="L88" s="43">
        <f t="shared" si="11"/>
        <v>23.684210526315788</v>
      </c>
      <c r="N88">
        <v>2</v>
      </c>
      <c r="O88" s="43">
        <f t="shared" si="12"/>
        <v>5.2631578947368416</v>
      </c>
      <c r="Q88">
        <v>13</v>
      </c>
      <c r="R88" s="43">
        <f t="shared" si="14"/>
        <v>34.210526315789473</v>
      </c>
      <c r="S88" s="53"/>
    </row>
    <row r="89" spans="1:19" ht="12" customHeight="1">
      <c r="A89" t="s">
        <v>79</v>
      </c>
      <c r="B89" s="83">
        <f t="shared" si="9"/>
        <v>28</v>
      </c>
      <c r="C89" s="43">
        <f t="shared" si="13"/>
        <v>0.66682543462729216</v>
      </c>
      <c r="E89">
        <v>1</v>
      </c>
      <c r="F89" s="43">
        <f t="shared" si="8"/>
        <v>3.5714285714285712</v>
      </c>
      <c r="H89">
        <v>6</v>
      </c>
      <c r="I89" s="43">
        <f t="shared" si="10"/>
        <v>21.428571428571427</v>
      </c>
      <c r="K89">
        <v>7</v>
      </c>
      <c r="L89" s="43">
        <f t="shared" si="11"/>
        <v>25</v>
      </c>
      <c r="N89">
        <v>2</v>
      </c>
      <c r="O89" s="43">
        <f t="shared" si="12"/>
        <v>7.1428571428571423</v>
      </c>
      <c r="Q89">
        <v>12</v>
      </c>
      <c r="R89" s="43">
        <f t="shared" si="14"/>
        <v>42.857142857142854</v>
      </c>
      <c r="S89" s="53"/>
    </row>
    <row r="90" spans="1:19" ht="12" customHeight="1">
      <c r="A90" t="s">
        <v>77</v>
      </c>
      <c r="B90" s="83">
        <f t="shared" si="9"/>
        <v>29</v>
      </c>
      <c r="C90" s="43">
        <f>IF(A90&lt;&gt;0,B90/$B$11*100,"")</f>
        <v>0.69064062872112408</v>
      </c>
      <c r="E90">
        <v>1</v>
      </c>
      <c r="F90" s="43">
        <f t="shared" si="8"/>
        <v>3.4482758620689653</v>
      </c>
      <c r="H90">
        <v>11</v>
      </c>
      <c r="I90" s="43">
        <f t="shared" si="10"/>
        <v>37.931034482758619</v>
      </c>
      <c r="K90">
        <v>11</v>
      </c>
      <c r="L90" s="43">
        <f t="shared" si="11"/>
        <v>37.931034482758619</v>
      </c>
      <c r="N90">
        <v>0</v>
      </c>
      <c r="O90" s="43">
        <f t="shared" si="12"/>
        <v>0</v>
      </c>
      <c r="Q90">
        <v>6</v>
      </c>
      <c r="R90" s="43">
        <f t="shared" si="14"/>
        <v>20.689655172413794</v>
      </c>
      <c r="S90" s="53"/>
    </row>
    <row r="91" spans="1:19" ht="12" customHeight="1">
      <c r="A91" t="s">
        <v>81</v>
      </c>
      <c r="B91" s="83">
        <f t="shared" si="9"/>
        <v>60</v>
      </c>
      <c r="C91" s="43">
        <f t="shared" si="13"/>
        <v>1.428911645629912</v>
      </c>
      <c r="E91">
        <v>4</v>
      </c>
      <c r="F91" s="43">
        <f t="shared" si="8"/>
        <v>6.666666666666667</v>
      </c>
      <c r="H91">
        <v>13</v>
      </c>
      <c r="I91" s="43">
        <f t="shared" si="10"/>
        <v>21.666666666666668</v>
      </c>
      <c r="K91">
        <v>38</v>
      </c>
      <c r="L91" s="43">
        <f t="shared" si="11"/>
        <v>63.333333333333329</v>
      </c>
      <c r="N91">
        <v>0</v>
      </c>
      <c r="O91" s="43">
        <f t="shared" si="12"/>
        <v>0</v>
      </c>
      <c r="Q91">
        <v>5</v>
      </c>
      <c r="R91" s="43">
        <f t="shared" si="14"/>
        <v>8.3333333333333321</v>
      </c>
      <c r="S91" s="53"/>
    </row>
    <row r="92" spans="1:19" ht="12" customHeight="1">
      <c r="A92" t="s">
        <v>84</v>
      </c>
      <c r="B92" s="83">
        <f t="shared" si="9"/>
        <v>31</v>
      </c>
      <c r="C92" s="43">
        <f t="shared" si="13"/>
        <v>0.73827101690878782</v>
      </c>
      <c r="E92">
        <v>1</v>
      </c>
      <c r="F92" s="43">
        <f t="shared" si="8"/>
        <v>3.225806451612903</v>
      </c>
      <c r="H92">
        <v>6</v>
      </c>
      <c r="I92" s="43">
        <f t="shared" si="10"/>
        <v>19.35483870967742</v>
      </c>
      <c r="K92">
        <v>11</v>
      </c>
      <c r="L92" s="43">
        <f t="shared" si="11"/>
        <v>35.483870967741936</v>
      </c>
      <c r="N92">
        <v>3</v>
      </c>
      <c r="O92" s="43">
        <f t="shared" si="12"/>
        <v>9.67741935483871</v>
      </c>
      <c r="Q92">
        <v>10</v>
      </c>
      <c r="R92" s="43">
        <f t="shared" si="14"/>
        <v>32.258064516129032</v>
      </c>
      <c r="S92" s="53"/>
    </row>
    <row r="93" spans="1:19" ht="12" customHeight="1">
      <c r="A93" t="s">
        <v>339</v>
      </c>
      <c r="B93" s="83">
        <f t="shared" si="9"/>
        <v>23</v>
      </c>
      <c r="C93" s="43">
        <f t="shared" si="13"/>
        <v>0.54774946415813286</v>
      </c>
      <c r="E93">
        <v>1</v>
      </c>
      <c r="F93" s="43">
        <f t="shared" si="8"/>
        <v>4.3478260869565215</v>
      </c>
      <c r="H93">
        <v>12</v>
      </c>
      <c r="I93" s="43">
        <f t="shared" si="10"/>
        <v>52.173913043478258</v>
      </c>
      <c r="K93">
        <v>3</v>
      </c>
      <c r="L93" s="43">
        <f t="shared" si="11"/>
        <v>13.043478260869565</v>
      </c>
      <c r="N93">
        <v>2</v>
      </c>
      <c r="O93" s="43">
        <f t="shared" si="12"/>
        <v>8.695652173913043</v>
      </c>
      <c r="Q93">
        <v>5</v>
      </c>
      <c r="R93" s="43">
        <f t="shared" si="14"/>
        <v>21.739130434782609</v>
      </c>
      <c r="S93" s="53"/>
    </row>
    <row r="94" spans="1:19" ht="12" customHeight="1">
      <c r="B94" s="83" t="str">
        <f t="shared" si="9"/>
        <v/>
      </c>
      <c r="C94" s="43" t="str">
        <f t="shared" si="13"/>
        <v/>
      </c>
      <c r="F94" s="43" t="str">
        <f t="shared" si="8"/>
        <v/>
      </c>
      <c r="I94" s="43" t="str">
        <f t="shared" si="10"/>
        <v/>
      </c>
      <c r="L94" s="43" t="str">
        <f t="shared" si="11"/>
        <v/>
      </c>
      <c r="O94" s="43" t="str">
        <f t="shared" si="12"/>
        <v/>
      </c>
      <c r="R94" s="43" t="str">
        <f t="shared" si="14"/>
        <v/>
      </c>
      <c r="S94" s="53"/>
    </row>
    <row r="95" spans="1:19" ht="12" customHeight="1">
      <c r="A95" t="s">
        <v>85</v>
      </c>
      <c r="B95" s="83">
        <f t="shared" si="9"/>
        <v>105</v>
      </c>
      <c r="C95" s="43">
        <f t="shared" si="13"/>
        <v>2.5005953798523457</v>
      </c>
      <c r="E95">
        <v>3</v>
      </c>
      <c r="F95" s="43">
        <f t="shared" si="8"/>
        <v>2.8571428571428572</v>
      </c>
      <c r="H95">
        <v>56</v>
      </c>
      <c r="I95" s="43">
        <f t="shared" si="10"/>
        <v>53.333333333333336</v>
      </c>
      <c r="K95">
        <v>29</v>
      </c>
      <c r="L95" s="43">
        <f t="shared" si="11"/>
        <v>27.61904761904762</v>
      </c>
      <c r="N95">
        <v>4</v>
      </c>
      <c r="O95" s="43">
        <f t="shared" si="12"/>
        <v>3.8095238095238098</v>
      </c>
      <c r="Q95">
        <v>13</v>
      </c>
      <c r="R95" s="43">
        <f t="shared" si="14"/>
        <v>12.380952380952381</v>
      </c>
      <c r="S95" s="53"/>
    </row>
    <row r="96" spans="1:19" ht="12" customHeight="1">
      <c r="A96" t="s">
        <v>340</v>
      </c>
      <c r="B96" s="83">
        <f t="shared" si="9"/>
        <v>46</v>
      </c>
      <c r="C96" s="43">
        <f t="shared" si="13"/>
        <v>1.0954989283162657</v>
      </c>
      <c r="E96">
        <v>2</v>
      </c>
      <c r="F96" s="43">
        <f t="shared" si="8"/>
        <v>4.3478260869565215</v>
      </c>
      <c r="H96">
        <v>10</v>
      </c>
      <c r="I96" s="43">
        <f t="shared" si="10"/>
        <v>21.739130434782609</v>
      </c>
      <c r="K96">
        <v>11</v>
      </c>
      <c r="L96" s="43">
        <f t="shared" si="11"/>
        <v>23.913043478260871</v>
      </c>
      <c r="N96">
        <v>1</v>
      </c>
      <c r="O96" s="43">
        <f t="shared" si="12"/>
        <v>2.1739130434782608</v>
      </c>
      <c r="Q96">
        <v>22</v>
      </c>
      <c r="R96" s="43">
        <f t="shared" si="14"/>
        <v>47.826086956521742</v>
      </c>
      <c r="S96" s="53"/>
    </row>
    <row r="97" spans="1:19" ht="12" customHeight="1">
      <c r="A97" t="s">
        <v>341</v>
      </c>
      <c r="B97" s="83">
        <f t="shared" si="9"/>
        <v>119</v>
      </c>
      <c r="C97" s="43">
        <f t="shared" si="13"/>
        <v>2.834008097165992</v>
      </c>
      <c r="E97">
        <v>2</v>
      </c>
      <c r="F97" s="43">
        <f t="shared" si="8"/>
        <v>1.680672268907563</v>
      </c>
      <c r="H97">
        <v>18</v>
      </c>
      <c r="I97" s="43">
        <f t="shared" si="10"/>
        <v>15.126050420168067</v>
      </c>
      <c r="K97">
        <v>43</v>
      </c>
      <c r="L97" s="43">
        <f t="shared" si="11"/>
        <v>36.134453781512605</v>
      </c>
      <c r="N97">
        <v>4</v>
      </c>
      <c r="O97" s="43">
        <f t="shared" si="12"/>
        <v>3.3613445378151261</v>
      </c>
      <c r="Q97">
        <v>52</v>
      </c>
      <c r="R97" s="43">
        <f t="shared" si="14"/>
        <v>43.69747899159664</v>
      </c>
      <c r="S97" s="53"/>
    </row>
    <row r="98" spans="1:19" ht="12" customHeight="1">
      <c r="B98" s="83" t="str">
        <f t="shared" si="9"/>
        <v/>
      </c>
      <c r="C98" s="43" t="str">
        <f t="shared" si="13"/>
        <v/>
      </c>
      <c r="E98" s="41"/>
      <c r="F98" s="43" t="str">
        <f t="shared" si="8"/>
        <v/>
      </c>
      <c r="H98" s="41"/>
      <c r="I98" s="43" t="str">
        <f t="shared" si="10"/>
        <v/>
      </c>
      <c r="J98" s="43"/>
      <c r="K98" s="41"/>
      <c r="L98" s="43" t="str">
        <f t="shared" si="11"/>
        <v/>
      </c>
      <c r="M98" s="36"/>
      <c r="N98" s="41"/>
      <c r="O98" s="43" t="str">
        <f t="shared" si="12"/>
        <v/>
      </c>
      <c r="P98" s="53"/>
      <c r="Q98" s="41"/>
      <c r="R98" s="43" t="str">
        <f t="shared" si="14"/>
        <v/>
      </c>
      <c r="S98" s="53"/>
    </row>
    <row r="99" spans="1:19" ht="12" customHeight="1">
      <c r="A99" s="63" t="s">
        <v>86</v>
      </c>
      <c r="B99" s="83">
        <f t="shared" si="9"/>
        <v>500</v>
      </c>
      <c r="C99" s="43">
        <f t="shared" si="13"/>
        <v>11.907597046915933</v>
      </c>
      <c r="E99" s="50">
        <f>SUM(E101+E102+E103+E105)</f>
        <v>57</v>
      </c>
      <c r="F99" s="43">
        <f t="shared" si="8"/>
        <v>11.4</v>
      </c>
      <c r="G99" s="1"/>
      <c r="H99" s="50">
        <f>SUM(H101+H102+H103+H105)</f>
        <v>178</v>
      </c>
      <c r="I99" s="43">
        <f t="shared" si="10"/>
        <v>35.6</v>
      </c>
      <c r="J99" s="17"/>
      <c r="K99" s="50">
        <f>SUM(K101+K102+K103+K105)</f>
        <v>87</v>
      </c>
      <c r="L99" s="43">
        <f t="shared" si="11"/>
        <v>17.399999999999999</v>
      </c>
      <c r="M99" s="64"/>
      <c r="N99" s="50">
        <f>SUM(N101+N102+N103+N105)</f>
        <v>25</v>
      </c>
      <c r="O99" s="43">
        <f t="shared" si="12"/>
        <v>5</v>
      </c>
      <c r="P99" s="62"/>
      <c r="Q99" s="50">
        <f>SUM(Q101+Q102+Q103+Q105)</f>
        <v>153</v>
      </c>
      <c r="R99" s="43">
        <f t="shared" si="14"/>
        <v>30.599999999999998</v>
      </c>
      <c r="S99" s="53"/>
    </row>
    <row r="100" spans="1:19" ht="12" customHeight="1">
      <c r="B100" s="83" t="str">
        <f t="shared" si="9"/>
        <v/>
      </c>
      <c r="C100" s="43" t="str">
        <f t="shared" si="13"/>
        <v/>
      </c>
      <c r="E100" s="50"/>
      <c r="F100" s="43" t="str">
        <f t="shared" si="8"/>
        <v/>
      </c>
      <c r="G100" s="1"/>
      <c r="H100" s="50"/>
      <c r="I100" s="43" t="str">
        <f t="shared" si="10"/>
        <v/>
      </c>
      <c r="J100" s="17"/>
      <c r="K100" s="50"/>
      <c r="L100" s="43" t="str">
        <f t="shared" si="11"/>
        <v/>
      </c>
      <c r="M100" s="64"/>
      <c r="N100" s="50"/>
      <c r="O100" s="43" t="str">
        <f t="shared" si="12"/>
        <v/>
      </c>
      <c r="P100" s="62"/>
      <c r="Q100" s="50"/>
      <c r="R100" s="43" t="str">
        <f t="shared" si="14"/>
        <v/>
      </c>
      <c r="S100" s="53"/>
    </row>
    <row r="101" spans="1:19" ht="12" customHeight="1">
      <c r="A101" t="s">
        <v>415</v>
      </c>
      <c r="B101" s="83">
        <f t="shared" si="9"/>
        <v>125</v>
      </c>
      <c r="C101" s="43">
        <f t="shared" si="13"/>
        <v>2.9768992617289833</v>
      </c>
      <c r="E101">
        <v>15</v>
      </c>
      <c r="F101" s="43">
        <f t="shared" si="8"/>
        <v>12</v>
      </c>
      <c r="H101">
        <v>45</v>
      </c>
      <c r="I101" s="43">
        <f t="shared" si="10"/>
        <v>36</v>
      </c>
      <c r="K101">
        <v>24</v>
      </c>
      <c r="L101" s="43">
        <f t="shared" si="11"/>
        <v>19.2</v>
      </c>
      <c r="N101">
        <v>8</v>
      </c>
      <c r="O101" s="43">
        <f t="shared" si="12"/>
        <v>6.4</v>
      </c>
      <c r="Q101">
        <v>33</v>
      </c>
      <c r="R101" s="43">
        <f t="shared" si="14"/>
        <v>26.400000000000002</v>
      </c>
      <c r="S101" s="53"/>
    </row>
    <row r="102" spans="1:19" ht="12" customHeight="1">
      <c r="A102" t="s">
        <v>399</v>
      </c>
      <c r="B102" s="83">
        <f t="shared" si="9"/>
        <v>165</v>
      </c>
      <c r="C102" s="43">
        <f t="shared" si="13"/>
        <v>3.9295070254822573</v>
      </c>
      <c r="E102">
        <v>18</v>
      </c>
      <c r="F102" s="43">
        <f t="shared" si="8"/>
        <v>10.909090909090908</v>
      </c>
      <c r="H102">
        <v>56</v>
      </c>
      <c r="I102" s="43">
        <f t="shared" si="10"/>
        <v>33.939393939393945</v>
      </c>
      <c r="K102">
        <v>41</v>
      </c>
      <c r="L102" s="43">
        <f t="shared" si="11"/>
        <v>24.848484848484848</v>
      </c>
      <c r="N102">
        <v>12</v>
      </c>
      <c r="O102" s="43">
        <f t="shared" si="12"/>
        <v>7.2727272727272725</v>
      </c>
      <c r="Q102">
        <v>38</v>
      </c>
      <c r="R102" s="43">
        <f t="shared" si="14"/>
        <v>23.030303030303031</v>
      </c>
      <c r="S102" s="53"/>
    </row>
    <row r="103" spans="1:19" ht="12" customHeight="1">
      <c r="A103" t="s">
        <v>400</v>
      </c>
      <c r="B103" s="83">
        <f t="shared" si="9"/>
        <v>15</v>
      </c>
      <c r="C103" s="43">
        <f t="shared" si="13"/>
        <v>0.357227911407478</v>
      </c>
      <c r="E103">
        <v>1</v>
      </c>
      <c r="F103" s="43">
        <f t="shared" si="8"/>
        <v>6.666666666666667</v>
      </c>
      <c r="H103">
        <v>5</v>
      </c>
      <c r="I103" s="43">
        <f t="shared" si="10"/>
        <v>33.333333333333329</v>
      </c>
      <c r="K103">
        <v>5</v>
      </c>
      <c r="L103" s="43">
        <f t="shared" si="11"/>
        <v>33.333333333333329</v>
      </c>
      <c r="N103">
        <v>0</v>
      </c>
      <c r="O103" s="43">
        <f t="shared" si="12"/>
        <v>0</v>
      </c>
      <c r="Q103">
        <v>4</v>
      </c>
      <c r="R103" s="43">
        <f t="shared" si="14"/>
        <v>26.666666666666668</v>
      </c>
      <c r="S103" s="53"/>
    </row>
    <row r="104" spans="1:19" ht="12" customHeight="1">
      <c r="B104" s="83" t="str">
        <f t="shared" si="9"/>
        <v/>
      </c>
      <c r="C104" s="43" t="str">
        <f t="shared" si="13"/>
        <v/>
      </c>
      <c r="F104" s="43" t="str">
        <f t="shared" si="8"/>
        <v/>
      </c>
      <c r="I104" s="43" t="str">
        <f t="shared" si="10"/>
        <v/>
      </c>
      <c r="L104" s="43" t="str">
        <f t="shared" si="11"/>
        <v/>
      </c>
      <c r="O104" s="43" t="str">
        <f t="shared" si="12"/>
        <v/>
      </c>
      <c r="R104" s="43" t="str">
        <f t="shared" si="14"/>
        <v/>
      </c>
      <c r="S104" s="53"/>
    </row>
    <row r="105" spans="1:19" ht="12" customHeight="1">
      <c r="A105" t="s">
        <v>410</v>
      </c>
      <c r="B105" s="83">
        <f t="shared" si="9"/>
        <v>195</v>
      </c>
      <c r="C105" s="43">
        <f t="shared" si="13"/>
        <v>4.643962848297214</v>
      </c>
      <c r="E105">
        <v>23</v>
      </c>
      <c r="F105" s="43">
        <f t="shared" si="8"/>
        <v>11.794871794871794</v>
      </c>
      <c r="H105">
        <v>72</v>
      </c>
      <c r="I105" s="43">
        <f t="shared" si="10"/>
        <v>36.923076923076927</v>
      </c>
      <c r="K105">
        <v>17</v>
      </c>
      <c r="L105" s="43">
        <f t="shared" si="11"/>
        <v>8.7179487179487172</v>
      </c>
      <c r="N105">
        <v>5</v>
      </c>
      <c r="O105" s="43">
        <f t="shared" si="12"/>
        <v>2.5641025641025639</v>
      </c>
      <c r="Q105">
        <v>78</v>
      </c>
      <c r="R105" s="43">
        <f t="shared" si="14"/>
        <v>40</v>
      </c>
      <c r="S105" s="53"/>
    </row>
    <row r="106" spans="1:19" ht="12" customHeight="1">
      <c r="B106" s="83" t="str">
        <f t="shared" si="9"/>
        <v/>
      </c>
      <c r="C106" s="43"/>
      <c r="E106" s="41"/>
      <c r="F106" s="43" t="str">
        <f t="shared" si="8"/>
        <v/>
      </c>
      <c r="H106" s="41"/>
      <c r="I106" s="43" t="str">
        <f t="shared" si="10"/>
        <v/>
      </c>
      <c r="J106" s="43"/>
      <c r="K106" s="41"/>
      <c r="L106" s="43" t="str">
        <f t="shared" si="11"/>
        <v/>
      </c>
      <c r="M106" s="36"/>
      <c r="N106" s="41"/>
      <c r="O106" s="43" t="str">
        <f t="shared" si="12"/>
        <v/>
      </c>
      <c r="P106" s="53"/>
      <c r="Q106" s="41"/>
      <c r="R106" s="43" t="str">
        <f t="shared" si="14"/>
        <v/>
      </c>
      <c r="S106" s="53"/>
    </row>
    <row r="107" spans="1:19" ht="12" customHeight="1">
      <c r="A107" s="63" t="s">
        <v>346</v>
      </c>
      <c r="B107" s="83">
        <f t="shared" si="9"/>
        <v>938</v>
      </c>
      <c r="C107" s="43">
        <f t="shared" si="13"/>
        <v>22.33865206001429</v>
      </c>
      <c r="E107" s="41">
        <f>SUM(E108:E112)</f>
        <v>22</v>
      </c>
      <c r="F107" s="43">
        <f t="shared" si="8"/>
        <v>2.3454157782515992</v>
      </c>
      <c r="H107" s="41">
        <f>SUM(H108:H112)</f>
        <v>280</v>
      </c>
      <c r="I107" s="43">
        <f t="shared" si="10"/>
        <v>29.850746268656714</v>
      </c>
      <c r="J107" s="43"/>
      <c r="K107" s="41">
        <f>SUM(K108:K112)</f>
        <v>260</v>
      </c>
      <c r="L107" s="43">
        <f t="shared" si="11"/>
        <v>27.718550106609808</v>
      </c>
      <c r="M107" s="36"/>
      <c r="N107" s="41">
        <f>SUM(N108:N112)</f>
        <v>36</v>
      </c>
      <c r="O107" s="43">
        <f t="shared" si="12"/>
        <v>3.8379530916844353</v>
      </c>
      <c r="P107" s="53"/>
      <c r="Q107" s="41">
        <f>SUM(Q108:Q112)</f>
        <v>340</v>
      </c>
      <c r="R107" s="43">
        <f t="shared" si="14"/>
        <v>36.247334754797436</v>
      </c>
      <c r="S107" s="53"/>
    </row>
    <row r="108" spans="1:19" ht="12" customHeight="1">
      <c r="A108" t="s">
        <v>347</v>
      </c>
      <c r="B108" s="83">
        <f t="shared" si="9"/>
        <v>252</v>
      </c>
      <c r="C108" s="43">
        <f t="shared" si="13"/>
        <v>6.0014289116456299</v>
      </c>
      <c r="E108">
        <v>7</v>
      </c>
      <c r="F108" s="43">
        <f t="shared" si="8"/>
        <v>2.7777777777777777</v>
      </c>
      <c r="H108">
        <v>81</v>
      </c>
      <c r="I108" s="43">
        <f t="shared" si="10"/>
        <v>32.142857142857146</v>
      </c>
      <c r="K108">
        <v>77</v>
      </c>
      <c r="L108" s="43">
        <f t="shared" si="11"/>
        <v>30.555555555555557</v>
      </c>
      <c r="N108">
        <v>10</v>
      </c>
      <c r="O108" s="43">
        <f t="shared" si="12"/>
        <v>3.9682539682539679</v>
      </c>
      <c r="Q108">
        <v>77</v>
      </c>
      <c r="R108" s="43">
        <f t="shared" si="14"/>
        <v>30.555555555555557</v>
      </c>
      <c r="S108" s="53"/>
    </row>
    <row r="109" spans="1:19" ht="12" customHeight="1">
      <c r="A109" t="s">
        <v>348</v>
      </c>
      <c r="B109" s="83">
        <f t="shared" si="9"/>
        <v>254</v>
      </c>
      <c r="C109" s="43">
        <f>IF(A109&lt;&gt;0,B109/$B$11*100,"")</f>
        <v>6.049059299833293</v>
      </c>
      <c r="E109">
        <v>4</v>
      </c>
      <c r="F109" s="43">
        <f t="shared" si="8"/>
        <v>1.5748031496062991</v>
      </c>
      <c r="H109">
        <v>70</v>
      </c>
      <c r="I109" s="43">
        <f t="shared" si="10"/>
        <v>27.559055118110237</v>
      </c>
      <c r="K109">
        <v>56</v>
      </c>
      <c r="L109" s="43">
        <f t="shared" si="11"/>
        <v>22.047244094488189</v>
      </c>
      <c r="N109">
        <v>7</v>
      </c>
      <c r="O109" s="43">
        <f t="shared" si="12"/>
        <v>2.7559055118110236</v>
      </c>
      <c r="Q109">
        <v>117</v>
      </c>
      <c r="R109" s="43">
        <f t="shared" si="14"/>
        <v>46.062992125984252</v>
      </c>
      <c r="S109" s="53"/>
    </row>
    <row r="110" spans="1:19" ht="12" customHeight="1">
      <c r="A110" t="s">
        <v>349</v>
      </c>
      <c r="B110" s="83">
        <f t="shared" si="9"/>
        <v>187</v>
      </c>
      <c r="C110" s="43">
        <f t="shared" si="13"/>
        <v>4.4534412955465585</v>
      </c>
      <c r="E110">
        <v>2</v>
      </c>
      <c r="F110" s="43">
        <f t="shared" si="8"/>
        <v>1.0695187165775399</v>
      </c>
      <c r="H110">
        <v>33</v>
      </c>
      <c r="I110" s="43">
        <f t="shared" si="10"/>
        <v>17.647058823529413</v>
      </c>
      <c r="K110">
        <v>37</v>
      </c>
      <c r="L110" s="43">
        <f t="shared" si="11"/>
        <v>19.786096256684495</v>
      </c>
      <c r="N110">
        <v>3</v>
      </c>
      <c r="O110" s="43">
        <f t="shared" si="12"/>
        <v>1.6042780748663104</v>
      </c>
      <c r="Q110">
        <v>112</v>
      </c>
      <c r="R110" s="43">
        <f t="shared" si="14"/>
        <v>59.893048128342244</v>
      </c>
      <c r="S110" s="53"/>
    </row>
    <row r="111" spans="1:19" ht="12" customHeight="1">
      <c r="A111" s="42" t="s">
        <v>378</v>
      </c>
      <c r="B111" s="83">
        <f t="shared" si="9"/>
        <v>143</v>
      </c>
      <c r="C111" s="43">
        <f t="shared" si="13"/>
        <v>3.4055727554179565</v>
      </c>
      <c r="E111">
        <v>8</v>
      </c>
      <c r="F111" s="43">
        <f t="shared" si="8"/>
        <v>5.5944055944055942</v>
      </c>
      <c r="H111">
        <v>56</v>
      </c>
      <c r="I111" s="43">
        <f t="shared" si="10"/>
        <v>39.16083916083916</v>
      </c>
      <c r="K111">
        <v>53</v>
      </c>
      <c r="L111" s="43">
        <f t="shared" si="11"/>
        <v>37.06293706293706</v>
      </c>
      <c r="N111">
        <v>14</v>
      </c>
      <c r="O111" s="43">
        <f t="shared" si="12"/>
        <v>9.79020979020979</v>
      </c>
      <c r="Q111">
        <v>12</v>
      </c>
      <c r="R111" s="43">
        <f t="shared" si="14"/>
        <v>8.3916083916083917</v>
      </c>
    </row>
    <row r="112" spans="1:19" ht="12" customHeight="1">
      <c r="A112" t="s">
        <v>351</v>
      </c>
      <c r="B112" s="83">
        <f t="shared" si="9"/>
        <v>102</v>
      </c>
      <c r="C112" s="43">
        <f t="shared" si="13"/>
        <v>2.42914979757085</v>
      </c>
      <c r="E112">
        <v>1</v>
      </c>
      <c r="F112" s="43">
        <f t="shared" si="8"/>
        <v>0.98039215686274506</v>
      </c>
      <c r="H112">
        <v>40</v>
      </c>
      <c r="I112" s="43">
        <f t="shared" si="10"/>
        <v>39.215686274509807</v>
      </c>
      <c r="K112">
        <v>37</v>
      </c>
      <c r="L112" s="43">
        <f t="shared" si="11"/>
        <v>36.274509803921568</v>
      </c>
      <c r="N112">
        <v>2</v>
      </c>
      <c r="O112" s="43">
        <f t="shared" si="12"/>
        <v>1.9607843137254901</v>
      </c>
      <c r="Q112">
        <v>22</v>
      </c>
      <c r="R112" s="43">
        <f t="shared" si="14"/>
        <v>21.568627450980394</v>
      </c>
    </row>
    <row r="113" spans="1:19" ht="12" customHeight="1" thickBot="1">
      <c r="B113" s="83"/>
      <c r="C113" s="43"/>
      <c r="E113" s="41"/>
      <c r="F113" s="43"/>
      <c r="H113" s="41"/>
      <c r="I113" s="43"/>
      <c r="J113" s="43"/>
      <c r="K113" s="41"/>
      <c r="L113" s="43"/>
      <c r="N113" s="41"/>
      <c r="O113" s="43"/>
      <c r="P113" s="43"/>
      <c r="Q113" s="41"/>
      <c r="R113" s="43"/>
      <c r="S113" s="43"/>
    </row>
    <row r="114" spans="1:19" ht="12" customHeight="1">
      <c r="A114" s="6"/>
      <c r="B114" s="84"/>
      <c r="C114" s="38"/>
      <c r="D114" s="6"/>
      <c r="E114" s="52"/>
      <c r="F114" s="38"/>
      <c r="G114" s="6"/>
      <c r="H114" s="52"/>
      <c r="I114" s="38"/>
      <c r="J114" s="38"/>
      <c r="K114" s="52"/>
      <c r="L114" s="38"/>
      <c r="M114" s="6"/>
      <c r="N114" s="52"/>
      <c r="O114" s="38"/>
      <c r="P114" s="38"/>
      <c r="Q114" s="52"/>
      <c r="R114" s="38"/>
      <c r="S114" s="38"/>
    </row>
    <row r="115" spans="1:19" ht="12" customHeight="1">
      <c r="A115" s="64" t="s">
        <v>416</v>
      </c>
      <c r="B115" s="67"/>
      <c r="C115" s="62"/>
      <c r="D115" s="64"/>
      <c r="E115" s="61"/>
      <c r="F115" s="62"/>
      <c r="G115" s="64"/>
      <c r="H115" s="61"/>
      <c r="I115" s="62"/>
      <c r="J115" s="62"/>
      <c r="K115" s="61"/>
      <c r="L115" s="62"/>
      <c r="M115" s="64"/>
      <c r="N115" s="61"/>
      <c r="O115" s="62"/>
      <c r="P115" s="62"/>
      <c r="Q115" s="61"/>
      <c r="R115" s="53"/>
      <c r="S115" s="53"/>
    </row>
    <row r="116" spans="1:19" ht="12" customHeight="1">
      <c r="A116" s="64" t="s">
        <v>417</v>
      </c>
      <c r="B116" s="67"/>
      <c r="C116" s="62"/>
      <c r="D116" s="64"/>
      <c r="E116" s="61"/>
      <c r="F116" s="62"/>
      <c r="G116" s="64"/>
      <c r="H116" s="61"/>
      <c r="I116" s="62"/>
      <c r="J116" s="62"/>
      <c r="K116" s="61"/>
      <c r="L116" s="62"/>
      <c r="M116" s="64"/>
      <c r="N116" s="61"/>
      <c r="O116" s="62"/>
      <c r="P116" s="62"/>
      <c r="Q116" s="61"/>
      <c r="R116" s="53"/>
    </row>
    <row r="117" spans="1:19" ht="12" customHeight="1">
      <c r="A117" s="64"/>
      <c r="B117" s="67"/>
      <c r="C117" s="62"/>
      <c r="D117" s="64"/>
      <c r="E117" s="61"/>
      <c r="F117" s="62"/>
      <c r="G117" s="64"/>
      <c r="H117" s="61"/>
      <c r="I117" s="62"/>
      <c r="J117" s="62"/>
      <c r="K117" s="61"/>
      <c r="L117" s="62"/>
      <c r="M117" s="64"/>
      <c r="N117" s="61"/>
      <c r="O117" s="62"/>
      <c r="P117" s="62"/>
      <c r="Q117" s="61"/>
    </row>
    <row r="118" spans="1:19" ht="12" customHeight="1">
      <c r="A118" s="95" t="s">
        <v>403</v>
      </c>
      <c r="B118" s="67"/>
      <c r="C118" s="62"/>
      <c r="D118" s="64"/>
      <c r="E118" s="61"/>
      <c r="F118" s="62"/>
      <c r="G118" s="64"/>
      <c r="H118" s="61"/>
      <c r="I118" s="62"/>
      <c r="J118" s="62"/>
      <c r="K118" s="61"/>
      <c r="L118" s="62"/>
      <c r="M118" s="64"/>
      <c r="N118" s="61"/>
      <c r="O118" s="62"/>
      <c r="P118" s="62"/>
      <c r="Q118" s="61"/>
    </row>
    <row r="119" spans="1:19" ht="12" customHeight="1">
      <c r="A119" s="95" t="s">
        <v>418</v>
      </c>
      <c r="B119" s="67"/>
      <c r="C119" s="62"/>
      <c r="D119" s="64"/>
      <c r="E119" s="61"/>
      <c r="F119" s="62"/>
      <c r="G119" s="64"/>
      <c r="H119" s="61"/>
      <c r="I119" s="62"/>
      <c r="J119" s="62"/>
      <c r="K119" s="61"/>
      <c r="L119" s="62"/>
      <c r="M119" s="64"/>
      <c r="N119" s="61"/>
      <c r="O119" s="62"/>
      <c r="P119" s="62"/>
      <c r="Q119" s="61"/>
    </row>
    <row r="120" spans="1:19" ht="12" customHeight="1">
      <c r="B120" s="83"/>
      <c r="C120" s="17"/>
      <c r="D120" s="1"/>
      <c r="E120" s="50"/>
      <c r="F120" s="17"/>
      <c r="G120" s="1"/>
      <c r="H120" s="50"/>
      <c r="I120" s="17"/>
      <c r="J120" s="17"/>
      <c r="K120" s="50"/>
      <c r="L120" s="17"/>
      <c r="M120" s="1"/>
      <c r="N120" s="50"/>
      <c r="O120" s="1"/>
      <c r="P120" s="1"/>
      <c r="Q120" s="50"/>
    </row>
    <row r="121" spans="1:19" ht="12" customHeight="1">
      <c r="A121" t="s">
        <v>404</v>
      </c>
    </row>
    <row r="122" spans="1:19" ht="12" customHeight="1">
      <c r="A122" t="s">
        <v>385</v>
      </c>
    </row>
    <row r="123" spans="1:19" ht="12" customHeight="1"/>
  </sheetData>
  <mergeCells count="6">
    <mergeCell ref="Q7:R7"/>
    <mergeCell ref="B7:C7"/>
    <mergeCell ref="E7:F7"/>
    <mergeCell ref="H7:I7"/>
    <mergeCell ref="K7:L7"/>
    <mergeCell ref="N7:O7"/>
  </mergeCells>
  <printOptions horizontalCentered="1" verticalCentered="1"/>
  <pageMargins left="0" right="0" top="0" bottom="0" header="0.31496062992125984" footer="0.31496062992125984"/>
  <pageSetup paperSize="9" scale="55" orientation="portrait" r:id="rId1"/>
  <drawing r:id="rId2"/>
</worksheet>
</file>

<file path=xl/worksheets/sheet16.xml><?xml version="1.0" encoding="utf-8"?>
<worksheet xmlns="http://schemas.openxmlformats.org/spreadsheetml/2006/main" xmlns:r="http://schemas.openxmlformats.org/officeDocument/2006/relationships">
  <dimension ref="A1:T201"/>
  <sheetViews>
    <sheetView topLeftCell="A91" workbookViewId="0">
      <selection activeCell="A96" sqref="A96"/>
    </sheetView>
  </sheetViews>
  <sheetFormatPr baseColWidth="10" defaultColWidth="9.140625" defaultRowHeight="12.75"/>
  <cols>
    <col min="1" max="1" width="35.28515625" style="434" customWidth="1"/>
    <col min="2" max="2" width="8.28515625" style="544" customWidth="1"/>
    <col min="3" max="3" width="8" style="436" customWidth="1"/>
    <col min="4" max="4" width="2.42578125" style="434" customWidth="1"/>
    <col min="5" max="5" width="8.28515625" style="435" customWidth="1"/>
    <col min="6" max="6" width="8.28515625" style="436" customWidth="1"/>
    <col min="7" max="7" width="2.5703125" style="434" customWidth="1"/>
    <col min="8" max="8" width="8.28515625" style="435" customWidth="1"/>
    <col min="9" max="9" width="8.28515625" style="436" customWidth="1"/>
    <col min="10" max="10" width="2.42578125" style="436" customWidth="1"/>
    <col min="11" max="11" width="7.5703125" style="435" customWidth="1"/>
    <col min="12" max="12" width="7.85546875" style="436" customWidth="1"/>
    <col min="13" max="13" width="2.7109375" style="434" customWidth="1"/>
    <col min="14" max="14" width="7.7109375" style="435" customWidth="1"/>
    <col min="15" max="15" width="8" style="434" customWidth="1"/>
    <col min="16" max="16" width="2.7109375" style="434" customWidth="1"/>
    <col min="17" max="17" width="7.7109375" style="435" customWidth="1"/>
    <col min="18" max="18" width="7.85546875" style="434" customWidth="1"/>
    <col min="19" max="19" width="2.7109375" style="434" customWidth="1"/>
    <col min="20" max="20" width="3.85546875" style="434" customWidth="1"/>
    <col min="21" max="256" width="9.140625" style="434"/>
    <col min="257" max="257" width="35.28515625" style="434" customWidth="1"/>
    <col min="258" max="258" width="8.28515625" style="434" customWidth="1"/>
    <col min="259" max="259" width="8" style="434" customWidth="1"/>
    <col min="260" max="260" width="2.42578125" style="434" customWidth="1"/>
    <col min="261" max="262" width="8.28515625" style="434" customWidth="1"/>
    <col min="263" max="263" width="2.5703125" style="434" customWidth="1"/>
    <col min="264" max="265" width="8.28515625" style="434" customWidth="1"/>
    <col min="266" max="266" width="2.42578125" style="434" customWidth="1"/>
    <col min="267" max="267" width="7.5703125" style="434" customWidth="1"/>
    <col min="268" max="268" width="7.85546875" style="434" customWidth="1"/>
    <col min="269" max="269" width="2.7109375" style="434" customWidth="1"/>
    <col min="270" max="270" width="7.7109375" style="434" customWidth="1"/>
    <col min="271" max="271" width="8" style="434" customWidth="1"/>
    <col min="272" max="272" width="2.7109375" style="434" customWidth="1"/>
    <col min="273" max="273" width="7.7109375" style="434" customWidth="1"/>
    <col min="274" max="274" width="7.85546875" style="434" customWidth="1"/>
    <col min="275" max="275" width="2.7109375" style="434" customWidth="1"/>
    <col min="276" max="276" width="3.85546875" style="434" customWidth="1"/>
    <col min="277" max="512" width="9.140625" style="434"/>
    <col min="513" max="513" width="35.28515625" style="434" customWidth="1"/>
    <col min="514" max="514" width="8.28515625" style="434" customWidth="1"/>
    <col min="515" max="515" width="8" style="434" customWidth="1"/>
    <col min="516" max="516" width="2.42578125" style="434" customWidth="1"/>
    <col min="517" max="518" width="8.28515625" style="434" customWidth="1"/>
    <col min="519" max="519" width="2.5703125" style="434" customWidth="1"/>
    <col min="520" max="521" width="8.28515625" style="434" customWidth="1"/>
    <col min="522" max="522" width="2.42578125" style="434" customWidth="1"/>
    <col min="523" max="523" width="7.5703125" style="434" customWidth="1"/>
    <col min="524" max="524" width="7.85546875" style="434" customWidth="1"/>
    <col min="525" max="525" width="2.7109375" style="434" customWidth="1"/>
    <col min="526" max="526" width="7.7109375" style="434" customWidth="1"/>
    <col min="527" max="527" width="8" style="434" customWidth="1"/>
    <col min="528" max="528" width="2.7109375" style="434" customWidth="1"/>
    <col min="529" max="529" width="7.7109375" style="434" customWidth="1"/>
    <col min="530" max="530" width="7.85546875" style="434" customWidth="1"/>
    <col min="531" max="531" width="2.7109375" style="434" customWidth="1"/>
    <col min="532" max="532" width="3.85546875" style="434" customWidth="1"/>
    <col min="533" max="768" width="9.140625" style="434"/>
    <col min="769" max="769" width="35.28515625" style="434" customWidth="1"/>
    <col min="770" max="770" width="8.28515625" style="434" customWidth="1"/>
    <col min="771" max="771" width="8" style="434" customWidth="1"/>
    <col min="772" max="772" width="2.42578125" style="434" customWidth="1"/>
    <col min="773" max="774" width="8.28515625" style="434" customWidth="1"/>
    <col min="775" max="775" width="2.5703125" style="434" customWidth="1"/>
    <col min="776" max="777" width="8.28515625" style="434" customWidth="1"/>
    <col min="778" max="778" width="2.42578125" style="434" customWidth="1"/>
    <col min="779" max="779" width="7.5703125" style="434" customWidth="1"/>
    <col min="780" max="780" width="7.85546875" style="434" customWidth="1"/>
    <col min="781" max="781" width="2.7109375" style="434" customWidth="1"/>
    <col min="782" max="782" width="7.7109375" style="434" customWidth="1"/>
    <col min="783" max="783" width="8" style="434" customWidth="1"/>
    <col min="784" max="784" width="2.7109375" style="434" customWidth="1"/>
    <col min="785" max="785" width="7.7109375" style="434" customWidth="1"/>
    <col min="786" max="786" width="7.85546875" style="434" customWidth="1"/>
    <col min="787" max="787" width="2.7109375" style="434" customWidth="1"/>
    <col min="788" max="788" width="3.85546875" style="434" customWidth="1"/>
    <col min="789" max="1024" width="9.140625" style="434"/>
    <col min="1025" max="1025" width="35.28515625" style="434" customWidth="1"/>
    <col min="1026" max="1026" width="8.28515625" style="434" customWidth="1"/>
    <col min="1027" max="1027" width="8" style="434" customWidth="1"/>
    <col min="1028" max="1028" width="2.42578125" style="434" customWidth="1"/>
    <col min="1029" max="1030" width="8.28515625" style="434" customWidth="1"/>
    <col min="1031" max="1031" width="2.5703125" style="434" customWidth="1"/>
    <col min="1032" max="1033" width="8.28515625" style="434" customWidth="1"/>
    <col min="1034" max="1034" width="2.42578125" style="434" customWidth="1"/>
    <col min="1035" max="1035" width="7.5703125" style="434" customWidth="1"/>
    <col min="1036" max="1036" width="7.85546875" style="434" customWidth="1"/>
    <col min="1037" max="1037" width="2.7109375" style="434" customWidth="1"/>
    <col min="1038" max="1038" width="7.7109375" style="434" customWidth="1"/>
    <col min="1039" max="1039" width="8" style="434" customWidth="1"/>
    <col min="1040" max="1040" width="2.7109375" style="434" customWidth="1"/>
    <col min="1041" max="1041" width="7.7109375" style="434" customWidth="1"/>
    <col min="1042" max="1042" width="7.85546875" style="434" customWidth="1"/>
    <col min="1043" max="1043" width="2.7109375" style="434" customWidth="1"/>
    <col min="1044" max="1044" width="3.85546875" style="434" customWidth="1"/>
    <col min="1045" max="1280" width="9.140625" style="434"/>
    <col min="1281" max="1281" width="35.28515625" style="434" customWidth="1"/>
    <col min="1282" max="1282" width="8.28515625" style="434" customWidth="1"/>
    <col min="1283" max="1283" width="8" style="434" customWidth="1"/>
    <col min="1284" max="1284" width="2.42578125" style="434" customWidth="1"/>
    <col min="1285" max="1286" width="8.28515625" style="434" customWidth="1"/>
    <col min="1287" max="1287" width="2.5703125" style="434" customWidth="1"/>
    <col min="1288" max="1289" width="8.28515625" style="434" customWidth="1"/>
    <col min="1290" max="1290" width="2.42578125" style="434" customWidth="1"/>
    <col min="1291" max="1291" width="7.5703125" style="434" customWidth="1"/>
    <col min="1292" max="1292" width="7.85546875" style="434" customWidth="1"/>
    <col min="1293" max="1293" width="2.7109375" style="434" customWidth="1"/>
    <col min="1294" max="1294" width="7.7109375" style="434" customWidth="1"/>
    <col min="1295" max="1295" width="8" style="434" customWidth="1"/>
    <col min="1296" max="1296" width="2.7109375" style="434" customWidth="1"/>
    <col min="1297" max="1297" width="7.7109375" style="434" customWidth="1"/>
    <col min="1298" max="1298" width="7.85546875" style="434" customWidth="1"/>
    <col min="1299" max="1299" width="2.7109375" style="434" customWidth="1"/>
    <col min="1300" max="1300" width="3.85546875" style="434" customWidth="1"/>
    <col min="1301" max="1536" width="9.140625" style="434"/>
    <col min="1537" max="1537" width="35.28515625" style="434" customWidth="1"/>
    <col min="1538" max="1538" width="8.28515625" style="434" customWidth="1"/>
    <col min="1539" max="1539" width="8" style="434" customWidth="1"/>
    <col min="1540" max="1540" width="2.42578125" style="434" customWidth="1"/>
    <col min="1541" max="1542" width="8.28515625" style="434" customWidth="1"/>
    <col min="1543" max="1543" width="2.5703125" style="434" customWidth="1"/>
    <col min="1544" max="1545" width="8.28515625" style="434" customWidth="1"/>
    <col min="1546" max="1546" width="2.42578125" style="434" customWidth="1"/>
    <col min="1547" max="1547" width="7.5703125" style="434" customWidth="1"/>
    <col min="1548" max="1548" width="7.85546875" style="434" customWidth="1"/>
    <col min="1549" max="1549" width="2.7109375" style="434" customWidth="1"/>
    <col min="1550" max="1550" width="7.7109375" style="434" customWidth="1"/>
    <col min="1551" max="1551" width="8" style="434" customWidth="1"/>
    <col min="1552" max="1552" width="2.7109375" style="434" customWidth="1"/>
    <col min="1553" max="1553" width="7.7109375" style="434" customWidth="1"/>
    <col min="1554" max="1554" width="7.85546875" style="434" customWidth="1"/>
    <col min="1555" max="1555" width="2.7109375" style="434" customWidth="1"/>
    <col min="1556" max="1556" width="3.85546875" style="434" customWidth="1"/>
    <col min="1557" max="1792" width="9.140625" style="434"/>
    <col min="1793" max="1793" width="35.28515625" style="434" customWidth="1"/>
    <col min="1794" max="1794" width="8.28515625" style="434" customWidth="1"/>
    <col min="1795" max="1795" width="8" style="434" customWidth="1"/>
    <col min="1796" max="1796" width="2.42578125" style="434" customWidth="1"/>
    <col min="1797" max="1798" width="8.28515625" style="434" customWidth="1"/>
    <col min="1799" max="1799" width="2.5703125" style="434" customWidth="1"/>
    <col min="1800" max="1801" width="8.28515625" style="434" customWidth="1"/>
    <col min="1802" max="1802" width="2.42578125" style="434" customWidth="1"/>
    <col min="1803" max="1803" width="7.5703125" style="434" customWidth="1"/>
    <col min="1804" max="1804" width="7.85546875" style="434" customWidth="1"/>
    <col min="1805" max="1805" width="2.7109375" style="434" customWidth="1"/>
    <col min="1806" max="1806" width="7.7109375" style="434" customWidth="1"/>
    <col min="1807" max="1807" width="8" style="434" customWidth="1"/>
    <col min="1808" max="1808" width="2.7109375" style="434" customWidth="1"/>
    <col min="1809" max="1809" width="7.7109375" style="434" customWidth="1"/>
    <col min="1810" max="1810" width="7.85546875" style="434" customWidth="1"/>
    <col min="1811" max="1811" width="2.7109375" style="434" customWidth="1"/>
    <col min="1812" max="1812" width="3.85546875" style="434" customWidth="1"/>
    <col min="1813" max="2048" width="9.140625" style="434"/>
    <col min="2049" max="2049" width="35.28515625" style="434" customWidth="1"/>
    <col min="2050" max="2050" width="8.28515625" style="434" customWidth="1"/>
    <col min="2051" max="2051" width="8" style="434" customWidth="1"/>
    <col min="2052" max="2052" width="2.42578125" style="434" customWidth="1"/>
    <col min="2053" max="2054" width="8.28515625" style="434" customWidth="1"/>
    <col min="2055" max="2055" width="2.5703125" style="434" customWidth="1"/>
    <col min="2056" max="2057" width="8.28515625" style="434" customWidth="1"/>
    <col min="2058" max="2058" width="2.42578125" style="434" customWidth="1"/>
    <col min="2059" max="2059" width="7.5703125" style="434" customWidth="1"/>
    <col min="2060" max="2060" width="7.85546875" style="434" customWidth="1"/>
    <col min="2061" max="2061" width="2.7109375" style="434" customWidth="1"/>
    <col min="2062" max="2062" width="7.7109375" style="434" customWidth="1"/>
    <col min="2063" max="2063" width="8" style="434" customWidth="1"/>
    <col min="2064" max="2064" width="2.7109375" style="434" customWidth="1"/>
    <col min="2065" max="2065" width="7.7109375" style="434" customWidth="1"/>
    <col min="2066" max="2066" width="7.85546875" style="434" customWidth="1"/>
    <col min="2067" max="2067" width="2.7109375" style="434" customWidth="1"/>
    <col min="2068" max="2068" width="3.85546875" style="434" customWidth="1"/>
    <col min="2069" max="2304" width="9.140625" style="434"/>
    <col min="2305" max="2305" width="35.28515625" style="434" customWidth="1"/>
    <col min="2306" max="2306" width="8.28515625" style="434" customWidth="1"/>
    <col min="2307" max="2307" width="8" style="434" customWidth="1"/>
    <col min="2308" max="2308" width="2.42578125" style="434" customWidth="1"/>
    <col min="2309" max="2310" width="8.28515625" style="434" customWidth="1"/>
    <col min="2311" max="2311" width="2.5703125" style="434" customWidth="1"/>
    <col min="2312" max="2313" width="8.28515625" style="434" customWidth="1"/>
    <col min="2314" max="2314" width="2.42578125" style="434" customWidth="1"/>
    <col min="2315" max="2315" width="7.5703125" style="434" customWidth="1"/>
    <col min="2316" max="2316" width="7.85546875" style="434" customWidth="1"/>
    <col min="2317" max="2317" width="2.7109375" style="434" customWidth="1"/>
    <col min="2318" max="2318" width="7.7109375" style="434" customWidth="1"/>
    <col min="2319" max="2319" width="8" style="434" customWidth="1"/>
    <col min="2320" max="2320" width="2.7109375" style="434" customWidth="1"/>
    <col min="2321" max="2321" width="7.7109375" style="434" customWidth="1"/>
    <col min="2322" max="2322" width="7.85546875" style="434" customWidth="1"/>
    <col min="2323" max="2323" width="2.7109375" style="434" customWidth="1"/>
    <col min="2324" max="2324" width="3.85546875" style="434" customWidth="1"/>
    <col min="2325" max="2560" width="9.140625" style="434"/>
    <col min="2561" max="2561" width="35.28515625" style="434" customWidth="1"/>
    <col min="2562" max="2562" width="8.28515625" style="434" customWidth="1"/>
    <col min="2563" max="2563" width="8" style="434" customWidth="1"/>
    <col min="2564" max="2564" width="2.42578125" style="434" customWidth="1"/>
    <col min="2565" max="2566" width="8.28515625" style="434" customWidth="1"/>
    <col min="2567" max="2567" width="2.5703125" style="434" customWidth="1"/>
    <col min="2568" max="2569" width="8.28515625" style="434" customWidth="1"/>
    <col min="2570" max="2570" width="2.42578125" style="434" customWidth="1"/>
    <col min="2571" max="2571" width="7.5703125" style="434" customWidth="1"/>
    <col min="2572" max="2572" width="7.85546875" style="434" customWidth="1"/>
    <col min="2573" max="2573" width="2.7109375" style="434" customWidth="1"/>
    <col min="2574" max="2574" width="7.7109375" style="434" customWidth="1"/>
    <col min="2575" max="2575" width="8" style="434" customWidth="1"/>
    <col min="2576" max="2576" width="2.7109375" style="434" customWidth="1"/>
    <col min="2577" max="2577" width="7.7109375" style="434" customWidth="1"/>
    <col min="2578" max="2578" width="7.85546875" style="434" customWidth="1"/>
    <col min="2579" max="2579" width="2.7109375" style="434" customWidth="1"/>
    <col min="2580" max="2580" width="3.85546875" style="434" customWidth="1"/>
    <col min="2581" max="2816" width="9.140625" style="434"/>
    <col min="2817" max="2817" width="35.28515625" style="434" customWidth="1"/>
    <col min="2818" max="2818" width="8.28515625" style="434" customWidth="1"/>
    <col min="2819" max="2819" width="8" style="434" customWidth="1"/>
    <col min="2820" max="2820" width="2.42578125" style="434" customWidth="1"/>
    <col min="2821" max="2822" width="8.28515625" style="434" customWidth="1"/>
    <col min="2823" max="2823" width="2.5703125" style="434" customWidth="1"/>
    <col min="2824" max="2825" width="8.28515625" style="434" customWidth="1"/>
    <col min="2826" max="2826" width="2.42578125" style="434" customWidth="1"/>
    <col min="2827" max="2827" width="7.5703125" style="434" customWidth="1"/>
    <col min="2828" max="2828" width="7.85546875" style="434" customWidth="1"/>
    <col min="2829" max="2829" width="2.7109375" style="434" customWidth="1"/>
    <col min="2830" max="2830" width="7.7109375" style="434" customWidth="1"/>
    <col min="2831" max="2831" width="8" style="434" customWidth="1"/>
    <col min="2832" max="2832" width="2.7109375" style="434" customWidth="1"/>
    <col min="2833" max="2833" width="7.7109375" style="434" customWidth="1"/>
    <col min="2834" max="2834" width="7.85546875" style="434" customWidth="1"/>
    <col min="2835" max="2835" width="2.7109375" style="434" customWidth="1"/>
    <col min="2836" max="2836" width="3.85546875" style="434" customWidth="1"/>
    <col min="2837" max="3072" width="9.140625" style="434"/>
    <col min="3073" max="3073" width="35.28515625" style="434" customWidth="1"/>
    <col min="3074" max="3074" width="8.28515625" style="434" customWidth="1"/>
    <col min="3075" max="3075" width="8" style="434" customWidth="1"/>
    <col min="3076" max="3076" width="2.42578125" style="434" customWidth="1"/>
    <col min="3077" max="3078" width="8.28515625" style="434" customWidth="1"/>
    <col min="3079" max="3079" width="2.5703125" style="434" customWidth="1"/>
    <col min="3080" max="3081" width="8.28515625" style="434" customWidth="1"/>
    <col min="3082" max="3082" width="2.42578125" style="434" customWidth="1"/>
    <col min="3083" max="3083" width="7.5703125" style="434" customWidth="1"/>
    <col min="3084" max="3084" width="7.85546875" style="434" customWidth="1"/>
    <col min="3085" max="3085" width="2.7109375" style="434" customWidth="1"/>
    <col min="3086" max="3086" width="7.7109375" style="434" customWidth="1"/>
    <col min="3087" max="3087" width="8" style="434" customWidth="1"/>
    <col min="3088" max="3088" width="2.7109375" style="434" customWidth="1"/>
    <col min="3089" max="3089" width="7.7109375" style="434" customWidth="1"/>
    <col min="3090" max="3090" width="7.85546875" style="434" customWidth="1"/>
    <col min="3091" max="3091" width="2.7109375" style="434" customWidth="1"/>
    <col min="3092" max="3092" width="3.85546875" style="434" customWidth="1"/>
    <col min="3093" max="3328" width="9.140625" style="434"/>
    <col min="3329" max="3329" width="35.28515625" style="434" customWidth="1"/>
    <col min="3330" max="3330" width="8.28515625" style="434" customWidth="1"/>
    <col min="3331" max="3331" width="8" style="434" customWidth="1"/>
    <col min="3332" max="3332" width="2.42578125" style="434" customWidth="1"/>
    <col min="3333" max="3334" width="8.28515625" style="434" customWidth="1"/>
    <col min="3335" max="3335" width="2.5703125" style="434" customWidth="1"/>
    <col min="3336" max="3337" width="8.28515625" style="434" customWidth="1"/>
    <col min="3338" max="3338" width="2.42578125" style="434" customWidth="1"/>
    <col min="3339" max="3339" width="7.5703125" style="434" customWidth="1"/>
    <col min="3340" max="3340" width="7.85546875" style="434" customWidth="1"/>
    <col min="3341" max="3341" width="2.7109375" style="434" customWidth="1"/>
    <col min="3342" max="3342" width="7.7109375" style="434" customWidth="1"/>
    <col min="3343" max="3343" width="8" style="434" customWidth="1"/>
    <col min="3344" max="3344" width="2.7109375" style="434" customWidth="1"/>
    <col min="3345" max="3345" width="7.7109375" style="434" customWidth="1"/>
    <col min="3346" max="3346" width="7.85546875" style="434" customWidth="1"/>
    <col min="3347" max="3347" width="2.7109375" style="434" customWidth="1"/>
    <col min="3348" max="3348" width="3.85546875" style="434" customWidth="1"/>
    <col min="3349" max="3584" width="9.140625" style="434"/>
    <col min="3585" max="3585" width="35.28515625" style="434" customWidth="1"/>
    <col min="3586" max="3586" width="8.28515625" style="434" customWidth="1"/>
    <col min="3587" max="3587" width="8" style="434" customWidth="1"/>
    <col min="3588" max="3588" width="2.42578125" style="434" customWidth="1"/>
    <col min="3589" max="3590" width="8.28515625" style="434" customWidth="1"/>
    <col min="3591" max="3591" width="2.5703125" style="434" customWidth="1"/>
    <col min="3592" max="3593" width="8.28515625" style="434" customWidth="1"/>
    <col min="3594" max="3594" width="2.42578125" style="434" customWidth="1"/>
    <col min="3595" max="3595" width="7.5703125" style="434" customWidth="1"/>
    <col min="3596" max="3596" width="7.85546875" style="434" customWidth="1"/>
    <col min="3597" max="3597" width="2.7109375" style="434" customWidth="1"/>
    <col min="3598" max="3598" width="7.7109375" style="434" customWidth="1"/>
    <col min="3599" max="3599" width="8" style="434" customWidth="1"/>
    <col min="3600" max="3600" width="2.7109375" style="434" customWidth="1"/>
    <col min="3601" max="3601" width="7.7109375" style="434" customWidth="1"/>
    <col min="3602" max="3602" width="7.85546875" style="434" customWidth="1"/>
    <col min="3603" max="3603" width="2.7109375" style="434" customWidth="1"/>
    <col min="3604" max="3604" width="3.85546875" style="434" customWidth="1"/>
    <col min="3605" max="3840" width="9.140625" style="434"/>
    <col min="3841" max="3841" width="35.28515625" style="434" customWidth="1"/>
    <col min="3842" max="3842" width="8.28515625" style="434" customWidth="1"/>
    <col min="3843" max="3843" width="8" style="434" customWidth="1"/>
    <col min="3844" max="3844" width="2.42578125" style="434" customWidth="1"/>
    <col min="3845" max="3846" width="8.28515625" style="434" customWidth="1"/>
    <col min="3847" max="3847" width="2.5703125" style="434" customWidth="1"/>
    <col min="3848" max="3849" width="8.28515625" style="434" customWidth="1"/>
    <col min="3850" max="3850" width="2.42578125" style="434" customWidth="1"/>
    <col min="3851" max="3851" width="7.5703125" style="434" customWidth="1"/>
    <col min="3852" max="3852" width="7.85546875" style="434" customWidth="1"/>
    <col min="3853" max="3853" width="2.7109375" style="434" customWidth="1"/>
    <col min="3854" max="3854" width="7.7109375" style="434" customWidth="1"/>
    <col min="3855" max="3855" width="8" style="434" customWidth="1"/>
    <col min="3856" max="3856" width="2.7109375" style="434" customWidth="1"/>
    <col min="3857" max="3857" width="7.7109375" style="434" customWidth="1"/>
    <col min="3858" max="3858" width="7.85546875" style="434" customWidth="1"/>
    <col min="3859" max="3859" width="2.7109375" style="434" customWidth="1"/>
    <col min="3860" max="3860" width="3.85546875" style="434" customWidth="1"/>
    <col min="3861" max="4096" width="9.140625" style="434"/>
    <col min="4097" max="4097" width="35.28515625" style="434" customWidth="1"/>
    <col min="4098" max="4098" width="8.28515625" style="434" customWidth="1"/>
    <col min="4099" max="4099" width="8" style="434" customWidth="1"/>
    <col min="4100" max="4100" width="2.42578125" style="434" customWidth="1"/>
    <col min="4101" max="4102" width="8.28515625" style="434" customWidth="1"/>
    <col min="4103" max="4103" width="2.5703125" style="434" customWidth="1"/>
    <col min="4104" max="4105" width="8.28515625" style="434" customWidth="1"/>
    <col min="4106" max="4106" width="2.42578125" style="434" customWidth="1"/>
    <col min="4107" max="4107" width="7.5703125" style="434" customWidth="1"/>
    <col min="4108" max="4108" width="7.85546875" style="434" customWidth="1"/>
    <col min="4109" max="4109" width="2.7109375" style="434" customWidth="1"/>
    <col min="4110" max="4110" width="7.7109375" style="434" customWidth="1"/>
    <col min="4111" max="4111" width="8" style="434" customWidth="1"/>
    <col min="4112" max="4112" width="2.7109375" style="434" customWidth="1"/>
    <col min="4113" max="4113" width="7.7109375" style="434" customWidth="1"/>
    <col min="4114" max="4114" width="7.85546875" style="434" customWidth="1"/>
    <col min="4115" max="4115" width="2.7109375" style="434" customWidth="1"/>
    <col min="4116" max="4116" width="3.85546875" style="434" customWidth="1"/>
    <col min="4117" max="4352" width="9.140625" style="434"/>
    <col min="4353" max="4353" width="35.28515625" style="434" customWidth="1"/>
    <col min="4354" max="4354" width="8.28515625" style="434" customWidth="1"/>
    <col min="4355" max="4355" width="8" style="434" customWidth="1"/>
    <col min="4356" max="4356" width="2.42578125" style="434" customWidth="1"/>
    <col min="4357" max="4358" width="8.28515625" style="434" customWidth="1"/>
    <col min="4359" max="4359" width="2.5703125" style="434" customWidth="1"/>
    <col min="4360" max="4361" width="8.28515625" style="434" customWidth="1"/>
    <col min="4362" max="4362" width="2.42578125" style="434" customWidth="1"/>
    <col min="4363" max="4363" width="7.5703125" style="434" customWidth="1"/>
    <col min="4364" max="4364" width="7.85546875" style="434" customWidth="1"/>
    <col min="4365" max="4365" width="2.7109375" style="434" customWidth="1"/>
    <col min="4366" max="4366" width="7.7109375" style="434" customWidth="1"/>
    <col min="4367" max="4367" width="8" style="434" customWidth="1"/>
    <col min="4368" max="4368" width="2.7109375" style="434" customWidth="1"/>
    <col min="4369" max="4369" width="7.7109375" style="434" customWidth="1"/>
    <col min="4370" max="4370" width="7.85546875" style="434" customWidth="1"/>
    <col min="4371" max="4371" width="2.7109375" style="434" customWidth="1"/>
    <col min="4372" max="4372" width="3.85546875" style="434" customWidth="1"/>
    <col min="4373" max="4608" width="9.140625" style="434"/>
    <col min="4609" max="4609" width="35.28515625" style="434" customWidth="1"/>
    <col min="4610" max="4610" width="8.28515625" style="434" customWidth="1"/>
    <col min="4611" max="4611" width="8" style="434" customWidth="1"/>
    <col min="4612" max="4612" width="2.42578125" style="434" customWidth="1"/>
    <col min="4613" max="4614" width="8.28515625" style="434" customWidth="1"/>
    <col min="4615" max="4615" width="2.5703125" style="434" customWidth="1"/>
    <col min="4616" max="4617" width="8.28515625" style="434" customWidth="1"/>
    <col min="4618" max="4618" width="2.42578125" style="434" customWidth="1"/>
    <col min="4619" max="4619" width="7.5703125" style="434" customWidth="1"/>
    <col min="4620" max="4620" width="7.85546875" style="434" customWidth="1"/>
    <col min="4621" max="4621" width="2.7109375" style="434" customWidth="1"/>
    <col min="4622" max="4622" width="7.7109375" style="434" customWidth="1"/>
    <col min="4623" max="4623" width="8" style="434" customWidth="1"/>
    <col min="4624" max="4624" width="2.7109375" style="434" customWidth="1"/>
    <col min="4625" max="4625" width="7.7109375" style="434" customWidth="1"/>
    <col min="4626" max="4626" width="7.85546875" style="434" customWidth="1"/>
    <col min="4627" max="4627" width="2.7109375" style="434" customWidth="1"/>
    <col min="4628" max="4628" width="3.85546875" style="434" customWidth="1"/>
    <col min="4629" max="4864" width="9.140625" style="434"/>
    <col min="4865" max="4865" width="35.28515625" style="434" customWidth="1"/>
    <col min="4866" max="4866" width="8.28515625" style="434" customWidth="1"/>
    <col min="4867" max="4867" width="8" style="434" customWidth="1"/>
    <col min="4868" max="4868" width="2.42578125" style="434" customWidth="1"/>
    <col min="4869" max="4870" width="8.28515625" style="434" customWidth="1"/>
    <col min="4871" max="4871" width="2.5703125" style="434" customWidth="1"/>
    <col min="4872" max="4873" width="8.28515625" style="434" customWidth="1"/>
    <col min="4874" max="4874" width="2.42578125" style="434" customWidth="1"/>
    <col min="4875" max="4875" width="7.5703125" style="434" customWidth="1"/>
    <col min="4876" max="4876" width="7.85546875" style="434" customWidth="1"/>
    <col min="4877" max="4877" width="2.7109375" style="434" customWidth="1"/>
    <col min="4878" max="4878" width="7.7109375" style="434" customWidth="1"/>
    <col min="4879" max="4879" width="8" style="434" customWidth="1"/>
    <col min="4880" max="4880" width="2.7109375" style="434" customWidth="1"/>
    <col min="4881" max="4881" width="7.7109375" style="434" customWidth="1"/>
    <col min="4882" max="4882" width="7.85546875" style="434" customWidth="1"/>
    <col min="4883" max="4883" width="2.7109375" style="434" customWidth="1"/>
    <col min="4884" max="4884" width="3.85546875" style="434" customWidth="1"/>
    <col min="4885" max="5120" width="9.140625" style="434"/>
    <col min="5121" max="5121" width="35.28515625" style="434" customWidth="1"/>
    <col min="5122" max="5122" width="8.28515625" style="434" customWidth="1"/>
    <col min="5123" max="5123" width="8" style="434" customWidth="1"/>
    <col min="5124" max="5124" width="2.42578125" style="434" customWidth="1"/>
    <col min="5125" max="5126" width="8.28515625" style="434" customWidth="1"/>
    <col min="5127" max="5127" width="2.5703125" style="434" customWidth="1"/>
    <col min="5128" max="5129" width="8.28515625" style="434" customWidth="1"/>
    <col min="5130" max="5130" width="2.42578125" style="434" customWidth="1"/>
    <col min="5131" max="5131" width="7.5703125" style="434" customWidth="1"/>
    <col min="5132" max="5132" width="7.85546875" style="434" customWidth="1"/>
    <col min="5133" max="5133" width="2.7109375" style="434" customWidth="1"/>
    <col min="5134" max="5134" width="7.7109375" style="434" customWidth="1"/>
    <col min="5135" max="5135" width="8" style="434" customWidth="1"/>
    <col min="5136" max="5136" width="2.7109375" style="434" customWidth="1"/>
    <col min="5137" max="5137" width="7.7109375" style="434" customWidth="1"/>
    <col min="5138" max="5138" width="7.85546875" style="434" customWidth="1"/>
    <col min="5139" max="5139" width="2.7109375" style="434" customWidth="1"/>
    <col min="5140" max="5140" width="3.85546875" style="434" customWidth="1"/>
    <col min="5141" max="5376" width="9.140625" style="434"/>
    <col min="5377" max="5377" width="35.28515625" style="434" customWidth="1"/>
    <col min="5378" max="5378" width="8.28515625" style="434" customWidth="1"/>
    <col min="5379" max="5379" width="8" style="434" customWidth="1"/>
    <col min="5380" max="5380" width="2.42578125" style="434" customWidth="1"/>
    <col min="5381" max="5382" width="8.28515625" style="434" customWidth="1"/>
    <col min="5383" max="5383" width="2.5703125" style="434" customWidth="1"/>
    <col min="5384" max="5385" width="8.28515625" style="434" customWidth="1"/>
    <col min="5386" max="5386" width="2.42578125" style="434" customWidth="1"/>
    <col min="5387" max="5387" width="7.5703125" style="434" customWidth="1"/>
    <col min="5388" max="5388" width="7.85546875" style="434" customWidth="1"/>
    <col min="5389" max="5389" width="2.7109375" style="434" customWidth="1"/>
    <col min="5390" max="5390" width="7.7109375" style="434" customWidth="1"/>
    <col min="5391" max="5391" width="8" style="434" customWidth="1"/>
    <col min="5392" max="5392" width="2.7109375" style="434" customWidth="1"/>
    <col min="5393" max="5393" width="7.7109375" style="434" customWidth="1"/>
    <col min="5394" max="5394" width="7.85546875" style="434" customWidth="1"/>
    <col min="5395" max="5395" width="2.7109375" style="434" customWidth="1"/>
    <col min="5396" max="5396" width="3.85546875" style="434" customWidth="1"/>
    <col min="5397" max="5632" width="9.140625" style="434"/>
    <col min="5633" max="5633" width="35.28515625" style="434" customWidth="1"/>
    <col min="5634" max="5634" width="8.28515625" style="434" customWidth="1"/>
    <col min="5635" max="5635" width="8" style="434" customWidth="1"/>
    <col min="5636" max="5636" width="2.42578125" style="434" customWidth="1"/>
    <col min="5637" max="5638" width="8.28515625" style="434" customWidth="1"/>
    <col min="5639" max="5639" width="2.5703125" style="434" customWidth="1"/>
    <col min="5640" max="5641" width="8.28515625" style="434" customWidth="1"/>
    <col min="5642" max="5642" width="2.42578125" style="434" customWidth="1"/>
    <col min="5643" max="5643" width="7.5703125" style="434" customWidth="1"/>
    <col min="5644" max="5644" width="7.85546875" style="434" customWidth="1"/>
    <col min="5645" max="5645" width="2.7109375" style="434" customWidth="1"/>
    <col min="5646" max="5646" width="7.7109375" style="434" customWidth="1"/>
    <col min="5647" max="5647" width="8" style="434" customWidth="1"/>
    <col min="5648" max="5648" width="2.7109375" style="434" customWidth="1"/>
    <col min="5649" max="5649" width="7.7109375" style="434" customWidth="1"/>
    <col min="5650" max="5650" width="7.85546875" style="434" customWidth="1"/>
    <col min="5651" max="5651" width="2.7109375" style="434" customWidth="1"/>
    <col min="5652" max="5652" width="3.85546875" style="434" customWidth="1"/>
    <col min="5653" max="5888" width="9.140625" style="434"/>
    <col min="5889" max="5889" width="35.28515625" style="434" customWidth="1"/>
    <col min="5890" max="5890" width="8.28515625" style="434" customWidth="1"/>
    <col min="5891" max="5891" width="8" style="434" customWidth="1"/>
    <col min="5892" max="5892" width="2.42578125" style="434" customWidth="1"/>
    <col min="5893" max="5894" width="8.28515625" style="434" customWidth="1"/>
    <col min="5895" max="5895" width="2.5703125" style="434" customWidth="1"/>
    <col min="5896" max="5897" width="8.28515625" style="434" customWidth="1"/>
    <col min="5898" max="5898" width="2.42578125" style="434" customWidth="1"/>
    <col min="5899" max="5899" width="7.5703125" style="434" customWidth="1"/>
    <col min="5900" max="5900" width="7.85546875" style="434" customWidth="1"/>
    <col min="5901" max="5901" width="2.7109375" style="434" customWidth="1"/>
    <col min="5902" max="5902" width="7.7109375" style="434" customWidth="1"/>
    <col min="5903" max="5903" width="8" style="434" customWidth="1"/>
    <col min="5904" max="5904" width="2.7109375" style="434" customWidth="1"/>
    <col min="5905" max="5905" width="7.7109375" style="434" customWidth="1"/>
    <col min="5906" max="5906" width="7.85546875" style="434" customWidth="1"/>
    <col min="5907" max="5907" width="2.7109375" style="434" customWidth="1"/>
    <col min="5908" max="5908" width="3.85546875" style="434" customWidth="1"/>
    <col min="5909" max="6144" width="9.140625" style="434"/>
    <col min="6145" max="6145" width="35.28515625" style="434" customWidth="1"/>
    <col min="6146" max="6146" width="8.28515625" style="434" customWidth="1"/>
    <col min="6147" max="6147" width="8" style="434" customWidth="1"/>
    <col min="6148" max="6148" width="2.42578125" style="434" customWidth="1"/>
    <col min="6149" max="6150" width="8.28515625" style="434" customWidth="1"/>
    <col min="6151" max="6151" width="2.5703125" style="434" customWidth="1"/>
    <col min="6152" max="6153" width="8.28515625" style="434" customWidth="1"/>
    <col min="6154" max="6154" width="2.42578125" style="434" customWidth="1"/>
    <col min="6155" max="6155" width="7.5703125" style="434" customWidth="1"/>
    <col min="6156" max="6156" width="7.85546875" style="434" customWidth="1"/>
    <col min="6157" max="6157" width="2.7109375" style="434" customWidth="1"/>
    <col min="6158" max="6158" width="7.7109375" style="434" customWidth="1"/>
    <col min="6159" max="6159" width="8" style="434" customWidth="1"/>
    <col min="6160" max="6160" width="2.7109375" style="434" customWidth="1"/>
    <col min="6161" max="6161" width="7.7109375" style="434" customWidth="1"/>
    <col min="6162" max="6162" width="7.85546875" style="434" customWidth="1"/>
    <col min="6163" max="6163" width="2.7109375" style="434" customWidth="1"/>
    <col min="6164" max="6164" width="3.85546875" style="434" customWidth="1"/>
    <col min="6165" max="6400" width="9.140625" style="434"/>
    <col min="6401" max="6401" width="35.28515625" style="434" customWidth="1"/>
    <col min="6402" max="6402" width="8.28515625" style="434" customWidth="1"/>
    <col min="6403" max="6403" width="8" style="434" customWidth="1"/>
    <col min="6404" max="6404" width="2.42578125" style="434" customWidth="1"/>
    <col min="6405" max="6406" width="8.28515625" style="434" customWidth="1"/>
    <col min="6407" max="6407" width="2.5703125" style="434" customWidth="1"/>
    <col min="6408" max="6409" width="8.28515625" style="434" customWidth="1"/>
    <col min="6410" max="6410" width="2.42578125" style="434" customWidth="1"/>
    <col min="6411" max="6411" width="7.5703125" style="434" customWidth="1"/>
    <col min="6412" max="6412" width="7.85546875" style="434" customWidth="1"/>
    <col min="6413" max="6413" width="2.7109375" style="434" customWidth="1"/>
    <col min="6414" max="6414" width="7.7109375" style="434" customWidth="1"/>
    <col min="6415" max="6415" width="8" style="434" customWidth="1"/>
    <col min="6416" max="6416" width="2.7109375" style="434" customWidth="1"/>
    <col min="6417" max="6417" width="7.7109375" style="434" customWidth="1"/>
    <col min="6418" max="6418" width="7.85546875" style="434" customWidth="1"/>
    <col min="6419" max="6419" width="2.7109375" style="434" customWidth="1"/>
    <col min="6420" max="6420" width="3.85546875" style="434" customWidth="1"/>
    <col min="6421" max="6656" width="9.140625" style="434"/>
    <col min="6657" max="6657" width="35.28515625" style="434" customWidth="1"/>
    <col min="6658" max="6658" width="8.28515625" style="434" customWidth="1"/>
    <col min="6659" max="6659" width="8" style="434" customWidth="1"/>
    <col min="6660" max="6660" width="2.42578125" style="434" customWidth="1"/>
    <col min="6661" max="6662" width="8.28515625" style="434" customWidth="1"/>
    <col min="6663" max="6663" width="2.5703125" style="434" customWidth="1"/>
    <col min="6664" max="6665" width="8.28515625" style="434" customWidth="1"/>
    <col min="6666" max="6666" width="2.42578125" style="434" customWidth="1"/>
    <col min="6667" max="6667" width="7.5703125" style="434" customWidth="1"/>
    <col min="6668" max="6668" width="7.85546875" style="434" customWidth="1"/>
    <col min="6669" max="6669" width="2.7109375" style="434" customWidth="1"/>
    <col min="6670" max="6670" width="7.7109375" style="434" customWidth="1"/>
    <col min="6671" max="6671" width="8" style="434" customWidth="1"/>
    <col min="6672" max="6672" width="2.7109375" style="434" customWidth="1"/>
    <col min="6673" max="6673" width="7.7109375" style="434" customWidth="1"/>
    <col min="6674" max="6674" width="7.85546875" style="434" customWidth="1"/>
    <col min="6675" max="6675" width="2.7109375" style="434" customWidth="1"/>
    <col min="6676" max="6676" width="3.85546875" style="434" customWidth="1"/>
    <col min="6677" max="6912" width="9.140625" style="434"/>
    <col min="6913" max="6913" width="35.28515625" style="434" customWidth="1"/>
    <col min="6914" max="6914" width="8.28515625" style="434" customWidth="1"/>
    <col min="6915" max="6915" width="8" style="434" customWidth="1"/>
    <col min="6916" max="6916" width="2.42578125" style="434" customWidth="1"/>
    <col min="6917" max="6918" width="8.28515625" style="434" customWidth="1"/>
    <col min="6919" max="6919" width="2.5703125" style="434" customWidth="1"/>
    <col min="6920" max="6921" width="8.28515625" style="434" customWidth="1"/>
    <col min="6922" max="6922" width="2.42578125" style="434" customWidth="1"/>
    <col min="6923" max="6923" width="7.5703125" style="434" customWidth="1"/>
    <col min="6924" max="6924" width="7.85546875" style="434" customWidth="1"/>
    <col min="6925" max="6925" width="2.7109375" style="434" customWidth="1"/>
    <col min="6926" max="6926" width="7.7109375" style="434" customWidth="1"/>
    <col min="6927" max="6927" width="8" style="434" customWidth="1"/>
    <col min="6928" max="6928" width="2.7109375" style="434" customWidth="1"/>
    <col min="6929" max="6929" width="7.7109375" style="434" customWidth="1"/>
    <col min="6930" max="6930" width="7.85546875" style="434" customWidth="1"/>
    <col min="6931" max="6931" width="2.7109375" style="434" customWidth="1"/>
    <col min="6932" max="6932" width="3.85546875" style="434" customWidth="1"/>
    <col min="6933" max="7168" width="9.140625" style="434"/>
    <col min="7169" max="7169" width="35.28515625" style="434" customWidth="1"/>
    <col min="7170" max="7170" width="8.28515625" style="434" customWidth="1"/>
    <col min="7171" max="7171" width="8" style="434" customWidth="1"/>
    <col min="7172" max="7172" width="2.42578125" style="434" customWidth="1"/>
    <col min="7173" max="7174" width="8.28515625" style="434" customWidth="1"/>
    <col min="7175" max="7175" width="2.5703125" style="434" customWidth="1"/>
    <col min="7176" max="7177" width="8.28515625" style="434" customWidth="1"/>
    <col min="7178" max="7178" width="2.42578125" style="434" customWidth="1"/>
    <col min="7179" max="7179" width="7.5703125" style="434" customWidth="1"/>
    <col min="7180" max="7180" width="7.85546875" style="434" customWidth="1"/>
    <col min="7181" max="7181" width="2.7109375" style="434" customWidth="1"/>
    <col min="7182" max="7182" width="7.7109375" style="434" customWidth="1"/>
    <col min="7183" max="7183" width="8" style="434" customWidth="1"/>
    <col min="7184" max="7184" width="2.7109375" style="434" customWidth="1"/>
    <col min="7185" max="7185" width="7.7109375" style="434" customWidth="1"/>
    <col min="7186" max="7186" width="7.85546875" style="434" customWidth="1"/>
    <col min="7187" max="7187" width="2.7109375" style="434" customWidth="1"/>
    <col min="7188" max="7188" width="3.85546875" style="434" customWidth="1"/>
    <col min="7189" max="7424" width="9.140625" style="434"/>
    <col min="7425" max="7425" width="35.28515625" style="434" customWidth="1"/>
    <col min="7426" max="7426" width="8.28515625" style="434" customWidth="1"/>
    <col min="7427" max="7427" width="8" style="434" customWidth="1"/>
    <col min="7428" max="7428" width="2.42578125" style="434" customWidth="1"/>
    <col min="7429" max="7430" width="8.28515625" style="434" customWidth="1"/>
    <col min="7431" max="7431" width="2.5703125" style="434" customWidth="1"/>
    <col min="7432" max="7433" width="8.28515625" style="434" customWidth="1"/>
    <col min="7434" max="7434" width="2.42578125" style="434" customWidth="1"/>
    <col min="7435" max="7435" width="7.5703125" style="434" customWidth="1"/>
    <col min="7436" max="7436" width="7.85546875" style="434" customWidth="1"/>
    <col min="7437" max="7437" width="2.7109375" style="434" customWidth="1"/>
    <col min="7438" max="7438" width="7.7109375" style="434" customWidth="1"/>
    <col min="7439" max="7439" width="8" style="434" customWidth="1"/>
    <col min="7440" max="7440" width="2.7109375" style="434" customWidth="1"/>
    <col min="7441" max="7441" width="7.7109375" style="434" customWidth="1"/>
    <col min="7442" max="7442" width="7.85546875" style="434" customWidth="1"/>
    <col min="7443" max="7443" width="2.7109375" style="434" customWidth="1"/>
    <col min="7444" max="7444" width="3.85546875" style="434" customWidth="1"/>
    <col min="7445" max="7680" width="9.140625" style="434"/>
    <col min="7681" max="7681" width="35.28515625" style="434" customWidth="1"/>
    <col min="7682" max="7682" width="8.28515625" style="434" customWidth="1"/>
    <col min="7683" max="7683" width="8" style="434" customWidth="1"/>
    <col min="7684" max="7684" width="2.42578125" style="434" customWidth="1"/>
    <col min="7685" max="7686" width="8.28515625" style="434" customWidth="1"/>
    <col min="7687" max="7687" width="2.5703125" style="434" customWidth="1"/>
    <col min="7688" max="7689" width="8.28515625" style="434" customWidth="1"/>
    <col min="7690" max="7690" width="2.42578125" style="434" customWidth="1"/>
    <col min="7691" max="7691" width="7.5703125" style="434" customWidth="1"/>
    <col min="7692" max="7692" width="7.85546875" style="434" customWidth="1"/>
    <col min="7693" max="7693" width="2.7109375" style="434" customWidth="1"/>
    <col min="7694" max="7694" width="7.7109375" style="434" customWidth="1"/>
    <col min="7695" max="7695" width="8" style="434" customWidth="1"/>
    <col min="7696" max="7696" width="2.7109375" style="434" customWidth="1"/>
    <col min="7697" max="7697" width="7.7109375" style="434" customWidth="1"/>
    <col min="7698" max="7698" width="7.85546875" style="434" customWidth="1"/>
    <col min="7699" max="7699" width="2.7109375" style="434" customWidth="1"/>
    <col min="7700" max="7700" width="3.85546875" style="434" customWidth="1"/>
    <col min="7701" max="7936" width="9.140625" style="434"/>
    <col min="7937" max="7937" width="35.28515625" style="434" customWidth="1"/>
    <col min="7938" max="7938" width="8.28515625" style="434" customWidth="1"/>
    <col min="7939" max="7939" width="8" style="434" customWidth="1"/>
    <col min="7940" max="7940" width="2.42578125" style="434" customWidth="1"/>
    <col min="7941" max="7942" width="8.28515625" style="434" customWidth="1"/>
    <col min="7943" max="7943" width="2.5703125" style="434" customWidth="1"/>
    <col min="7944" max="7945" width="8.28515625" style="434" customWidth="1"/>
    <col min="7946" max="7946" width="2.42578125" style="434" customWidth="1"/>
    <col min="7947" max="7947" width="7.5703125" style="434" customWidth="1"/>
    <col min="7948" max="7948" width="7.85546875" style="434" customWidth="1"/>
    <col min="7949" max="7949" width="2.7109375" style="434" customWidth="1"/>
    <col min="7950" max="7950" width="7.7109375" style="434" customWidth="1"/>
    <col min="7951" max="7951" width="8" style="434" customWidth="1"/>
    <col min="7952" max="7952" width="2.7109375" style="434" customWidth="1"/>
    <col min="7953" max="7953" width="7.7109375" style="434" customWidth="1"/>
    <col min="7954" max="7954" width="7.85546875" style="434" customWidth="1"/>
    <col min="7955" max="7955" width="2.7109375" style="434" customWidth="1"/>
    <col min="7956" max="7956" width="3.85546875" style="434" customWidth="1"/>
    <col min="7957" max="8192" width="9.140625" style="434"/>
    <col min="8193" max="8193" width="35.28515625" style="434" customWidth="1"/>
    <col min="8194" max="8194" width="8.28515625" style="434" customWidth="1"/>
    <col min="8195" max="8195" width="8" style="434" customWidth="1"/>
    <col min="8196" max="8196" width="2.42578125" style="434" customWidth="1"/>
    <col min="8197" max="8198" width="8.28515625" style="434" customWidth="1"/>
    <col min="8199" max="8199" width="2.5703125" style="434" customWidth="1"/>
    <col min="8200" max="8201" width="8.28515625" style="434" customWidth="1"/>
    <col min="8202" max="8202" width="2.42578125" style="434" customWidth="1"/>
    <col min="8203" max="8203" width="7.5703125" style="434" customWidth="1"/>
    <col min="8204" max="8204" width="7.85546875" style="434" customWidth="1"/>
    <col min="8205" max="8205" width="2.7109375" style="434" customWidth="1"/>
    <col min="8206" max="8206" width="7.7109375" style="434" customWidth="1"/>
    <col min="8207" max="8207" width="8" style="434" customWidth="1"/>
    <col min="8208" max="8208" width="2.7109375" style="434" customWidth="1"/>
    <col min="8209" max="8209" width="7.7109375" style="434" customWidth="1"/>
    <col min="8210" max="8210" width="7.85546875" style="434" customWidth="1"/>
    <col min="8211" max="8211" width="2.7109375" style="434" customWidth="1"/>
    <col min="8212" max="8212" width="3.85546875" style="434" customWidth="1"/>
    <col min="8213" max="8448" width="9.140625" style="434"/>
    <col min="8449" max="8449" width="35.28515625" style="434" customWidth="1"/>
    <col min="8450" max="8450" width="8.28515625" style="434" customWidth="1"/>
    <col min="8451" max="8451" width="8" style="434" customWidth="1"/>
    <col min="8452" max="8452" width="2.42578125" style="434" customWidth="1"/>
    <col min="8453" max="8454" width="8.28515625" style="434" customWidth="1"/>
    <col min="8455" max="8455" width="2.5703125" style="434" customWidth="1"/>
    <col min="8456" max="8457" width="8.28515625" style="434" customWidth="1"/>
    <col min="8458" max="8458" width="2.42578125" style="434" customWidth="1"/>
    <col min="8459" max="8459" width="7.5703125" style="434" customWidth="1"/>
    <col min="8460" max="8460" width="7.85546875" style="434" customWidth="1"/>
    <col min="8461" max="8461" width="2.7109375" style="434" customWidth="1"/>
    <col min="8462" max="8462" width="7.7109375" style="434" customWidth="1"/>
    <col min="8463" max="8463" width="8" style="434" customWidth="1"/>
    <col min="8464" max="8464" width="2.7109375" style="434" customWidth="1"/>
    <col min="8465" max="8465" width="7.7109375" style="434" customWidth="1"/>
    <col min="8466" max="8466" width="7.85546875" style="434" customWidth="1"/>
    <col min="8467" max="8467" width="2.7109375" style="434" customWidth="1"/>
    <col min="8468" max="8468" width="3.85546875" style="434" customWidth="1"/>
    <col min="8469" max="8704" width="9.140625" style="434"/>
    <col min="8705" max="8705" width="35.28515625" style="434" customWidth="1"/>
    <col min="8706" max="8706" width="8.28515625" style="434" customWidth="1"/>
    <col min="8707" max="8707" width="8" style="434" customWidth="1"/>
    <col min="8708" max="8708" width="2.42578125" style="434" customWidth="1"/>
    <col min="8709" max="8710" width="8.28515625" style="434" customWidth="1"/>
    <col min="8711" max="8711" width="2.5703125" style="434" customWidth="1"/>
    <col min="8712" max="8713" width="8.28515625" style="434" customWidth="1"/>
    <col min="8714" max="8714" width="2.42578125" style="434" customWidth="1"/>
    <col min="8715" max="8715" width="7.5703125" style="434" customWidth="1"/>
    <col min="8716" max="8716" width="7.85546875" style="434" customWidth="1"/>
    <col min="8717" max="8717" width="2.7109375" style="434" customWidth="1"/>
    <col min="8718" max="8718" width="7.7109375" style="434" customWidth="1"/>
    <col min="8719" max="8719" width="8" style="434" customWidth="1"/>
    <col min="8720" max="8720" width="2.7109375" style="434" customWidth="1"/>
    <col min="8721" max="8721" width="7.7109375" style="434" customWidth="1"/>
    <col min="8722" max="8722" width="7.85546875" style="434" customWidth="1"/>
    <col min="8723" max="8723" width="2.7109375" style="434" customWidth="1"/>
    <col min="8724" max="8724" width="3.85546875" style="434" customWidth="1"/>
    <col min="8725" max="8960" width="9.140625" style="434"/>
    <col min="8961" max="8961" width="35.28515625" style="434" customWidth="1"/>
    <col min="8962" max="8962" width="8.28515625" style="434" customWidth="1"/>
    <col min="8963" max="8963" width="8" style="434" customWidth="1"/>
    <col min="8964" max="8964" width="2.42578125" style="434" customWidth="1"/>
    <col min="8965" max="8966" width="8.28515625" style="434" customWidth="1"/>
    <col min="8967" max="8967" width="2.5703125" style="434" customWidth="1"/>
    <col min="8968" max="8969" width="8.28515625" style="434" customWidth="1"/>
    <col min="8970" max="8970" width="2.42578125" style="434" customWidth="1"/>
    <col min="8971" max="8971" width="7.5703125" style="434" customWidth="1"/>
    <col min="8972" max="8972" width="7.85546875" style="434" customWidth="1"/>
    <col min="8973" max="8973" width="2.7109375" style="434" customWidth="1"/>
    <col min="8974" max="8974" width="7.7109375" style="434" customWidth="1"/>
    <col min="8975" max="8975" width="8" style="434" customWidth="1"/>
    <col min="8976" max="8976" width="2.7109375" style="434" customWidth="1"/>
    <col min="8977" max="8977" width="7.7109375" style="434" customWidth="1"/>
    <col min="8978" max="8978" width="7.85546875" style="434" customWidth="1"/>
    <col min="8979" max="8979" width="2.7109375" style="434" customWidth="1"/>
    <col min="8980" max="8980" width="3.85546875" style="434" customWidth="1"/>
    <col min="8981" max="9216" width="9.140625" style="434"/>
    <col min="9217" max="9217" width="35.28515625" style="434" customWidth="1"/>
    <col min="9218" max="9218" width="8.28515625" style="434" customWidth="1"/>
    <col min="9219" max="9219" width="8" style="434" customWidth="1"/>
    <col min="9220" max="9220" width="2.42578125" style="434" customWidth="1"/>
    <col min="9221" max="9222" width="8.28515625" style="434" customWidth="1"/>
    <col min="9223" max="9223" width="2.5703125" style="434" customWidth="1"/>
    <col min="9224" max="9225" width="8.28515625" style="434" customWidth="1"/>
    <col min="9226" max="9226" width="2.42578125" style="434" customWidth="1"/>
    <col min="9227" max="9227" width="7.5703125" style="434" customWidth="1"/>
    <col min="9228" max="9228" width="7.85546875" style="434" customWidth="1"/>
    <col min="9229" max="9229" width="2.7109375" style="434" customWidth="1"/>
    <col min="9230" max="9230" width="7.7109375" style="434" customWidth="1"/>
    <col min="9231" max="9231" width="8" style="434" customWidth="1"/>
    <col min="9232" max="9232" width="2.7109375" style="434" customWidth="1"/>
    <col min="9233" max="9233" width="7.7109375" style="434" customWidth="1"/>
    <col min="9234" max="9234" width="7.85546875" style="434" customWidth="1"/>
    <col min="9235" max="9235" width="2.7109375" style="434" customWidth="1"/>
    <col min="9236" max="9236" width="3.85546875" style="434" customWidth="1"/>
    <col min="9237" max="9472" width="9.140625" style="434"/>
    <col min="9473" max="9473" width="35.28515625" style="434" customWidth="1"/>
    <col min="9474" max="9474" width="8.28515625" style="434" customWidth="1"/>
    <col min="9475" max="9475" width="8" style="434" customWidth="1"/>
    <col min="9476" max="9476" width="2.42578125" style="434" customWidth="1"/>
    <col min="9477" max="9478" width="8.28515625" style="434" customWidth="1"/>
    <col min="9479" max="9479" width="2.5703125" style="434" customWidth="1"/>
    <col min="9480" max="9481" width="8.28515625" style="434" customWidth="1"/>
    <col min="9482" max="9482" width="2.42578125" style="434" customWidth="1"/>
    <col min="9483" max="9483" width="7.5703125" style="434" customWidth="1"/>
    <col min="9484" max="9484" width="7.85546875" style="434" customWidth="1"/>
    <col min="9485" max="9485" width="2.7109375" style="434" customWidth="1"/>
    <col min="9486" max="9486" width="7.7109375" style="434" customWidth="1"/>
    <col min="9487" max="9487" width="8" style="434" customWidth="1"/>
    <col min="9488" max="9488" width="2.7109375" style="434" customWidth="1"/>
    <col min="9489" max="9489" width="7.7109375" style="434" customWidth="1"/>
    <col min="9490" max="9490" width="7.85546875" style="434" customWidth="1"/>
    <col min="9491" max="9491" width="2.7109375" style="434" customWidth="1"/>
    <col min="9492" max="9492" width="3.85546875" style="434" customWidth="1"/>
    <col min="9493" max="9728" width="9.140625" style="434"/>
    <col min="9729" max="9729" width="35.28515625" style="434" customWidth="1"/>
    <col min="9730" max="9730" width="8.28515625" style="434" customWidth="1"/>
    <col min="9731" max="9731" width="8" style="434" customWidth="1"/>
    <col min="9732" max="9732" width="2.42578125" style="434" customWidth="1"/>
    <col min="9733" max="9734" width="8.28515625" style="434" customWidth="1"/>
    <col min="9735" max="9735" width="2.5703125" style="434" customWidth="1"/>
    <col min="9736" max="9737" width="8.28515625" style="434" customWidth="1"/>
    <col min="9738" max="9738" width="2.42578125" style="434" customWidth="1"/>
    <col min="9739" max="9739" width="7.5703125" style="434" customWidth="1"/>
    <col min="9740" max="9740" width="7.85546875" style="434" customWidth="1"/>
    <col min="9741" max="9741" width="2.7109375" style="434" customWidth="1"/>
    <col min="9742" max="9742" width="7.7109375" style="434" customWidth="1"/>
    <col min="9743" max="9743" width="8" style="434" customWidth="1"/>
    <col min="9744" max="9744" width="2.7109375" style="434" customWidth="1"/>
    <col min="9745" max="9745" width="7.7109375" style="434" customWidth="1"/>
    <col min="9746" max="9746" width="7.85546875" style="434" customWidth="1"/>
    <col min="9747" max="9747" width="2.7109375" style="434" customWidth="1"/>
    <col min="9748" max="9748" width="3.85546875" style="434" customWidth="1"/>
    <col min="9749" max="9984" width="9.140625" style="434"/>
    <col min="9985" max="9985" width="35.28515625" style="434" customWidth="1"/>
    <col min="9986" max="9986" width="8.28515625" style="434" customWidth="1"/>
    <col min="9987" max="9987" width="8" style="434" customWidth="1"/>
    <col min="9988" max="9988" width="2.42578125" style="434" customWidth="1"/>
    <col min="9989" max="9990" width="8.28515625" style="434" customWidth="1"/>
    <col min="9991" max="9991" width="2.5703125" style="434" customWidth="1"/>
    <col min="9992" max="9993" width="8.28515625" style="434" customWidth="1"/>
    <col min="9994" max="9994" width="2.42578125" style="434" customWidth="1"/>
    <col min="9995" max="9995" width="7.5703125" style="434" customWidth="1"/>
    <col min="9996" max="9996" width="7.85546875" style="434" customWidth="1"/>
    <col min="9997" max="9997" width="2.7109375" style="434" customWidth="1"/>
    <col min="9998" max="9998" width="7.7109375" style="434" customWidth="1"/>
    <col min="9999" max="9999" width="8" style="434" customWidth="1"/>
    <col min="10000" max="10000" width="2.7109375" style="434" customWidth="1"/>
    <col min="10001" max="10001" width="7.7109375" style="434" customWidth="1"/>
    <col min="10002" max="10002" width="7.85546875" style="434" customWidth="1"/>
    <col min="10003" max="10003" width="2.7109375" style="434" customWidth="1"/>
    <col min="10004" max="10004" width="3.85546875" style="434" customWidth="1"/>
    <col min="10005" max="10240" width="9.140625" style="434"/>
    <col min="10241" max="10241" width="35.28515625" style="434" customWidth="1"/>
    <col min="10242" max="10242" width="8.28515625" style="434" customWidth="1"/>
    <col min="10243" max="10243" width="8" style="434" customWidth="1"/>
    <col min="10244" max="10244" width="2.42578125" style="434" customWidth="1"/>
    <col min="10245" max="10246" width="8.28515625" style="434" customWidth="1"/>
    <col min="10247" max="10247" width="2.5703125" style="434" customWidth="1"/>
    <col min="10248" max="10249" width="8.28515625" style="434" customWidth="1"/>
    <col min="10250" max="10250" width="2.42578125" style="434" customWidth="1"/>
    <col min="10251" max="10251" width="7.5703125" style="434" customWidth="1"/>
    <col min="10252" max="10252" width="7.85546875" style="434" customWidth="1"/>
    <col min="10253" max="10253" width="2.7109375" style="434" customWidth="1"/>
    <col min="10254" max="10254" width="7.7109375" style="434" customWidth="1"/>
    <col min="10255" max="10255" width="8" style="434" customWidth="1"/>
    <col min="10256" max="10256" width="2.7109375" style="434" customWidth="1"/>
    <col min="10257" max="10257" width="7.7109375" style="434" customWidth="1"/>
    <col min="10258" max="10258" width="7.85546875" style="434" customWidth="1"/>
    <col min="10259" max="10259" width="2.7109375" style="434" customWidth="1"/>
    <col min="10260" max="10260" width="3.85546875" style="434" customWidth="1"/>
    <col min="10261" max="10496" width="9.140625" style="434"/>
    <col min="10497" max="10497" width="35.28515625" style="434" customWidth="1"/>
    <col min="10498" max="10498" width="8.28515625" style="434" customWidth="1"/>
    <col min="10499" max="10499" width="8" style="434" customWidth="1"/>
    <col min="10500" max="10500" width="2.42578125" style="434" customWidth="1"/>
    <col min="10501" max="10502" width="8.28515625" style="434" customWidth="1"/>
    <col min="10503" max="10503" width="2.5703125" style="434" customWidth="1"/>
    <col min="10504" max="10505" width="8.28515625" style="434" customWidth="1"/>
    <col min="10506" max="10506" width="2.42578125" style="434" customWidth="1"/>
    <col min="10507" max="10507" width="7.5703125" style="434" customWidth="1"/>
    <col min="10508" max="10508" width="7.85546875" style="434" customWidth="1"/>
    <col min="10509" max="10509" width="2.7109375" style="434" customWidth="1"/>
    <col min="10510" max="10510" width="7.7109375" style="434" customWidth="1"/>
    <col min="10511" max="10511" width="8" style="434" customWidth="1"/>
    <col min="10512" max="10512" width="2.7109375" style="434" customWidth="1"/>
    <col min="10513" max="10513" width="7.7109375" style="434" customWidth="1"/>
    <col min="10514" max="10514" width="7.85546875" style="434" customWidth="1"/>
    <col min="10515" max="10515" width="2.7109375" style="434" customWidth="1"/>
    <col min="10516" max="10516" width="3.85546875" style="434" customWidth="1"/>
    <col min="10517" max="10752" width="9.140625" style="434"/>
    <col min="10753" max="10753" width="35.28515625" style="434" customWidth="1"/>
    <col min="10754" max="10754" width="8.28515625" style="434" customWidth="1"/>
    <col min="10755" max="10755" width="8" style="434" customWidth="1"/>
    <col min="10756" max="10756" width="2.42578125" style="434" customWidth="1"/>
    <col min="10757" max="10758" width="8.28515625" style="434" customWidth="1"/>
    <col min="10759" max="10759" width="2.5703125" style="434" customWidth="1"/>
    <col min="10760" max="10761" width="8.28515625" style="434" customWidth="1"/>
    <col min="10762" max="10762" width="2.42578125" style="434" customWidth="1"/>
    <col min="10763" max="10763" width="7.5703125" style="434" customWidth="1"/>
    <col min="10764" max="10764" width="7.85546875" style="434" customWidth="1"/>
    <col min="10765" max="10765" width="2.7109375" style="434" customWidth="1"/>
    <col min="10766" max="10766" width="7.7109375" style="434" customWidth="1"/>
    <col min="10767" max="10767" width="8" style="434" customWidth="1"/>
    <col min="10768" max="10768" width="2.7109375" style="434" customWidth="1"/>
    <col min="10769" max="10769" width="7.7109375" style="434" customWidth="1"/>
    <col min="10770" max="10770" width="7.85546875" style="434" customWidth="1"/>
    <col min="10771" max="10771" width="2.7109375" style="434" customWidth="1"/>
    <col min="10772" max="10772" width="3.85546875" style="434" customWidth="1"/>
    <col min="10773" max="11008" width="9.140625" style="434"/>
    <col min="11009" max="11009" width="35.28515625" style="434" customWidth="1"/>
    <col min="11010" max="11010" width="8.28515625" style="434" customWidth="1"/>
    <col min="11011" max="11011" width="8" style="434" customWidth="1"/>
    <col min="11012" max="11012" width="2.42578125" style="434" customWidth="1"/>
    <col min="11013" max="11014" width="8.28515625" style="434" customWidth="1"/>
    <col min="11015" max="11015" width="2.5703125" style="434" customWidth="1"/>
    <col min="11016" max="11017" width="8.28515625" style="434" customWidth="1"/>
    <col min="11018" max="11018" width="2.42578125" style="434" customWidth="1"/>
    <col min="11019" max="11019" width="7.5703125" style="434" customWidth="1"/>
    <col min="11020" max="11020" width="7.85546875" style="434" customWidth="1"/>
    <col min="11021" max="11021" width="2.7109375" style="434" customWidth="1"/>
    <col min="11022" max="11022" width="7.7109375" style="434" customWidth="1"/>
    <col min="11023" max="11023" width="8" style="434" customWidth="1"/>
    <col min="11024" max="11024" width="2.7109375" style="434" customWidth="1"/>
    <col min="11025" max="11025" width="7.7109375" style="434" customWidth="1"/>
    <col min="11026" max="11026" width="7.85546875" style="434" customWidth="1"/>
    <col min="11027" max="11027" width="2.7109375" style="434" customWidth="1"/>
    <col min="11028" max="11028" width="3.85546875" style="434" customWidth="1"/>
    <col min="11029" max="11264" width="9.140625" style="434"/>
    <col min="11265" max="11265" width="35.28515625" style="434" customWidth="1"/>
    <col min="11266" max="11266" width="8.28515625" style="434" customWidth="1"/>
    <col min="11267" max="11267" width="8" style="434" customWidth="1"/>
    <col min="11268" max="11268" width="2.42578125" style="434" customWidth="1"/>
    <col min="11269" max="11270" width="8.28515625" style="434" customWidth="1"/>
    <col min="11271" max="11271" width="2.5703125" style="434" customWidth="1"/>
    <col min="11272" max="11273" width="8.28515625" style="434" customWidth="1"/>
    <col min="11274" max="11274" width="2.42578125" style="434" customWidth="1"/>
    <col min="11275" max="11275" width="7.5703125" style="434" customWidth="1"/>
    <col min="11276" max="11276" width="7.85546875" style="434" customWidth="1"/>
    <col min="11277" max="11277" width="2.7109375" style="434" customWidth="1"/>
    <col min="11278" max="11278" width="7.7109375" style="434" customWidth="1"/>
    <col min="11279" max="11279" width="8" style="434" customWidth="1"/>
    <col min="11280" max="11280" width="2.7109375" style="434" customWidth="1"/>
    <col min="11281" max="11281" width="7.7109375" style="434" customWidth="1"/>
    <col min="11282" max="11282" width="7.85546875" style="434" customWidth="1"/>
    <col min="11283" max="11283" width="2.7109375" style="434" customWidth="1"/>
    <col min="11284" max="11284" width="3.85546875" style="434" customWidth="1"/>
    <col min="11285" max="11520" width="9.140625" style="434"/>
    <col min="11521" max="11521" width="35.28515625" style="434" customWidth="1"/>
    <col min="11522" max="11522" width="8.28515625" style="434" customWidth="1"/>
    <col min="11523" max="11523" width="8" style="434" customWidth="1"/>
    <col min="11524" max="11524" width="2.42578125" style="434" customWidth="1"/>
    <col min="11525" max="11526" width="8.28515625" style="434" customWidth="1"/>
    <col min="11527" max="11527" width="2.5703125" style="434" customWidth="1"/>
    <col min="11528" max="11529" width="8.28515625" style="434" customWidth="1"/>
    <col min="11530" max="11530" width="2.42578125" style="434" customWidth="1"/>
    <col min="11531" max="11531" width="7.5703125" style="434" customWidth="1"/>
    <col min="11532" max="11532" width="7.85546875" style="434" customWidth="1"/>
    <col min="11533" max="11533" width="2.7109375" style="434" customWidth="1"/>
    <col min="11534" max="11534" width="7.7109375" style="434" customWidth="1"/>
    <col min="11535" max="11535" width="8" style="434" customWidth="1"/>
    <col min="11536" max="11536" width="2.7109375" style="434" customWidth="1"/>
    <col min="11537" max="11537" width="7.7109375" style="434" customWidth="1"/>
    <col min="11538" max="11538" width="7.85546875" style="434" customWidth="1"/>
    <col min="11539" max="11539" width="2.7109375" style="434" customWidth="1"/>
    <col min="11540" max="11540" width="3.85546875" style="434" customWidth="1"/>
    <col min="11541" max="11776" width="9.140625" style="434"/>
    <col min="11777" max="11777" width="35.28515625" style="434" customWidth="1"/>
    <col min="11778" max="11778" width="8.28515625" style="434" customWidth="1"/>
    <col min="11779" max="11779" width="8" style="434" customWidth="1"/>
    <col min="11780" max="11780" width="2.42578125" style="434" customWidth="1"/>
    <col min="11781" max="11782" width="8.28515625" style="434" customWidth="1"/>
    <col min="11783" max="11783" width="2.5703125" style="434" customWidth="1"/>
    <col min="11784" max="11785" width="8.28515625" style="434" customWidth="1"/>
    <col min="11786" max="11786" width="2.42578125" style="434" customWidth="1"/>
    <col min="11787" max="11787" width="7.5703125" style="434" customWidth="1"/>
    <col min="11788" max="11788" width="7.85546875" style="434" customWidth="1"/>
    <col min="11789" max="11789" width="2.7109375" style="434" customWidth="1"/>
    <col min="11790" max="11790" width="7.7109375" style="434" customWidth="1"/>
    <col min="11791" max="11791" width="8" style="434" customWidth="1"/>
    <col min="11792" max="11792" width="2.7109375" style="434" customWidth="1"/>
    <col min="11793" max="11793" width="7.7109375" style="434" customWidth="1"/>
    <col min="11794" max="11794" width="7.85546875" style="434" customWidth="1"/>
    <col min="11795" max="11795" width="2.7109375" style="434" customWidth="1"/>
    <col min="11796" max="11796" width="3.85546875" style="434" customWidth="1"/>
    <col min="11797" max="12032" width="9.140625" style="434"/>
    <col min="12033" max="12033" width="35.28515625" style="434" customWidth="1"/>
    <col min="12034" max="12034" width="8.28515625" style="434" customWidth="1"/>
    <col min="12035" max="12035" width="8" style="434" customWidth="1"/>
    <col min="12036" max="12036" width="2.42578125" style="434" customWidth="1"/>
    <col min="12037" max="12038" width="8.28515625" style="434" customWidth="1"/>
    <col min="12039" max="12039" width="2.5703125" style="434" customWidth="1"/>
    <col min="12040" max="12041" width="8.28515625" style="434" customWidth="1"/>
    <col min="12042" max="12042" width="2.42578125" style="434" customWidth="1"/>
    <col min="12043" max="12043" width="7.5703125" style="434" customWidth="1"/>
    <col min="12044" max="12044" width="7.85546875" style="434" customWidth="1"/>
    <col min="12045" max="12045" width="2.7109375" style="434" customWidth="1"/>
    <col min="12046" max="12046" width="7.7109375" style="434" customWidth="1"/>
    <col min="12047" max="12047" width="8" style="434" customWidth="1"/>
    <col min="12048" max="12048" width="2.7109375" style="434" customWidth="1"/>
    <col min="12049" max="12049" width="7.7109375" style="434" customWidth="1"/>
    <col min="12050" max="12050" width="7.85546875" style="434" customWidth="1"/>
    <col min="12051" max="12051" width="2.7109375" style="434" customWidth="1"/>
    <col min="12052" max="12052" width="3.85546875" style="434" customWidth="1"/>
    <col min="12053" max="12288" width="9.140625" style="434"/>
    <col min="12289" max="12289" width="35.28515625" style="434" customWidth="1"/>
    <col min="12290" max="12290" width="8.28515625" style="434" customWidth="1"/>
    <col min="12291" max="12291" width="8" style="434" customWidth="1"/>
    <col min="12292" max="12292" width="2.42578125" style="434" customWidth="1"/>
    <col min="12293" max="12294" width="8.28515625" style="434" customWidth="1"/>
    <col min="12295" max="12295" width="2.5703125" style="434" customWidth="1"/>
    <col min="12296" max="12297" width="8.28515625" style="434" customWidth="1"/>
    <col min="12298" max="12298" width="2.42578125" style="434" customWidth="1"/>
    <col min="12299" max="12299" width="7.5703125" style="434" customWidth="1"/>
    <col min="12300" max="12300" width="7.85546875" style="434" customWidth="1"/>
    <col min="12301" max="12301" width="2.7109375" style="434" customWidth="1"/>
    <col min="12302" max="12302" width="7.7109375" style="434" customWidth="1"/>
    <col min="12303" max="12303" width="8" style="434" customWidth="1"/>
    <col min="12304" max="12304" width="2.7109375" style="434" customWidth="1"/>
    <col min="12305" max="12305" width="7.7109375" style="434" customWidth="1"/>
    <col min="12306" max="12306" width="7.85546875" style="434" customWidth="1"/>
    <col min="12307" max="12307" width="2.7109375" style="434" customWidth="1"/>
    <col min="12308" max="12308" width="3.85546875" style="434" customWidth="1"/>
    <col min="12309" max="12544" width="9.140625" style="434"/>
    <col min="12545" max="12545" width="35.28515625" style="434" customWidth="1"/>
    <col min="12546" max="12546" width="8.28515625" style="434" customWidth="1"/>
    <col min="12547" max="12547" width="8" style="434" customWidth="1"/>
    <col min="12548" max="12548" width="2.42578125" style="434" customWidth="1"/>
    <col min="12549" max="12550" width="8.28515625" style="434" customWidth="1"/>
    <col min="12551" max="12551" width="2.5703125" style="434" customWidth="1"/>
    <col min="12552" max="12553" width="8.28515625" style="434" customWidth="1"/>
    <col min="12554" max="12554" width="2.42578125" style="434" customWidth="1"/>
    <col min="12555" max="12555" width="7.5703125" style="434" customWidth="1"/>
    <col min="12556" max="12556" width="7.85546875" style="434" customWidth="1"/>
    <col min="12557" max="12557" width="2.7109375" style="434" customWidth="1"/>
    <col min="12558" max="12558" width="7.7109375" style="434" customWidth="1"/>
    <col min="12559" max="12559" width="8" style="434" customWidth="1"/>
    <col min="12560" max="12560" width="2.7109375" style="434" customWidth="1"/>
    <col min="12561" max="12561" width="7.7109375" style="434" customWidth="1"/>
    <col min="12562" max="12562" width="7.85546875" style="434" customWidth="1"/>
    <col min="12563" max="12563" width="2.7109375" style="434" customWidth="1"/>
    <col min="12564" max="12564" width="3.85546875" style="434" customWidth="1"/>
    <col min="12565" max="12800" width="9.140625" style="434"/>
    <col min="12801" max="12801" width="35.28515625" style="434" customWidth="1"/>
    <col min="12802" max="12802" width="8.28515625" style="434" customWidth="1"/>
    <col min="12803" max="12803" width="8" style="434" customWidth="1"/>
    <col min="12804" max="12804" width="2.42578125" style="434" customWidth="1"/>
    <col min="12805" max="12806" width="8.28515625" style="434" customWidth="1"/>
    <col min="12807" max="12807" width="2.5703125" style="434" customWidth="1"/>
    <col min="12808" max="12809" width="8.28515625" style="434" customWidth="1"/>
    <col min="12810" max="12810" width="2.42578125" style="434" customWidth="1"/>
    <col min="12811" max="12811" width="7.5703125" style="434" customWidth="1"/>
    <col min="12812" max="12812" width="7.85546875" style="434" customWidth="1"/>
    <col min="12813" max="12813" width="2.7109375" style="434" customWidth="1"/>
    <col min="12814" max="12814" width="7.7109375" style="434" customWidth="1"/>
    <col min="12815" max="12815" width="8" style="434" customWidth="1"/>
    <col min="12816" max="12816" width="2.7109375" style="434" customWidth="1"/>
    <col min="12817" max="12817" width="7.7109375" style="434" customWidth="1"/>
    <col min="12818" max="12818" width="7.85546875" style="434" customWidth="1"/>
    <col min="12819" max="12819" width="2.7109375" style="434" customWidth="1"/>
    <col min="12820" max="12820" width="3.85546875" style="434" customWidth="1"/>
    <col min="12821" max="13056" width="9.140625" style="434"/>
    <col min="13057" max="13057" width="35.28515625" style="434" customWidth="1"/>
    <col min="13058" max="13058" width="8.28515625" style="434" customWidth="1"/>
    <col min="13059" max="13059" width="8" style="434" customWidth="1"/>
    <col min="13060" max="13060" width="2.42578125" style="434" customWidth="1"/>
    <col min="13061" max="13062" width="8.28515625" style="434" customWidth="1"/>
    <col min="13063" max="13063" width="2.5703125" style="434" customWidth="1"/>
    <col min="13064" max="13065" width="8.28515625" style="434" customWidth="1"/>
    <col min="13066" max="13066" width="2.42578125" style="434" customWidth="1"/>
    <col min="13067" max="13067" width="7.5703125" style="434" customWidth="1"/>
    <col min="13068" max="13068" width="7.85546875" style="434" customWidth="1"/>
    <col min="13069" max="13069" width="2.7109375" style="434" customWidth="1"/>
    <col min="13070" max="13070" width="7.7109375" style="434" customWidth="1"/>
    <col min="13071" max="13071" width="8" style="434" customWidth="1"/>
    <col min="13072" max="13072" width="2.7109375" style="434" customWidth="1"/>
    <col min="13073" max="13073" width="7.7109375" style="434" customWidth="1"/>
    <col min="13074" max="13074" width="7.85546875" style="434" customWidth="1"/>
    <col min="13075" max="13075" width="2.7109375" style="434" customWidth="1"/>
    <col min="13076" max="13076" width="3.85546875" style="434" customWidth="1"/>
    <col min="13077" max="13312" width="9.140625" style="434"/>
    <col min="13313" max="13313" width="35.28515625" style="434" customWidth="1"/>
    <col min="13314" max="13314" width="8.28515625" style="434" customWidth="1"/>
    <col min="13315" max="13315" width="8" style="434" customWidth="1"/>
    <col min="13316" max="13316" width="2.42578125" style="434" customWidth="1"/>
    <col min="13317" max="13318" width="8.28515625" style="434" customWidth="1"/>
    <col min="13319" max="13319" width="2.5703125" style="434" customWidth="1"/>
    <col min="13320" max="13321" width="8.28515625" style="434" customWidth="1"/>
    <col min="13322" max="13322" width="2.42578125" style="434" customWidth="1"/>
    <col min="13323" max="13323" width="7.5703125" style="434" customWidth="1"/>
    <col min="13324" max="13324" width="7.85546875" style="434" customWidth="1"/>
    <col min="13325" max="13325" width="2.7109375" style="434" customWidth="1"/>
    <col min="13326" max="13326" width="7.7109375" style="434" customWidth="1"/>
    <col min="13327" max="13327" width="8" style="434" customWidth="1"/>
    <col min="13328" max="13328" width="2.7109375" style="434" customWidth="1"/>
    <col min="13329" max="13329" width="7.7109375" style="434" customWidth="1"/>
    <col min="13330" max="13330" width="7.85546875" style="434" customWidth="1"/>
    <col min="13331" max="13331" width="2.7109375" style="434" customWidth="1"/>
    <col min="13332" max="13332" width="3.85546875" style="434" customWidth="1"/>
    <col min="13333" max="13568" width="9.140625" style="434"/>
    <col min="13569" max="13569" width="35.28515625" style="434" customWidth="1"/>
    <col min="13570" max="13570" width="8.28515625" style="434" customWidth="1"/>
    <col min="13571" max="13571" width="8" style="434" customWidth="1"/>
    <col min="13572" max="13572" width="2.42578125" style="434" customWidth="1"/>
    <col min="13573" max="13574" width="8.28515625" style="434" customWidth="1"/>
    <col min="13575" max="13575" width="2.5703125" style="434" customWidth="1"/>
    <col min="13576" max="13577" width="8.28515625" style="434" customWidth="1"/>
    <col min="13578" max="13578" width="2.42578125" style="434" customWidth="1"/>
    <col min="13579" max="13579" width="7.5703125" style="434" customWidth="1"/>
    <col min="13580" max="13580" width="7.85546875" style="434" customWidth="1"/>
    <col min="13581" max="13581" width="2.7109375" style="434" customWidth="1"/>
    <col min="13582" max="13582" width="7.7109375" style="434" customWidth="1"/>
    <col min="13583" max="13583" width="8" style="434" customWidth="1"/>
    <col min="13584" max="13584" width="2.7109375" style="434" customWidth="1"/>
    <col min="13585" max="13585" width="7.7109375" style="434" customWidth="1"/>
    <col min="13586" max="13586" width="7.85546875" style="434" customWidth="1"/>
    <col min="13587" max="13587" width="2.7109375" style="434" customWidth="1"/>
    <col min="13588" max="13588" width="3.85546875" style="434" customWidth="1"/>
    <col min="13589" max="13824" width="9.140625" style="434"/>
    <col min="13825" max="13825" width="35.28515625" style="434" customWidth="1"/>
    <col min="13826" max="13826" width="8.28515625" style="434" customWidth="1"/>
    <col min="13827" max="13827" width="8" style="434" customWidth="1"/>
    <col min="13828" max="13828" width="2.42578125" style="434" customWidth="1"/>
    <col min="13829" max="13830" width="8.28515625" style="434" customWidth="1"/>
    <col min="13831" max="13831" width="2.5703125" style="434" customWidth="1"/>
    <col min="13832" max="13833" width="8.28515625" style="434" customWidth="1"/>
    <col min="13834" max="13834" width="2.42578125" style="434" customWidth="1"/>
    <col min="13835" max="13835" width="7.5703125" style="434" customWidth="1"/>
    <col min="13836" max="13836" width="7.85546875" style="434" customWidth="1"/>
    <col min="13837" max="13837" width="2.7109375" style="434" customWidth="1"/>
    <col min="13838" max="13838" width="7.7109375" style="434" customWidth="1"/>
    <col min="13839" max="13839" width="8" style="434" customWidth="1"/>
    <col min="13840" max="13840" width="2.7109375" style="434" customWidth="1"/>
    <col min="13841" max="13841" width="7.7109375" style="434" customWidth="1"/>
    <col min="13842" max="13842" width="7.85546875" style="434" customWidth="1"/>
    <col min="13843" max="13843" width="2.7109375" style="434" customWidth="1"/>
    <col min="13844" max="13844" width="3.85546875" style="434" customWidth="1"/>
    <col min="13845" max="14080" width="9.140625" style="434"/>
    <col min="14081" max="14081" width="35.28515625" style="434" customWidth="1"/>
    <col min="14082" max="14082" width="8.28515625" style="434" customWidth="1"/>
    <col min="14083" max="14083" width="8" style="434" customWidth="1"/>
    <col min="14084" max="14084" width="2.42578125" style="434" customWidth="1"/>
    <col min="14085" max="14086" width="8.28515625" style="434" customWidth="1"/>
    <col min="14087" max="14087" width="2.5703125" style="434" customWidth="1"/>
    <col min="14088" max="14089" width="8.28515625" style="434" customWidth="1"/>
    <col min="14090" max="14090" width="2.42578125" style="434" customWidth="1"/>
    <col min="14091" max="14091" width="7.5703125" style="434" customWidth="1"/>
    <col min="14092" max="14092" width="7.85546875" style="434" customWidth="1"/>
    <col min="14093" max="14093" width="2.7109375" style="434" customWidth="1"/>
    <col min="14094" max="14094" width="7.7109375" style="434" customWidth="1"/>
    <col min="14095" max="14095" width="8" style="434" customWidth="1"/>
    <col min="14096" max="14096" width="2.7109375" style="434" customWidth="1"/>
    <col min="14097" max="14097" width="7.7109375" style="434" customWidth="1"/>
    <col min="14098" max="14098" width="7.85546875" style="434" customWidth="1"/>
    <col min="14099" max="14099" width="2.7109375" style="434" customWidth="1"/>
    <col min="14100" max="14100" width="3.85546875" style="434" customWidth="1"/>
    <col min="14101" max="14336" width="9.140625" style="434"/>
    <col min="14337" max="14337" width="35.28515625" style="434" customWidth="1"/>
    <col min="14338" max="14338" width="8.28515625" style="434" customWidth="1"/>
    <col min="14339" max="14339" width="8" style="434" customWidth="1"/>
    <col min="14340" max="14340" width="2.42578125" style="434" customWidth="1"/>
    <col min="14341" max="14342" width="8.28515625" style="434" customWidth="1"/>
    <col min="14343" max="14343" width="2.5703125" style="434" customWidth="1"/>
    <col min="14344" max="14345" width="8.28515625" style="434" customWidth="1"/>
    <col min="14346" max="14346" width="2.42578125" style="434" customWidth="1"/>
    <col min="14347" max="14347" width="7.5703125" style="434" customWidth="1"/>
    <col min="14348" max="14348" width="7.85546875" style="434" customWidth="1"/>
    <col min="14349" max="14349" width="2.7109375" style="434" customWidth="1"/>
    <col min="14350" max="14350" width="7.7109375" style="434" customWidth="1"/>
    <col min="14351" max="14351" width="8" style="434" customWidth="1"/>
    <col min="14352" max="14352" width="2.7109375" style="434" customWidth="1"/>
    <col min="14353" max="14353" width="7.7109375" style="434" customWidth="1"/>
    <col min="14354" max="14354" width="7.85546875" style="434" customWidth="1"/>
    <col min="14355" max="14355" width="2.7109375" style="434" customWidth="1"/>
    <col min="14356" max="14356" width="3.85546875" style="434" customWidth="1"/>
    <col min="14357" max="14592" width="9.140625" style="434"/>
    <col min="14593" max="14593" width="35.28515625" style="434" customWidth="1"/>
    <col min="14594" max="14594" width="8.28515625" style="434" customWidth="1"/>
    <col min="14595" max="14595" width="8" style="434" customWidth="1"/>
    <col min="14596" max="14596" width="2.42578125" style="434" customWidth="1"/>
    <col min="14597" max="14598" width="8.28515625" style="434" customWidth="1"/>
    <col min="14599" max="14599" width="2.5703125" style="434" customWidth="1"/>
    <col min="14600" max="14601" width="8.28515625" style="434" customWidth="1"/>
    <col min="14602" max="14602" width="2.42578125" style="434" customWidth="1"/>
    <col min="14603" max="14603" width="7.5703125" style="434" customWidth="1"/>
    <col min="14604" max="14604" width="7.85546875" style="434" customWidth="1"/>
    <col min="14605" max="14605" width="2.7109375" style="434" customWidth="1"/>
    <col min="14606" max="14606" width="7.7109375" style="434" customWidth="1"/>
    <col min="14607" max="14607" width="8" style="434" customWidth="1"/>
    <col min="14608" max="14608" width="2.7109375" style="434" customWidth="1"/>
    <col min="14609" max="14609" width="7.7109375" style="434" customWidth="1"/>
    <col min="14610" max="14610" width="7.85546875" style="434" customWidth="1"/>
    <col min="14611" max="14611" width="2.7109375" style="434" customWidth="1"/>
    <col min="14612" max="14612" width="3.85546875" style="434" customWidth="1"/>
    <col min="14613" max="14848" width="9.140625" style="434"/>
    <col min="14849" max="14849" width="35.28515625" style="434" customWidth="1"/>
    <col min="14850" max="14850" width="8.28515625" style="434" customWidth="1"/>
    <col min="14851" max="14851" width="8" style="434" customWidth="1"/>
    <col min="14852" max="14852" width="2.42578125" style="434" customWidth="1"/>
    <col min="14853" max="14854" width="8.28515625" style="434" customWidth="1"/>
    <col min="14855" max="14855" width="2.5703125" style="434" customWidth="1"/>
    <col min="14856" max="14857" width="8.28515625" style="434" customWidth="1"/>
    <col min="14858" max="14858" width="2.42578125" style="434" customWidth="1"/>
    <col min="14859" max="14859" width="7.5703125" style="434" customWidth="1"/>
    <col min="14860" max="14860" width="7.85546875" style="434" customWidth="1"/>
    <col min="14861" max="14861" width="2.7109375" style="434" customWidth="1"/>
    <col min="14862" max="14862" width="7.7109375" style="434" customWidth="1"/>
    <col min="14863" max="14863" width="8" style="434" customWidth="1"/>
    <col min="14864" max="14864" width="2.7109375" style="434" customWidth="1"/>
    <col min="14865" max="14865" width="7.7109375" style="434" customWidth="1"/>
    <col min="14866" max="14866" width="7.85546875" style="434" customWidth="1"/>
    <col min="14867" max="14867" width="2.7109375" style="434" customWidth="1"/>
    <col min="14868" max="14868" width="3.85546875" style="434" customWidth="1"/>
    <col min="14869" max="15104" width="9.140625" style="434"/>
    <col min="15105" max="15105" width="35.28515625" style="434" customWidth="1"/>
    <col min="15106" max="15106" width="8.28515625" style="434" customWidth="1"/>
    <col min="15107" max="15107" width="8" style="434" customWidth="1"/>
    <col min="15108" max="15108" width="2.42578125" style="434" customWidth="1"/>
    <col min="15109" max="15110" width="8.28515625" style="434" customWidth="1"/>
    <col min="15111" max="15111" width="2.5703125" style="434" customWidth="1"/>
    <col min="15112" max="15113" width="8.28515625" style="434" customWidth="1"/>
    <col min="15114" max="15114" width="2.42578125" style="434" customWidth="1"/>
    <col min="15115" max="15115" width="7.5703125" style="434" customWidth="1"/>
    <col min="15116" max="15116" width="7.85546875" style="434" customWidth="1"/>
    <col min="15117" max="15117" width="2.7109375" style="434" customWidth="1"/>
    <col min="15118" max="15118" width="7.7109375" style="434" customWidth="1"/>
    <col min="15119" max="15119" width="8" style="434" customWidth="1"/>
    <col min="15120" max="15120" width="2.7109375" style="434" customWidth="1"/>
    <col min="15121" max="15121" width="7.7109375" style="434" customWidth="1"/>
    <col min="15122" max="15122" width="7.85546875" style="434" customWidth="1"/>
    <col min="15123" max="15123" width="2.7109375" style="434" customWidth="1"/>
    <col min="15124" max="15124" width="3.85546875" style="434" customWidth="1"/>
    <col min="15125" max="15360" width="9.140625" style="434"/>
    <col min="15361" max="15361" width="35.28515625" style="434" customWidth="1"/>
    <col min="15362" max="15362" width="8.28515625" style="434" customWidth="1"/>
    <col min="15363" max="15363" width="8" style="434" customWidth="1"/>
    <col min="15364" max="15364" width="2.42578125" style="434" customWidth="1"/>
    <col min="15365" max="15366" width="8.28515625" style="434" customWidth="1"/>
    <col min="15367" max="15367" width="2.5703125" style="434" customWidth="1"/>
    <col min="15368" max="15369" width="8.28515625" style="434" customWidth="1"/>
    <col min="15370" max="15370" width="2.42578125" style="434" customWidth="1"/>
    <col min="15371" max="15371" width="7.5703125" style="434" customWidth="1"/>
    <col min="15372" max="15372" width="7.85546875" style="434" customWidth="1"/>
    <col min="15373" max="15373" width="2.7109375" style="434" customWidth="1"/>
    <col min="15374" max="15374" width="7.7109375" style="434" customWidth="1"/>
    <col min="15375" max="15375" width="8" style="434" customWidth="1"/>
    <col min="15376" max="15376" width="2.7109375" style="434" customWidth="1"/>
    <col min="15377" max="15377" width="7.7109375" style="434" customWidth="1"/>
    <col min="15378" max="15378" width="7.85546875" style="434" customWidth="1"/>
    <col min="15379" max="15379" width="2.7109375" style="434" customWidth="1"/>
    <col min="15380" max="15380" width="3.85546875" style="434" customWidth="1"/>
    <col min="15381" max="15616" width="9.140625" style="434"/>
    <col min="15617" max="15617" width="35.28515625" style="434" customWidth="1"/>
    <col min="15618" max="15618" width="8.28515625" style="434" customWidth="1"/>
    <col min="15619" max="15619" width="8" style="434" customWidth="1"/>
    <col min="15620" max="15620" width="2.42578125" style="434" customWidth="1"/>
    <col min="15621" max="15622" width="8.28515625" style="434" customWidth="1"/>
    <col min="15623" max="15623" width="2.5703125" style="434" customWidth="1"/>
    <col min="15624" max="15625" width="8.28515625" style="434" customWidth="1"/>
    <col min="15626" max="15626" width="2.42578125" style="434" customWidth="1"/>
    <col min="15627" max="15627" width="7.5703125" style="434" customWidth="1"/>
    <col min="15628" max="15628" width="7.85546875" style="434" customWidth="1"/>
    <col min="15629" max="15629" width="2.7109375" style="434" customWidth="1"/>
    <col min="15630" max="15630" width="7.7109375" style="434" customWidth="1"/>
    <col min="15631" max="15631" width="8" style="434" customWidth="1"/>
    <col min="15632" max="15632" width="2.7109375" style="434" customWidth="1"/>
    <col min="15633" max="15633" width="7.7109375" style="434" customWidth="1"/>
    <col min="15634" max="15634" width="7.85546875" style="434" customWidth="1"/>
    <col min="15635" max="15635" width="2.7109375" style="434" customWidth="1"/>
    <col min="15636" max="15636" width="3.85546875" style="434" customWidth="1"/>
    <col min="15637" max="15872" width="9.140625" style="434"/>
    <col min="15873" max="15873" width="35.28515625" style="434" customWidth="1"/>
    <col min="15874" max="15874" width="8.28515625" style="434" customWidth="1"/>
    <col min="15875" max="15875" width="8" style="434" customWidth="1"/>
    <col min="15876" max="15876" width="2.42578125" style="434" customWidth="1"/>
    <col min="15877" max="15878" width="8.28515625" style="434" customWidth="1"/>
    <col min="15879" max="15879" width="2.5703125" style="434" customWidth="1"/>
    <col min="15880" max="15881" width="8.28515625" style="434" customWidth="1"/>
    <col min="15882" max="15882" width="2.42578125" style="434" customWidth="1"/>
    <col min="15883" max="15883" width="7.5703125" style="434" customWidth="1"/>
    <col min="15884" max="15884" width="7.85546875" style="434" customWidth="1"/>
    <col min="15885" max="15885" width="2.7109375" style="434" customWidth="1"/>
    <col min="15886" max="15886" width="7.7109375" style="434" customWidth="1"/>
    <col min="15887" max="15887" width="8" style="434" customWidth="1"/>
    <col min="15888" max="15888" width="2.7109375" style="434" customWidth="1"/>
    <col min="15889" max="15889" width="7.7109375" style="434" customWidth="1"/>
    <col min="15890" max="15890" width="7.85546875" style="434" customWidth="1"/>
    <col min="15891" max="15891" width="2.7109375" style="434" customWidth="1"/>
    <col min="15892" max="15892" width="3.85546875" style="434" customWidth="1"/>
    <col min="15893" max="16128" width="9.140625" style="434"/>
    <col min="16129" max="16129" width="35.28515625" style="434" customWidth="1"/>
    <col min="16130" max="16130" width="8.28515625" style="434" customWidth="1"/>
    <col min="16131" max="16131" width="8" style="434" customWidth="1"/>
    <col min="16132" max="16132" width="2.42578125" style="434" customWidth="1"/>
    <col min="16133" max="16134" width="8.28515625" style="434" customWidth="1"/>
    <col min="16135" max="16135" width="2.5703125" style="434" customWidth="1"/>
    <col min="16136" max="16137" width="8.28515625" style="434" customWidth="1"/>
    <col min="16138" max="16138" width="2.42578125" style="434" customWidth="1"/>
    <col min="16139" max="16139" width="7.5703125" style="434" customWidth="1"/>
    <col min="16140" max="16140" width="7.85546875" style="434" customWidth="1"/>
    <col min="16141" max="16141" width="2.7109375" style="434" customWidth="1"/>
    <col min="16142" max="16142" width="7.7109375" style="434" customWidth="1"/>
    <col min="16143" max="16143" width="8" style="434" customWidth="1"/>
    <col min="16144" max="16144" width="2.7109375" style="434" customWidth="1"/>
    <col min="16145" max="16145" width="7.7109375" style="434" customWidth="1"/>
    <col min="16146" max="16146" width="7.85546875" style="434" customWidth="1"/>
    <col min="16147" max="16147" width="2.7109375" style="434" customWidth="1"/>
    <col min="16148" max="16148" width="3.85546875" style="434" customWidth="1"/>
    <col min="16149" max="16384" width="9.140625" style="434"/>
  </cols>
  <sheetData>
    <row r="1" spans="1:20">
      <c r="A1" s="434" t="s">
        <v>366</v>
      </c>
    </row>
    <row r="2" spans="1:20">
      <c r="A2" s="434" t="s">
        <v>367</v>
      </c>
    </row>
    <row r="3" spans="1:20" ht="9.9499999999999993" customHeight="1"/>
    <row r="4" spans="1:20">
      <c r="A4" s="42" t="s">
        <v>419</v>
      </c>
      <c r="L4" s="810"/>
      <c r="O4" s="810"/>
    </row>
    <row r="5" spans="1:20" ht="9.9499999999999993" customHeight="1" thickBot="1">
      <c r="O5" s="436"/>
      <c r="R5" s="436"/>
    </row>
    <row r="6" spans="1:20" ht="15" customHeight="1">
      <c r="A6" s="437" t="s">
        <v>386</v>
      </c>
      <c r="B6" s="805"/>
      <c r="C6" s="439"/>
      <c r="D6" s="437"/>
      <c r="E6" s="438"/>
      <c r="F6" s="439"/>
      <c r="G6" s="437"/>
      <c r="H6" s="438"/>
      <c r="I6" s="439"/>
      <c r="J6" s="439"/>
      <c r="K6" s="438"/>
      <c r="L6" s="439"/>
      <c r="M6" s="437"/>
      <c r="N6" s="438"/>
      <c r="O6" s="439"/>
      <c r="P6" s="439"/>
      <c r="Q6" s="438"/>
      <c r="R6" s="439"/>
      <c r="S6" s="439"/>
    </row>
    <row r="7" spans="1:20" ht="15" customHeight="1">
      <c r="A7" s="440" t="s">
        <v>387</v>
      </c>
      <c r="B7" s="1271" t="s">
        <v>413</v>
      </c>
      <c r="C7" s="1271"/>
      <c r="D7" s="440"/>
      <c r="E7" s="1266" t="s">
        <v>304</v>
      </c>
      <c r="F7" s="1266"/>
      <c r="G7" s="440"/>
      <c r="H7" s="1266" t="s">
        <v>303</v>
      </c>
      <c r="I7" s="1266"/>
      <c r="J7" s="442"/>
      <c r="K7" s="1266" t="s">
        <v>296</v>
      </c>
      <c r="L7" s="1266"/>
      <c r="M7" s="440"/>
      <c r="N7" s="1266" t="s">
        <v>299</v>
      </c>
      <c r="O7" s="1266"/>
      <c r="Q7" s="1268" t="s">
        <v>302</v>
      </c>
      <c r="R7" s="1266"/>
    </row>
    <row r="8" spans="1:20" ht="15" customHeight="1">
      <c r="A8" s="434" t="s">
        <v>392</v>
      </c>
      <c r="B8" s="806"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20" ht="15" customHeight="1" thickBot="1">
      <c r="A9" s="445" t="s">
        <v>393</v>
      </c>
      <c r="B9" s="807"/>
      <c r="C9" s="447"/>
      <c r="D9" s="445"/>
      <c r="E9" s="446"/>
      <c r="F9" s="447"/>
      <c r="G9" s="445"/>
      <c r="H9" s="446"/>
      <c r="I9" s="447"/>
      <c r="J9" s="447"/>
      <c r="K9" s="446"/>
      <c r="L9" s="447"/>
      <c r="M9" s="445"/>
      <c r="N9" s="446"/>
      <c r="O9" s="447"/>
      <c r="P9" s="447"/>
      <c r="Q9" s="446"/>
      <c r="R9" s="447"/>
      <c r="S9" s="447"/>
    </row>
    <row r="10" spans="1:20" ht="12.75" customHeight="1"/>
    <row r="11" spans="1:20" ht="16.5" customHeight="1">
      <c r="A11" s="90" t="s">
        <v>414</v>
      </c>
      <c r="B11" s="544">
        <f>IF($A11&lt;&gt;"",E11+H11+K11+N11+Q11,"")</f>
        <v>4093</v>
      </c>
      <c r="C11" s="454">
        <f>SUM(C13+C108)</f>
        <v>100</v>
      </c>
      <c r="D11" s="455"/>
      <c r="E11" s="449">
        <f>E13+E108</f>
        <v>240</v>
      </c>
      <c r="F11" s="454">
        <f t="shared" ref="F11:F74" si="0">IF($A11&lt;&gt;0,E11/$B11*100,"")</f>
        <v>5.8636696799413635</v>
      </c>
      <c r="G11" s="455"/>
      <c r="H11" s="449">
        <f>H13+H108</f>
        <v>1353</v>
      </c>
      <c r="I11" s="454">
        <f t="shared" ref="I11:I74" si="1">IF($A11&lt;&gt;0,H11/$B11*100,"")</f>
        <v>33.056437820669437</v>
      </c>
      <c r="J11" s="454"/>
      <c r="K11" s="449">
        <f>K13+K108</f>
        <v>1002</v>
      </c>
      <c r="L11" s="454">
        <f t="shared" ref="L11:L74" si="2">IF($A11&lt;&gt;0,K11/$B11*100,"")</f>
        <v>24.480820913755192</v>
      </c>
      <c r="M11" s="453"/>
      <c r="N11" s="449">
        <f>N13+N108</f>
        <v>141</v>
      </c>
      <c r="O11" s="454">
        <f t="shared" ref="O11:O74" si="3">IF($A11&lt;&gt;0,N11/$B11*100,"")</f>
        <v>3.4449059369655513</v>
      </c>
      <c r="P11" s="450"/>
      <c r="Q11" s="449">
        <f>Q13+Q108</f>
        <v>1357</v>
      </c>
      <c r="R11" s="436">
        <f t="shared" ref="R11:R19" si="4">IF($A11&lt;&gt;"",Q11/$B11*100,"")</f>
        <v>33.15416564866846</v>
      </c>
      <c r="S11" s="442"/>
    </row>
    <row r="12" spans="1:20" ht="9.9499999999999993" customHeight="1">
      <c r="B12" s="544" t="str">
        <f t="shared" ref="B12:B75" si="5">IF($A12&lt;&gt;"",E12+H12+K12+N12+Q12,"")</f>
        <v/>
      </c>
      <c r="C12" s="436" t="str">
        <f>IF(A12&lt;&gt;0,B12/$B$10*100,"")</f>
        <v/>
      </c>
      <c r="F12" s="436" t="str">
        <f t="shared" si="0"/>
        <v/>
      </c>
      <c r="I12" s="436" t="str">
        <f t="shared" si="1"/>
        <v/>
      </c>
      <c r="L12" s="436" t="str">
        <f t="shared" si="2"/>
        <v/>
      </c>
      <c r="M12" s="440"/>
      <c r="O12" s="436" t="str">
        <f t="shared" si="3"/>
        <v/>
      </c>
      <c r="P12" s="442"/>
      <c r="R12" s="436" t="str">
        <f t="shared" si="4"/>
        <v/>
      </c>
      <c r="S12" s="442"/>
    </row>
    <row r="13" spans="1:20" ht="14.1" customHeight="1">
      <c r="A13" s="63" t="s">
        <v>326</v>
      </c>
      <c r="B13" s="544">
        <f t="shared" si="5"/>
        <v>3206</v>
      </c>
      <c r="C13" s="436">
        <f>IF(A13&lt;&gt;0,B13/$B$11*100,"")</f>
        <v>78.328854141216709</v>
      </c>
      <c r="E13" s="435">
        <f>E15+E100</f>
        <v>216</v>
      </c>
      <c r="F13" s="436">
        <f t="shared" si="0"/>
        <v>6.7373674360573927</v>
      </c>
      <c r="H13" s="435">
        <f>H15+H100</f>
        <v>1055</v>
      </c>
      <c r="I13" s="436">
        <f t="shared" si="1"/>
        <v>32.907049282595139</v>
      </c>
      <c r="K13" s="435">
        <f>K15+K100</f>
        <v>739</v>
      </c>
      <c r="L13" s="436">
        <f t="shared" si="2"/>
        <v>23.050530255770429</v>
      </c>
      <c r="M13" s="440"/>
      <c r="N13" s="435">
        <f>N15+N100</f>
        <v>108</v>
      </c>
      <c r="O13" s="436">
        <f t="shared" si="3"/>
        <v>3.3686837180286964</v>
      </c>
      <c r="P13" s="442"/>
      <c r="Q13" s="435">
        <f>Q15+Q100</f>
        <v>1088</v>
      </c>
      <c r="R13" s="436">
        <f t="shared" si="4"/>
        <v>33.936369307548347</v>
      </c>
      <c r="S13" s="442"/>
      <c r="T13" s="435"/>
    </row>
    <row r="14" spans="1:20" ht="7.5" customHeight="1">
      <c r="B14" s="544" t="str">
        <f t="shared" si="5"/>
        <v/>
      </c>
      <c r="C14" s="436" t="str">
        <f>IF(A14&lt;&gt;0,B14/$B$11*100,"")</f>
        <v/>
      </c>
      <c r="F14" s="436" t="str">
        <f t="shared" si="0"/>
        <v/>
      </c>
      <c r="I14" s="436" t="str">
        <f t="shared" si="1"/>
        <v/>
      </c>
      <c r="L14" s="436" t="str">
        <f t="shared" si="2"/>
        <v/>
      </c>
      <c r="M14" s="440"/>
      <c r="O14" s="436" t="str">
        <f t="shared" si="3"/>
        <v/>
      </c>
      <c r="P14" s="442"/>
      <c r="R14" s="436" t="str">
        <f t="shared" si="4"/>
        <v/>
      </c>
      <c r="S14" s="442"/>
    </row>
    <row r="15" spans="1:20" ht="12" customHeight="1">
      <c r="A15" s="63" t="s">
        <v>12</v>
      </c>
      <c r="B15" s="544">
        <f t="shared" si="5"/>
        <v>2708</v>
      </c>
      <c r="C15" s="436">
        <f>IF(A15&lt;&gt;0,B15/$B$11*100,"")</f>
        <v>66.161739555338386</v>
      </c>
      <c r="E15" s="435">
        <f>SUM(E17+E28+E36+E62+E76+E83+E95+E96+E98)</f>
        <v>148</v>
      </c>
      <c r="F15" s="436">
        <f t="shared" si="0"/>
        <v>5.4652880354505173</v>
      </c>
      <c r="G15" s="435">
        <f>SUM(G17+G28+G36+G62+G76+G98)</f>
        <v>0</v>
      </c>
      <c r="H15" s="435">
        <f>SUM(H17+H28+H36+H62+H76+H83+H95+H96+H98)</f>
        <v>895</v>
      </c>
      <c r="I15" s="436">
        <f t="shared" si="1"/>
        <v>33.050221565731171</v>
      </c>
      <c r="J15" s="435">
        <f>SUM(J17+J28+J36+J62+J76+J98)</f>
        <v>0</v>
      </c>
      <c r="K15" s="435">
        <f>SUM(K17+K28+K36+K62+K76+K83+K95+K96+K98)</f>
        <v>647</v>
      </c>
      <c r="L15" s="436">
        <f t="shared" si="2"/>
        <v>23.892171344165437</v>
      </c>
      <c r="M15" s="435">
        <f>SUM(M17+M28+M36+M62+M76+M98)</f>
        <v>0</v>
      </c>
      <c r="N15" s="435">
        <f>SUM(N17+N28+N36+N62+N76+N83+N95+N96+N98)</f>
        <v>89</v>
      </c>
      <c r="O15" s="436">
        <f t="shared" si="3"/>
        <v>3.2865583456425407</v>
      </c>
      <c r="P15" s="435">
        <f>SUM(P17+P28+P36+P62+P76+P98)</f>
        <v>0</v>
      </c>
      <c r="Q15" s="435">
        <f>SUM(Q17+Q28+Q36+Q62+Q76+Q83+Q95+Q96+Q98)</f>
        <v>929</v>
      </c>
      <c r="R15" s="436">
        <f t="shared" si="4"/>
        <v>34.305760709010343</v>
      </c>
      <c r="S15" s="442"/>
    </row>
    <row r="16" spans="1:20" ht="7.5" customHeight="1">
      <c r="B16" s="544" t="str">
        <f t="shared" si="5"/>
        <v/>
      </c>
      <c r="M16" s="440"/>
      <c r="O16" s="436"/>
      <c r="P16" s="442"/>
      <c r="R16" s="436"/>
      <c r="S16" s="442"/>
    </row>
    <row r="17" spans="1:19" ht="13.35" customHeight="1">
      <c r="A17" s="63" t="s">
        <v>327</v>
      </c>
      <c r="B17" s="544">
        <f t="shared" si="5"/>
        <v>196</v>
      </c>
      <c r="C17" s="436">
        <f t="shared" ref="C17:C80" si="6">IF(A17&lt;&gt;0,B17/$B$11*100,"")</f>
        <v>4.7886635719521138</v>
      </c>
      <c r="E17" s="435">
        <f>E18+E23</f>
        <v>21</v>
      </c>
      <c r="F17" s="436">
        <f t="shared" si="0"/>
        <v>10.714285714285714</v>
      </c>
      <c r="H17" s="435">
        <f>H18+H23</f>
        <v>79</v>
      </c>
      <c r="I17" s="436">
        <f t="shared" si="1"/>
        <v>40.306122448979593</v>
      </c>
      <c r="K17" s="435">
        <f>K18+K23</f>
        <v>57</v>
      </c>
      <c r="L17" s="436">
        <f t="shared" si="2"/>
        <v>29.081632653061224</v>
      </c>
      <c r="M17" s="440"/>
      <c r="N17" s="435">
        <f>N18+N23</f>
        <v>9</v>
      </c>
      <c r="O17" s="436">
        <f t="shared" si="3"/>
        <v>4.591836734693878</v>
      </c>
      <c r="P17" s="442"/>
      <c r="Q17" s="435">
        <f>Q18+Q23</f>
        <v>30</v>
      </c>
      <c r="R17" s="436">
        <f t="shared" si="4"/>
        <v>15.306122448979592</v>
      </c>
      <c r="S17" s="442"/>
    </row>
    <row r="18" spans="1:19" ht="13.15" customHeight="1">
      <c r="A18" s="434" t="s">
        <v>20</v>
      </c>
      <c r="B18" s="544">
        <f t="shared" si="5"/>
        <v>93</v>
      </c>
      <c r="C18" s="436">
        <f t="shared" si="6"/>
        <v>2.2721720009772786</v>
      </c>
      <c r="E18" s="435">
        <f>SUM(E19:E21)</f>
        <v>7</v>
      </c>
      <c r="F18" s="436">
        <f t="shared" si="0"/>
        <v>7.5268817204301079</v>
      </c>
      <c r="H18" s="435">
        <f>SUM(H19:H21)</f>
        <v>28</v>
      </c>
      <c r="I18" s="436">
        <f t="shared" si="1"/>
        <v>30.107526881720432</v>
      </c>
      <c r="K18" s="435">
        <f>SUM(K19:K21)</f>
        <v>30</v>
      </c>
      <c r="L18" s="436">
        <f t="shared" si="2"/>
        <v>32.258064516129032</v>
      </c>
      <c r="M18" s="440"/>
      <c r="N18" s="435">
        <f>SUM(N19:N21)</f>
        <v>5</v>
      </c>
      <c r="O18" s="436">
        <f t="shared" si="3"/>
        <v>5.376344086021505</v>
      </c>
      <c r="P18" s="442"/>
      <c r="Q18" s="435">
        <f>SUM(Q19:Q21)</f>
        <v>23</v>
      </c>
      <c r="R18" s="436">
        <f t="shared" si="4"/>
        <v>24.731182795698924</v>
      </c>
      <c r="S18" s="442"/>
    </row>
    <row r="19" spans="1:19" ht="13.15" customHeight="1">
      <c r="A19" s="434" t="s">
        <v>21</v>
      </c>
      <c r="B19" s="544">
        <f t="shared" si="5"/>
        <v>19</v>
      </c>
      <c r="C19" s="436">
        <f t="shared" si="6"/>
        <v>0.4642071829953579</v>
      </c>
      <c r="E19" s="434">
        <v>2</v>
      </c>
      <c r="F19" s="436">
        <f t="shared" si="0"/>
        <v>10.526315789473683</v>
      </c>
      <c r="H19" s="434">
        <v>4</v>
      </c>
      <c r="I19" s="436">
        <f t="shared" si="1"/>
        <v>21.052631578947366</v>
      </c>
      <c r="J19" s="434"/>
      <c r="K19" s="434">
        <v>9</v>
      </c>
      <c r="L19" s="436">
        <f t="shared" si="2"/>
        <v>47.368421052631575</v>
      </c>
      <c r="N19" s="434">
        <v>1</v>
      </c>
      <c r="O19" s="436">
        <f t="shared" si="3"/>
        <v>5.2631578947368416</v>
      </c>
      <c r="Q19" s="434">
        <v>3</v>
      </c>
      <c r="R19" s="436">
        <f t="shared" si="4"/>
        <v>15.789473684210526</v>
      </c>
      <c r="S19" s="442"/>
    </row>
    <row r="20" spans="1:19" ht="13.15" customHeight="1">
      <c r="A20" s="434" t="s">
        <v>22</v>
      </c>
      <c r="B20" s="544">
        <f t="shared" si="5"/>
        <v>36</v>
      </c>
      <c r="C20" s="436">
        <f t="shared" si="6"/>
        <v>0.87955045199120452</v>
      </c>
      <c r="E20" s="434">
        <v>3</v>
      </c>
      <c r="F20" s="436">
        <f t="shared" si="0"/>
        <v>8.3333333333333321</v>
      </c>
      <c r="H20" s="434">
        <v>11</v>
      </c>
      <c r="I20" s="436">
        <f t="shared" si="1"/>
        <v>30.555555555555557</v>
      </c>
      <c r="J20" s="434"/>
      <c r="K20" s="434">
        <v>12</v>
      </c>
      <c r="L20" s="436">
        <f t="shared" si="2"/>
        <v>33.333333333333329</v>
      </c>
      <c r="N20" s="434">
        <v>0</v>
      </c>
      <c r="O20" s="436">
        <f t="shared" si="3"/>
        <v>0</v>
      </c>
      <c r="Q20" s="434">
        <v>10</v>
      </c>
      <c r="R20" s="436">
        <f>IF($A20&lt;&gt;"",Q20/$B20*100,"")</f>
        <v>27.777777777777779</v>
      </c>
      <c r="S20" s="442"/>
    </row>
    <row r="21" spans="1:19" ht="13.15" customHeight="1">
      <c r="A21" s="434" t="s">
        <v>23</v>
      </c>
      <c r="B21" s="544">
        <f t="shared" si="5"/>
        <v>38</v>
      </c>
      <c r="C21" s="436">
        <f t="shared" si="6"/>
        <v>0.92841436599071581</v>
      </c>
      <c r="E21" s="434">
        <v>2</v>
      </c>
      <c r="F21" s="436">
        <f t="shared" si="0"/>
        <v>5.2631578947368416</v>
      </c>
      <c r="H21" s="434">
        <v>13</v>
      </c>
      <c r="I21" s="436">
        <f t="shared" si="1"/>
        <v>34.210526315789473</v>
      </c>
      <c r="J21" s="434"/>
      <c r="K21" s="434">
        <v>9</v>
      </c>
      <c r="L21" s="436">
        <f t="shared" si="2"/>
        <v>23.684210526315788</v>
      </c>
      <c r="N21" s="434">
        <v>4</v>
      </c>
      <c r="O21" s="436">
        <f t="shared" si="3"/>
        <v>10.526315789473683</v>
      </c>
      <c r="Q21" s="434">
        <v>10</v>
      </c>
      <c r="R21" s="436">
        <f>IF($A21&lt;&gt;"",Q21/$B21*100,"")</f>
        <v>26.315789473684209</v>
      </c>
      <c r="S21" s="442"/>
    </row>
    <row r="22" spans="1:19" ht="9.9499999999999993" customHeight="1">
      <c r="B22" s="544" t="str">
        <f t="shared" si="5"/>
        <v/>
      </c>
      <c r="C22" s="436" t="str">
        <f t="shared" si="6"/>
        <v/>
      </c>
      <c r="E22" s="441"/>
      <c r="F22" s="436" t="str">
        <f t="shared" si="0"/>
        <v/>
      </c>
      <c r="G22" s="440"/>
      <c r="H22" s="441"/>
      <c r="I22" s="436" t="str">
        <f t="shared" si="1"/>
        <v/>
      </c>
      <c r="J22" s="442"/>
      <c r="K22" s="441"/>
      <c r="L22" s="436" t="str">
        <f t="shared" si="2"/>
        <v/>
      </c>
      <c r="M22" s="440"/>
      <c r="N22" s="441"/>
      <c r="O22" s="436" t="str">
        <f t="shared" si="3"/>
        <v/>
      </c>
      <c r="P22" s="442"/>
      <c r="R22" s="436"/>
      <c r="S22" s="442"/>
    </row>
    <row r="23" spans="1:19" ht="13.15" customHeight="1">
      <c r="A23" s="434" t="s">
        <v>24</v>
      </c>
      <c r="B23" s="544">
        <f t="shared" si="5"/>
        <v>103</v>
      </c>
      <c r="C23" s="436">
        <f t="shared" si="6"/>
        <v>2.5164915709748348</v>
      </c>
      <c r="E23" s="441">
        <f>SUM(E24:E26)</f>
        <v>14</v>
      </c>
      <c r="F23" s="436">
        <f t="shared" si="0"/>
        <v>13.592233009708737</v>
      </c>
      <c r="G23" s="440"/>
      <c r="H23" s="441">
        <f>SUM(H24:H26)</f>
        <v>51</v>
      </c>
      <c r="I23" s="436">
        <f t="shared" si="1"/>
        <v>49.514563106796118</v>
      </c>
      <c r="J23" s="442"/>
      <c r="K23" s="441">
        <f>SUM(K24:K26)</f>
        <v>27</v>
      </c>
      <c r="L23" s="436">
        <f t="shared" si="2"/>
        <v>26.21359223300971</v>
      </c>
      <c r="M23" s="440"/>
      <c r="N23" s="441">
        <f>SUM(N24:N26)</f>
        <v>4</v>
      </c>
      <c r="O23" s="436">
        <f t="shared" si="3"/>
        <v>3.8834951456310676</v>
      </c>
      <c r="P23" s="442"/>
      <c r="Q23" s="435">
        <f>SUM(Q24:Q26)</f>
        <v>7</v>
      </c>
      <c r="R23" s="436">
        <f>IF($A23&lt;&gt;"",Q23/$B23*100,"")</f>
        <v>6.7961165048543686</v>
      </c>
      <c r="S23" s="442"/>
    </row>
    <row r="24" spans="1:19" ht="13.15" customHeight="1">
      <c r="A24" s="434" t="s">
        <v>25</v>
      </c>
      <c r="B24" s="544">
        <f t="shared" si="5"/>
        <v>23</v>
      </c>
      <c r="C24" s="436">
        <f t="shared" si="6"/>
        <v>0.56193501099438059</v>
      </c>
      <c r="E24" s="434">
        <v>7</v>
      </c>
      <c r="F24" s="436">
        <f t="shared" si="0"/>
        <v>30.434782608695656</v>
      </c>
      <c r="H24" s="434">
        <v>11</v>
      </c>
      <c r="I24" s="436">
        <f t="shared" si="1"/>
        <v>47.826086956521742</v>
      </c>
      <c r="J24" s="434"/>
      <c r="K24" s="434">
        <v>3</v>
      </c>
      <c r="L24" s="436">
        <f t="shared" si="2"/>
        <v>13.043478260869565</v>
      </c>
      <c r="N24" s="434">
        <v>1</v>
      </c>
      <c r="O24" s="436">
        <f t="shared" si="3"/>
        <v>4.3478260869565215</v>
      </c>
      <c r="Q24" s="434">
        <v>1</v>
      </c>
      <c r="R24" s="436">
        <f>IF($A24&lt;&gt;"",Q24/$B24*100,"")</f>
        <v>4.3478260869565215</v>
      </c>
      <c r="S24" s="442"/>
    </row>
    <row r="25" spans="1:19" ht="13.15" customHeight="1">
      <c r="A25" s="434" t="s">
        <v>26</v>
      </c>
      <c r="B25" s="544">
        <f t="shared" si="5"/>
        <v>20</v>
      </c>
      <c r="C25" s="436">
        <f t="shared" si="6"/>
        <v>0.4886391399951136</v>
      </c>
      <c r="E25" s="434">
        <v>4</v>
      </c>
      <c r="F25" s="436">
        <f t="shared" si="0"/>
        <v>20</v>
      </c>
      <c r="H25" s="434">
        <v>3</v>
      </c>
      <c r="I25" s="436">
        <f t="shared" si="1"/>
        <v>15</v>
      </c>
      <c r="J25" s="434"/>
      <c r="K25" s="434">
        <v>12</v>
      </c>
      <c r="L25" s="436">
        <f t="shared" si="2"/>
        <v>60</v>
      </c>
      <c r="N25" s="434">
        <v>0</v>
      </c>
      <c r="O25" s="436">
        <f t="shared" si="3"/>
        <v>0</v>
      </c>
      <c r="Q25" s="434">
        <v>1</v>
      </c>
      <c r="R25" s="436">
        <f>IF($A25&lt;&gt;"",Q25/$B25*100,"")</f>
        <v>5</v>
      </c>
      <c r="S25" s="442"/>
    </row>
    <row r="26" spans="1:19" ht="13.15" customHeight="1">
      <c r="A26" s="434" t="s">
        <v>27</v>
      </c>
      <c r="B26" s="544">
        <f t="shared" si="5"/>
        <v>60</v>
      </c>
      <c r="C26" s="436">
        <f t="shared" si="6"/>
        <v>1.4659174199853409</v>
      </c>
      <c r="E26" s="434">
        <v>3</v>
      </c>
      <c r="F26" s="436">
        <f t="shared" si="0"/>
        <v>5</v>
      </c>
      <c r="H26" s="434">
        <v>37</v>
      </c>
      <c r="I26" s="436">
        <f t="shared" si="1"/>
        <v>61.666666666666671</v>
      </c>
      <c r="J26" s="434"/>
      <c r="K26" s="434">
        <v>12</v>
      </c>
      <c r="L26" s="436">
        <f t="shared" si="2"/>
        <v>20</v>
      </c>
      <c r="N26" s="434">
        <v>3</v>
      </c>
      <c r="O26" s="436">
        <f t="shared" si="3"/>
        <v>5</v>
      </c>
      <c r="Q26" s="434">
        <v>5</v>
      </c>
      <c r="R26" s="436">
        <f>IF($A26&lt;&gt;"",Q26/$B26*100,"")</f>
        <v>8.3333333333333321</v>
      </c>
      <c r="S26" s="442"/>
    </row>
    <row r="27" spans="1:19" ht="9.9499999999999993" customHeight="1">
      <c r="B27" s="544" t="str">
        <f t="shared" si="5"/>
        <v/>
      </c>
      <c r="C27" s="436" t="str">
        <f t="shared" si="6"/>
        <v/>
      </c>
      <c r="F27" s="436" t="str">
        <f t="shared" si="0"/>
        <v/>
      </c>
      <c r="I27" s="436" t="str">
        <f t="shared" si="1"/>
        <v/>
      </c>
      <c r="L27" s="436" t="str">
        <f t="shared" si="2"/>
        <v/>
      </c>
      <c r="M27" s="440"/>
      <c r="O27" s="436" t="str">
        <f t="shared" si="3"/>
        <v/>
      </c>
      <c r="P27" s="442"/>
      <c r="R27" s="436" t="str">
        <f t="shared" ref="R27:R90" si="7">IF($A27&lt;&gt;"",Q27/$B27*100,"")</f>
        <v/>
      </c>
      <c r="S27" s="442"/>
    </row>
    <row r="28" spans="1:19" ht="13.15" customHeight="1">
      <c r="A28" s="63" t="s">
        <v>375</v>
      </c>
      <c r="B28" s="544">
        <f t="shared" si="5"/>
        <v>234</v>
      </c>
      <c r="C28" s="436">
        <f t="shared" si="6"/>
        <v>5.7170779379428289</v>
      </c>
      <c r="E28" s="435">
        <f>SUM(E29)</f>
        <v>25</v>
      </c>
      <c r="F28" s="436">
        <f t="shared" si="0"/>
        <v>10.683760683760683</v>
      </c>
      <c r="H28" s="435">
        <f>SUM(H29)</f>
        <v>52</v>
      </c>
      <c r="I28" s="436">
        <f t="shared" si="1"/>
        <v>22.222222222222221</v>
      </c>
      <c r="K28" s="435">
        <f>SUM(K29)</f>
        <v>42</v>
      </c>
      <c r="L28" s="436">
        <f t="shared" si="2"/>
        <v>17.948717948717949</v>
      </c>
      <c r="M28" s="440"/>
      <c r="N28" s="435">
        <f>SUM(N29)</f>
        <v>31</v>
      </c>
      <c r="O28" s="436">
        <f t="shared" si="3"/>
        <v>13.247863247863249</v>
      </c>
      <c r="P28" s="442"/>
      <c r="Q28" s="435">
        <f>SUM(Q29)</f>
        <v>84</v>
      </c>
      <c r="R28" s="436">
        <f t="shared" si="7"/>
        <v>35.897435897435898</v>
      </c>
      <c r="S28" s="442"/>
    </row>
    <row r="29" spans="1:19" ht="13.15" customHeight="1">
      <c r="A29" s="434" t="s">
        <v>29</v>
      </c>
      <c r="B29" s="544">
        <f t="shared" si="5"/>
        <v>234</v>
      </c>
      <c r="C29" s="436">
        <f t="shared" si="6"/>
        <v>5.7170779379428289</v>
      </c>
      <c r="E29" s="435">
        <f>SUM(E30:E34)</f>
        <v>25</v>
      </c>
      <c r="F29" s="436">
        <f t="shared" si="0"/>
        <v>10.683760683760683</v>
      </c>
      <c r="H29" s="435">
        <f>SUM(H30:H34)</f>
        <v>52</v>
      </c>
      <c r="I29" s="436">
        <f t="shared" si="1"/>
        <v>22.222222222222221</v>
      </c>
      <c r="K29" s="435">
        <f>SUM(K30:K34)</f>
        <v>42</v>
      </c>
      <c r="L29" s="436">
        <f t="shared" si="2"/>
        <v>17.948717948717949</v>
      </c>
      <c r="M29" s="440"/>
      <c r="N29" s="435">
        <f>SUM(N30:N34)</f>
        <v>31</v>
      </c>
      <c r="O29" s="436">
        <f t="shared" si="3"/>
        <v>13.247863247863249</v>
      </c>
      <c r="P29" s="442"/>
      <c r="Q29" s="435">
        <f>SUM(Q30:Q34)</f>
        <v>84</v>
      </c>
      <c r="R29" s="436">
        <f t="shared" si="7"/>
        <v>35.897435897435898</v>
      </c>
      <c r="S29" s="442"/>
    </row>
    <row r="30" spans="1:19" ht="13.15" customHeight="1">
      <c r="A30" s="434" t="s">
        <v>30</v>
      </c>
      <c r="B30" s="544">
        <f t="shared" si="5"/>
        <v>20</v>
      </c>
      <c r="C30" s="436">
        <f t="shared" si="6"/>
        <v>0.4886391399951136</v>
      </c>
      <c r="E30" s="434">
        <v>7</v>
      </c>
      <c r="F30" s="436">
        <f t="shared" si="0"/>
        <v>35</v>
      </c>
      <c r="H30" s="434">
        <v>8</v>
      </c>
      <c r="I30" s="436">
        <f t="shared" si="1"/>
        <v>40</v>
      </c>
      <c r="J30" s="434"/>
      <c r="K30" s="434">
        <v>1</v>
      </c>
      <c r="L30" s="436">
        <f t="shared" si="2"/>
        <v>5</v>
      </c>
      <c r="N30" s="434">
        <v>2</v>
      </c>
      <c r="O30" s="436">
        <f t="shared" si="3"/>
        <v>10</v>
      </c>
      <c r="Q30" s="434">
        <v>2</v>
      </c>
      <c r="R30" s="436">
        <f t="shared" si="7"/>
        <v>10</v>
      </c>
      <c r="S30" s="442"/>
    </row>
    <row r="31" spans="1:19" ht="13.15" customHeight="1">
      <c r="A31" s="434" t="s">
        <v>31</v>
      </c>
      <c r="B31" s="544">
        <f t="shared" si="5"/>
        <v>61</v>
      </c>
      <c r="C31" s="436">
        <f t="shared" si="6"/>
        <v>1.4903493769850964</v>
      </c>
      <c r="E31" s="434">
        <v>3</v>
      </c>
      <c r="F31" s="436">
        <f t="shared" si="0"/>
        <v>4.918032786885246</v>
      </c>
      <c r="H31" s="434">
        <v>14</v>
      </c>
      <c r="I31" s="436">
        <f t="shared" si="1"/>
        <v>22.950819672131146</v>
      </c>
      <c r="J31" s="434"/>
      <c r="K31" s="434">
        <v>9</v>
      </c>
      <c r="L31" s="436">
        <f t="shared" si="2"/>
        <v>14.754098360655737</v>
      </c>
      <c r="N31" s="434">
        <v>12</v>
      </c>
      <c r="O31" s="436">
        <f t="shared" si="3"/>
        <v>19.672131147540984</v>
      </c>
      <c r="Q31" s="434">
        <v>23</v>
      </c>
      <c r="R31" s="436">
        <f t="shared" si="7"/>
        <v>37.704918032786885</v>
      </c>
      <c r="S31" s="442"/>
    </row>
    <row r="32" spans="1:19" ht="13.15" customHeight="1">
      <c r="A32" s="434" t="s">
        <v>32</v>
      </c>
      <c r="B32" s="544">
        <f t="shared" si="5"/>
        <v>15</v>
      </c>
      <c r="C32" s="436">
        <f t="shared" si="6"/>
        <v>0.36647935499633522</v>
      </c>
      <c r="E32" s="434">
        <v>7</v>
      </c>
      <c r="F32" s="436">
        <f t="shared" si="0"/>
        <v>46.666666666666664</v>
      </c>
      <c r="H32" s="434">
        <v>3</v>
      </c>
      <c r="I32" s="436">
        <f t="shared" si="1"/>
        <v>20</v>
      </c>
      <c r="J32" s="434"/>
      <c r="K32" s="434">
        <v>1</v>
      </c>
      <c r="L32" s="436">
        <f t="shared" si="2"/>
        <v>6.666666666666667</v>
      </c>
      <c r="N32" s="434">
        <v>1</v>
      </c>
      <c r="O32" s="436">
        <f t="shared" si="3"/>
        <v>6.666666666666667</v>
      </c>
      <c r="Q32" s="434">
        <v>3</v>
      </c>
      <c r="R32" s="436">
        <f t="shared" si="7"/>
        <v>20</v>
      </c>
      <c r="S32" s="442"/>
    </row>
    <row r="33" spans="1:19" ht="13.15" customHeight="1">
      <c r="A33" s="434" t="s">
        <v>33</v>
      </c>
      <c r="B33" s="544">
        <f t="shared" si="5"/>
        <v>97</v>
      </c>
      <c r="C33" s="436">
        <f t="shared" si="6"/>
        <v>2.3698998289763011</v>
      </c>
      <c r="E33" s="434">
        <v>6</v>
      </c>
      <c r="F33" s="436">
        <f t="shared" si="0"/>
        <v>6.1855670103092786</v>
      </c>
      <c r="H33" s="434">
        <v>13</v>
      </c>
      <c r="I33" s="436">
        <f t="shared" si="1"/>
        <v>13.402061855670103</v>
      </c>
      <c r="J33" s="434"/>
      <c r="K33" s="434">
        <v>25</v>
      </c>
      <c r="L33" s="436">
        <f t="shared" si="2"/>
        <v>25.773195876288657</v>
      </c>
      <c r="N33" s="434">
        <v>10</v>
      </c>
      <c r="O33" s="436">
        <f t="shared" si="3"/>
        <v>10.309278350515463</v>
      </c>
      <c r="Q33" s="434">
        <v>43</v>
      </c>
      <c r="R33" s="436">
        <f t="shared" si="7"/>
        <v>44.329896907216494</v>
      </c>
      <c r="S33" s="442"/>
    </row>
    <row r="34" spans="1:19" ht="13.15" customHeight="1">
      <c r="A34" s="434" t="s">
        <v>34</v>
      </c>
      <c r="B34" s="544">
        <f t="shared" si="5"/>
        <v>41</v>
      </c>
      <c r="C34" s="436">
        <f t="shared" si="6"/>
        <v>1.0017102369899828</v>
      </c>
      <c r="E34" s="434">
        <v>2</v>
      </c>
      <c r="F34" s="436">
        <f t="shared" si="0"/>
        <v>4.8780487804878048</v>
      </c>
      <c r="H34" s="434">
        <v>14</v>
      </c>
      <c r="I34" s="436">
        <f t="shared" si="1"/>
        <v>34.146341463414636</v>
      </c>
      <c r="J34" s="434"/>
      <c r="K34" s="434">
        <v>6</v>
      </c>
      <c r="L34" s="436">
        <f t="shared" si="2"/>
        <v>14.634146341463413</v>
      </c>
      <c r="N34" s="434">
        <v>6</v>
      </c>
      <c r="O34" s="436">
        <f t="shared" si="3"/>
        <v>14.634146341463413</v>
      </c>
      <c r="Q34" s="434">
        <v>13</v>
      </c>
      <c r="R34" s="436">
        <f t="shared" si="7"/>
        <v>31.707317073170731</v>
      </c>
      <c r="S34" s="442"/>
    </row>
    <row r="35" spans="1:19" ht="11.25" customHeight="1">
      <c r="B35" s="544" t="str">
        <f t="shared" si="5"/>
        <v/>
      </c>
      <c r="C35" s="436" t="str">
        <f t="shared" si="6"/>
        <v/>
      </c>
      <c r="F35" s="436" t="str">
        <f t="shared" si="0"/>
        <v/>
      </c>
      <c r="I35" s="436" t="str">
        <f t="shared" si="1"/>
        <v/>
      </c>
      <c r="L35" s="436" t="str">
        <f t="shared" si="2"/>
        <v/>
      </c>
      <c r="M35" s="440"/>
      <c r="O35" s="436" t="str">
        <f t="shared" si="3"/>
        <v/>
      </c>
      <c r="P35" s="442"/>
      <c r="R35" s="436"/>
      <c r="S35" s="442"/>
    </row>
    <row r="36" spans="1:19" ht="13.15" customHeight="1">
      <c r="A36" s="63" t="s">
        <v>329</v>
      </c>
      <c r="B36" s="544">
        <f t="shared" si="5"/>
        <v>840</v>
      </c>
      <c r="C36" s="436">
        <f t="shared" si="6"/>
        <v>20.52284387979477</v>
      </c>
      <c r="E36" s="435">
        <f>E37+E43+E53+E55</f>
        <v>58</v>
      </c>
      <c r="F36" s="436">
        <f t="shared" si="0"/>
        <v>6.9047619047619051</v>
      </c>
      <c r="H36" s="435">
        <f>H37+H43+H53+H55</f>
        <v>272</v>
      </c>
      <c r="I36" s="436">
        <f t="shared" si="1"/>
        <v>32.38095238095238</v>
      </c>
      <c r="K36" s="435">
        <f>K37+K43+K53+K55</f>
        <v>205</v>
      </c>
      <c r="L36" s="436">
        <f t="shared" si="2"/>
        <v>24.404761904761905</v>
      </c>
      <c r="M36" s="440"/>
      <c r="N36" s="435">
        <f>N37+N43+N53+N55</f>
        <v>9</v>
      </c>
      <c r="O36" s="436">
        <f t="shared" si="3"/>
        <v>1.0714285714285714</v>
      </c>
      <c r="P36" s="442"/>
      <c r="Q36" s="435">
        <f>Q37+Q43+Q53+Q55</f>
        <v>296</v>
      </c>
      <c r="R36" s="436">
        <f t="shared" si="7"/>
        <v>35.238095238095241</v>
      </c>
      <c r="S36" s="442"/>
    </row>
    <row r="37" spans="1:19" ht="13.15" customHeight="1">
      <c r="A37" s="434" t="s">
        <v>36</v>
      </c>
      <c r="B37" s="544">
        <f t="shared" si="5"/>
        <v>224</v>
      </c>
      <c r="C37" s="436">
        <f t="shared" si="6"/>
        <v>5.4727583679452723</v>
      </c>
      <c r="E37" s="435">
        <f>SUM(E38:E41)</f>
        <v>10</v>
      </c>
      <c r="F37" s="436">
        <f t="shared" si="0"/>
        <v>4.4642857142857144</v>
      </c>
      <c r="H37" s="435">
        <f>SUM(H38:H41)</f>
        <v>83</v>
      </c>
      <c r="I37" s="436">
        <f t="shared" si="1"/>
        <v>37.053571428571431</v>
      </c>
      <c r="K37" s="435">
        <f>SUM(K38:K41)</f>
        <v>66</v>
      </c>
      <c r="L37" s="436">
        <f t="shared" si="2"/>
        <v>29.464285714285715</v>
      </c>
      <c r="M37" s="440"/>
      <c r="N37" s="435">
        <f>SUM(N38:N41)</f>
        <v>4</v>
      </c>
      <c r="O37" s="436">
        <f t="shared" si="3"/>
        <v>1.7857142857142856</v>
      </c>
      <c r="P37" s="442"/>
      <c r="Q37" s="435">
        <f>SUM(Q38:Q41)</f>
        <v>61</v>
      </c>
      <c r="R37" s="436">
        <f t="shared" si="7"/>
        <v>27.232142857142854</v>
      </c>
      <c r="S37" s="442"/>
    </row>
    <row r="38" spans="1:19" ht="13.15" customHeight="1">
      <c r="A38" s="434" t="s">
        <v>37</v>
      </c>
      <c r="B38" s="544">
        <f t="shared" si="5"/>
        <v>99</v>
      </c>
      <c r="C38" s="436">
        <f t="shared" si="6"/>
        <v>2.4187637429758122</v>
      </c>
      <c r="E38" s="434">
        <v>1</v>
      </c>
      <c r="F38" s="436">
        <f t="shared" si="0"/>
        <v>1.0101010101010102</v>
      </c>
      <c r="H38" s="434">
        <v>38</v>
      </c>
      <c r="I38" s="436">
        <f t="shared" si="1"/>
        <v>38.383838383838381</v>
      </c>
      <c r="J38" s="434"/>
      <c r="K38" s="434">
        <v>30</v>
      </c>
      <c r="L38" s="436">
        <f t="shared" si="2"/>
        <v>30.303030303030305</v>
      </c>
      <c r="N38" s="434">
        <v>1</v>
      </c>
      <c r="O38" s="436">
        <f t="shared" si="3"/>
        <v>1.0101010101010102</v>
      </c>
      <c r="Q38" s="434">
        <v>29</v>
      </c>
      <c r="R38" s="436">
        <f t="shared" si="7"/>
        <v>29.292929292929294</v>
      </c>
      <c r="S38" s="442"/>
    </row>
    <row r="39" spans="1:19" ht="13.15" customHeight="1">
      <c r="A39" s="434" t="s">
        <v>38</v>
      </c>
      <c r="B39" s="544">
        <f t="shared" si="5"/>
        <v>71</v>
      </c>
      <c r="C39" s="436">
        <f t="shared" si="6"/>
        <v>1.7346689469826533</v>
      </c>
      <c r="E39" s="434">
        <v>2</v>
      </c>
      <c r="F39" s="436">
        <f t="shared" si="0"/>
        <v>2.8169014084507045</v>
      </c>
      <c r="H39" s="434">
        <v>28</v>
      </c>
      <c r="I39" s="436">
        <f t="shared" si="1"/>
        <v>39.436619718309856</v>
      </c>
      <c r="J39" s="434"/>
      <c r="K39" s="434">
        <v>22</v>
      </c>
      <c r="L39" s="436">
        <f t="shared" si="2"/>
        <v>30.985915492957744</v>
      </c>
      <c r="N39" s="434">
        <v>0</v>
      </c>
      <c r="O39" s="436">
        <f t="shared" si="3"/>
        <v>0</v>
      </c>
      <c r="Q39" s="434">
        <v>19</v>
      </c>
      <c r="R39" s="436">
        <f t="shared" si="7"/>
        <v>26.760563380281688</v>
      </c>
      <c r="S39" s="442"/>
    </row>
    <row r="40" spans="1:19" ht="13.15" customHeight="1">
      <c r="A40" s="434" t="s">
        <v>39</v>
      </c>
      <c r="B40" s="544">
        <f t="shared" si="5"/>
        <v>28</v>
      </c>
      <c r="C40" s="436">
        <f t="shared" si="6"/>
        <v>0.68409479599315903</v>
      </c>
      <c r="E40" s="434">
        <v>5</v>
      </c>
      <c r="F40" s="436">
        <f t="shared" si="0"/>
        <v>17.857142857142858</v>
      </c>
      <c r="H40" s="434">
        <v>8</v>
      </c>
      <c r="I40" s="436">
        <f t="shared" si="1"/>
        <v>28.571428571428569</v>
      </c>
      <c r="J40" s="434"/>
      <c r="K40" s="434">
        <v>5</v>
      </c>
      <c r="L40" s="436">
        <f t="shared" si="2"/>
        <v>17.857142857142858</v>
      </c>
      <c r="N40" s="434">
        <v>1</v>
      </c>
      <c r="O40" s="436">
        <f t="shared" si="3"/>
        <v>3.5714285714285712</v>
      </c>
      <c r="Q40" s="434">
        <v>9</v>
      </c>
      <c r="R40" s="436">
        <f t="shared" si="7"/>
        <v>32.142857142857146</v>
      </c>
      <c r="S40" s="442"/>
    </row>
    <row r="41" spans="1:19" ht="13.15" customHeight="1">
      <c r="A41" s="434" t="s">
        <v>40</v>
      </c>
      <c r="B41" s="544">
        <f t="shared" si="5"/>
        <v>26</v>
      </c>
      <c r="C41" s="436">
        <f t="shared" si="6"/>
        <v>0.63523088199364774</v>
      </c>
      <c r="E41" s="434">
        <v>2</v>
      </c>
      <c r="F41" s="436">
        <f t="shared" si="0"/>
        <v>7.6923076923076925</v>
      </c>
      <c r="H41" s="434">
        <v>9</v>
      </c>
      <c r="I41" s="436">
        <f t="shared" si="1"/>
        <v>34.615384615384613</v>
      </c>
      <c r="J41" s="434"/>
      <c r="K41" s="434">
        <v>9</v>
      </c>
      <c r="L41" s="436">
        <f t="shared" si="2"/>
        <v>34.615384615384613</v>
      </c>
      <c r="N41" s="434">
        <v>2</v>
      </c>
      <c r="O41" s="436">
        <f t="shared" si="3"/>
        <v>7.6923076923076925</v>
      </c>
      <c r="Q41" s="434">
        <v>4</v>
      </c>
      <c r="R41" s="436">
        <f t="shared" si="7"/>
        <v>15.384615384615385</v>
      </c>
      <c r="S41" s="442"/>
    </row>
    <row r="42" spans="1:19" ht="9.9499999999999993" customHeight="1">
      <c r="B42" s="544" t="str">
        <f t="shared" si="5"/>
        <v/>
      </c>
      <c r="C42" s="436" t="str">
        <f t="shared" si="6"/>
        <v/>
      </c>
      <c r="E42" s="434"/>
      <c r="F42" s="436" t="str">
        <f t="shared" si="0"/>
        <v/>
      </c>
      <c r="H42" s="434"/>
      <c r="I42" s="436" t="str">
        <f t="shared" si="1"/>
        <v/>
      </c>
      <c r="J42" s="434"/>
      <c r="K42" s="434"/>
      <c r="L42" s="436" t="str">
        <f t="shared" si="2"/>
        <v/>
      </c>
      <c r="N42" s="434"/>
      <c r="O42" s="436" t="str">
        <f t="shared" si="3"/>
        <v/>
      </c>
      <c r="Q42" s="434"/>
      <c r="R42" s="436" t="str">
        <f t="shared" si="7"/>
        <v/>
      </c>
      <c r="S42" s="442"/>
    </row>
    <row r="43" spans="1:19" ht="13.15" customHeight="1">
      <c r="A43" s="434" t="s">
        <v>41</v>
      </c>
      <c r="B43" s="544">
        <f t="shared" si="5"/>
        <v>296</v>
      </c>
      <c r="C43" s="436">
        <f t="shared" si="6"/>
        <v>7.2318592719276822</v>
      </c>
      <c r="E43" s="435">
        <f>SUM(E44:E51)</f>
        <v>19</v>
      </c>
      <c r="F43" s="436">
        <f t="shared" si="0"/>
        <v>6.4189189189189184</v>
      </c>
      <c r="H43" s="435">
        <f>SUM(H44:H51)</f>
        <v>102</v>
      </c>
      <c r="I43" s="436">
        <f t="shared" si="1"/>
        <v>34.45945945945946</v>
      </c>
      <c r="K43" s="435">
        <f>SUM(K44:K51)</f>
        <v>84</v>
      </c>
      <c r="L43" s="436">
        <f t="shared" si="2"/>
        <v>28.378378378378379</v>
      </c>
      <c r="M43" s="440"/>
      <c r="N43" s="435">
        <f>SUM(N44:N51)</f>
        <v>3</v>
      </c>
      <c r="O43" s="436">
        <f t="shared" si="3"/>
        <v>1.0135135135135136</v>
      </c>
      <c r="P43" s="442"/>
      <c r="Q43" s="435">
        <f>SUM(Q44:Q51)</f>
        <v>88</v>
      </c>
      <c r="R43" s="436">
        <f t="shared" si="7"/>
        <v>29.72972972972973</v>
      </c>
      <c r="S43" s="442"/>
    </row>
    <row r="44" spans="1:19" ht="13.15" customHeight="1">
      <c r="A44" s="434" t="s">
        <v>49</v>
      </c>
      <c r="B44" s="544">
        <f t="shared" si="5"/>
        <v>16</v>
      </c>
      <c r="C44" s="436">
        <f t="shared" si="6"/>
        <v>0.39091131199609092</v>
      </c>
      <c r="E44" s="434">
        <v>2</v>
      </c>
      <c r="F44" s="436">
        <f t="shared" si="0"/>
        <v>12.5</v>
      </c>
      <c r="H44" s="434">
        <v>8</v>
      </c>
      <c r="I44" s="436">
        <f t="shared" si="1"/>
        <v>50</v>
      </c>
      <c r="J44" s="434"/>
      <c r="K44" s="434">
        <v>1</v>
      </c>
      <c r="L44" s="436">
        <f t="shared" si="2"/>
        <v>6.25</v>
      </c>
      <c r="N44" s="434">
        <v>0</v>
      </c>
      <c r="O44" s="436">
        <f t="shared" si="3"/>
        <v>0</v>
      </c>
      <c r="Q44" s="434">
        <v>5</v>
      </c>
      <c r="R44" s="436">
        <f t="shared" si="7"/>
        <v>31.25</v>
      </c>
      <c r="S44" s="442"/>
    </row>
    <row r="45" spans="1:19" ht="13.15" customHeight="1">
      <c r="A45" s="434" t="s">
        <v>42</v>
      </c>
      <c r="B45" s="544">
        <f t="shared" si="5"/>
        <v>28</v>
      </c>
      <c r="C45" s="436">
        <f t="shared" si="6"/>
        <v>0.68409479599315903</v>
      </c>
      <c r="E45" s="434">
        <v>0</v>
      </c>
      <c r="F45" s="436">
        <f t="shared" si="0"/>
        <v>0</v>
      </c>
      <c r="H45" s="434">
        <v>12</v>
      </c>
      <c r="I45" s="436">
        <f t="shared" si="1"/>
        <v>42.857142857142854</v>
      </c>
      <c r="J45" s="434"/>
      <c r="K45" s="434">
        <v>5</v>
      </c>
      <c r="L45" s="436">
        <f t="shared" si="2"/>
        <v>17.857142857142858</v>
      </c>
      <c r="N45" s="434">
        <v>1</v>
      </c>
      <c r="O45" s="436">
        <f t="shared" si="3"/>
        <v>3.5714285714285712</v>
      </c>
      <c r="Q45" s="434">
        <v>10</v>
      </c>
      <c r="R45" s="436"/>
      <c r="S45" s="442"/>
    </row>
    <row r="46" spans="1:19" ht="13.15" customHeight="1">
      <c r="A46" s="434" t="s">
        <v>43</v>
      </c>
      <c r="B46" s="544">
        <f t="shared" si="5"/>
        <v>41</v>
      </c>
      <c r="C46" s="436">
        <f t="shared" si="6"/>
        <v>1.0017102369899828</v>
      </c>
      <c r="E46" s="434">
        <v>3</v>
      </c>
      <c r="F46" s="436">
        <f t="shared" si="0"/>
        <v>7.3170731707317067</v>
      </c>
      <c r="H46" s="434">
        <v>19</v>
      </c>
      <c r="I46" s="436">
        <f t="shared" si="1"/>
        <v>46.341463414634148</v>
      </c>
      <c r="J46" s="434"/>
      <c r="K46" s="434">
        <v>11</v>
      </c>
      <c r="L46" s="436">
        <f t="shared" si="2"/>
        <v>26.829268292682929</v>
      </c>
      <c r="N46" s="434">
        <v>1</v>
      </c>
      <c r="O46" s="436">
        <f t="shared" si="3"/>
        <v>2.4390243902439024</v>
      </c>
      <c r="Q46" s="434">
        <v>7</v>
      </c>
      <c r="R46" s="436">
        <f t="shared" si="7"/>
        <v>17.073170731707318</v>
      </c>
      <c r="S46" s="442"/>
    </row>
    <row r="47" spans="1:19" ht="13.15" customHeight="1">
      <c r="A47" s="434" t="s">
        <v>44</v>
      </c>
      <c r="B47" s="544">
        <f t="shared" si="5"/>
        <v>35</v>
      </c>
      <c r="C47" s="436">
        <f t="shared" si="6"/>
        <v>0.85511849499144887</v>
      </c>
      <c r="E47" s="434">
        <v>5</v>
      </c>
      <c r="F47" s="436">
        <f t="shared" si="0"/>
        <v>14.285714285714285</v>
      </c>
      <c r="H47" s="434">
        <v>6</v>
      </c>
      <c r="I47" s="436">
        <f t="shared" si="1"/>
        <v>17.142857142857142</v>
      </c>
      <c r="J47" s="434"/>
      <c r="K47" s="434">
        <v>7</v>
      </c>
      <c r="L47" s="436">
        <f t="shared" si="2"/>
        <v>20</v>
      </c>
      <c r="N47" s="434">
        <v>0</v>
      </c>
      <c r="O47" s="436">
        <f t="shared" si="3"/>
        <v>0</v>
      </c>
      <c r="Q47" s="434">
        <v>17</v>
      </c>
      <c r="R47" s="436">
        <f t="shared" si="7"/>
        <v>48.571428571428569</v>
      </c>
      <c r="S47" s="442"/>
    </row>
    <row r="48" spans="1:19" ht="13.15" customHeight="1">
      <c r="A48" s="434" t="s">
        <v>331</v>
      </c>
      <c r="B48" s="544">
        <f t="shared" si="5"/>
        <v>33</v>
      </c>
      <c r="C48" s="436">
        <f t="shared" si="6"/>
        <v>0.80625458099193736</v>
      </c>
      <c r="E48" s="434">
        <v>2</v>
      </c>
      <c r="F48" s="436">
        <f t="shared" si="0"/>
        <v>6.0606060606060606</v>
      </c>
      <c r="H48" s="434">
        <v>9</v>
      </c>
      <c r="I48" s="436">
        <f t="shared" si="1"/>
        <v>27.27272727272727</v>
      </c>
      <c r="J48" s="434"/>
      <c r="K48" s="434">
        <v>9</v>
      </c>
      <c r="L48" s="436">
        <f t="shared" si="2"/>
        <v>27.27272727272727</v>
      </c>
      <c r="N48" s="434">
        <v>1</v>
      </c>
      <c r="O48" s="436">
        <f t="shared" si="3"/>
        <v>3.0303030303030303</v>
      </c>
      <c r="Q48" s="434">
        <v>12</v>
      </c>
      <c r="R48" s="436">
        <f t="shared" si="7"/>
        <v>36.363636363636367</v>
      </c>
      <c r="S48" s="442"/>
    </row>
    <row r="49" spans="1:19" ht="13.15" customHeight="1">
      <c r="A49" s="434" t="s">
        <v>48</v>
      </c>
      <c r="B49" s="544">
        <f t="shared" si="5"/>
        <v>16</v>
      </c>
      <c r="C49" s="436">
        <f t="shared" si="6"/>
        <v>0.39091131199609092</v>
      </c>
      <c r="E49" s="434">
        <v>1</v>
      </c>
      <c r="F49" s="436">
        <f t="shared" si="0"/>
        <v>6.25</v>
      </c>
      <c r="H49" s="434">
        <v>7</v>
      </c>
      <c r="I49" s="436">
        <f t="shared" si="1"/>
        <v>43.75</v>
      </c>
      <c r="J49" s="434"/>
      <c r="K49" s="434">
        <v>4</v>
      </c>
      <c r="L49" s="436">
        <f t="shared" si="2"/>
        <v>25</v>
      </c>
      <c r="N49" s="434">
        <v>0</v>
      </c>
      <c r="O49" s="436">
        <f t="shared" si="3"/>
        <v>0</v>
      </c>
      <c r="Q49" s="434">
        <v>4</v>
      </c>
      <c r="R49" s="436">
        <f t="shared" si="7"/>
        <v>25</v>
      </c>
      <c r="S49" s="442"/>
    </row>
    <row r="50" spans="1:19" ht="13.15" customHeight="1">
      <c r="A50" s="434" t="s">
        <v>47</v>
      </c>
      <c r="B50" s="544">
        <f t="shared" si="5"/>
        <v>89</v>
      </c>
      <c r="C50" s="436">
        <f t="shared" si="6"/>
        <v>2.1744441729782555</v>
      </c>
      <c r="E50" s="434">
        <v>6</v>
      </c>
      <c r="F50" s="436">
        <f t="shared" si="0"/>
        <v>6.7415730337078648</v>
      </c>
      <c r="H50" s="434">
        <v>24</v>
      </c>
      <c r="I50" s="436">
        <f t="shared" si="1"/>
        <v>26.966292134831459</v>
      </c>
      <c r="J50" s="434"/>
      <c r="K50" s="434">
        <v>36</v>
      </c>
      <c r="L50" s="436">
        <f t="shared" si="2"/>
        <v>40.449438202247187</v>
      </c>
      <c r="N50" s="434">
        <v>0</v>
      </c>
      <c r="O50" s="436">
        <f t="shared" si="3"/>
        <v>0</v>
      </c>
      <c r="Q50" s="434">
        <v>23</v>
      </c>
      <c r="R50" s="436">
        <f t="shared" si="7"/>
        <v>25.842696629213485</v>
      </c>
      <c r="S50" s="442"/>
    </row>
    <row r="51" spans="1:19" ht="13.15" customHeight="1">
      <c r="A51" s="434" t="s">
        <v>46</v>
      </c>
      <c r="B51" s="544">
        <f t="shared" si="5"/>
        <v>38</v>
      </c>
      <c r="C51" s="436">
        <f t="shared" si="6"/>
        <v>0.92841436599071581</v>
      </c>
      <c r="E51" s="434">
        <v>0</v>
      </c>
      <c r="F51" s="436">
        <f t="shared" si="0"/>
        <v>0</v>
      </c>
      <c r="H51" s="434">
        <v>17</v>
      </c>
      <c r="I51" s="436">
        <f t="shared" si="1"/>
        <v>44.736842105263158</v>
      </c>
      <c r="J51" s="434"/>
      <c r="K51" s="434">
        <v>11</v>
      </c>
      <c r="L51" s="436">
        <f t="shared" si="2"/>
        <v>28.947368421052634</v>
      </c>
      <c r="N51" s="434">
        <v>0</v>
      </c>
      <c r="O51" s="436">
        <f t="shared" si="3"/>
        <v>0</v>
      </c>
      <c r="Q51" s="434">
        <v>10</v>
      </c>
      <c r="R51" s="436">
        <f t="shared" si="7"/>
        <v>26.315789473684209</v>
      </c>
      <c r="S51" s="442"/>
    </row>
    <row r="52" spans="1:19" ht="9.9499999999999993" customHeight="1">
      <c r="B52" s="544" t="str">
        <f t="shared" si="5"/>
        <v/>
      </c>
      <c r="C52" s="436" t="str">
        <f t="shared" si="6"/>
        <v/>
      </c>
      <c r="E52" s="434"/>
      <c r="F52" s="436" t="str">
        <f t="shared" si="0"/>
        <v/>
      </c>
      <c r="H52" s="434"/>
      <c r="I52" s="436" t="str">
        <f t="shared" si="1"/>
        <v/>
      </c>
      <c r="J52" s="434"/>
      <c r="K52" s="434"/>
      <c r="L52" s="436" t="str">
        <f t="shared" si="2"/>
        <v/>
      </c>
      <c r="N52" s="434"/>
      <c r="O52" s="436" t="str">
        <f t="shared" si="3"/>
        <v/>
      </c>
      <c r="Q52" s="434"/>
      <c r="R52" s="436" t="str">
        <f t="shared" si="7"/>
        <v/>
      </c>
      <c r="S52" s="442"/>
    </row>
    <row r="53" spans="1:19" ht="13.15" customHeight="1">
      <c r="A53" s="434" t="s">
        <v>50</v>
      </c>
      <c r="B53" s="544">
        <f t="shared" si="5"/>
        <v>112</v>
      </c>
      <c r="C53" s="436">
        <f t="shared" si="6"/>
        <v>2.7363791839726361</v>
      </c>
      <c r="E53" s="434">
        <v>15</v>
      </c>
      <c r="F53" s="436">
        <f t="shared" si="0"/>
        <v>13.392857142857142</v>
      </c>
      <c r="H53" s="434">
        <v>28</v>
      </c>
      <c r="I53" s="436">
        <f t="shared" si="1"/>
        <v>25</v>
      </c>
      <c r="J53" s="434"/>
      <c r="K53" s="434">
        <v>15</v>
      </c>
      <c r="L53" s="436">
        <f t="shared" si="2"/>
        <v>13.392857142857142</v>
      </c>
      <c r="N53" s="434">
        <v>0</v>
      </c>
      <c r="O53" s="436">
        <f t="shared" si="3"/>
        <v>0</v>
      </c>
      <c r="Q53" s="434">
        <v>54</v>
      </c>
      <c r="R53" s="436">
        <f t="shared" si="7"/>
        <v>48.214285714285715</v>
      </c>
      <c r="S53" s="442"/>
    </row>
    <row r="54" spans="1:19" ht="9.9499999999999993" customHeight="1">
      <c r="B54" s="544" t="str">
        <f t="shared" si="5"/>
        <v/>
      </c>
      <c r="C54" s="436" t="str">
        <f t="shared" si="6"/>
        <v/>
      </c>
      <c r="F54" s="436" t="str">
        <f t="shared" si="0"/>
        <v/>
      </c>
      <c r="I54" s="436" t="str">
        <f t="shared" si="1"/>
        <v/>
      </c>
      <c r="L54" s="436" t="str">
        <f t="shared" si="2"/>
        <v/>
      </c>
      <c r="M54" s="440"/>
      <c r="O54" s="436" t="str">
        <f t="shared" si="3"/>
        <v/>
      </c>
      <c r="P54" s="442"/>
      <c r="R54" s="436" t="str">
        <f t="shared" si="7"/>
        <v/>
      </c>
      <c r="S54" s="442"/>
    </row>
    <row r="55" spans="1:19" ht="13.15" customHeight="1">
      <c r="A55" s="434" t="s">
        <v>51</v>
      </c>
      <c r="B55" s="544">
        <f t="shared" si="5"/>
        <v>208</v>
      </c>
      <c r="C55" s="436">
        <f t="shared" si="6"/>
        <v>5.081847055949182</v>
      </c>
      <c r="E55" s="435">
        <f>SUM(E56:E60)</f>
        <v>14</v>
      </c>
      <c r="F55" s="436">
        <f t="shared" si="0"/>
        <v>6.7307692307692308</v>
      </c>
      <c r="H55" s="435">
        <f>SUM(H56:H60)</f>
        <v>59</v>
      </c>
      <c r="I55" s="436">
        <f t="shared" si="1"/>
        <v>28.365384615384613</v>
      </c>
      <c r="K55" s="435">
        <f>SUM(K56:K60)</f>
        <v>40</v>
      </c>
      <c r="L55" s="436">
        <f t="shared" si="2"/>
        <v>19.230769230769234</v>
      </c>
      <c r="M55" s="440"/>
      <c r="N55" s="435">
        <f>SUM(N56:N60)</f>
        <v>2</v>
      </c>
      <c r="O55" s="436">
        <f t="shared" si="3"/>
        <v>0.96153846153846156</v>
      </c>
      <c r="P55" s="442"/>
      <c r="Q55" s="435">
        <f>SUM(Q56:Q60)</f>
        <v>93</v>
      </c>
      <c r="R55" s="436">
        <f t="shared" si="7"/>
        <v>44.711538461538467</v>
      </c>
      <c r="S55" s="442"/>
    </row>
    <row r="56" spans="1:19" ht="13.15" customHeight="1">
      <c r="A56" s="434" t="s">
        <v>52</v>
      </c>
      <c r="B56" s="544">
        <f t="shared" si="5"/>
        <v>21</v>
      </c>
      <c r="C56" s="436">
        <f t="shared" si="6"/>
        <v>0.5130710969948693</v>
      </c>
      <c r="E56" s="434">
        <v>3</v>
      </c>
      <c r="F56" s="436">
        <f t="shared" si="0"/>
        <v>14.285714285714285</v>
      </c>
      <c r="H56" s="434">
        <v>7</v>
      </c>
      <c r="I56" s="436">
        <f t="shared" si="1"/>
        <v>33.333333333333329</v>
      </c>
      <c r="J56" s="434"/>
      <c r="K56" s="434">
        <v>5</v>
      </c>
      <c r="L56" s="436">
        <f t="shared" si="2"/>
        <v>23.809523809523807</v>
      </c>
      <c r="N56" s="434">
        <v>0</v>
      </c>
      <c r="O56" s="436">
        <f t="shared" si="3"/>
        <v>0</v>
      </c>
      <c r="Q56" s="434">
        <v>6</v>
      </c>
      <c r="R56" s="436">
        <f t="shared" si="7"/>
        <v>28.571428571428569</v>
      </c>
      <c r="S56" s="442"/>
    </row>
    <row r="57" spans="1:19" ht="13.15" customHeight="1">
      <c r="A57" s="434" t="s">
        <v>53</v>
      </c>
      <c r="B57" s="544">
        <f t="shared" si="5"/>
        <v>89</v>
      </c>
      <c r="C57" s="436">
        <f t="shared" si="6"/>
        <v>2.1744441729782555</v>
      </c>
      <c r="E57" s="434">
        <v>4</v>
      </c>
      <c r="F57" s="436">
        <f t="shared" si="0"/>
        <v>4.4943820224719104</v>
      </c>
      <c r="H57" s="434">
        <v>19</v>
      </c>
      <c r="I57" s="436">
        <f t="shared" si="1"/>
        <v>21.348314606741571</v>
      </c>
      <c r="J57" s="434"/>
      <c r="K57" s="434">
        <v>19</v>
      </c>
      <c r="L57" s="436">
        <f t="shared" si="2"/>
        <v>21.348314606741571</v>
      </c>
      <c r="N57" s="434">
        <v>0</v>
      </c>
      <c r="O57" s="436">
        <f t="shared" si="3"/>
        <v>0</v>
      </c>
      <c r="Q57" s="434">
        <v>47</v>
      </c>
      <c r="R57" s="436">
        <f t="shared" si="7"/>
        <v>52.80898876404494</v>
      </c>
      <c r="S57" s="442"/>
    </row>
    <row r="58" spans="1:19" ht="13.15" customHeight="1">
      <c r="A58" s="434" t="s">
        <v>54</v>
      </c>
      <c r="B58" s="544">
        <f t="shared" si="5"/>
        <v>47</v>
      </c>
      <c r="C58" s="436">
        <f t="shared" si="6"/>
        <v>1.1483019789885169</v>
      </c>
      <c r="E58" s="434">
        <v>5</v>
      </c>
      <c r="F58" s="436">
        <f t="shared" si="0"/>
        <v>10.638297872340425</v>
      </c>
      <c r="H58" s="434">
        <v>12</v>
      </c>
      <c r="I58" s="436">
        <f t="shared" si="1"/>
        <v>25.531914893617021</v>
      </c>
      <c r="J58" s="434"/>
      <c r="K58" s="434">
        <v>5</v>
      </c>
      <c r="L58" s="436">
        <f t="shared" si="2"/>
        <v>10.638297872340425</v>
      </c>
      <c r="N58" s="434">
        <v>1</v>
      </c>
      <c r="O58" s="436">
        <f t="shared" si="3"/>
        <v>2.1276595744680851</v>
      </c>
      <c r="Q58" s="434">
        <v>24</v>
      </c>
      <c r="R58" s="436">
        <f t="shared" si="7"/>
        <v>51.063829787234042</v>
      </c>
      <c r="S58" s="442"/>
    </row>
    <row r="59" spans="1:19" ht="13.15" customHeight="1">
      <c r="A59" s="434" t="s">
        <v>332</v>
      </c>
      <c r="B59" s="544">
        <f t="shared" si="5"/>
        <v>23</v>
      </c>
      <c r="C59" s="436">
        <f t="shared" si="6"/>
        <v>0.56193501099438059</v>
      </c>
      <c r="E59" s="434">
        <v>0</v>
      </c>
      <c r="F59" s="436">
        <f t="shared" si="0"/>
        <v>0</v>
      </c>
      <c r="H59" s="434">
        <v>11</v>
      </c>
      <c r="I59" s="436">
        <f t="shared" si="1"/>
        <v>47.826086956521742</v>
      </c>
      <c r="J59" s="434"/>
      <c r="K59" s="434">
        <v>9</v>
      </c>
      <c r="L59" s="436">
        <f t="shared" si="2"/>
        <v>39.130434782608695</v>
      </c>
      <c r="N59" s="434">
        <v>1</v>
      </c>
      <c r="O59" s="436">
        <f t="shared" si="3"/>
        <v>4.3478260869565215</v>
      </c>
      <c r="Q59" s="434">
        <v>2</v>
      </c>
      <c r="R59" s="436">
        <f t="shared" si="7"/>
        <v>8.695652173913043</v>
      </c>
      <c r="S59" s="442"/>
    </row>
    <row r="60" spans="1:19" ht="13.15" customHeight="1">
      <c r="A60" s="434" t="s">
        <v>56</v>
      </c>
      <c r="B60" s="544">
        <f t="shared" si="5"/>
        <v>28</v>
      </c>
      <c r="C60" s="436">
        <f t="shared" si="6"/>
        <v>0.68409479599315903</v>
      </c>
      <c r="E60" s="434">
        <v>2</v>
      </c>
      <c r="F60" s="436">
        <f t="shared" si="0"/>
        <v>7.1428571428571423</v>
      </c>
      <c r="H60" s="434">
        <v>10</v>
      </c>
      <c r="I60" s="436">
        <f t="shared" si="1"/>
        <v>35.714285714285715</v>
      </c>
      <c r="J60" s="434"/>
      <c r="K60" s="434">
        <v>2</v>
      </c>
      <c r="L60" s="436">
        <f t="shared" si="2"/>
        <v>7.1428571428571423</v>
      </c>
      <c r="N60" s="434">
        <v>0</v>
      </c>
      <c r="O60" s="436">
        <f t="shared" si="3"/>
        <v>0</v>
      </c>
      <c r="Q60" s="434">
        <v>14</v>
      </c>
      <c r="R60" s="436">
        <f t="shared" si="7"/>
        <v>50</v>
      </c>
      <c r="S60" s="442"/>
    </row>
    <row r="61" spans="1:19" ht="9.9499999999999993" customHeight="1">
      <c r="B61" s="544" t="str">
        <f t="shared" si="5"/>
        <v/>
      </c>
      <c r="C61" s="436" t="str">
        <f t="shared" si="6"/>
        <v/>
      </c>
      <c r="F61" s="436" t="str">
        <f t="shared" si="0"/>
        <v/>
      </c>
      <c r="I61" s="436" t="str">
        <f t="shared" si="1"/>
        <v/>
      </c>
      <c r="L61" s="436" t="str">
        <f t="shared" si="2"/>
        <v/>
      </c>
      <c r="M61" s="440"/>
      <c r="O61" s="436" t="str">
        <f t="shared" si="3"/>
        <v/>
      </c>
      <c r="P61" s="442"/>
      <c r="R61" s="436" t="str">
        <f t="shared" si="7"/>
        <v/>
      </c>
      <c r="S61" s="442"/>
    </row>
    <row r="62" spans="1:19" ht="13.15" customHeight="1">
      <c r="A62" s="63" t="s">
        <v>333</v>
      </c>
      <c r="B62" s="544">
        <f t="shared" si="5"/>
        <v>818</v>
      </c>
      <c r="C62" s="436">
        <f t="shared" si="6"/>
        <v>19.985340825800147</v>
      </c>
      <c r="E62" s="435">
        <f>E63+E65+E72+E74</f>
        <v>16</v>
      </c>
      <c r="F62" s="436">
        <f t="shared" si="0"/>
        <v>1.9559902200488997</v>
      </c>
      <c r="H62" s="435">
        <f>H63+H65+H72+H74</f>
        <v>306</v>
      </c>
      <c r="I62" s="436">
        <f t="shared" si="1"/>
        <v>37.408312958435211</v>
      </c>
      <c r="K62" s="435">
        <f>K63+K65+K72+K74</f>
        <v>131</v>
      </c>
      <c r="L62" s="436">
        <f t="shared" si="2"/>
        <v>16.014669926650367</v>
      </c>
      <c r="M62" s="440"/>
      <c r="N62" s="435">
        <f>SUM(N63+N65+N72+N74)</f>
        <v>13</v>
      </c>
      <c r="O62" s="436">
        <f t="shared" si="3"/>
        <v>1.5892420537897312</v>
      </c>
      <c r="P62" s="442"/>
      <c r="Q62" s="435">
        <f>SUM(Q63+Q65+Q72+Q74)</f>
        <v>352</v>
      </c>
      <c r="R62" s="436">
        <f t="shared" si="7"/>
        <v>43.03178484107579</v>
      </c>
      <c r="S62" s="442"/>
    </row>
    <row r="63" spans="1:19" ht="13.15" customHeight="1">
      <c r="A63" s="434" t="s">
        <v>334</v>
      </c>
      <c r="B63" s="544">
        <f t="shared" si="5"/>
        <v>65</v>
      </c>
      <c r="C63" s="436">
        <f t="shared" si="6"/>
        <v>1.5880772049841192</v>
      </c>
      <c r="E63" s="434">
        <v>0</v>
      </c>
      <c r="F63" s="436">
        <f t="shared" si="0"/>
        <v>0</v>
      </c>
      <c r="H63" s="434">
        <v>13</v>
      </c>
      <c r="I63" s="436">
        <f t="shared" si="1"/>
        <v>20</v>
      </c>
      <c r="J63" s="434"/>
      <c r="K63" s="434">
        <v>12</v>
      </c>
      <c r="L63" s="436">
        <f t="shared" si="2"/>
        <v>18.461538461538463</v>
      </c>
      <c r="N63" s="434">
        <v>0</v>
      </c>
      <c r="O63" s="436">
        <f t="shared" si="3"/>
        <v>0</v>
      </c>
      <c r="Q63" s="434">
        <v>40</v>
      </c>
      <c r="R63" s="436">
        <f t="shared" si="7"/>
        <v>61.53846153846154</v>
      </c>
      <c r="S63" s="442"/>
    </row>
    <row r="64" spans="1:19" ht="9.9499999999999993" customHeight="1">
      <c r="B64" s="544" t="str">
        <f t="shared" si="5"/>
        <v/>
      </c>
      <c r="C64" s="436" t="str">
        <f t="shared" si="6"/>
        <v/>
      </c>
      <c r="F64" s="436" t="str">
        <f t="shared" si="0"/>
        <v/>
      </c>
      <c r="I64" s="436" t="str">
        <f t="shared" si="1"/>
        <v/>
      </c>
      <c r="L64" s="436" t="str">
        <f t="shared" si="2"/>
        <v/>
      </c>
      <c r="M64" s="440"/>
      <c r="O64" s="436" t="str">
        <f t="shared" si="3"/>
        <v/>
      </c>
      <c r="P64" s="442"/>
      <c r="R64" s="436" t="str">
        <f t="shared" si="7"/>
        <v/>
      </c>
      <c r="S64" s="442"/>
    </row>
    <row r="65" spans="1:19" ht="13.15" customHeight="1">
      <c r="A65" s="434" t="s">
        <v>60</v>
      </c>
      <c r="B65" s="544">
        <f t="shared" si="5"/>
        <v>594</v>
      </c>
      <c r="C65" s="436">
        <f t="shared" si="6"/>
        <v>14.512582457854876</v>
      </c>
      <c r="E65" s="435">
        <f>SUM(E66:E70)</f>
        <v>14</v>
      </c>
      <c r="F65" s="436">
        <f t="shared" si="0"/>
        <v>2.3569023569023568</v>
      </c>
      <c r="H65" s="435">
        <f>SUM(H66:H70)</f>
        <v>227</v>
      </c>
      <c r="I65" s="436">
        <f t="shared" si="1"/>
        <v>38.215488215488215</v>
      </c>
      <c r="K65" s="435">
        <f>SUM(K66:K70)</f>
        <v>85</v>
      </c>
      <c r="L65" s="436">
        <f t="shared" si="2"/>
        <v>14.309764309764308</v>
      </c>
      <c r="M65" s="440"/>
      <c r="N65" s="435">
        <f>SUM(N66:N70)</f>
        <v>12</v>
      </c>
      <c r="O65" s="436">
        <f t="shared" si="3"/>
        <v>2.0202020202020203</v>
      </c>
      <c r="P65" s="442"/>
      <c r="Q65" s="435">
        <f>SUM(Q66:Q70)</f>
        <v>256</v>
      </c>
      <c r="R65" s="436">
        <f t="shared" si="7"/>
        <v>43.097643097643093</v>
      </c>
      <c r="S65" s="442"/>
    </row>
    <row r="66" spans="1:19" ht="13.15" customHeight="1">
      <c r="A66" s="434" t="s">
        <v>395</v>
      </c>
      <c r="B66" s="544">
        <f t="shared" si="5"/>
        <v>374</v>
      </c>
      <c r="C66" s="436">
        <f t="shared" si="6"/>
        <v>9.137551917908624</v>
      </c>
      <c r="E66" s="434">
        <v>3</v>
      </c>
      <c r="F66" s="436">
        <f t="shared" si="0"/>
        <v>0.80213903743315518</v>
      </c>
      <c r="H66" s="434">
        <v>175</v>
      </c>
      <c r="I66" s="436">
        <f t="shared" si="1"/>
        <v>46.791443850267378</v>
      </c>
      <c r="J66" s="434"/>
      <c r="K66" s="434">
        <v>31</v>
      </c>
      <c r="L66" s="436">
        <f t="shared" si="2"/>
        <v>8.2887700534759361</v>
      </c>
      <c r="N66" s="434">
        <v>2</v>
      </c>
      <c r="O66" s="436">
        <f t="shared" si="3"/>
        <v>0.53475935828876997</v>
      </c>
      <c r="Q66" s="434">
        <v>163</v>
      </c>
      <c r="R66" s="436">
        <f t="shared" si="7"/>
        <v>43.582887700534762</v>
      </c>
      <c r="S66" s="442"/>
    </row>
    <row r="67" spans="1:19" ht="13.15" customHeight="1">
      <c r="A67" s="434" t="s">
        <v>62</v>
      </c>
      <c r="B67" s="544">
        <f t="shared" si="5"/>
        <v>38</v>
      </c>
      <c r="C67" s="436">
        <f t="shared" si="6"/>
        <v>0.92841436599071581</v>
      </c>
      <c r="E67" s="434">
        <v>5</v>
      </c>
      <c r="F67" s="436">
        <f t="shared" si="0"/>
        <v>13.157894736842104</v>
      </c>
      <c r="H67" s="434">
        <v>14</v>
      </c>
      <c r="I67" s="436">
        <f t="shared" si="1"/>
        <v>36.84210526315789</v>
      </c>
      <c r="J67" s="434"/>
      <c r="K67" s="434">
        <v>9</v>
      </c>
      <c r="L67" s="436">
        <f t="shared" si="2"/>
        <v>23.684210526315788</v>
      </c>
      <c r="N67" s="434">
        <v>0</v>
      </c>
      <c r="O67" s="436">
        <f t="shared" si="3"/>
        <v>0</v>
      </c>
      <c r="Q67" s="434">
        <v>10</v>
      </c>
      <c r="R67" s="436">
        <f t="shared" si="7"/>
        <v>26.315789473684209</v>
      </c>
      <c r="S67" s="442"/>
    </row>
    <row r="68" spans="1:19" ht="13.15" customHeight="1">
      <c r="A68" s="434" t="s">
        <v>64</v>
      </c>
      <c r="B68" s="544">
        <f t="shared" si="5"/>
        <v>37</v>
      </c>
      <c r="C68" s="436">
        <f t="shared" si="6"/>
        <v>0.90398240899096027</v>
      </c>
      <c r="E68" s="434">
        <v>0</v>
      </c>
      <c r="F68" s="436">
        <f t="shared" si="0"/>
        <v>0</v>
      </c>
      <c r="H68" s="434">
        <v>7</v>
      </c>
      <c r="I68" s="436">
        <f t="shared" si="1"/>
        <v>18.918918918918919</v>
      </c>
      <c r="J68" s="434"/>
      <c r="K68" s="434">
        <v>6</v>
      </c>
      <c r="L68" s="436">
        <f t="shared" si="2"/>
        <v>16.216216216216218</v>
      </c>
      <c r="N68" s="434">
        <v>0</v>
      </c>
      <c r="O68" s="436">
        <f t="shared" si="3"/>
        <v>0</v>
      </c>
      <c r="Q68" s="434">
        <v>24</v>
      </c>
      <c r="R68" s="436">
        <f t="shared" si="7"/>
        <v>64.86486486486487</v>
      </c>
      <c r="S68" s="442"/>
    </row>
    <row r="69" spans="1:19" ht="13.15" customHeight="1">
      <c r="A69" s="434" t="s">
        <v>63</v>
      </c>
      <c r="B69" s="544">
        <f t="shared" si="5"/>
        <v>24</v>
      </c>
      <c r="C69" s="436">
        <f t="shared" si="6"/>
        <v>0.58636696799413635</v>
      </c>
      <c r="E69" s="434">
        <v>4</v>
      </c>
      <c r="F69" s="436">
        <f t="shared" si="0"/>
        <v>16.666666666666664</v>
      </c>
      <c r="H69" s="434">
        <v>4</v>
      </c>
      <c r="I69" s="436">
        <f t="shared" si="1"/>
        <v>16.666666666666664</v>
      </c>
      <c r="J69" s="434"/>
      <c r="K69" s="434">
        <v>4</v>
      </c>
      <c r="L69" s="436">
        <f t="shared" si="2"/>
        <v>16.666666666666664</v>
      </c>
      <c r="N69" s="434">
        <v>1</v>
      </c>
      <c r="O69" s="436">
        <f t="shared" si="3"/>
        <v>4.1666666666666661</v>
      </c>
      <c r="Q69" s="434">
        <v>11</v>
      </c>
      <c r="R69" s="436">
        <f t="shared" si="7"/>
        <v>45.833333333333329</v>
      </c>
      <c r="S69" s="442"/>
    </row>
    <row r="70" spans="1:19" ht="13.15" customHeight="1">
      <c r="A70" s="434" t="s">
        <v>420</v>
      </c>
      <c r="B70" s="544">
        <f t="shared" si="5"/>
        <v>121</v>
      </c>
      <c r="C70" s="436">
        <f t="shared" si="6"/>
        <v>2.9562667969704375</v>
      </c>
      <c r="E70" s="434">
        <v>2</v>
      </c>
      <c r="F70" s="436">
        <f t="shared" si="0"/>
        <v>1.6528925619834711</v>
      </c>
      <c r="H70" s="434">
        <v>27</v>
      </c>
      <c r="I70" s="436">
        <f t="shared" si="1"/>
        <v>22.314049586776861</v>
      </c>
      <c r="J70" s="434"/>
      <c r="K70" s="434">
        <v>35</v>
      </c>
      <c r="L70" s="436">
        <f t="shared" si="2"/>
        <v>28.925619834710741</v>
      </c>
      <c r="N70" s="434">
        <v>9</v>
      </c>
      <c r="O70" s="436">
        <f t="shared" si="3"/>
        <v>7.4380165289256199</v>
      </c>
      <c r="Q70" s="434">
        <v>48</v>
      </c>
      <c r="R70" s="436">
        <f t="shared" si="7"/>
        <v>39.669421487603309</v>
      </c>
      <c r="S70" s="442"/>
    </row>
    <row r="71" spans="1:19" ht="6.75" customHeight="1">
      <c r="B71" s="544" t="str">
        <f t="shared" si="5"/>
        <v/>
      </c>
      <c r="C71" s="436" t="str">
        <f t="shared" si="6"/>
        <v/>
      </c>
      <c r="E71" s="434"/>
      <c r="F71" s="436" t="str">
        <f t="shared" si="0"/>
        <v/>
      </c>
      <c r="H71" s="434"/>
      <c r="I71" s="436" t="str">
        <f t="shared" si="1"/>
        <v/>
      </c>
      <c r="J71" s="434"/>
      <c r="K71" s="434"/>
      <c r="L71" s="436" t="str">
        <f t="shared" si="2"/>
        <v/>
      </c>
      <c r="N71" s="434"/>
      <c r="O71" s="436" t="str">
        <f t="shared" si="3"/>
        <v/>
      </c>
      <c r="Q71" s="434"/>
      <c r="R71" s="436" t="str">
        <f t="shared" si="7"/>
        <v/>
      </c>
      <c r="S71" s="442"/>
    </row>
    <row r="72" spans="1:19" ht="13.15" customHeight="1">
      <c r="A72" s="434" t="s">
        <v>66</v>
      </c>
      <c r="B72" s="544">
        <f t="shared" si="5"/>
        <v>54</v>
      </c>
      <c r="C72" s="436">
        <f t="shared" si="6"/>
        <v>1.3193256779868068</v>
      </c>
      <c r="E72" s="434">
        <v>0</v>
      </c>
      <c r="F72" s="436">
        <f t="shared" si="0"/>
        <v>0</v>
      </c>
      <c r="H72" s="434">
        <v>10</v>
      </c>
      <c r="I72" s="436">
        <f t="shared" si="1"/>
        <v>18.518518518518519</v>
      </c>
      <c r="J72" s="434"/>
      <c r="K72" s="434">
        <v>8</v>
      </c>
      <c r="L72" s="436">
        <f t="shared" si="2"/>
        <v>14.814814814814813</v>
      </c>
      <c r="N72" s="434">
        <v>1</v>
      </c>
      <c r="O72" s="436">
        <f t="shared" si="3"/>
        <v>1.8518518518518516</v>
      </c>
      <c r="Q72" s="434">
        <v>35</v>
      </c>
      <c r="R72" s="436">
        <f t="shared" si="7"/>
        <v>64.81481481481481</v>
      </c>
      <c r="S72" s="442"/>
    </row>
    <row r="73" spans="1:19" ht="5.25" customHeight="1">
      <c r="B73" s="544" t="str">
        <f t="shared" si="5"/>
        <v/>
      </c>
      <c r="C73" s="436" t="str">
        <f t="shared" si="6"/>
        <v/>
      </c>
      <c r="E73" s="434"/>
      <c r="F73" s="436" t="str">
        <f t="shared" si="0"/>
        <v/>
      </c>
      <c r="H73" s="434"/>
      <c r="I73" s="436" t="str">
        <f t="shared" si="1"/>
        <v/>
      </c>
      <c r="J73" s="434"/>
      <c r="K73" s="434"/>
      <c r="L73" s="436" t="str">
        <f t="shared" si="2"/>
        <v/>
      </c>
      <c r="N73" s="434"/>
      <c r="O73" s="436" t="str">
        <f t="shared" si="3"/>
        <v/>
      </c>
      <c r="Q73" s="434"/>
      <c r="R73" s="436" t="str">
        <f t="shared" si="7"/>
        <v/>
      </c>
      <c r="S73" s="442"/>
    </row>
    <row r="74" spans="1:19" ht="13.15" customHeight="1">
      <c r="A74" s="434" t="s">
        <v>67</v>
      </c>
      <c r="B74" s="544">
        <f t="shared" si="5"/>
        <v>105</v>
      </c>
      <c r="C74" s="436">
        <f t="shared" si="6"/>
        <v>2.5653554849743463</v>
      </c>
      <c r="E74" s="434">
        <v>2</v>
      </c>
      <c r="F74" s="436">
        <f t="shared" si="0"/>
        <v>1.9047619047619049</v>
      </c>
      <c r="H74" s="434">
        <v>56</v>
      </c>
      <c r="I74" s="436">
        <f t="shared" si="1"/>
        <v>53.333333333333336</v>
      </c>
      <c r="J74" s="434"/>
      <c r="K74" s="434">
        <v>26</v>
      </c>
      <c r="L74" s="436">
        <f t="shared" si="2"/>
        <v>24.761904761904763</v>
      </c>
      <c r="N74" s="434">
        <v>0</v>
      </c>
      <c r="O74" s="436">
        <f t="shared" si="3"/>
        <v>0</v>
      </c>
      <c r="Q74" s="434">
        <v>21</v>
      </c>
      <c r="R74" s="436">
        <f t="shared" si="7"/>
        <v>20</v>
      </c>
      <c r="S74" s="442"/>
    </row>
    <row r="75" spans="1:19" ht="6" customHeight="1">
      <c r="B75" s="544" t="str">
        <f t="shared" si="5"/>
        <v/>
      </c>
      <c r="C75" s="436" t="str">
        <f t="shared" si="6"/>
        <v/>
      </c>
      <c r="F75" s="436" t="str">
        <f t="shared" ref="F75:F113" si="8">IF($A75&lt;&gt;0,E75/$B75*100,"")</f>
        <v/>
      </c>
      <c r="I75" s="436" t="str">
        <f t="shared" ref="I75:I113" si="9">IF($A75&lt;&gt;0,H75/$B75*100,"")</f>
        <v/>
      </c>
      <c r="L75" s="436" t="str">
        <f t="shared" ref="L75:L113" si="10">IF($A75&lt;&gt;0,K75/$B75*100,"")</f>
        <v/>
      </c>
      <c r="M75" s="440"/>
      <c r="O75" s="436" t="str">
        <f t="shared" ref="O75:O113" si="11">IF($A75&lt;&gt;0,N75/$B75*100,"")</f>
        <v/>
      </c>
      <c r="P75" s="442"/>
      <c r="R75" s="436" t="str">
        <f t="shared" si="7"/>
        <v/>
      </c>
      <c r="S75" s="442"/>
    </row>
    <row r="76" spans="1:19" ht="13.15" customHeight="1">
      <c r="A76" s="63" t="s">
        <v>336</v>
      </c>
      <c r="B76" s="544">
        <f t="shared" ref="B76:B110" si="12">IF($A76&lt;&gt;"",E76+H76+K76+N76+Q76,"")</f>
        <v>51</v>
      </c>
      <c r="C76" s="436">
        <f t="shared" si="6"/>
        <v>1.2460298069875397</v>
      </c>
      <c r="E76" s="435">
        <f>E77</f>
        <v>3</v>
      </c>
      <c r="F76" s="436">
        <f t="shared" si="8"/>
        <v>5.8823529411764701</v>
      </c>
      <c r="H76" s="435">
        <f>H77</f>
        <v>17</v>
      </c>
      <c r="I76" s="436">
        <f t="shared" si="9"/>
        <v>33.333333333333329</v>
      </c>
      <c r="K76" s="435">
        <f>K77</f>
        <v>18</v>
      </c>
      <c r="L76" s="436">
        <f t="shared" si="10"/>
        <v>35.294117647058826</v>
      </c>
      <c r="M76" s="440"/>
      <c r="N76" s="435">
        <f>N77</f>
        <v>1</v>
      </c>
      <c r="O76" s="436">
        <f t="shared" si="11"/>
        <v>1.9607843137254901</v>
      </c>
      <c r="P76" s="442"/>
      <c r="Q76" s="435">
        <f>SUM(Q77)</f>
        <v>12</v>
      </c>
      <c r="R76" s="436">
        <f t="shared" si="7"/>
        <v>23.52941176470588</v>
      </c>
      <c r="S76" s="442"/>
    </row>
    <row r="77" spans="1:19" ht="13.15" customHeight="1">
      <c r="A77" s="434" t="s">
        <v>337</v>
      </c>
      <c r="B77" s="544">
        <f t="shared" si="12"/>
        <v>51</v>
      </c>
      <c r="C77" s="436">
        <f t="shared" si="6"/>
        <v>1.2460298069875397</v>
      </c>
      <c r="E77" s="435">
        <f>SUM(E78:E81)</f>
        <v>3</v>
      </c>
      <c r="F77" s="436">
        <f t="shared" si="8"/>
        <v>5.8823529411764701</v>
      </c>
      <c r="H77" s="435">
        <f>SUM(H78:H81)</f>
        <v>17</v>
      </c>
      <c r="I77" s="436">
        <f t="shared" si="9"/>
        <v>33.333333333333329</v>
      </c>
      <c r="K77" s="435">
        <f>SUM(K78:K81)</f>
        <v>18</v>
      </c>
      <c r="L77" s="436">
        <f t="shared" si="10"/>
        <v>35.294117647058826</v>
      </c>
      <c r="M77" s="440"/>
      <c r="N77" s="435">
        <f>SUM(N78:N81)</f>
        <v>1</v>
      </c>
      <c r="O77" s="436">
        <f t="shared" si="11"/>
        <v>1.9607843137254901</v>
      </c>
      <c r="P77" s="442"/>
      <c r="Q77" s="435">
        <f>SUM(Q78:Q81)</f>
        <v>12</v>
      </c>
      <c r="R77" s="436">
        <f t="shared" si="7"/>
        <v>23.52941176470588</v>
      </c>
      <c r="S77" s="442"/>
    </row>
    <row r="78" spans="1:19" ht="13.15" customHeight="1">
      <c r="A78" s="434" t="s">
        <v>70</v>
      </c>
      <c r="B78" s="544">
        <f t="shared" si="12"/>
        <v>17</v>
      </c>
      <c r="C78" s="436">
        <f t="shared" si="6"/>
        <v>0.41534326899584656</v>
      </c>
      <c r="E78" s="434">
        <v>1</v>
      </c>
      <c r="F78" s="436">
        <f t="shared" si="8"/>
        <v>5.8823529411764701</v>
      </c>
      <c r="H78" s="434">
        <v>5</v>
      </c>
      <c r="I78" s="436">
        <f t="shared" si="9"/>
        <v>29.411764705882355</v>
      </c>
      <c r="J78" s="434"/>
      <c r="K78" s="434">
        <v>5</v>
      </c>
      <c r="L78" s="436">
        <f t="shared" si="10"/>
        <v>29.411764705882355</v>
      </c>
      <c r="N78" s="434">
        <v>1</v>
      </c>
      <c r="O78" s="436">
        <f t="shared" si="11"/>
        <v>5.8823529411764701</v>
      </c>
      <c r="Q78" s="434">
        <v>5</v>
      </c>
      <c r="R78" s="436">
        <f t="shared" si="7"/>
        <v>29.411764705882355</v>
      </c>
      <c r="S78" s="442"/>
    </row>
    <row r="79" spans="1:19" ht="13.15" customHeight="1">
      <c r="A79" s="434" t="s">
        <v>71</v>
      </c>
      <c r="B79" s="544">
        <f t="shared" si="12"/>
        <v>12</v>
      </c>
      <c r="C79" s="436">
        <f t="shared" si="6"/>
        <v>0.29318348399706817</v>
      </c>
      <c r="E79" s="434">
        <v>1</v>
      </c>
      <c r="F79" s="436">
        <f t="shared" si="8"/>
        <v>8.3333333333333321</v>
      </c>
      <c r="H79" s="434">
        <v>4</v>
      </c>
      <c r="I79" s="436">
        <f t="shared" si="9"/>
        <v>33.333333333333329</v>
      </c>
      <c r="J79" s="434"/>
      <c r="K79" s="434">
        <v>4</v>
      </c>
      <c r="L79" s="436">
        <f t="shared" si="10"/>
        <v>33.333333333333329</v>
      </c>
      <c r="N79" s="434">
        <v>0</v>
      </c>
      <c r="O79" s="436">
        <f t="shared" si="11"/>
        <v>0</v>
      </c>
      <c r="Q79" s="434">
        <v>3</v>
      </c>
      <c r="R79" s="436">
        <f t="shared" si="7"/>
        <v>25</v>
      </c>
      <c r="S79" s="442"/>
    </row>
    <row r="80" spans="1:19" ht="13.15" customHeight="1">
      <c r="A80" s="434" t="s">
        <v>72</v>
      </c>
      <c r="B80" s="544">
        <f t="shared" si="12"/>
        <v>13</v>
      </c>
      <c r="C80" s="436">
        <f t="shared" si="6"/>
        <v>0.31761544099682387</v>
      </c>
      <c r="E80" s="434">
        <v>1</v>
      </c>
      <c r="F80" s="436">
        <f t="shared" si="8"/>
        <v>7.6923076923076925</v>
      </c>
      <c r="H80" s="434">
        <v>3</v>
      </c>
      <c r="I80" s="436">
        <f t="shared" si="9"/>
        <v>23.076923076923077</v>
      </c>
      <c r="J80" s="434"/>
      <c r="K80" s="434">
        <v>5</v>
      </c>
      <c r="L80" s="436">
        <f t="shared" si="10"/>
        <v>38.461538461538467</v>
      </c>
      <c r="N80" s="434">
        <v>0</v>
      </c>
      <c r="O80" s="436">
        <f t="shared" si="11"/>
        <v>0</v>
      </c>
      <c r="Q80" s="434">
        <v>4</v>
      </c>
      <c r="R80" s="436">
        <f t="shared" si="7"/>
        <v>30.76923076923077</v>
      </c>
      <c r="S80" s="442"/>
    </row>
    <row r="81" spans="1:19" ht="13.15" customHeight="1">
      <c r="A81" s="434" t="s">
        <v>73</v>
      </c>
      <c r="B81" s="544">
        <f t="shared" si="12"/>
        <v>9</v>
      </c>
      <c r="C81" s="436">
        <f t="shared" ref="C81:C113" si="13">IF(A81&lt;&gt;0,B81/$B$11*100,"")</f>
        <v>0.21988761299780113</v>
      </c>
      <c r="E81" s="434">
        <v>0</v>
      </c>
      <c r="F81" s="436">
        <f t="shared" si="8"/>
        <v>0</v>
      </c>
      <c r="H81" s="434">
        <v>5</v>
      </c>
      <c r="I81" s="436">
        <f t="shared" si="9"/>
        <v>55.555555555555557</v>
      </c>
      <c r="J81" s="434"/>
      <c r="K81" s="434">
        <v>4</v>
      </c>
      <c r="L81" s="436">
        <f t="shared" si="10"/>
        <v>44.444444444444443</v>
      </c>
      <c r="N81" s="434">
        <v>0</v>
      </c>
      <c r="O81" s="436">
        <f t="shared" si="11"/>
        <v>0</v>
      </c>
      <c r="Q81" s="434">
        <v>0</v>
      </c>
      <c r="R81" s="436">
        <f t="shared" si="7"/>
        <v>0</v>
      </c>
      <c r="S81" s="442"/>
    </row>
    <row r="82" spans="1:19" ht="6.75" customHeight="1">
      <c r="B82" s="544" t="str">
        <f t="shared" si="12"/>
        <v/>
      </c>
      <c r="C82" s="436" t="str">
        <f t="shared" si="13"/>
        <v/>
      </c>
      <c r="F82" s="436" t="str">
        <f t="shared" si="8"/>
        <v/>
      </c>
      <c r="I82" s="436" t="str">
        <f t="shared" si="9"/>
        <v/>
      </c>
      <c r="L82" s="436" t="str">
        <f t="shared" si="10"/>
        <v/>
      </c>
      <c r="M82" s="440"/>
      <c r="O82" s="436" t="str">
        <f t="shared" si="11"/>
        <v/>
      </c>
      <c r="P82" s="442"/>
      <c r="R82" s="436" t="str">
        <f t="shared" si="7"/>
        <v/>
      </c>
      <c r="S82" s="442"/>
    </row>
    <row r="83" spans="1:19" ht="12" customHeight="1">
      <c r="A83" s="63" t="s">
        <v>396</v>
      </c>
      <c r="B83" s="544">
        <f t="shared" si="12"/>
        <v>322</v>
      </c>
      <c r="C83" s="436">
        <f t="shared" si="13"/>
        <v>7.8670901539213283</v>
      </c>
      <c r="E83" s="435">
        <f>SUM(E84)</f>
        <v>19</v>
      </c>
      <c r="F83" s="436">
        <f t="shared" si="8"/>
        <v>5.9006211180124222</v>
      </c>
      <c r="H83" s="435">
        <f>SUM(H84)</f>
        <v>84</v>
      </c>
      <c r="I83" s="436">
        <f t="shared" si="9"/>
        <v>26.086956521739129</v>
      </c>
      <c r="K83" s="435">
        <f>SUM(K84)</f>
        <v>108</v>
      </c>
      <c r="L83" s="436">
        <f t="shared" si="10"/>
        <v>33.540372670807457</v>
      </c>
      <c r="M83" s="440"/>
      <c r="N83" s="435">
        <f>SUM(N84)</f>
        <v>13</v>
      </c>
      <c r="O83" s="436">
        <f t="shared" si="11"/>
        <v>4.0372670807453419</v>
      </c>
      <c r="P83" s="442"/>
      <c r="Q83" s="435">
        <f>SUM(Q84)</f>
        <v>98</v>
      </c>
      <c r="R83" s="436">
        <f t="shared" si="7"/>
        <v>30.434782608695656</v>
      </c>
      <c r="S83" s="442"/>
    </row>
    <row r="84" spans="1:19" ht="13.15" customHeight="1">
      <c r="A84" s="434" t="s">
        <v>75</v>
      </c>
      <c r="B84" s="544">
        <f t="shared" si="12"/>
        <v>322</v>
      </c>
      <c r="C84" s="436">
        <f t="shared" si="13"/>
        <v>7.8670901539213283</v>
      </c>
      <c r="E84" s="435">
        <f>SUM(E85:E93)</f>
        <v>19</v>
      </c>
      <c r="F84" s="436">
        <f t="shared" si="8"/>
        <v>5.9006211180124222</v>
      </c>
      <c r="H84" s="435">
        <f>SUM(H85:H93)</f>
        <v>84</v>
      </c>
      <c r="I84" s="436">
        <f t="shared" si="9"/>
        <v>26.086956521739129</v>
      </c>
      <c r="K84" s="435">
        <f>SUM(K85:K93)</f>
        <v>108</v>
      </c>
      <c r="L84" s="436">
        <f t="shared" si="10"/>
        <v>33.540372670807457</v>
      </c>
      <c r="M84" s="440"/>
      <c r="N84" s="435">
        <f>SUM(N85:N93)</f>
        <v>13</v>
      </c>
      <c r="O84" s="436">
        <f t="shared" si="11"/>
        <v>4.0372670807453419</v>
      </c>
      <c r="P84" s="442"/>
      <c r="Q84" s="435">
        <f>SUM(Q85:Q93)</f>
        <v>98</v>
      </c>
      <c r="R84" s="436">
        <f t="shared" si="7"/>
        <v>30.434782608695656</v>
      </c>
      <c r="S84" s="442"/>
    </row>
    <row r="85" spans="1:19" ht="13.15" customHeight="1">
      <c r="A85" s="434" t="s">
        <v>338</v>
      </c>
      <c r="B85" s="544">
        <f t="shared" si="12"/>
        <v>14</v>
      </c>
      <c r="C85" s="436">
        <f t="shared" si="13"/>
        <v>0.34204739799657952</v>
      </c>
      <c r="E85" s="434">
        <v>1</v>
      </c>
      <c r="F85" s="436">
        <f t="shared" si="8"/>
        <v>7.1428571428571423</v>
      </c>
      <c r="H85" s="434">
        <v>1</v>
      </c>
      <c r="I85" s="436">
        <f t="shared" si="9"/>
        <v>7.1428571428571423</v>
      </c>
      <c r="J85" s="434"/>
      <c r="K85" s="434">
        <v>4</v>
      </c>
      <c r="L85" s="436">
        <f t="shared" si="10"/>
        <v>28.571428571428569</v>
      </c>
      <c r="N85" s="434">
        <v>1</v>
      </c>
      <c r="O85" s="436">
        <f t="shared" si="11"/>
        <v>7.1428571428571423</v>
      </c>
      <c r="Q85" s="434">
        <v>7</v>
      </c>
      <c r="R85" s="436">
        <f t="shared" si="7"/>
        <v>50</v>
      </c>
      <c r="S85" s="442"/>
    </row>
    <row r="86" spans="1:19" ht="13.15" customHeight="1">
      <c r="A86" s="434" t="s">
        <v>76</v>
      </c>
      <c r="B86" s="544">
        <f t="shared" si="12"/>
        <v>51</v>
      </c>
      <c r="C86" s="436">
        <f t="shared" si="13"/>
        <v>1.2460298069875397</v>
      </c>
      <c r="E86" s="434">
        <v>3</v>
      </c>
      <c r="F86" s="436">
        <f t="shared" si="8"/>
        <v>5.8823529411764701</v>
      </c>
      <c r="H86" s="434">
        <v>13</v>
      </c>
      <c r="I86" s="436">
        <f t="shared" si="9"/>
        <v>25.490196078431371</v>
      </c>
      <c r="J86" s="434"/>
      <c r="K86" s="434">
        <v>9</v>
      </c>
      <c r="L86" s="436">
        <f t="shared" si="10"/>
        <v>17.647058823529413</v>
      </c>
      <c r="N86" s="434">
        <v>0</v>
      </c>
      <c r="O86" s="436">
        <f t="shared" si="11"/>
        <v>0</v>
      </c>
      <c r="Q86" s="434">
        <v>26</v>
      </c>
      <c r="R86" s="436">
        <f t="shared" si="7"/>
        <v>50.980392156862742</v>
      </c>
      <c r="S86" s="442"/>
    </row>
    <row r="87" spans="1:19" ht="13.15" customHeight="1">
      <c r="A87" s="434" t="s">
        <v>78</v>
      </c>
      <c r="B87" s="544">
        <f t="shared" si="12"/>
        <v>45</v>
      </c>
      <c r="C87" s="436">
        <f t="shared" si="13"/>
        <v>1.0994380649890056</v>
      </c>
      <c r="E87" s="434">
        <v>3</v>
      </c>
      <c r="F87" s="436">
        <f t="shared" si="8"/>
        <v>6.666666666666667</v>
      </c>
      <c r="H87" s="434">
        <v>6</v>
      </c>
      <c r="I87" s="436">
        <f t="shared" si="9"/>
        <v>13.333333333333334</v>
      </c>
      <c r="J87" s="434"/>
      <c r="K87" s="434">
        <v>7</v>
      </c>
      <c r="L87" s="436">
        <f t="shared" si="10"/>
        <v>15.555555555555555</v>
      </c>
      <c r="N87" s="434">
        <v>3</v>
      </c>
      <c r="O87" s="436">
        <f t="shared" si="11"/>
        <v>6.666666666666667</v>
      </c>
      <c r="Q87" s="434">
        <v>26</v>
      </c>
      <c r="R87" s="436">
        <f t="shared" si="7"/>
        <v>57.777777777777771</v>
      </c>
      <c r="S87" s="442"/>
    </row>
    <row r="88" spans="1:19" ht="13.15" customHeight="1">
      <c r="A88" s="434" t="s">
        <v>80</v>
      </c>
      <c r="B88" s="544">
        <f t="shared" si="12"/>
        <v>40</v>
      </c>
      <c r="C88" s="436">
        <f t="shared" si="13"/>
        <v>0.97727827999022721</v>
      </c>
      <c r="E88" s="434">
        <v>3</v>
      </c>
      <c r="F88" s="436">
        <f t="shared" si="8"/>
        <v>7.5</v>
      </c>
      <c r="H88" s="434">
        <v>11</v>
      </c>
      <c r="I88" s="436">
        <f t="shared" si="9"/>
        <v>27.500000000000004</v>
      </c>
      <c r="J88" s="434"/>
      <c r="K88" s="434">
        <v>10</v>
      </c>
      <c r="L88" s="436">
        <f t="shared" si="10"/>
        <v>25</v>
      </c>
      <c r="N88" s="434">
        <v>2</v>
      </c>
      <c r="O88" s="436">
        <f t="shared" si="11"/>
        <v>5</v>
      </c>
      <c r="Q88" s="434">
        <v>14</v>
      </c>
      <c r="R88" s="436">
        <f t="shared" si="7"/>
        <v>35</v>
      </c>
      <c r="S88" s="442"/>
    </row>
    <row r="89" spans="1:19" ht="13.15" customHeight="1">
      <c r="A89" s="434" t="s">
        <v>79</v>
      </c>
      <c r="B89" s="544">
        <f t="shared" si="12"/>
        <v>27</v>
      </c>
      <c r="C89" s="436">
        <f t="shared" si="13"/>
        <v>0.65966283899340339</v>
      </c>
      <c r="E89" s="434">
        <v>1</v>
      </c>
      <c r="F89" s="436">
        <f t="shared" si="8"/>
        <v>3.7037037037037033</v>
      </c>
      <c r="H89" s="434">
        <v>8</v>
      </c>
      <c r="I89" s="436">
        <f t="shared" si="9"/>
        <v>29.629629629629626</v>
      </c>
      <c r="J89" s="434"/>
      <c r="K89" s="434">
        <v>8</v>
      </c>
      <c r="L89" s="436">
        <f t="shared" si="10"/>
        <v>29.629629629629626</v>
      </c>
      <c r="N89" s="434">
        <v>2</v>
      </c>
      <c r="O89" s="436">
        <f t="shared" si="11"/>
        <v>7.4074074074074066</v>
      </c>
      <c r="Q89" s="434">
        <v>8</v>
      </c>
      <c r="R89" s="436">
        <f t="shared" si="7"/>
        <v>29.629629629629626</v>
      </c>
      <c r="S89" s="442"/>
    </row>
    <row r="90" spans="1:19" ht="13.15" customHeight="1">
      <c r="A90" s="434" t="s">
        <v>77</v>
      </c>
      <c r="B90" s="544">
        <f t="shared" si="12"/>
        <v>30</v>
      </c>
      <c r="C90" s="436">
        <f t="shared" si="13"/>
        <v>0.73295870999267043</v>
      </c>
      <c r="E90" s="434">
        <v>2</v>
      </c>
      <c r="F90" s="436">
        <f t="shared" si="8"/>
        <v>6.666666666666667</v>
      </c>
      <c r="H90" s="434">
        <v>11</v>
      </c>
      <c r="I90" s="436">
        <f t="shared" si="9"/>
        <v>36.666666666666664</v>
      </c>
      <c r="J90" s="434"/>
      <c r="K90" s="434">
        <v>12</v>
      </c>
      <c r="L90" s="436">
        <f t="shared" si="10"/>
        <v>40</v>
      </c>
      <c r="N90" s="434">
        <v>0</v>
      </c>
      <c r="O90" s="436">
        <f t="shared" si="11"/>
        <v>0</v>
      </c>
      <c r="Q90" s="434">
        <v>5</v>
      </c>
      <c r="R90" s="436">
        <f t="shared" si="7"/>
        <v>16.666666666666664</v>
      </c>
      <c r="S90" s="442"/>
    </row>
    <row r="91" spans="1:19" ht="13.15" customHeight="1">
      <c r="A91" s="434" t="s">
        <v>81</v>
      </c>
      <c r="B91" s="544">
        <f t="shared" si="12"/>
        <v>61</v>
      </c>
      <c r="C91" s="436">
        <f t="shared" si="13"/>
        <v>1.4903493769850964</v>
      </c>
      <c r="E91" s="434">
        <v>5</v>
      </c>
      <c r="F91" s="436">
        <f t="shared" si="8"/>
        <v>8.1967213114754092</v>
      </c>
      <c r="H91" s="434">
        <v>13</v>
      </c>
      <c r="I91" s="436">
        <f t="shared" si="9"/>
        <v>21.311475409836063</v>
      </c>
      <c r="J91" s="434"/>
      <c r="K91" s="434">
        <v>40</v>
      </c>
      <c r="L91" s="436">
        <f t="shared" si="10"/>
        <v>65.573770491803273</v>
      </c>
      <c r="N91" s="434">
        <v>0</v>
      </c>
      <c r="O91" s="436">
        <f t="shared" si="11"/>
        <v>0</v>
      </c>
      <c r="Q91" s="434">
        <v>3</v>
      </c>
      <c r="R91" s="436">
        <f t="shared" ref="R91:R113" si="14">IF($A91&lt;&gt;"",Q91/$B91*100,"")</f>
        <v>4.918032786885246</v>
      </c>
      <c r="S91" s="442"/>
    </row>
    <row r="92" spans="1:19" ht="13.15" customHeight="1">
      <c r="A92" s="434" t="s">
        <v>421</v>
      </c>
      <c r="B92" s="544">
        <f t="shared" si="12"/>
        <v>27</v>
      </c>
      <c r="C92" s="436">
        <f t="shared" si="13"/>
        <v>0.65966283899340339</v>
      </c>
      <c r="E92" s="434">
        <v>0</v>
      </c>
      <c r="F92" s="436">
        <f t="shared" si="8"/>
        <v>0</v>
      </c>
      <c r="H92" s="434">
        <v>7</v>
      </c>
      <c r="I92" s="436">
        <f t="shared" si="9"/>
        <v>25.925925925925924</v>
      </c>
      <c r="J92" s="434"/>
      <c r="K92" s="434">
        <v>12</v>
      </c>
      <c r="L92" s="436">
        <f t="shared" si="10"/>
        <v>44.444444444444443</v>
      </c>
      <c r="N92" s="434">
        <v>2</v>
      </c>
      <c r="O92" s="436">
        <f t="shared" si="11"/>
        <v>7.4074074074074066</v>
      </c>
      <c r="Q92" s="434">
        <v>6</v>
      </c>
      <c r="R92" s="436">
        <f t="shared" si="14"/>
        <v>22.222222222222221</v>
      </c>
      <c r="S92" s="442"/>
    </row>
    <row r="93" spans="1:19" ht="13.15" customHeight="1">
      <c r="A93" s="434" t="s">
        <v>339</v>
      </c>
      <c r="B93" s="544">
        <f t="shared" si="12"/>
        <v>27</v>
      </c>
      <c r="C93" s="436">
        <f t="shared" si="13"/>
        <v>0.65966283899340339</v>
      </c>
      <c r="E93" s="434">
        <v>1</v>
      </c>
      <c r="F93" s="436">
        <f t="shared" si="8"/>
        <v>3.7037037037037033</v>
      </c>
      <c r="H93" s="434">
        <v>14</v>
      </c>
      <c r="I93" s="436">
        <f t="shared" si="9"/>
        <v>51.851851851851848</v>
      </c>
      <c r="J93" s="434"/>
      <c r="K93" s="434">
        <v>6</v>
      </c>
      <c r="L93" s="436">
        <f t="shared" si="10"/>
        <v>22.222222222222221</v>
      </c>
      <c r="N93" s="434">
        <v>3</v>
      </c>
      <c r="O93" s="436">
        <f t="shared" si="11"/>
        <v>11.111111111111111</v>
      </c>
      <c r="Q93" s="434">
        <v>3</v>
      </c>
      <c r="R93" s="436">
        <f t="shared" si="14"/>
        <v>11.111111111111111</v>
      </c>
      <c r="S93" s="442"/>
    </row>
    <row r="94" spans="1:19" ht="6" customHeight="1">
      <c r="B94" s="544" t="str">
        <f>IF($A94&lt;&gt;"",E94+H94+K94+N94+Q94,"")</f>
        <v/>
      </c>
      <c r="C94" s="436" t="str">
        <f>IF(A94&lt;&gt;0,B94/$B$11*100,"")</f>
        <v/>
      </c>
      <c r="E94" s="434"/>
      <c r="F94" s="436" t="str">
        <f t="shared" si="8"/>
        <v/>
      </c>
      <c r="H94" s="434"/>
      <c r="I94" s="436" t="str">
        <f t="shared" si="9"/>
        <v/>
      </c>
      <c r="J94" s="434"/>
      <c r="K94" s="434"/>
      <c r="L94" s="436" t="str">
        <f t="shared" si="10"/>
        <v/>
      </c>
      <c r="N94" s="434"/>
      <c r="O94" s="436" t="str">
        <f t="shared" si="11"/>
        <v/>
      </c>
      <c r="Q94" s="434"/>
      <c r="R94" s="436" t="str">
        <f t="shared" si="14"/>
        <v/>
      </c>
      <c r="S94" s="442"/>
    </row>
    <row r="95" spans="1:19" ht="13.15" customHeight="1">
      <c r="A95" s="434" t="s">
        <v>340</v>
      </c>
      <c r="B95" s="544">
        <f t="shared" si="12"/>
        <v>44</v>
      </c>
      <c r="C95" s="436">
        <f t="shared" si="13"/>
        <v>1.0750061079892499</v>
      </c>
      <c r="E95" s="434">
        <v>2</v>
      </c>
      <c r="F95" s="436">
        <f t="shared" si="8"/>
        <v>4.5454545454545459</v>
      </c>
      <c r="H95" s="434">
        <v>15</v>
      </c>
      <c r="I95" s="436">
        <f t="shared" si="9"/>
        <v>34.090909090909086</v>
      </c>
      <c r="J95" s="434"/>
      <c r="K95" s="434">
        <v>19</v>
      </c>
      <c r="L95" s="436">
        <f t="shared" si="10"/>
        <v>43.18181818181818</v>
      </c>
      <c r="N95" s="434">
        <v>5</v>
      </c>
      <c r="O95" s="436">
        <f t="shared" si="11"/>
        <v>11.363636363636363</v>
      </c>
      <c r="Q95" s="434">
        <v>3</v>
      </c>
      <c r="R95" s="436">
        <f t="shared" si="14"/>
        <v>6.8181818181818175</v>
      </c>
      <c r="S95" s="442"/>
    </row>
    <row r="96" spans="1:19" ht="13.15" customHeight="1">
      <c r="A96" s="434" t="s">
        <v>341</v>
      </c>
      <c r="B96" s="544">
        <f t="shared" si="12"/>
        <v>102</v>
      </c>
      <c r="C96" s="436">
        <f t="shared" si="13"/>
        <v>2.4920596139750795</v>
      </c>
      <c r="E96" s="434">
        <v>0</v>
      </c>
      <c r="F96" s="436">
        <f t="shared" si="8"/>
        <v>0</v>
      </c>
      <c r="H96" s="434">
        <v>17</v>
      </c>
      <c r="I96" s="436">
        <f t="shared" si="9"/>
        <v>16.666666666666664</v>
      </c>
      <c r="J96" s="434"/>
      <c r="K96" s="434">
        <v>39</v>
      </c>
      <c r="L96" s="436">
        <f t="shared" si="10"/>
        <v>38.235294117647058</v>
      </c>
      <c r="N96" s="434">
        <v>4</v>
      </c>
      <c r="O96" s="436">
        <f t="shared" si="11"/>
        <v>3.9215686274509802</v>
      </c>
      <c r="Q96" s="434">
        <v>42</v>
      </c>
      <c r="R96" s="436">
        <f t="shared" si="14"/>
        <v>41.17647058823529</v>
      </c>
      <c r="S96" s="442"/>
    </row>
    <row r="97" spans="1:19" ht="9.9499999999999993" customHeight="1">
      <c r="B97" s="544" t="str">
        <f t="shared" si="12"/>
        <v/>
      </c>
      <c r="C97" s="436" t="str">
        <f t="shared" si="13"/>
        <v/>
      </c>
      <c r="E97" s="434"/>
      <c r="F97" s="436" t="str">
        <f t="shared" si="8"/>
        <v/>
      </c>
      <c r="H97" s="434"/>
      <c r="I97" s="436" t="str">
        <f t="shared" si="9"/>
        <v/>
      </c>
      <c r="J97" s="434"/>
      <c r="K97" s="434"/>
      <c r="L97" s="436" t="str">
        <f t="shared" si="10"/>
        <v/>
      </c>
      <c r="N97" s="434"/>
      <c r="O97" s="436" t="str">
        <f t="shared" si="11"/>
        <v/>
      </c>
      <c r="Q97" s="434"/>
      <c r="R97" s="436" t="str">
        <f t="shared" si="14"/>
        <v/>
      </c>
      <c r="S97" s="442"/>
    </row>
    <row r="98" spans="1:19" ht="13.15" customHeight="1">
      <c r="A98" s="434" t="s">
        <v>85</v>
      </c>
      <c r="B98" s="544">
        <f t="shared" si="12"/>
        <v>101</v>
      </c>
      <c r="C98" s="436">
        <f t="shared" si="13"/>
        <v>2.4676276569753237</v>
      </c>
      <c r="E98" s="434">
        <v>4</v>
      </c>
      <c r="F98" s="436">
        <f t="shared" si="8"/>
        <v>3.9603960396039604</v>
      </c>
      <c r="H98" s="434">
        <v>53</v>
      </c>
      <c r="I98" s="436">
        <f t="shared" si="9"/>
        <v>52.475247524752476</v>
      </c>
      <c r="J98" s="434"/>
      <c r="K98" s="434">
        <v>28</v>
      </c>
      <c r="L98" s="436">
        <f t="shared" si="10"/>
        <v>27.722772277227726</v>
      </c>
      <c r="N98" s="434">
        <v>4</v>
      </c>
      <c r="O98" s="436">
        <f t="shared" si="11"/>
        <v>3.9603960396039604</v>
      </c>
      <c r="Q98" s="434">
        <v>12</v>
      </c>
      <c r="R98" s="436">
        <f t="shared" si="14"/>
        <v>11.881188118811881</v>
      </c>
      <c r="S98" s="442"/>
    </row>
    <row r="99" spans="1:19" ht="9.9499999999999993" customHeight="1">
      <c r="B99" s="544" t="str">
        <f t="shared" si="12"/>
        <v/>
      </c>
      <c r="C99" s="436" t="str">
        <f t="shared" si="13"/>
        <v/>
      </c>
      <c r="F99" s="436" t="str">
        <f t="shared" si="8"/>
        <v/>
      </c>
      <c r="I99" s="436" t="str">
        <f t="shared" si="9"/>
        <v/>
      </c>
      <c r="L99" s="436" t="str">
        <f t="shared" si="10"/>
        <v/>
      </c>
      <c r="M99" s="440"/>
      <c r="O99" s="436" t="str">
        <f t="shared" si="11"/>
        <v/>
      </c>
      <c r="P99" s="442"/>
      <c r="R99" s="436" t="str">
        <f t="shared" si="14"/>
        <v/>
      </c>
      <c r="S99" s="442"/>
    </row>
    <row r="100" spans="1:19" ht="12" customHeight="1">
      <c r="A100" s="63" t="s">
        <v>86</v>
      </c>
      <c r="B100" s="544">
        <f t="shared" si="12"/>
        <v>498</v>
      </c>
      <c r="C100" s="454">
        <f t="shared" si="13"/>
        <v>12.167114585878329</v>
      </c>
      <c r="D100" s="455"/>
      <c r="E100" s="449">
        <f>SUM(E102+E103+E104+E106)</f>
        <v>68</v>
      </c>
      <c r="F100" s="436">
        <f t="shared" si="8"/>
        <v>13.654618473895583</v>
      </c>
      <c r="G100" s="455"/>
      <c r="H100" s="449">
        <f>SUM(H102+H103+H104+H106)</f>
        <v>160</v>
      </c>
      <c r="I100" s="436">
        <f t="shared" si="9"/>
        <v>32.128514056224901</v>
      </c>
      <c r="J100" s="454"/>
      <c r="K100" s="449">
        <f>SUM(K102+K103+K104+K106)</f>
        <v>92</v>
      </c>
      <c r="L100" s="436">
        <f t="shared" si="10"/>
        <v>18.473895582329316</v>
      </c>
      <c r="M100" s="453"/>
      <c r="N100" s="449">
        <f>SUM(N102+N103+N104+N106)</f>
        <v>19</v>
      </c>
      <c r="O100" s="436">
        <f t="shared" si="11"/>
        <v>3.8152610441767072</v>
      </c>
      <c r="P100" s="450"/>
      <c r="Q100" s="449">
        <f>SUM(Q102+Q103+Q104+Q106)</f>
        <v>159</v>
      </c>
      <c r="R100" s="436">
        <f t="shared" si="14"/>
        <v>31.92771084337349</v>
      </c>
      <c r="S100" s="442"/>
    </row>
    <row r="101" spans="1:19" ht="9" customHeight="1">
      <c r="B101" s="544" t="str">
        <f t="shared" si="12"/>
        <v/>
      </c>
      <c r="C101" s="454" t="str">
        <f t="shared" si="13"/>
        <v/>
      </c>
      <c r="D101" s="455"/>
      <c r="E101" s="449"/>
      <c r="F101" s="436" t="str">
        <f t="shared" si="8"/>
        <v/>
      </c>
      <c r="G101" s="455"/>
      <c r="H101" s="449"/>
      <c r="I101" s="436" t="str">
        <f t="shared" si="9"/>
        <v/>
      </c>
      <c r="J101" s="454"/>
      <c r="K101" s="449"/>
      <c r="L101" s="436" t="str">
        <f t="shared" si="10"/>
        <v/>
      </c>
      <c r="M101" s="453"/>
      <c r="N101" s="449"/>
      <c r="O101" s="436" t="str">
        <f t="shared" si="11"/>
        <v/>
      </c>
      <c r="P101" s="450"/>
      <c r="Q101" s="449"/>
      <c r="R101" s="436" t="str">
        <f t="shared" si="14"/>
        <v/>
      </c>
      <c r="S101" s="442"/>
    </row>
    <row r="102" spans="1:19" s="455" customFormat="1" ht="12" customHeight="1">
      <c r="A102" s="455" t="s">
        <v>398</v>
      </c>
      <c r="B102" s="544">
        <f t="shared" si="12"/>
        <v>125</v>
      </c>
      <c r="C102" s="454">
        <f t="shared" si="13"/>
        <v>3.0539946249694601</v>
      </c>
      <c r="E102" s="434">
        <v>19</v>
      </c>
      <c r="F102" s="436">
        <f t="shared" si="8"/>
        <v>15.2</v>
      </c>
      <c r="G102" s="434"/>
      <c r="H102" s="434">
        <v>40</v>
      </c>
      <c r="I102" s="436">
        <f t="shared" si="9"/>
        <v>32</v>
      </c>
      <c r="J102" s="434"/>
      <c r="K102" s="434">
        <v>22</v>
      </c>
      <c r="L102" s="436">
        <f t="shared" si="10"/>
        <v>17.599999999999998</v>
      </c>
      <c r="M102" s="434"/>
      <c r="N102" s="434">
        <v>7</v>
      </c>
      <c r="O102" s="436">
        <f t="shared" si="11"/>
        <v>5.6000000000000005</v>
      </c>
      <c r="P102" s="434"/>
      <c r="Q102" s="434">
        <v>37</v>
      </c>
      <c r="R102" s="454">
        <f t="shared" si="14"/>
        <v>29.599999999999998</v>
      </c>
      <c r="S102" s="450"/>
    </row>
    <row r="103" spans="1:19" s="455" customFormat="1" ht="12" customHeight="1">
      <c r="A103" s="455" t="s">
        <v>399</v>
      </c>
      <c r="B103" s="544">
        <f t="shared" si="12"/>
        <v>165</v>
      </c>
      <c r="C103" s="454">
        <f t="shared" si="13"/>
        <v>4.0312729049596872</v>
      </c>
      <c r="E103" s="434">
        <v>23</v>
      </c>
      <c r="F103" s="436">
        <f t="shared" si="8"/>
        <v>13.939393939393941</v>
      </c>
      <c r="G103" s="434"/>
      <c r="H103" s="434">
        <v>57</v>
      </c>
      <c r="I103" s="436">
        <f t="shared" si="9"/>
        <v>34.545454545454547</v>
      </c>
      <c r="J103" s="434"/>
      <c r="K103" s="434">
        <v>41</v>
      </c>
      <c r="L103" s="436">
        <f t="shared" si="10"/>
        <v>24.848484848484848</v>
      </c>
      <c r="M103" s="434"/>
      <c r="N103" s="434">
        <v>9</v>
      </c>
      <c r="O103" s="436">
        <f t="shared" si="11"/>
        <v>5.4545454545454541</v>
      </c>
      <c r="P103" s="434"/>
      <c r="Q103" s="434">
        <v>35</v>
      </c>
      <c r="R103" s="454">
        <f t="shared" si="14"/>
        <v>21.212121212121211</v>
      </c>
      <c r="S103" s="450"/>
    </row>
    <row r="104" spans="1:19" s="455" customFormat="1" ht="12" customHeight="1">
      <c r="A104" s="455" t="s">
        <v>400</v>
      </c>
      <c r="B104" s="544">
        <f t="shared" si="12"/>
        <v>16</v>
      </c>
      <c r="C104" s="454">
        <f t="shared" si="13"/>
        <v>0.39091131199609092</v>
      </c>
      <c r="E104" s="434">
        <v>1</v>
      </c>
      <c r="F104" s="436">
        <f t="shared" si="8"/>
        <v>6.25</v>
      </c>
      <c r="G104" s="434"/>
      <c r="H104" s="434">
        <v>5</v>
      </c>
      <c r="I104" s="436">
        <f t="shared" si="9"/>
        <v>31.25</v>
      </c>
      <c r="J104" s="434"/>
      <c r="K104" s="434">
        <v>7</v>
      </c>
      <c r="L104" s="436">
        <f t="shared" si="10"/>
        <v>43.75</v>
      </c>
      <c r="M104" s="434"/>
      <c r="N104" s="434">
        <v>1</v>
      </c>
      <c r="O104" s="436">
        <f t="shared" si="11"/>
        <v>6.25</v>
      </c>
      <c r="P104" s="434"/>
      <c r="Q104" s="434">
        <v>2</v>
      </c>
      <c r="R104" s="454">
        <f t="shared" si="14"/>
        <v>12.5</v>
      </c>
      <c r="S104" s="450"/>
    </row>
    <row r="105" spans="1:19" s="455" customFormat="1" ht="12" customHeight="1">
      <c r="B105" s="544" t="str">
        <f t="shared" si="12"/>
        <v/>
      </c>
      <c r="C105" s="454" t="str">
        <f t="shared" si="13"/>
        <v/>
      </c>
      <c r="E105" s="434"/>
      <c r="F105" s="436" t="str">
        <f t="shared" si="8"/>
        <v/>
      </c>
      <c r="G105" s="434"/>
      <c r="H105" s="434"/>
      <c r="I105" s="436" t="str">
        <f t="shared" si="9"/>
        <v/>
      </c>
      <c r="J105" s="434"/>
      <c r="K105" s="434"/>
      <c r="L105" s="436" t="str">
        <f t="shared" si="10"/>
        <v/>
      </c>
      <c r="M105" s="434"/>
      <c r="N105" s="434"/>
      <c r="O105" s="436" t="str">
        <f t="shared" si="11"/>
        <v/>
      </c>
      <c r="P105" s="434"/>
      <c r="Q105" s="434"/>
      <c r="R105" s="454" t="str">
        <f t="shared" si="14"/>
        <v/>
      </c>
      <c r="S105" s="450"/>
    </row>
    <row r="106" spans="1:19" s="455" customFormat="1" ht="12" customHeight="1">
      <c r="A106" s="455" t="s">
        <v>345</v>
      </c>
      <c r="B106" s="544">
        <f t="shared" si="12"/>
        <v>192</v>
      </c>
      <c r="C106" s="454">
        <f t="shared" si="13"/>
        <v>4.6909357439530908</v>
      </c>
      <c r="E106" s="434">
        <v>25</v>
      </c>
      <c r="F106" s="436">
        <f t="shared" si="8"/>
        <v>13.020833333333334</v>
      </c>
      <c r="G106" s="434"/>
      <c r="H106" s="434">
        <v>58</v>
      </c>
      <c r="I106" s="436">
        <f t="shared" si="9"/>
        <v>30.208333333333332</v>
      </c>
      <c r="J106" s="434"/>
      <c r="K106" s="434">
        <v>22</v>
      </c>
      <c r="L106" s="436">
        <f t="shared" si="10"/>
        <v>11.458333333333332</v>
      </c>
      <c r="M106" s="434"/>
      <c r="N106" s="434">
        <v>2</v>
      </c>
      <c r="O106" s="436">
        <f t="shared" si="11"/>
        <v>1.0416666666666665</v>
      </c>
      <c r="P106" s="434"/>
      <c r="Q106" s="434">
        <v>85</v>
      </c>
      <c r="R106" s="454">
        <f t="shared" si="14"/>
        <v>44.270833333333329</v>
      </c>
      <c r="S106" s="450"/>
    </row>
    <row r="107" spans="1:19" s="455" customFormat="1" ht="7.5" customHeight="1">
      <c r="B107" s="544" t="str">
        <f t="shared" si="12"/>
        <v/>
      </c>
      <c r="C107" s="454"/>
      <c r="E107" s="449"/>
      <c r="F107" s="436" t="str">
        <f t="shared" si="8"/>
        <v/>
      </c>
      <c r="H107" s="449"/>
      <c r="I107" s="436" t="str">
        <f t="shared" si="9"/>
        <v/>
      </c>
      <c r="J107" s="454"/>
      <c r="K107" s="449"/>
      <c r="L107" s="436" t="str">
        <f t="shared" si="10"/>
        <v/>
      </c>
      <c r="M107" s="453"/>
      <c r="N107" s="449"/>
      <c r="O107" s="436" t="str">
        <f t="shared" si="11"/>
        <v/>
      </c>
      <c r="P107" s="450"/>
      <c r="Q107" s="449"/>
      <c r="R107" s="454"/>
      <c r="S107" s="450"/>
    </row>
    <row r="108" spans="1:19" s="455" customFormat="1" ht="12" customHeight="1">
      <c r="A108" s="9" t="s">
        <v>346</v>
      </c>
      <c r="B108" s="544">
        <f t="shared" si="12"/>
        <v>887</v>
      </c>
      <c r="C108" s="454">
        <f t="shared" si="13"/>
        <v>21.671145858783287</v>
      </c>
      <c r="E108" s="449">
        <f>SUM(E109:E113)</f>
        <v>24</v>
      </c>
      <c r="F108" s="436">
        <f t="shared" si="8"/>
        <v>2.705749718151071</v>
      </c>
      <c r="H108" s="449">
        <f>SUM(H109:H113)</f>
        <v>298</v>
      </c>
      <c r="I108" s="436">
        <f t="shared" si="9"/>
        <v>33.596392333709133</v>
      </c>
      <c r="J108" s="454"/>
      <c r="K108" s="449">
        <f>SUM(K109:K113)</f>
        <v>263</v>
      </c>
      <c r="L108" s="436">
        <f t="shared" si="10"/>
        <v>29.650507328072152</v>
      </c>
      <c r="M108" s="453"/>
      <c r="N108" s="449">
        <f>SUM(N109:N113)</f>
        <v>33</v>
      </c>
      <c r="O108" s="436">
        <f t="shared" si="11"/>
        <v>3.720405862457723</v>
      </c>
      <c r="P108" s="450"/>
      <c r="Q108" s="449">
        <f>SUM(Q109:Q113)</f>
        <v>269</v>
      </c>
      <c r="R108" s="454">
        <f t="shared" si="14"/>
        <v>30.326944757609919</v>
      </c>
      <c r="S108" s="450"/>
    </row>
    <row r="109" spans="1:19" s="455" customFormat="1" ht="12" customHeight="1">
      <c r="A109" s="455" t="s">
        <v>347</v>
      </c>
      <c r="B109" s="544">
        <f t="shared" si="12"/>
        <v>241</v>
      </c>
      <c r="C109" s="454">
        <f t="shared" si="13"/>
        <v>5.8881016369411192</v>
      </c>
      <c r="E109" s="434">
        <v>8</v>
      </c>
      <c r="F109" s="436">
        <f t="shared" si="8"/>
        <v>3.3195020746887969</v>
      </c>
      <c r="G109" s="434"/>
      <c r="H109" s="434">
        <v>80</v>
      </c>
      <c r="I109" s="436">
        <f t="shared" si="9"/>
        <v>33.195020746887963</v>
      </c>
      <c r="J109" s="434"/>
      <c r="K109" s="434">
        <v>76</v>
      </c>
      <c r="L109" s="436">
        <f t="shared" si="10"/>
        <v>31.535269709543567</v>
      </c>
      <c r="M109" s="434"/>
      <c r="N109" s="434">
        <v>7</v>
      </c>
      <c r="O109" s="436">
        <f t="shared" si="11"/>
        <v>2.904564315352697</v>
      </c>
      <c r="P109" s="434"/>
      <c r="Q109" s="434">
        <v>70</v>
      </c>
      <c r="R109" s="454">
        <f t="shared" si="14"/>
        <v>29.045643153526974</v>
      </c>
      <c r="S109" s="450"/>
    </row>
    <row r="110" spans="1:19" s="455" customFormat="1" ht="12" customHeight="1">
      <c r="A110" s="455" t="s">
        <v>348</v>
      </c>
      <c r="B110" s="544">
        <f t="shared" si="12"/>
        <v>220</v>
      </c>
      <c r="C110" s="454">
        <f t="shared" si="13"/>
        <v>5.3750305399462492</v>
      </c>
      <c r="E110" s="434">
        <v>5</v>
      </c>
      <c r="F110" s="436">
        <f t="shared" si="8"/>
        <v>2.2727272727272729</v>
      </c>
      <c r="G110" s="434"/>
      <c r="H110" s="434">
        <v>81</v>
      </c>
      <c r="I110" s="436">
        <f t="shared" si="9"/>
        <v>36.818181818181813</v>
      </c>
      <c r="J110" s="434"/>
      <c r="K110" s="434">
        <v>53</v>
      </c>
      <c r="L110" s="436">
        <f t="shared" si="10"/>
        <v>24.09090909090909</v>
      </c>
      <c r="M110" s="434"/>
      <c r="N110" s="434">
        <v>7</v>
      </c>
      <c r="O110" s="436">
        <f t="shared" si="11"/>
        <v>3.1818181818181817</v>
      </c>
      <c r="P110" s="434"/>
      <c r="Q110" s="434">
        <v>74</v>
      </c>
      <c r="R110" s="454">
        <f t="shared" si="14"/>
        <v>33.636363636363633</v>
      </c>
      <c r="S110" s="450"/>
    </row>
    <row r="111" spans="1:19" s="455" customFormat="1" ht="12" customHeight="1">
      <c r="A111" s="455" t="s">
        <v>349</v>
      </c>
      <c r="B111" s="544">
        <f>IF($A111&lt;&gt;"",E111+H111+K111+N111+Q111,"")</f>
        <v>196</v>
      </c>
      <c r="C111" s="454">
        <f t="shared" si="13"/>
        <v>4.7886635719521138</v>
      </c>
      <c r="E111" s="434">
        <v>5</v>
      </c>
      <c r="F111" s="436">
        <f t="shared" si="8"/>
        <v>2.5510204081632653</v>
      </c>
      <c r="G111" s="434"/>
      <c r="H111" s="434">
        <v>44</v>
      </c>
      <c r="I111" s="436">
        <f t="shared" si="9"/>
        <v>22.448979591836736</v>
      </c>
      <c r="J111" s="434"/>
      <c r="K111" s="434">
        <v>45</v>
      </c>
      <c r="L111" s="436">
        <f t="shared" si="10"/>
        <v>22.95918367346939</v>
      </c>
      <c r="M111" s="434"/>
      <c r="N111" s="434">
        <v>4</v>
      </c>
      <c r="O111" s="436">
        <f t="shared" si="11"/>
        <v>2.0408163265306123</v>
      </c>
      <c r="P111" s="434"/>
      <c r="Q111" s="434">
        <v>98</v>
      </c>
      <c r="R111" s="454">
        <f t="shared" si="14"/>
        <v>50</v>
      </c>
      <c r="S111" s="450"/>
    </row>
    <row r="112" spans="1:19" s="455" customFormat="1" ht="12.75" customHeight="1">
      <c r="A112" s="4" t="s">
        <v>378</v>
      </c>
      <c r="B112" s="544">
        <f>IF($A112&lt;&gt;"",E112+H112+K112+N112+Q112,"")</f>
        <v>139</v>
      </c>
      <c r="C112" s="454">
        <f t="shared" si="13"/>
        <v>3.3960420229660393</v>
      </c>
      <c r="E112" s="434">
        <v>4</v>
      </c>
      <c r="F112" s="436">
        <f t="shared" si="8"/>
        <v>2.877697841726619</v>
      </c>
      <c r="G112" s="434"/>
      <c r="H112" s="434">
        <v>56</v>
      </c>
      <c r="I112" s="436">
        <f t="shared" si="9"/>
        <v>40.28776978417266</v>
      </c>
      <c r="J112" s="434"/>
      <c r="K112" s="434">
        <v>51</v>
      </c>
      <c r="L112" s="436">
        <f t="shared" si="10"/>
        <v>36.690647482014391</v>
      </c>
      <c r="M112" s="434"/>
      <c r="N112" s="434">
        <v>13</v>
      </c>
      <c r="O112" s="436">
        <f t="shared" si="11"/>
        <v>9.3525179856115113</v>
      </c>
      <c r="P112" s="434"/>
      <c r="Q112" s="434">
        <v>15</v>
      </c>
      <c r="R112" s="454">
        <f t="shared" si="14"/>
        <v>10.791366906474821</v>
      </c>
    </row>
    <row r="113" spans="1:19" s="455" customFormat="1" ht="12" customHeight="1">
      <c r="A113" s="455" t="s">
        <v>351</v>
      </c>
      <c r="B113" s="544">
        <f>IF($A113&lt;&gt;"",E113+H113+K113+N113+Q113,"")</f>
        <v>91</v>
      </c>
      <c r="C113" s="454">
        <f t="shared" si="13"/>
        <v>2.2233080869777671</v>
      </c>
      <c r="E113" s="434">
        <v>2</v>
      </c>
      <c r="F113" s="436">
        <f t="shared" si="8"/>
        <v>2.197802197802198</v>
      </c>
      <c r="G113" s="434"/>
      <c r="H113" s="434">
        <v>37</v>
      </c>
      <c r="I113" s="436">
        <f t="shared" si="9"/>
        <v>40.659340659340657</v>
      </c>
      <c r="J113" s="434"/>
      <c r="K113" s="434">
        <v>38</v>
      </c>
      <c r="L113" s="436">
        <f t="shared" si="10"/>
        <v>41.758241758241759</v>
      </c>
      <c r="M113" s="434"/>
      <c r="N113" s="434">
        <v>2</v>
      </c>
      <c r="O113" s="436">
        <f t="shared" si="11"/>
        <v>2.197802197802198</v>
      </c>
      <c r="P113" s="434"/>
      <c r="Q113" s="434">
        <v>12</v>
      </c>
      <c r="R113" s="454">
        <f t="shared" si="14"/>
        <v>13.186813186813188</v>
      </c>
    </row>
    <row r="114" spans="1:19" s="455" customFormat="1" ht="8.25" customHeight="1" thickBot="1">
      <c r="B114" s="544"/>
      <c r="C114" s="454"/>
      <c r="E114" s="449"/>
      <c r="F114" s="454"/>
      <c r="H114" s="449"/>
      <c r="I114" s="454"/>
      <c r="J114" s="454"/>
      <c r="K114" s="449"/>
      <c r="L114" s="454"/>
      <c r="N114" s="449"/>
      <c r="O114" s="454"/>
      <c r="P114" s="454"/>
      <c r="Q114" s="449"/>
      <c r="R114" s="454"/>
      <c r="S114" s="454"/>
    </row>
    <row r="115" spans="1:19" s="455" customFormat="1" ht="7.5" customHeight="1">
      <c r="A115" s="486"/>
      <c r="B115" s="805"/>
      <c r="C115" s="793"/>
      <c r="D115" s="486"/>
      <c r="E115" s="792"/>
      <c r="F115" s="793"/>
      <c r="G115" s="486"/>
      <c r="H115" s="792"/>
      <c r="I115" s="793"/>
      <c r="J115" s="793"/>
      <c r="K115" s="792"/>
      <c r="L115" s="793"/>
      <c r="M115" s="486"/>
      <c r="N115" s="792"/>
      <c r="O115" s="793"/>
      <c r="P115" s="793"/>
      <c r="Q115" s="792"/>
      <c r="R115" s="793"/>
      <c r="S115" s="793"/>
    </row>
    <row r="116" spans="1:19" s="455" customFormat="1" ht="15" customHeight="1">
      <c r="A116" s="453" t="s">
        <v>401</v>
      </c>
      <c r="B116" s="451"/>
      <c r="C116" s="450"/>
      <c r="D116" s="453"/>
      <c r="E116" s="452"/>
      <c r="F116" s="450"/>
      <c r="G116" s="453"/>
      <c r="H116" s="452"/>
      <c r="I116" s="450"/>
      <c r="J116" s="450"/>
      <c r="K116" s="452"/>
      <c r="L116" s="450"/>
      <c r="M116" s="453"/>
      <c r="N116" s="452"/>
      <c r="O116" s="450"/>
      <c r="P116" s="450"/>
      <c r="Q116" s="452"/>
      <c r="R116" s="450"/>
      <c r="S116" s="450"/>
    </row>
    <row r="117" spans="1:19" s="455" customFormat="1" ht="15" customHeight="1">
      <c r="A117" s="453" t="s">
        <v>411</v>
      </c>
      <c r="B117" s="451"/>
      <c r="C117" s="450"/>
      <c r="D117" s="453"/>
      <c r="E117" s="452"/>
      <c r="F117" s="450"/>
      <c r="G117" s="453"/>
      <c r="H117" s="452"/>
      <c r="I117" s="450"/>
      <c r="J117" s="450"/>
      <c r="K117" s="452"/>
      <c r="L117" s="450"/>
      <c r="M117" s="453"/>
      <c r="N117" s="452"/>
      <c r="O117" s="450"/>
      <c r="P117" s="450"/>
      <c r="Q117" s="452"/>
      <c r="R117" s="450"/>
      <c r="S117" s="450"/>
    </row>
    <row r="118" spans="1:19" s="455" customFormat="1" ht="15" customHeight="1">
      <c r="A118" s="95" t="s">
        <v>403</v>
      </c>
      <c r="B118" s="451"/>
      <c r="C118" s="450"/>
      <c r="D118" s="453"/>
      <c r="E118" s="452"/>
      <c r="F118" s="450"/>
      <c r="G118" s="453"/>
      <c r="H118" s="452"/>
      <c r="I118" s="450"/>
      <c r="J118" s="450"/>
      <c r="K118" s="452"/>
      <c r="L118" s="450"/>
      <c r="M118" s="453"/>
      <c r="N118" s="452"/>
      <c r="O118" s="450"/>
      <c r="P118" s="450"/>
      <c r="Q118" s="452"/>
      <c r="R118" s="450"/>
      <c r="S118" s="450"/>
    </row>
    <row r="119" spans="1:19" s="455" customFormat="1" ht="15" customHeight="1">
      <c r="A119" s="95" t="s">
        <v>418</v>
      </c>
      <c r="B119" s="451"/>
      <c r="C119" s="450"/>
      <c r="D119" s="453"/>
      <c r="E119" s="452"/>
      <c r="F119" s="450"/>
      <c r="G119" s="453"/>
      <c r="H119" s="452"/>
      <c r="I119" s="450"/>
      <c r="J119" s="450"/>
      <c r="K119" s="452"/>
      <c r="L119" s="450"/>
      <c r="M119" s="453"/>
      <c r="N119" s="452"/>
      <c r="O119" s="450"/>
      <c r="P119" s="450"/>
      <c r="Q119" s="452"/>
      <c r="R119" s="450"/>
      <c r="S119" s="450"/>
    </row>
    <row r="120" spans="1:19" s="455" customFormat="1" ht="9" customHeight="1">
      <c r="A120" s="434"/>
      <c r="B120" s="451"/>
      <c r="C120" s="450"/>
      <c r="D120" s="453"/>
      <c r="E120" s="452"/>
      <c r="F120" s="450"/>
      <c r="G120" s="453"/>
      <c r="H120" s="452"/>
      <c r="I120" s="450"/>
      <c r="J120" s="450"/>
      <c r="K120" s="452"/>
      <c r="L120" s="450"/>
      <c r="M120" s="453"/>
      <c r="N120" s="452"/>
      <c r="O120" s="450"/>
      <c r="P120" s="450"/>
      <c r="Q120" s="452"/>
      <c r="R120" s="450"/>
      <c r="S120" s="450"/>
    </row>
    <row r="121" spans="1:19" s="455" customFormat="1" ht="15" customHeight="1">
      <c r="A121" s="434" t="s">
        <v>404</v>
      </c>
      <c r="B121" s="451"/>
      <c r="C121" s="450"/>
      <c r="D121" s="453"/>
      <c r="E121" s="452"/>
      <c r="F121" s="450"/>
      <c r="G121" s="453"/>
      <c r="H121" s="452"/>
      <c r="I121" s="450"/>
      <c r="J121" s="450"/>
      <c r="K121" s="452"/>
      <c r="L121" s="450"/>
      <c r="M121" s="453"/>
      <c r="N121" s="452"/>
      <c r="O121" s="450"/>
      <c r="P121" s="450"/>
      <c r="Q121" s="452"/>
      <c r="R121" s="450"/>
    </row>
    <row r="122" spans="1:19" s="455" customFormat="1" ht="15" customHeight="1">
      <c r="A122" s="434" t="s">
        <v>385</v>
      </c>
      <c r="B122" s="544"/>
      <c r="C122" s="454"/>
      <c r="E122" s="449"/>
      <c r="F122" s="454"/>
      <c r="H122" s="449"/>
      <c r="I122" s="454"/>
      <c r="J122" s="454"/>
      <c r="K122" s="449"/>
      <c r="L122" s="454"/>
      <c r="N122" s="449"/>
      <c r="Q122" s="449"/>
    </row>
    <row r="123" spans="1:19" s="455" customFormat="1">
      <c r="B123" s="544"/>
      <c r="C123" s="454"/>
      <c r="E123" s="449"/>
      <c r="F123" s="454"/>
      <c r="H123" s="449"/>
      <c r="I123" s="454"/>
      <c r="J123" s="454"/>
      <c r="K123" s="449"/>
      <c r="L123" s="454"/>
      <c r="N123" s="449"/>
      <c r="Q123" s="449"/>
    </row>
    <row r="124" spans="1:19" s="455" customFormat="1">
      <c r="B124" s="544"/>
      <c r="C124" s="454"/>
      <c r="E124" s="449"/>
      <c r="F124" s="454"/>
      <c r="H124" s="449"/>
      <c r="I124" s="454"/>
      <c r="J124" s="454"/>
      <c r="K124" s="449"/>
      <c r="L124" s="454"/>
      <c r="N124" s="449"/>
      <c r="Q124" s="449"/>
    </row>
    <row r="125" spans="1:19" s="455" customFormat="1">
      <c r="B125" s="544"/>
      <c r="C125" s="454"/>
      <c r="E125" s="449"/>
      <c r="F125" s="454"/>
      <c r="H125" s="449"/>
      <c r="I125" s="454"/>
      <c r="J125" s="454"/>
      <c r="K125" s="449"/>
      <c r="L125" s="454"/>
      <c r="N125" s="449"/>
      <c r="Q125" s="449"/>
    </row>
    <row r="126" spans="1:19" s="455" customFormat="1">
      <c r="B126" s="544"/>
      <c r="C126" s="454"/>
      <c r="E126" s="449"/>
      <c r="F126" s="454"/>
      <c r="H126" s="449"/>
      <c r="I126" s="454"/>
      <c r="J126" s="454"/>
      <c r="K126" s="449"/>
      <c r="L126" s="454"/>
      <c r="N126" s="449"/>
      <c r="Q126" s="449"/>
    </row>
    <row r="127" spans="1:19" s="455" customFormat="1">
      <c r="B127" s="544"/>
      <c r="C127" s="454"/>
      <c r="E127" s="449"/>
      <c r="F127" s="454"/>
      <c r="H127" s="449"/>
      <c r="I127" s="454"/>
      <c r="J127" s="454"/>
      <c r="K127" s="449"/>
      <c r="L127" s="454"/>
      <c r="N127" s="449"/>
      <c r="Q127" s="449"/>
    </row>
    <row r="128" spans="1:19" s="455" customFormat="1">
      <c r="B128" s="544"/>
      <c r="C128" s="454"/>
      <c r="E128" s="449"/>
      <c r="F128" s="454"/>
      <c r="H128" s="449"/>
      <c r="I128" s="454"/>
      <c r="J128" s="454"/>
      <c r="K128" s="449"/>
      <c r="L128" s="454"/>
      <c r="N128" s="449"/>
      <c r="Q128" s="449"/>
    </row>
    <row r="129" spans="2:17" s="455" customFormat="1">
      <c r="B129" s="544"/>
      <c r="C129" s="454"/>
      <c r="E129" s="449"/>
      <c r="F129" s="454"/>
      <c r="H129" s="449"/>
      <c r="I129" s="454"/>
      <c r="J129" s="454"/>
      <c r="K129" s="449"/>
      <c r="L129" s="454"/>
      <c r="N129" s="449"/>
      <c r="Q129" s="449"/>
    </row>
    <row r="130" spans="2:17" s="455" customFormat="1">
      <c r="B130" s="544"/>
      <c r="C130" s="454"/>
      <c r="E130" s="449"/>
      <c r="F130" s="454"/>
      <c r="H130" s="449"/>
      <c r="I130" s="454"/>
      <c r="J130" s="454"/>
      <c r="K130" s="449"/>
      <c r="L130" s="454"/>
      <c r="N130" s="449"/>
      <c r="Q130" s="449"/>
    </row>
    <row r="131" spans="2:17" s="455" customFormat="1">
      <c r="B131" s="544"/>
      <c r="C131" s="454"/>
      <c r="E131" s="449"/>
      <c r="F131" s="454"/>
      <c r="H131" s="449"/>
      <c r="I131" s="454"/>
      <c r="J131" s="454"/>
      <c r="K131" s="449"/>
      <c r="L131" s="454"/>
      <c r="N131" s="449"/>
      <c r="Q131" s="449"/>
    </row>
    <row r="132" spans="2:17" s="455" customFormat="1">
      <c r="B132" s="544"/>
      <c r="C132" s="454"/>
      <c r="E132" s="449"/>
      <c r="F132" s="454"/>
      <c r="H132" s="449"/>
      <c r="I132" s="454"/>
      <c r="J132" s="454"/>
      <c r="K132" s="449"/>
      <c r="L132" s="454"/>
      <c r="N132" s="449"/>
      <c r="Q132" s="449"/>
    </row>
    <row r="133" spans="2:17" s="455" customFormat="1">
      <c r="B133" s="544"/>
      <c r="C133" s="454"/>
      <c r="E133" s="449"/>
      <c r="F133" s="454"/>
      <c r="H133" s="449"/>
      <c r="I133" s="454"/>
      <c r="J133" s="454"/>
      <c r="K133" s="449"/>
      <c r="L133" s="454"/>
      <c r="N133" s="449"/>
      <c r="Q133" s="449"/>
    </row>
    <row r="134" spans="2:17" s="455" customFormat="1">
      <c r="B134" s="544"/>
      <c r="C134" s="454"/>
      <c r="E134" s="449"/>
      <c r="F134" s="454"/>
      <c r="H134" s="449"/>
      <c r="I134" s="454"/>
      <c r="J134" s="454"/>
      <c r="K134" s="449"/>
      <c r="L134" s="454"/>
      <c r="N134" s="449"/>
      <c r="Q134" s="449"/>
    </row>
    <row r="135" spans="2:17" s="455" customFormat="1">
      <c r="B135" s="544"/>
      <c r="C135" s="454"/>
      <c r="E135" s="449"/>
      <c r="F135" s="454"/>
      <c r="H135" s="449"/>
      <c r="I135" s="454"/>
      <c r="J135" s="454"/>
      <c r="K135" s="449"/>
      <c r="L135" s="454"/>
      <c r="N135" s="449"/>
      <c r="Q135" s="449"/>
    </row>
    <row r="136" spans="2:17" s="455" customFormat="1">
      <c r="B136" s="544"/>
      <c r="C136" s="454"/>
      <c r="E136" s="449"/>
      <c r="F136" s="454"/>
      <c r="H136" s="449"/>
      <c r="I136" s="454"/>
      <c r="J136" s="454"/>
      <c r="K136" s="449"/>
      <c r="L136" s="454"/>
      <c r="N136" s="449"/>
      <c r="Q136" s="449"/>
    </row>
    <row r="137" spans="2:17" s="455" customFormat="1">
      <c r="B137" s="544"/>
      <c r="C137" s="454"/>
      <c r="E137" s="449"/>
      <c r="F137" s="454"/>
      <c r="H137" s="449"/>
      <c r="I137" s="454"/>
      <c r="J137" s="454"/>
      <c r="K137" s="449"/>
      <c r="L137" s="454"/>
      <c r="N137" s="449"/>
      <c r="Q137" s="449"/>
    </row>
    <row r="138" spans="2:17" s="455" customFormat="1">
      <c r="B138" s="544"/>
      <c r="C138" s="454"/>
      <c r="E138" s="449"/>
      <c r="F138" s="454"/>
      <c r="H138" s="449"/>
      <c r="I138" s="454"/>
      <c r="J138" s="454"/>
      <c r="K138" s="449"/>
      <c r="L138" s="454"/>
      <c r="N138" s="449"/>
      <c r="Q138" s="449"/>
    </row>
    <row r="139" spans="2:17" s="455" customFormat="1">
      <c r="B139" s="544"/>
      <c r="C139" s="454"/>
      <c r="E139" s="449"/>
      <c r="F139" s="454"/>
      <c r="H139" s="449"/>
      <c r="I139" s="454"/>
      <c r="J139" s="454"/>
      <c r="K139" s="449"/>
      <c r="L139" s="454"/>
      <c r="N139" s="449"/>
      <c r="Q139" s="449"/>
    </row>
    <row r="140" spans="2:17" s="455" customFormat="1">
      <c r="B140" s="544"/>
      <c r="C140" s="454"/>
      <c r="E140" s="449"/>
      <c r="F140" s="454"/>
      <c r="H140" s="449"/>
      <c r="I140" s="454"/>
      <c r="J140" s="454"/>
      <c r="K140" s="449"/>
      <c r="L140" s="454"/>
      <c r="N140" s="449"/>
      <c r="Q140" s="449"/>
    </row>
    <row r="141" spans="2:17" s="455" customFormat="1">
      <c r="B141" s="544"/>
      <c r="C141" s="454"/>
      <c r="E141" s="449"/>
      <c r="F141" s="454"/>
      <c r="H141" s="449"/>
      <c r="I141" s="454"/>
      <c r="J141" s="454"/>
      <c r="K141" s="449"/>
      <c r="L141" s="454"/>
      <c r="N141" s="449"/>
      <c r="Q141" s="449"/>
    </row>
    <row r="142" spans="2:17" s="455" customFormat="1">
      <c r="B142" s="544"/>
      <c r="C142" s="454"/>
      <c r="E142" s="449"/>
      <c r="F142" s="454"/>
      <c r="H142" s="449"/>
      <c r="I142" s="454"/>
      <c r="J142" s="454"/>
      <c r="K142" s="449"/>
      <c r="L142" s="454"/>
      <c r="N142" s="449"/>
      <c r="Q142" s="449"/>
    </row>
    <row r="143" spans="2:17" s="455" customFormat="1">
      <c r="B143" s="544"/>
      <c r="C143" s="454"/>
      <c r="E143" s="449"/>
      <c r="F143" s="454"/>
      <c r="H143" s="449"/>
      <c r="I143" s="454"/>
      <c r="J143" s="454"/>
      <c r="K143" s="449"/>
      <c r="L143" s="454"/>
      <c r="N143" s="449"/>
      <c r="Q143" s="449"/>
    </row>
    <row r="144" spans="2:17" s="455" customFormat="1">
      <c r="B144" s="544"/>
      <c r="C144" s="454"/>
      <c r="E144" s="449"/>
      <c r="F144" s="454"/>
      <c r="H144" s="449"/>
      <c r="I144" s="454"/>
      <c r="J144" s="454"/>
      <c r="K144" s="449"/>
      <c r="L144" s="454"/>
      <c r="N144" s="449"/>
      <c r="Q144" s="449"/>
    </row>
    <row r="145" spans="2:17" s="455" customFormat="1">
      <c r="B145" s="544"/>
      <c r="C145" s="454"/>
      <c r="E145" s="449"/>
      <c r="F145" s="454"/>
      <c r="H145" s="449"/>
      <c r="I145" s="454"/>
      <c r="J145" s="454"/>
      <c r="K145" s="449"/>
      <c r="L145" s="454"/>
      <c r="N145" s="449"/>
      <c r="Q145" s="449"/>
    </row>
    <row r="146" spans="2:17" s="455" customFormat="1">
      <c r="B146" s="544"/>
      <c r="C146" s="454"/>
      <c r="E146" s="449"/>
      <c r="F146" s="454"/>
      <c r="H146" s="449"/>
      <c r="I146" s="454"/>
      <c r="J146" s="454"/>
      <c r="K146" s="449"/>
      <c r="L146" s="454"/>
      <c r="N146" s="449"/>
      <c r="Q146" s="449"/>
    </row>
    <row r="147" spans="2:17" s="455" customFormat="1">
      <c r="B147" s="544"/>
      <c r="C147" s="454"/>
      <c r="E147" s="449"/>
      <c r="F147" s="454"/>
      <c r="H147" s="449"/>
      <c r="I147" s="454"/>
      <c r="J147" s="454"/>
      <c r="K147" s="449"/>
      <c r="L147" s="454"/>
      <c r="N147" s="449"/>
      <c r="Q147" s="449"/>
    </row>
    <row r="148" spans="2:17" s="455" customFormat="1">
      <c r="B148" s="544"/>
      <c r="C148" s="454"/>
      <c r="E148" s="449"/>
      <c r="F148" s="454"/>
      <c r="H148" s="449"/>
      <c r="I148" s="454"/>
      <c r="J148" s="454"/>
      <c r="K148" s="449"/>
      <c r="L148" s="454"/>
      <c r="N148" s="449"/>
      <c r="Q148" s="449"/>
    </row>
    <row r="149" spans="2:17" s="455" customFormat="1">
      <c r="B149" s="544"/>
      <c r="C149" s="454"/>
      <c r="E149" s="449"/>
      <c r="F149" s="454"/>
      <c r="H149" s="449"/>
      <c r="I149" s="454"/>
      <c r="J149" s="454"/>
      <c r="K149" s="449"/>
      <c r="L149" s="454"/>
      <c r="N149" s="449"/>
      <c r="Q149" s="449"/>
    </row>
    <row r="150" spans="2:17" s="455" customFormat="1">
      <c r="B150" s="544"/>
      <c r="C150" s="454"/>
      <c r="E150" s="449"/>
      <c r="F150" s="454"/>
      <c r="H150" s="449"/>
      <c r="I150" s="454"/>
      <c r="J150" s="454"/>
      <c r="K150" s="449"/>
      <c r="L150" s="454"/>
      <c r="N150" s="449"/>
      <c r="Q150" s="449"/>
    </row>
    <row r="151" spans="2:17" s="455" customFormat="1">
      <c r="B151" s="544"/>
      <c r="C151" s="454"/>
      <c r="E151" s="449"/>
      <c r="F151" s="454"/>
      <c r="H151" s="449"/>
      <c r="I151" s="454"/>
      <c r="J151" s="454"/>
      <c r="K151" s="449"/>
      <c r="L151" s="454"/>
      <c r="N151" s="449"/>
      <c r="Q151" s="449"/>
    </row>
    <row r="152" spans="2:17" s="455" customFormat="1">
      <c r="B152" s="544"/>
      <c r="C152" s="454"/>
      <c r="E152" s="449"/>
      <c r="F152" s="454"/>
      <c r="H152" s="449"/>
      <c r="I152" s="454"/>
      <c r="J152" s="454"/>
      <c r="K152" s="449"/>
      <c r="L152" s="454"/>
      <c r="N152" s="449"/>
      <c r="Q152" s="449"/>
    </row>
    <row r="153" spans="2:17" s="455" customFormat="1">
      <c r="B153" s="544"/>
      <c r="C153" s="454"/>
      <c r="E153" s="449"/>
      <c r="F153" s="454"/>
      <c r="H153" s="449"/>
      <c r="I153" s="454"/>
      <c r="J153" s="454"/>
      <c r="K153" s="449"/>
      <c r="L153" s="454"/>
      <c r="N153" s="449"/>
      <c r="Q153" s="449"/>
    </row>
    <row r="154" spans="2:17" s="455" customFormat="1">
      <c r="B154" s="544"/>
      <c r="C154" s="454"/>
      <c r="E154" s="449"/>
      <c r="F154" s="454"/>
      <c r="H154" s="449"/>
      <c r="I154" s="454"/>
      <c r="J154" s="454"/>
      <c r="K154" s="449"/>
      <c r="L154" s="454"/>
      <c r="N154" s="449"/>
      <c r="Q154" s="449"/>
    </row>
    <row r="155" spans="2:17" s="455" customFormat="1">
      <c r="B155" s="544"/>
      <c r="C155" s="454"/>
      <c r="E155" s="449"/>
      <c r="F155" s="454"/>
      <c r="H155" s="449"/>
      <c r="I155" s="454"/>
      <c r="J155" s="454"/>
      <c r="K155" s="449"/>
      <c r="L155" s="454"/>
      <c r="N155" s="449"/>
      <c r="Q155" s="449"/>
    </row>
    <row r="156" spans="2:17" s="455" customFormat="1">
      <c r="B156" s="544"/>
      <c r="C156" s="454"/>
      <c r="E156" s="449"/>
      <c r="F156" s="454"/>
      <c r="H156" s="449"/>
      <c r="I156" s="454"/>
      <c r="J156" s="454"/>
      <c r="K156" s="449"/>
      <c r="L156" s="454"/>
      <c r="N156" s="449"/>
      <c r="Q156" s="449"/>
    </row>
    <row r="157" spans="2:17" s="455" customFormat="1">
      <c r="B157" s="544"/>
      <c r="C157" s="454"/>
      <c r="E157" s="449"/>
      <c r="F157" s="454"/>
      <c r="H157" s="449"/>
      <c r="I157" s="454"/>
      <c r="J157" s="454"/>
      <c r="K157" s="449"/>
      <c r="L157" s="454"/>
      <c r="N157" s="449"/>
      <c r="Q157" s="449"/>
    </row>
    <row r="158" spans="2:17" s="455" customFormat="1">
      <c r="B158" s="544"/>
      <c r="C158" s="454"/>
      <c r="E158" s="449"/>
      <c r="F158" s="454"/>
      <c r="H158" s="449"/>
      <c r="I158" s="454"/>
      <c r="J158" s="454"/>
      <c r="K158" s="449"/>
      <c r="L158" s="454"/>
      <c r="N158" s="449"/>
      <c r="Q158" s="449"/>
    </row>
    <row r="159" spans="2:17" s="455" customFormat="1">
      <c r="B159" s="544"/>
      <c r="C159" s="454"/>
      <c r="E159" s="449"/>
      <c r="F159" s="454"/>
      <c r="H159" s="449"/>
      <c r="I159" s="454"/>
      <c r="J159" s="454"/>
      <c r="K159" s="449"/>
      <c r="L159" s="454"/>
      <c r="N159" s="449"/>
      <c r="Q159" s="449"/>
    </row>
    <row r="160" spans="2:17" s="455" customFormat="1">
      <c r="B160" s="544"/>
      <c r="C160" s="454"/>
      <c r="E160" s="449"/>
      <c r="F160" s="454"/>
      <c r="H160" s="449"/>
      <c r="I160" s="454"/>
      <c r="J160" s="454"/>
      <c r="K160" s="449"/>
      <c r="L160" s="454"/>
      <c r="N160" s="449"/>
      <c r="Q160" s="449"/>
    </row>
    <row r="161" spans="2:17" s="455" customFormat="1">
      <c r="B161" s="544"/>
      <c r="C161" s="454"/>
      <c r="E161" s="449"/>
      <c r="F161" s="454"/>
      <c r="H161" s="449"/>
      <c r="I161" s="454"/>
      <c r="J161" s="454"/>
      <c r="K161" s="449"/>
      <c r="L161" s="454"/>
      <c r="N161" s="449"/>
      <c r="Q161" s="449"/>
    </row>
    <row r="162" spans="2:17" s="455" customFormat="1">
      <c r="B162" s="544"/>
      <c r="C162" s="454"/>
      <c r="E162" s="449"/>
      <c r="F162" s="454"/>
      <c r="H162" s="449"/>
      <c r="I162" s="454"/>
      <c r="J162" s="454"/>
      <c r="K162" s="449"/>
      <c r="L162" s="454"/>
      <c r="N162" s="449"/>
      <c r="Q162" s="449"/>
    </row>
    <row r="163" spans="2:17" s="455" customFormat="1">
      <c r="B163" s="544"/>
      <c r="C163" s="454"/>
      <c r="E163" s="449"/>
      <c r="F163" s="454"/>
      <c r="H163" s="449"/>
      <c r="I163" s="454"/>
      <c r="J163" s="454"/>
      <c r="K163" s="449"/>
      <c r="L163" s="454"/>
      <c r="N163" s="449"/>
      <c r="Q163" s="449"/>
    </row>
    <row r="164" spans="2:17" s="455" customFormat="1">
      <c r="B164" s="544"/>
      <c r="C164" s="454"/>
      <c r="E164" s="449"/>
      <c r="F164" s="454"/>
      <c r="H164" s="449"/>
      <c r="I164" s="454"/>
      <c r="J164" s="454"/>
      <c r="K164" s="449"/>
      <c r="L164" s="454"/>
      <c r="N164" s="449"/>
      <c r="Q164" s="449"/>
    </row>
    <row r="165" spans="2:17" s="455" customFormat="1">
      <c r="B165" s="544"/>
      <c r="C165" s="454"/>
      <c r="E165" s="449"/>
      <c r="F165" s="454"/>
      <c r="H165" s="449"/>
      <c r="I165" s="454"/>
      <c r="J165" s="454"/>
      <c r="K165" s="449"/>
      <c r="L165" s="454"/>
      <c r="N165" s="449"/>
      <c r="Q165" s="449"/>
    </row>
    <row r="166" spans="2:17" s="455" customFormat="1">
      <c r="B166" s="544"/>
      <c r="C166" s="454"/>
      <c r="E166" s="449"/>
      <c r="F166" s="454"/>
      <c r="H166" s="449"/>
      <c r="I166" s="454"/>
      <c r="J166" s="454"/>
      <c r="K166" s="449"/>
      <c r="L166" s="454"/>
      <c r="N166" s="449"/>
      <c r="Q166" s="449"/>
    </row>
    <row r="167" spans="2:17" s="455" customFormat="1">
      <c r="B167" s="544"/>
      <c r="C167" s="454"/>
      <c r="E167" s="449"/>
      <c r="F167" s="454"/>
      <c r="H167" s="449"/>
      <c r="I167" s="454"/>
      <c r="J167" s="454"/>
      <c r="K167" s="449"/>
      <c r="L167" s="454"/>
      <c r="N167" s="449"/>
      <c r="Q167" s="449"/>
    </row>
    <row r="168" spans="2:17" s="455" customFormat="1">
      <c r="B168" s="544"/>
      <c r="C168" s="454"/>
      <c r="E168" s="449"/>
      <c r="F168" s="454"/>
      <c r="H168" s="449"/>
      <c r="I168" s="454"/>
      <c r="J168" s="454"/>
      <c r="K168" s="449"/>
      <c r="L168" s="454"/>
      <c r="N168" s="449"/>
      <c r="Q168" s="449"/>
    </row>
    <row r="169" spans="2:17" s="455" customFormat="1">
      <c r="B169" s="544"/>
      <c r="C169" s="454"/>
      <c r="E169" s="449"/>
      <c r="F169" s="454"/>
      <c r="H169" s="449"/>
      <c r="I169" s="454"/>
      <c r="J169" s="454"/>
      <c r="K169" s="449"/>
      <c r="L169" s="454"/>
      <c r="N169" s="449"/>
      <c r="Q169" s="449"/>
    </row>
    <row r="170" spans="2:17" s="455" customFormat="1">
      <c r="B170" s="544"/>
      <c r="C170" s="454"/>
      <c r="E170" s="449"/>
      <c r="F170" s="454"/>
      <c r="H170" s="449"/>
      <c r="I170" s="454"/>
      <c r="J170" s="454"/>
      <c r="K170" s="449"/>
      <c r="L170" s="454"/>
      <c r="N170" s="449"/>
      <c r="Q170" s="449"/>
    </row>
    <row r="171" spans="2:17" s="455" customFormat="1">
      <c r="B171" s="544"/>
      <c r="C171" s="454"/>
      <c r="E171" s="449"/>
      <c r="F171" s="454"/>
      <c r="H171" s="449"/>
      <c r="I171" s="454"/>
      <c r="J171" s="454"/>
      <c r="K171" s="449"/>
      <c r="L171" s="454"/>
      <c r="N171" s="449"/>
      <c r="Q171" s="449"/>
    </row>
    <row r="172" spans="2:17" s="455" customFormat="1">
      <c r="B172" s="544"/>
      <c r="C172" s="454"/>
      <c r="E172" s="449"/>
      <c r="F172" s="454"/>
      <c r="H172" s="449"/>
      <c r="I172" s="454"/>
      <c r="J172" s="454"/>
      <c r="K172" s="449"/>
      <c r="L172" s="454"/>
      <c r="N172" s="449"/>
      <c r="Q172" s="449"/>
    </row>
    <row r="173" spans="2:17" s="455" customFormat="1">
      <c r="B173" s="544"/>
      <c r="C173" s="454"/>
      <c r="E173" s="449"/>
      <c r="F173" s="454"/>
      <c r="H173" s="449"/>
      <c r="I173" s="454"/>
      <c r="J173" s="454"/>
      <c r="K173" s="449"/>
      <c r="L173" s="454"/>
      <c r="N173" s="449"/>
      <c r="Q173" s="449"/>
    </row>
    <row r="174" spans="2:17" s="455" customFormat="1">
      <c r="B174" s="544"/>
      <c r="C174" s="454"/>
      <c r="E174" s="449"/>
      <c r="F174" s="454"/>
      <c r="H174" s="449"/>
      <c r="I174" s="454"/>
      <c r="J174" s="454"/>
      <c r="K174" s="449"/>
      <c r="L174" s="454"/>
      <c r="N174" s="449"/>
      <c r="Q174" s="449"/>
    </row>
    <row r="175" spans="2:17" s="455" customFormat="1">
      <c r="B175" s="544"/>
      <c r="C175" s="454"/>
      <c r="E175" s="449"/>
      <c r="F175" s="454"/>
      <c r="H175" s="449"/>
      <c r="I175" s="454"/>
      <c r="J175" s="454"/>
      <c r="K175" s="449"/>
      <c r="L175" s="454"/>
      <c r="N175" s="449"/>
      <c r="Q175" s="449"/>
    </row>
    <row r="176" spans="2:17" s="455" customFormat="1">
      <c r="B176" s="544"/>
      <c r="C176" s="454"/>
      <c r="E176" s="449"/>
      <c r="F176" s="454"/>
      <c r="H176" s="449"/>
      <c r="I176" s="454"/>
      <c r="J176" s="454"/>
      <c r="K176" s="449"/>
      <c r="L176" s="454"/>
      <c r="N176" s="449"/>
      <c r="Q176" s="449"/>
    </row>
    <row r="177" spans="2:17" s="455" customFormat="1">
      <c r="B177" s="544"/>
      <c r="C177" s="454"/>
      <c r="E177" s="449"/>
      <c r="F177" s="454"/>
      <c r="H177" s="449"/>
      <c r="I177" s="454"/>
      <c r="J177" s="454"/>
      <c r="K177" s="449"/>
      <c r="L177" s="454"/>
      <c r="N177" s="449"/>
      <c r="Q177" s="449"/>
    </row>
    <row r="178" spans="2:17" s="455" customFormat="1">
      <c r="B178" s="544"/>
      <c r="C178" s="454"/>
      <c r="E178" s="449"/>
      <c r="F178" s="454"/>
      <c r="H178" s="449"/>
      <c r="I178" s="454"/>
      <c r="J178" s="454"/>
      <c r="K178" s="449"/>
      <c r="L178" s="454"/>
      <c r="N178" s="449"/>
      <c r="Q178" s="449"/>
    </row>
    <row r="179" spans="2:17" s="455" customFormat="1">
      <c r="B179" s="544"/>
      <c r="C179" s="454"/>
      <c r="E179" s="449"/>
      <c r="F179" s="454"/>
      <c r="H179" s="449"/>
      <c r="I179" s="454"/>
      <c r="J179" s="454"/>
      <c r="K179" s="449"/>
      <c r="L179" s="454"/>
      <c r="N179" s="449"/>
      <c r="Q179" s="449"/>
    </row>
    <row r="180" spans="2:17" s="455" customFormat="1">
      <c r="B180" s="544"/>
      <c r="C180" s="454"/>
      <c r="E180" s="449"/>
      <c r="F180" s="454"/>
      <c r="H180" s="449"/>
      <c r="I180" s="454"/>
      <c r="J180" s="454"/>
      <c r="K180" s="449"/>
      <c r="L180" s="454"/>
      <c r="N180" s="449"/>
      <c r="Q180" s="449"/>
    </row>
    <row r="181" spans="2:17" s="455" customFormat="1">
      <c r="B181" s="544"/>
      <c r="C181" s="454"/>
      <c r="E181" s="449"/>
      <c r="F181" s="454"/>
      <c r="H181" s="449"/>
      <c r="I181" s="454"/>
      <c r="J181" s="454"/>
      <c r="K181" s="449"/>
      <c r="L181" s="454"/>
      <c r="N181" s="449"/>
      <c r="Q181" s="449"/>
    </row>
    <row r="182" spans="2:17" s="455" customFormat="1">
      <c r="B182" s="544"/>
      <c r="C182" s="454"/>
      <c r="E182" s="449"/>
      <c r="F182" s="454"/>
      <c r="H182" s="449"/>
      <c r="I182" s="454"/>
      <c r="J182" s="454"/>
      <c r="K182" s="449"/>
      <c r="L182" s="454"/>
      <c r="N182" s="449"/>
      <c r="Q182" s="449"/>
    </row>
    <row r="183" spans="2:17" s="455" customFormat="1">
      <c r="B183" s="544"/>
      <c r="C183" s="454"/>
      <c r="E183" s="449"/>
      <c r="F183" s="454"/>
      <c r="H183" s="449"/>
      <c r="I183" s="454"/>
      <c r="J183" s="454"/>
      <c r="K183" s="449"/>
      <c r="L183" s="454"/>
      <c r="N183" s="449"/>
      <c r="Q183" s="449"/>
    </row>
    <row r="184" spans="2:17" s="455" customFormat="1">
      <c r="B184" s="544"/>
      <c r="C184" s="454"/>
      <c r="E184" s="449"/>
      <c r="F184" s="454"/>
      <c r="H184" s="449"/>
      <c r="I184" s="454"/>
      <c r="J184" s="454"/>
      <c r="K184" s="449"/>
      <c r="L184" s="454"/>
      <c r="N184" s="449"/>
      <c r="Q184" s="449"/>
    </row>
    <row r="185" spans="2:17" s="455" customFormat="1">
      <c r="B185" s="544"/>
      <c r="C185" s="454"/>
      <c r="E185" s="449"/>
      <c r="F185" s="454"/>
      <c r="H185" s="449"/>
      <c r="I185" s="454"/>
      <c r="J185" s="454"/>
      <c r="K185" s="449"/>
      <c r="L185" s="454"/>
      <c r="N185" s="449"/>
      <c r="Q185" s="449"/>
    </row>
    <row r="186" spans="2:17" s="455" customFormat="1">
      <c r="B186" s="544"/>
      <c r="C186" s="454"/>
      <c r="E186" s="449"/>
      <c r="F186" s="454"/>
      <c r="H186" s="449"/>
      <c r="I186" s="454"/>
      <c r="J186" s="454"/>
      <c r="K186" s="449"/>
      <c r="L186" s="454"/>
      <c r="N186" s="449"/>
      <c r="Q186" s="449"/>
    </row>
    <row r="187" spans="2:17" s="455" customFormat="1">
      <c r="B187" s="544"/>
      <c r="C187" s="454"/>
      <c r="E187" s="449"/>
      <c r="F187" s="454"/>
      <c r="H187" s="449"/>
      <c r="I187" s="454"/>
      <c r="J187" s="454"/>
      <c r="K187" s="449"/>
      <c r="L187" s="454"/>
      <c r="N187" s="449"/>
      <c r="Q187" s="449"/>
    </row>
    <row r="188" spans="2:17" s="455" customFormat="1">
      <c r="B188" s="544"/>
      <c r="C188" s="454"/>
      <c r="E188" s="449"/>
      <c r="F188" s="454"/>
      <c r="H188" s="449"/>
      <c r="I188" s="454"/>
      <c r="J188" s="454"/>
      <c r="K188" s="449"/>
      <c r="L188" s="454"/>
      <c r="N188" s="449"/>
      <c r="Q188" s="449"/>
    </row>
    <row r="189" spans="2:17" s="455" customFormat="1">
      <c r="B189" s="544"/>
      <c r="C189" s="454"/>
      <c r="E189" s="449"/>
      <c r="F189" s="454"/>
      <c r="H189" s="449"/>
      <c r="I189" s="454"/>
      <c r="J189" s="454"/>
      <c r="K189" s="449"/>
      <c r="L189" s="454"/>
      <c r="N189" s="449"/>
      <c r="Q189" s="449"/>
    </row>
    <row r="190" spans="2:17" s="455" customFormat="1">
      <c r="B190" s="544"/>
      <c r="C190" s="454"/>
      <c r="E190" s="449"/>
      <c r="F190" s="454"/>
      <c r="H190" s="449"/>
      <c r="I190" s="454"/>
      <c r="J190" s="454"/>
      <c r="K190" s="449"/>
      <c r="L190" s="454"/>
      <c r="N190" s="449"/>
      <c r="Q190" s="449"/>
    </row>
    <row r="191" spans="2:17" s="455" customFormat="1">
      <c r="B191" s="544"/>
      <c r="C191" s="454"/>
      <c r="E191" s="449"/>
      <c r="F191" s="454"/>
      <c r="H191" s="449"/>
      <c r="I191" s="454"/>
      <c r="J191" s="454"/>
      <c r="K191" s="449"/>
      <c r="L191" s="454"/>
      <c r="N191" s="449"/>
      <c r="Q191" s="449"/>
    </row>
    <row r="192" spans="2:17" s="455" customFormat="1">
      <c r="B192" s="544"/>
      <c r="C192" s="454"/>
      <c r="E192" s="449"/>
      <c r="F192" s="454"/>
      <c r="H192" s="449"/>
      <c r="I192" s="454"/>
      <c r="J192" s="454"/>
      <c r="K192" s="449"/>
      <c r="L192" s="454"/>
      <c r="N192" s="449"/>
      <c r="Q192" s="449"/>
    </row>
    <row r="193" spans="2:17" s="455" customFormat="1">
      <c r="B193" s="544"/>
      <c r="C193" s="454"/>
      <c r="E193" s="449"/>
      <c r="F193" s="454"/>
      <c r="H193" s="449"/>
      <c r="I193" s="454"/>
      <c r="J193" s="454"/>
      <c r="K193" s="449"/>
      <c r="L193" s="454"/>
      <c r="N193" s="449"/>
      <c r="Q193" s="449"/>
    </row>
    <row r="194" spans="2:17" s="455" customFormat="1">
      <c r="B194" s="544"/>
      <c r="C194" s="454"/>
      <c r="E194" s="449"/>
      <c r="F194" s="454"/>
      <c r="H194" s="449"/>
      <c r="I194" s="454"/>
      <c r="J194" s="454"/>
      <c r="K194" s="449"/>
      <c r="L194" s="454"/>
      <c r="N194" s="449"/>
      <c r="Q194" s="449"/>
    </row>
    <row r="195" spans="2:17" s="455" customFormat="1">
      <c r="B195" s="544"/>
      <c r="C195" s="454"/>
      <c r="E195" s="449"/>
      <c r="F195" s="454"/>
      <c r="H195" s="449"/>
      <c r="I195" s="454"/>
      <c r="J195" s="454"/>
      <c r="K195" s="449"/>
      <c r="L195" s="454"/>
      <c r="N195" s="449"/>
      <c r="Q195" s="449"/>
    </row>
    <row r="196" spans="2:17" s="455" customFormat="1">
      <c r="B196" s="544"/>
      <c r="C196" s="454"/>
      <c r="E196" s="449"/>
      <c r="F196" s="454"/>
      <c r="H196" s="449"/>
      <c r="I196" s="454"/>
      <c r="J196" s="454"/>
      <c r="K196" s="449"/>
      <c r="L196" s="454"/>
      <c r="N196" s="449"/>
      <c r="Q196" s="449"/>
    </row>
    <row r="197" spans="2:17" s="455" customFormat="1">
      <c r="B197" s="544"/>
      <c r="C197" s="454"/>
      <c r="E197" s="449"/>
      <c r="F197" s="454"/>
      <c r="H197" s="449"/>
      <c r="I197" s="454"/>
      <c r="J197" s="454"/>
      <c r="K197" s="449"/>
      <c r="L197" s="454"/>
      <c r="N197" s="449"/>
      <c r="Q197" s="449"/>
    </row>
    <row r="198" spans="2:17" s="455" customFormat="1">
      <c r="B198" s="544"/>
      <c r="C198" s="454"/>
      <c r="E198" s="449"/>
      <c r="F198" s="454"/>
      <c r="H198" s="449"/>
      <c r="I198" s="454"/>
      <c r="J198" s="454"/>
      <c r="K198" s="449"/>
      <c r="L198" s="454"/>
      <c r="N198" s="449"/>
      <c r="Q198" s="449"/>
    </row>
    <row r="199" spans="2:17" s="455" customFormat="1">
      <c r="B199" s="544"/>
      <c r="C199" s="454"/>
      <c r="E199" s="449"/>
      <c r="F199" s="454"/>
      <c r="H199" s="449"/>
      <c r="I199" s="454"/>
      <c r="J199" s="454"/>
      <c r="K199" s="449"/>
      <c r="L199" s="454"/>
      <c r="N199" s="449"/>
      <c r="Q199" s="449"/>
    </row>
    <row r="200" spans="2:17" s="455" customFormat="1">
      <c r="B200" s="544"/>
      <c r="C200" s="454"/>
      <c r="E200" s="449"/>
      <c r="F200" s="454"/>
      <c r="H200" s="449"/>
      <c r="I200" s="454"/>
      <c r="J200" s="454"/>
      <c r="K200" s="449"/>
      <c r="L200" s="454"/>
      <c r="N200" s="449"/>
      <c r="Q200" s="449"/>
    </row>
    <row r="201" spans="2:17" s="455" customFormat="1">
      <c r="B201" s="544"/>
      <c r="C201" s="454"/>
      <c r="E201" s="449"/>
      <c r="F201" s="454"/>
      <c r="H201" s="449"/>
      <c r="I201" s="454"/>
      <c r="J201" s="454"/>
      <c r="K201" s="449"/>
      <c r="L201" s="454"/>
      <c r="N201" s="449"/>
      <c r="Q201" s="449"/>
    </row>
  </sheetData>
  <mergeCells count="6">
    <mergeCell ref="Q7:R7"/>
    <mergeCell ref="B7:C7"/>
    <mergeCell ref="E7:F7"/>
    <mergeCell ref="H7:I7"/>
    <mergeCell ref="K7:L7"/>
    <mergeCell ref="N7:O7"/>
  </mergeCells>
  <printOptions horizontalCentered="1" verticalCentered="1"/>
  <pageMargins left="0" right="0" top="0" bottom="0" header="0.31496062992125984" footer="0.31496062992125984"/>
  <pageSetup paperSize="9" scale="55" orientation="portrait" r:id="rId1"/>
  <drawing r:id="rId2"/>
</worksheet>
</file>

<file path=xl/worksheets/sheet17.xml><?xml version="1.0" encoding="utf-8"?>
<worksheet xmlns="http://schemas.openxmlformats.org/spreadsheetml/2006/main" xmlns:r="http://schemas.openxmlformats.org/officeDocument/2006/relationships">
  <sheetPr>
    <tabColor theme="5" tint="0.59999389629810485"/>
  </sheetPr>
  <dimension ref="B1:J8"/>
  <sheetViews>
    <sheetView workbookViewId="0">
      <selection activeCell="K10" sqref="K10"/>
    </sheetView>
  </sheetViews>
  <sheetFormatPr baseColWidth="10" defaultRowHeight="15"/>
  <cols>
    <col min="1" max="1" width="8.5703125" customWidth="1"/>
    <col min="257" max="257" width="8.5703125" customWidth="1"/>
    <col min="513" max="513" width="8.5703125" customWidth="1"/>
    <col min="769" max="769" width="8.5703125" customWidth="1"/>
    <col min="1025" max="1025" width="8.5703125" customWidth="1"/>
    <col min="1281" max="1281" width="8.5703125" customWidth="1"/>
    <col min="1537" max="1537" width="8.5703125" customWidth="1"/>
    <col min="1793" max="1793" width="8.5703125" customWidth="1"/>
    <col min="2049" max="2049" width="8.5703125" customWidth="1"/>
    <col min="2305" max="2305" width="8.5703125" customWidth="1"/>
    <col min="2561" max="2561" width="8.5703125" customWidth="1"/>
    <col min="2817" max="2817" width="8.5703125" customWidth="1"/>
    <col min="3073" max="3073" width="8.5703125" customWidth="1"/>
    <col min="3329" max="3329" width="8.5703125" customWidth="1"/>
    <col min="3585" max="3585" width="8.5703125" customWidth="1"/>
    <col min="3841" max="3841" width="8.5703125" customWidth="1"/>
    <col min="4097" max="4097" width="8.5703125" customWidth="1"/>
    <col min="4353" max="4353" width="8.5703125" customWidth="1"/>
    <col min="4609" max="4609" width="8.5703125" customWidth="1"/>
    <col min="4865" max="4865" width="8.5703125" customWidth="1"/>
    <col min="5121" max="5121" width="8.5703125" customWidth="1"/>
    <col min="5377" max="5377" width="8.5703125" customWidth="1"/>
    <col min="5633" max="5633" width="8.5703125" customWidth="1"/>
    <col min="5889" max="5889" width="8.5703125" customWidth="1"/>
    <col min="6145" max="6145" width="8.5703125" customWidth="1"/>
    <col min="6401" max="6401" width="8.5703125" customWidth="1"/>
    <col min="6657" max="6657" width="8.5703125" customWidth="1"/>
    <col min="6913" max="6913" width="8.5703125" customWidth="1"/>
    <col min="7169" max="7169" width="8.5703125" customWidth="1"/>
    <col min="7425" max="7425" width="8.5703125" customWidth="1"/>
    <col min="7681" max="7681" width="8.5703125" customWidth="1"/>
    <col min="7937" max="7937" width="8.5703125" customWidth="1"/>
    <col min="8193" max="8193" width="8.5703125" customWidth="1"/>
    <col min="8449" max="8449" width="8.5703125" customWidth="1"/>
    <col min="8705" max="8705" width="8.5703125" customWidth="1"/>
    <col min="8961" max="8961" width="8.5703125" customWidth="1"/>
    <col min="9217" max="9217" width="8.5703125" customWidth="1"/>
    <col min="9473" max="9473" width="8.5703125" customWidth="1"/>
    <col min="9729" max="9729" width="8.5703125" customWidth="1"/>
    <col min="9985" max="9985" width="8.5703125" customWidth="1"/>
    <col min="10241" max="10241" width="8.5703125" customWidth="1"/>
    <col min="10497" max="10497" width="8.5703125" customWidth="1"/>
    <col min="10753" max="10753" width="8.5703125" customWidth="1"/>
    <col min="11009" max="11009" width="8.5703125" customWidth="1"/>
    <col min="11265" max="11265" width="8.5703125" customWidth="1"/>
    <col min="11521" max="11521" width="8.5703125" customWidth="1"/>
    <col min="11777" max="11777" width="8.5703125" customWidth="1"/>
    <col min="12033" max="12033" width="8.5703125" customWidth="1"/>
    <col min="12289" max="12289" width="8.5703125" customWidth="1"/>
    <col min="12545" max="12545" width="8.5703125" customWidth="1"/>
    <col min="12801" max="12801" width="8.5703125" customWidth="1"/>
    <col min="13057" max="13057" width="8.5703125" customWidth="1"/>
    <col min="13313" max="13313" width="8.5703125" customWidth="1"/>
    <col min="13569" max="13569" width="8.5703125" customWidth="1"/>
    <col min="13825" max="13825" width="8.5703125" customWidth="1"/>
    <col min="14081" max="14081" width="8.5703125" customWidth="1"/>
    <col min="14337" max="14337" width="8.5703125" customWidth="1"/>
    <col min="14593" max="14593" width="8.5703125" customWidth="1"/>
    <col min="14849" max="14849" width="8.5703125" customWidth="1"/>
    <col min="15105" max="15105" width="8.5703125" customWidth="1"/>
    <col min="15361" max="15361" width="8.5703125" customWidth="1"/>
    <col min="15617" max="15617" width="8.5703125" customWidth="1"/>
    <col min="15873" max="15873" width="8.5703125" customWidth="1"/>
    <col min="16129" max="16129" width="8.5703125" customWidth="1"/>
  </cols>
  <sheetData>
    <row r="1" spans="2:10">
      <c r="C1" t="s">
        <v>300</v>
      </c>
      <c r="D1" t="s">
        <v>301</v>
      </c>
    </row>
    <row r="2" spans="2:10">
      <c r="B2" s="42" t="s">
        <v>302</v>
      </c>
      <c r="C2">
        <v>1553</v>
      </c>
      <c r="D2">
        <v>1357</v>
      </c>
    </row>
    <row r="3" spans="2:10">
      <c r="B3" t="s">
        <v>303</v>
      </c>
      <c r="C3">
        <v>1331</v>
      </c>
      <c r="D3">
        <v>1353</v>
      </c>
    </row>
    <row r="4" spans="2:10">
      <c r="B4" t="s">
        <v>296</v>
      </c>
      <c r="C4">
        <v>945</v>
      </c>
      <c r="D4">
        <v>1002</v>
      </c>
    </row>
    <row r="5" spans="2:10">
      <c r="B5" t="s">
        <v>304</v>
      </c>
      <c r="C5">
        <v>207</v>
      </c>
      <c r="D5">
        <v>240</v>
      </c>
    </row>
    <row r="6" spans="2:10">
      <c r="B6" t="s">
        <v>299</v>
      </c>
      <c r="C6">
        <v>163</v>
      </c>
      <c r="D6">
        <v>141</v>
      </c>
      <c r="E6" s="45"/>
      <c r="F6" s="46"/>
      <c r="G6" s="46"/>
      <c r="H6" s="46"/>
      <c r="I6" s="46"/>
      <c r="J6" s="46"/>
    </row>
    <row r="7" spans="2:10">
      <c r="E7" s="45"/>
      <c r="F7" s="47"/>
      <c r="G7" s="47"/>
      <c r="H7" s="47"/>
      <c r="I7" s="47"/>
      <c r="J7" s="47"/>
    </row>
    <row r="8" spans="2:10">
      <c r="F8" s="46"/>
      <c r="G8" s="46"/>
      <c r="H8" s="46"/>
      <c r="I8" s="46"/>
      <c r="J8" s="46"/>
    </row>
  </sheetData>
  <printOptions horizontalCentered="1" verticalCentered="1"/>
  <pageMargins left="0" right="0" top="0" bottom="0"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dimension ref="A1:S134"/>
  <sheetViews>
    <sheetView topLeftCell="A76" workbookViewId="0">
      <selection activeCell="A110" sqref="A110"/>
    </sheetView>
  </sheetViews>
  <sheetFormatPr baseColWidth="10" defaultColWidth="9.140625" defaultRowHeight="12.75"/>
  <cols>
    <col min="1" max="1" width="36" style="434" customWidth="1"/>
    <col min="2" max="2" width="8.42578125" style="544" customWidth="1"/>
    <col min="3" max="3" width="8.140625" style="436" customWidth="1"/>
    <col min="4" max="4" width="2.5703125" style="434" customWidth="1"/>
    <col min="5" max="5" width="7.5703125" style="435" customWidth="1"/>
    <col min="6" max="6" width="7.7109375" style="436" customWidth="1"/>
    <col min="7" max="7" width="2.5703125" style="434" customWidth="1"/>
    <col min="8" max="8" width="8.28515625" style="435" customWidth="1"/>
    <col min="9" max="9" width="8.42578125" style="436" customWidth="1"/>
    <col min="10" max="10" width="2.5703125" style="436" customWidth="1"/>
    <col min="11" max="11" width="7.7109375" style="435" customWidth="1"/>
    <col min="12" max="12" width="7.5703125" style="436" customWidth="1"/>
    <col min="13" max="13" width="2.42578125" style="434" customWidth="1"/>
    <col min="14" max="14" width="7.85546875" style="435" customWidth="1"/>
    <col min="15" max="15" width="8.140625" style="434" customWidth="1"/>
    <col min="16" max="16" width="2.7109375" style="434" customWidth="1"/>
    <col min="17" max="18" width="7.7109375" style="434" customWidth="1"/>
    <col min="19" max="19" width="2.5703125" style="434" customWidth="1"/>
    <col min="20" max="256" width="9.140625" style="434"/>
    <col min="257" max="257" width="36" style="434" customWidth="1"/>
    <col min="258" max="258" width="8.42578125" style="434" customWidth="1"/>
    <col min="259" max="259" width="8.140625" style="434" customWidth="1"/>
    <col min="260" max="260" width="2.5703125" style="434" customWidth="1"/>
    <col min="261" max="261" width="7.5703125" style="434" customWidth="1"/>
    <col min="262" max="262" width="7.7109375" style="434" customWidth="1"/>
    <col min="263" max="263" width="2.5703125" style="434" customWidth="1"/>
    <col min="264" max="264" width="8.28515625" style="434" customWidth="1"/>
    <col min="265" max="265" width="8.42578125" style="434" customWidth="1"/>
    <col min="266" max="266" width="2.5703125" style="434" customWidth="1"/>
    <col min="267" max="267" width="7.7109375" style="434" customWidth="1"/>
    <col min="268" max="268" width="7.5703125" style="434" customWidth="1"/>
    <col min="269" max="269" width="2.42578125" style="434" customWidth="1"/>
    <col min="270" max="270" width="7.85546875" style="434" customWidth="1"/>
    <col min="271" max="271" width="8.140625" style="434" customWidth="1"/>
    <col min="272" max="272" width="2.7109375" style="434" customWidth="1"/>
    <col min="273" max="274" width="7.7109375" style="434" customWidth="1"/>
    <col min="275" max="275" width="2.5703125" style="434" customWidth="1"/>
    <col min="276" max="512" width="9.140625" style="434"/>
    <col min="513" max="513" width="36" style="434" customWidth="1"/>
    <col min="514" max="514" width="8.42578125" style="434" customWidth="1"/>
    <col min="515" max="515" width="8.140625" style="434" customWidth="1"/>
    <col min="516" max="516" width="2.5703125" style="434" customWidth="1"/>
    <col min="517" max="517" width="7.5703125" style="434" customWidth="1"/>
    <col min="518" max="518" width="7.7109375" style="434" customWidth="1"/>
    <col min="519" max="519" width="2.5703125" style="434" customWidth="1"/>
    <col min="520" max="520" width="8.28515625" style="434" customWidth="1"/>
    <col min="521" max="521" width="8.42578125" style="434" customWidth="1"/>
    <col min="522" max="522" width="2.5703125" style="434" customWidth="1"/>
    <col min="523" max="523" width="7.7109375" style="434" customWidth="1"/>
    <col min="524" max="524" width="7.5703125" style="434" customWidth="1"/>
    <col min="525" max="525" width="2.42578125" style="434" customWidth="1"/>
    <col min="526" max="526" width="7.85546875" style="434" customWidth="1"/>
    <col min="527" max="527" width="8.140625" style="434" customWidth="1"/>
    <col min="528" max="528" width="2.7109375" style="434" customWidth="1"/>
    <col min="529" max="530" width="7.7109375" style="434" customWidth="1"/>
    <col min="531" max="531" width="2.5703125" style="434" customWidth="1"/>
    <col min="532" max="768" width="9.140625" style="434"/>
    <col min="769" max="769" width="36" style="434" customWidth="1"/>
    <col min="770" max="770" width="8.42578125" style="434" customWidth="1"/>
    <col min="771" max="771" width="8.140625" style="434" customWidth="1"/>
    <col min="772" max="772" width="2.5703125" style="434" customWidth="1"/>
    <col min="773" max="773" width="7.5703125" style="434" customWidth="1"/>
    <col min="774" max="774" width="7.7109375" style="434" customWidth="1"/>
    <col min="775" max="775" width="2.5703125" style="434" customWidth="1"/>
    <col min="776" max="776" width="8.28515625" style="434" customWidth="1"/>
    <col min="777" max="777" width="8.42578125" style="434" customWidth="1"/>
    <col min="778" max="778" width="2.5703125" style="434" customWidth="1"/>
    <col min="779" max="779" width="7.7109375" style="434" customWidth="1"/>
    <col min="780" max="780" width="7.5703125" style="434" customWidth="1"/>
    <col min="781" max="781" width="2.42578125" style="434" customWidth="1"/>
    <col min="782" max="782" width="7.85546875" style="434" customWidth="1"/>
    <col min="783" max="783" width="8.140625" style="434" customWidth="1"/>
    <col min="784" max="784" width="2.7109375" style="434" customWidth="1"/>
    <col min="785" max="786" width="7.7109375" style="434" customWidth="1"/>
    <col min="787" max="787" width="2.5703125" style="434" customWidth="1"/>
    <col min="788" max="1024" width="9.140625" style="434"/>
    <col min="1025" max="1025" width="36" style="434" customWidth="1"/>
    <col min="1026" max="1026" width="8.42578125" style="434" customWidth="1"/>
    <col min="1027" max="1027" width="8.140625" style="434" customWidth="1"/>
    <col min="1028" max="1028" width="2.5703125" style="434" customWidth="1"/>
    <col min="1029" max="1029" width="7.5703125" style="434" customWidth="1"/>
    <col min="1030" max="1030" width="7.7109375" style="434" customWidth="1"/>
    <col min="1031" max="1031" width="2.5703125" style="434" customWidth="1"/>
    <col min="1032" max="1032" width="8.28515625" style="434" customWidth="1"/>
    <col min="1033" max="1033" width="8.42578125" style="434" customWidth="1"/>
    <col min="1034" max="1034" width="2.5703125" style="434" customWidth="1"/>
    <col min="1035" max="1035" width="7.7109375" style="434" customWidth="1"/>
    <col min="1036" max="1036" width="7.5703125" style="434" customWidth="1"/>
    <col min="1037" max="1037" width="2.42578125" style="434" customWidth="1"/>
    <col min="1038" max="1038" width="7.85546875" style="434" customWidth="1"/>
    <col min="1039" max="1039" width="8.140625" style="434" customWidth="1"/>
    <col min="1040" max="1040" width="2.7109375" style="434" customWidth="1"/>
    <col min="1041" max="1042" width="7.7109375" style="434" customWidth="1"/>
    <col min="1043" max="1043" width="2.5703125" style="434" customWidth="1"/>
    <col min="1044" max="1280" width="9.140625" style="434"/>
    <col min="1281" max="1281" width="36" style="434" customWidth="1"/>
    <col min="1282" max="1282" width="8.42578125" style="434" customWidth="1"/>
    <col min="1283" max="1283" width="8.140625" style="434" customWidth="1"/>
    <col min="1284" max="1284" width="2.5703125" style="434" customWidth="1"/>
    <col min="1285" max="1285" width="7.5703125" style="434" customWidth="1"/>
    <col min="1286" max="1286" width="7.7109375" style="434" customWidth="1"/>
    <col min="1287" max="1287" width="2.5703125" style="434" customWidth="1"/>
    <col min="1288" max="1288" width="8.28515625" style="434" customWidth="1"/>
    <col min="1289" max="1289" width="8.42578125" style="434" customWidth="1"/>
    <col min="1290" max="1290" width="2.5703125" style="434" customWidth="1"/>
    <col min="1291" max="1291" width="7.7109375" style="434" customWidth="1"/>
    <col min="1292" max="1292" width="7.5703125" style="434" customWidth="1"/>
    <col min="1293" max="1293" width="2.42578125" style="434" customWidth="1"/>
    <col min="1294" max="1294" width="7.85546875" style="434" customWidth="1"/>
    <col min="1295" max="1295" width="8.140625" style="434" customWidth="1"/>
    <col min="1296" max="1296" width="2.7109375" style="434" customWidth="1"/>
    <col min="1297" max="1298" width="7.7109375" style="434" customWidth="1"/>
    <col min="1299" max="1299" width="2.5703125" style="434" customWidth="1"/>
    <col min="1300" max="1536" width="9.140625" style="434"/>
    <col min="1537" max="1537" width="36" style="434" customWidth="1"/>
    <col min="1538" max="1538" width="8.42578125" style="434" customWidth="1"/>
    <col min="1539" max="1539" width="8.140625" style="434" customWidth="1"/>
    <col min="1540" max="1540" width="2.5703125" style="434" customWidth="1"/>
    <col min="1541" max="1541" width="7.5703125" style="434" customWidth="1"/>
    <col min="1542" max="1542" width="7.7109375" style="434" customWidth="1"/>
    <col min="1543" max="1543" width="2.5703125" style="434" customWidth="1"/>
    <col min="1544" max="1544" width="8.28515625" style="434" customWidth="1"/>
    <col min="1545" max="1545" width="8.42578125" style="434" customWidth="1"/>
    <col min="1546" max="1546" width="2.5703125" style="434" customWidth="1"/>
    <col min="1547" max="1547" width="7.7109375" style="434" customWidth="1"/>
    <col min="1548" max="1548" width="7.5703125" style="434" customWidth="1"/>
    <col min="1549" max="1549" width="2.42578125" style="434" customWidth="1"/>
    <col min="1550" max="1550" width="7.85546875" style="434" customWidth="1"/>
    <col min="1551" max="1551" width="8.140625" style="434" customWidth="1"/>
    <col min="1552" max="1552" width="2.7109375" style="434" customWidth="1"/>
    <col min="1553" max="1554" width="7.7109375" style="434" customWidth="1"/>
    <col min="1555" max="1555" width="2.5703125" style="434" customWidth="1"/>
    <col min="1556" max="1792" width="9.140625" style="434"/>
    <col min="1793" max="1793" width="36" style="434" customWidth="1"/>
    <col min="1794" max="1794" width="8.42578125" style="434" customWidth="1"/>
    <col min="1795" max="1795" width="8.140625" style="434" customWidth="1"/>
    <col min="1796" max="1796" width="2.5703125" style="434" customWidth="1"/>
    <col min="1797" max="1797" width="7.5703125" style="434" customWidth="1"/>
    <col min="1798" max="1798" width="7.7109375" style="434" customWidth="1"/>
    <col min="1799" max="1799" width="2.5703125" style="434" customWidth="1"/>
    <col min="1800" max="1800" width="8.28515625" style="434" customWidth="1"/>
    <col min="1801" max="1801" width="8.42578125" style="434" customWidth="1"/>
    <col min="1802" max="1802" width="2.5703125" style="434" customWidth="1"/>
    <col min="1803" max="1803" width="7.7109375" style="434" customWidth="1"/>
    <col min="1804" max="1804" width="7.5703125" style="434" customWidth="1"/>
    <col min="1805" max="1805" width="2.42578125" style="434" customWidth="1"/>
    <col min="1806" max="1806" width="7.85546875" style="434" customWidth="1"/>
    <col min="1807" max="1807" width="8.140625" style="434" customWidth="1"/>
    <col min="1808" max="1808" width="2.7109375" style="434" customWidth="1"/>
    <col min="1809" max="1810" width="7.7109375" style="434" customWidth="1"/>
    <col min="1811" max="1811" width="2.5703125" style="434" customWidth="1"/>
    <col min="1812" max="2048" width="9.140625" style="434"/>
    <col min="2049" max="2049" width="36" style="434" customWidth="1"/>
    <col min="2050" max="2050" width="8.42578125" style="434" customWidth="1"/>
    <col min="2051" max="2051" width="8.140625" style="434" customWidth="1"/>
    <col min="2052" max="2052" width="2.5703125" style="434" customWidth="1"/>
    <col min="2053" max="2053" width="7.5703125" style="434" customWidth="1"/>
    <col min="2054" max="2054" width="7.7109375" style="434" customWidth="1"/>
    <col min="2055" max="2055" width="2.5703125" style="434" customWidth="1"/>
    <col min="2056" max="2056" width="8.28515625" style="434" customWidth="1"/>
    <col min="2057" max="2057" width="8.42578125" style="434" customWidth="1"/>
    <col min="2058" max="2058" width="2.5703125" style="434" customWidth="1"/>
    <col min="2059" max="2059" width="7.7109375" style="434" customWidth="1"/>
    <col min="2060" max="2060" width="7.5703125" style="434" customWidth="1"/>
    <col min="2061" max="2061" width="2.42578125" style="434" customWidth="1"/>
    <col min="2062" max="2062" width="7.85546875" style="434" customWidth="1"/>
    <col min="2063" max="2063" width="8.140625" style="434" customWidth="1"/>
    <col min="2064" max="2064" width="2.7109375" style="434" customWidth="1"/>
    <col min="2065" max="2066" width="7.7109375" style="434" customWidth="1"/>
    <col min="2067" max="2067" width="2.5703125" style="434" customWidth="1"/>
    <col min="2068" max="2304" width="9.140625" style="434"/>
    <col min="2305" max="2305" width="36" style="434" customWidth="1"/>
    <col min="2306" max="2306" width="8.42578125" style="434" customWidth="1"/>
    <col min="2307" max="2307" width="8.140625" style="434" customWidth="1"/>
    <col min="2308" max="2308" width="2.5703125" style="434" customWidth="1"/>
    <col min="2309" max="2309" width="7.5703125" style="434" customWidth="1"/>
    <col min="2310" max="2310" width="7.7109375" style="434" customWidth="1"/>
    <col min="2311" max="2311" width="2.5703125" style="434" customWidth="1"/>
    <col min="2312" max="2312" width="8.28515625" style="434" customWidth="1"/>
    <col min="2313" max="2313" width="8.42578125" style="434" customWidth="1"/>
    <col min="2314" max="2314" width="2.5703125" style="434" customWidth="1"/>
    <col min="2315" max="2315" width="7.7109375" style="434" customWidth="1"/>
    <col min="2316" max="2316" width="7.5703125" style="434" customWidth="1"/>
    <col min="2317" max="2317" width="2.42578125" style="434" customWidth="1"/>
    <col min="2318" max="2318" width="7.85546875" style="434" customWidth="1"/>
    <col min="2319" max="2319" width="8.140625" style="434" customWidth="1"/>
    <col min="2320" max="2320" width="2.7109375" style="434" customWidth="1"/>
    <col min="2321" max="2322" width="7.7109375" style="434" customWidth="1"/>
    <col min="2323" max="2323" width="2.5703125" style="434" customWidth="1"/>
    <col min="2324" max="2560" width="9.140625" style="434"/>
    <col min="2561" max="2561" width="36" style="434" customWidth="1"/>
    <col min="2562" max="2562" width="8.42578125" style="434" customWidth="1"/>
    <col min="2563" max="2563" width="8.140625" style="434" customWidth="1"/>
    <col min="2564" max="2564" width="2.5703125" style="434" customWidth="1"/>
    <col min="2565" max="2565" width="7.5703125" style="434" customWidth="1"/>
    <col min="2566" max="2566" width="7.7109375" style="434" customWidth="1"/>
    <col min="2567" max="2567" width="2.5703125" style="434" customWidth="1"/>
    <col min="2568" max="2568" width="8.28515625" style="434" customWidth="1"/>
    <col min="2569" max="2569" width="8.42578125" style="434" customWidth="1"/>
    <col min="2570" max="2570" width="2.5703125" style="434" customWidth="1"/>
    <col min="2571" max="2571" width="7.7109375" style="434" customWidth="1"/>
    <col min="2572" max="2572" width="7.5703125" style="434" customWidth="1"/>
    <col min="2573" max="2573" width="2.42578125" style="434" customWidth="1"/>
    <col min="2574" max="2574" width="7.85546875" style="434" customWidth="1"/>
    <col min="2575" max="2575" width="8.140625" style="434" customWidth="1"/>
    <col min="2576" max="2576" width="2.7109375" style="434" customWidth="1"/>
    <col min="2577" max="2578" width="7.7109375" style="434" customWidth="1"/>
    <col min="2579" max="2579" width="2.5703125" style="434" customWidth="1"/>
    <col min="2580" max="2816" width="9.140625" style="434"/>
    <col min="2817" max="2817" width="36" style="434" customWidth="1"/>
    <col min="2818" max="2818" width="8.42578125" style="434" customWidth="1"/>
    <col min="2819" max="2819" width="8.140625" style="434" customWidth="1"/>
    <col min="2820" max="2820" width="2.5703125" style="434" customWidth="1"/>
    <col min="2821" max="2821" width="7.5703125" style="434" customWidth="1"/>
    <col min="2822" max="2822" width="7.7109375" style="434" customWidth="1"/>
    <col min="2823" max="2823" width="2.5703125" style="434" customWidth="1"/>
    <col min="2824" max="2824" width="8.28515625" style="434" customWidth="1"/>
    <col min="2825" max="2825" width="8.42578125" style="434" customWidth="1"/>
    <col min="2826" max="2826" width="2.5703125" style="434" customWidth="1"/>
    <col min="2827" max="2827" width="7.7109375" style="434" customWidth="1"/>
    <col min="2828" max="2828" width="7.5703125" style="434" customWidth="1"/>
    <col min="2829" max="2829" width="2.42578125" style="434" customWidth="1"/>
    <col min="2830" max="2830" width="7.85546875" style="434" customWidth="1"/>
    <col min="2831" max="2831" width="8.140625" style="434" customWidth="1"/>
    <col min="2832" max="2832" width="2.7109375" style="434" customWidth="1"/>
    <col min="2833" max="2834" width="7.7109375" style="434" customWidth="1"/>
    <col min="2835" max="2835" width="2.5703125" style="434" customWidth="1"/>
    <col min="2836" max="3072" width="9.140625" style="434"/>
    <col min="3073" max="3073" width="36" style="434" customWidth="1"/>
    <col min="3074" max="3074" width="8.42578125" style="434" customWidth="1"/>
    <col min="3075" max="3075" width="8.140625" style="434" customWidth="1"/>
    <col min="3076" max="3076" width="2.5703125" style="434" customWidth="1"/>
    <col min="3077" max="3077" width="7.5703125" style="434" customWidth="1"/>
    <col min="3078" max="3078" width="7.7109375" style="434" customWidth="1"/>
    <col min="3079" max="3079" width="2.5703125" style="434" customWidth="1"/>
    <col min="3080" max="3080" width="8.28515625" style="434" customWidth="1"/>
    <col min="3081" max="3081" width="8.42578125" style="434" customWidth="1"/>
    <col min="3082" max="3082" width="2.5703125" style="434" customWidth="1"/>
    <col min="3083" max="3083" width="7.7109375" style="434" customWidth="1"/>
    <col min="3084" max="3084" width="7.5703125" style="434" customWidth="1"/>
    <col min="3085" max="3085" width="2.42578125" style="434" customWidth="1"/>
    <col min="3086" max="3086" width="7.85546875" style="434" customWidth="1"/>
    <col min="3087" max="3087" width="8.140625" style="434" customWidth="1"/>
    <col min="3088" max="3088" width="2.7109375" style="434" customWidth="1"/>
    <col min="3089" max="3090" width="7.7109375" style="434" customWidth="1"/>
    <col min="3091" max="3091" width="2.5703125" style="434" customWidth="1"/>
    <col min="3092" max="3328" width="9.140625" style="434"/>
    <col min="3329" max="3329" width="36" style="434" customWidth="1"/>
    <col min="3330" max="3330" width="8.42578125" style="434" customWidth="1"/>
    <col min="3331" max="3331" width="8.140625" style="434" customWidth="1"/>
    <col min="3332" max="3332" width="2.5703125" style="434" customWidth="1"/>
    <col min="3333" max="3333" width="7.5703125" style="434" customWidth="1"/>
    <col min="3334" max="3334" width="7.7109375" style="434" customWidth="1"/>
    <col min="3335" max="3335" width="2.5703125" style="434" customWidth="1"/>
    <col min="3336" max="3336" width="8.28515625" style="434" customWidth="1"/>
    <col min="3337" max="3337" width="8.42578125" style="434" customWidth="1"/>
    <col min="3338" max="3338" width="2.5703125" style="434" customWidth="1"/>
    <col min="3339" max="3339" width="7.7109375" style="434" customWidth="1"/>
    <col min="3340" max="3340" width="7.5703125" style="434" customWidth="1"/>
    <col min="3341" max="3341" width="2.42578125" style="434" customWidth="1"/>
    <col min="3342" max="3342" width="7.85546875" style="434" customWidth="1"/>
    <col min="3343" max="3343" width="8.140625" style="434" customWidth="1"/>
    <col min="3344" max="3344" width="2.7109375" style="434" customWidth="1"/>
    <col min="3345" max="3346" width="7.7109375" style="434" customWidth="1"/>
    <col min="3347" max="3347" width="2.5703125" style="434" customWidth="1"/>
    <col min="3348" max="3584" width="9.140625" style="434"/>
    <col min="3585" max="3585" width="36" style="434" customWidth="1"/>
    <col min="3586" max="3586" width="8.42578125" style="434" customWidth="1"/>
    <col min="3587" max="3587" width="8.140625" style="434" customWidth="1"/>
    <col min="3588" max="3588" width="2.5703125" style="434" customWidth="1"/>
    <col min="3589" max="3589" width="7.5703125" style="434" customWidth="1"/>
    <col min="3590" max="3590" width="7.7109375" style="434" customWidth="1"/>
    <col min="3591" max="3591" width="2.5703125" style="434" customWidth="1"/>
    <col min="3592" max="3592" width="8.28515625" style="434" customWidth="1"/>
    <col min="3593" max="3593" width="8.42578125" style="434" customWidth="1"/>
    <col min="3594" max="3594" width="2.5703125" style="434" customWidth="1"/>
    <col min="3595" max="3595" width="7.7109375" style="434" customWidth="1"/>
    <col min="3596" max="3596" width="7.5703125" style="434" customWidth="1"/>
    <col min="3597" max="3597" width="2.42578125" style="434" customWidth="1"/>
    <col min="3598" max="3598" width="7.85546875" style="434" customWidth="1"/>
    <col min="3599" max="3599" width="8.140625" style="434" customWidth="1"/>
    <col min="3600" max="3600" width="2.7109375" style="434" customWidth="1"/>
    <col min="3601" max="3602" width="7.7109375" style="434" customWidth="1"/>
    <col min="3603" max="3603" width="2.5703125" style="434" customWidth="1"/>
    <col min="3604" max="3840" width="9.140625" style="434"/>
    <col min="3841" max="3841" width="36" style="434" customWidth="1"/>
    <col min="3842" max="3842" width="8.42578125" style="434" customWidth="1"/>
    <col min="3843" max="3843" width="8.140625" style="434" customWidth="1"/>
    <col min="3844" max="3844" width="2.5703125" style="434" customWidth="1"/>
    <col min="3845" max="3845" width="7.5703125" style="434" customWidth="1"/>
    <col min="3846" max="3846" width="7.7109375" style="434" customWidth="1"/>
    <col min="3847" max="3847" width="2.5703125" style="434" customWidth="1"/>
    <col min="3848" max="3848" width="8.28515625" style="434" customWidth="1"/>
    <col min="3849" max="3849" width="8.42578125" style="434" customWidth="1"/>
    <col min="3850" max="3850" width="2.5703125" style="434" customWidth="1"/>
    <col min="3851" max="3851" width="7.7109375" style="434" customWidth="1"/>
    <col min="3852" max="3852" width="7.5703125" style="434" customWidth="1"/>
    <col min="3853" max="3853" width="2.42578125" style="434" customWidth="1"/>
    <col min="3854" max="3854" width="7.85546875" style="434" customWidth="1"/>
    <col min="3855" max="3855" width="8.140625" style="434" customWidth="1"/>
    <col min="3856" max="3856" width="2.7109375" style="434" customWidth="1"/>
    <col min="3857" max="3858" width="7.7109375" style="434" customWidth="1"/>
    <col min="3859" max="3859" width="2.5703125" style="434" customWidth="1"/>
    <col min="3860" max="4096" width="9.140625" style="434"/>
    <col min="4097" max="4097" width="36" style="434" customWidth="1"/>
    <col min="4098" max="4098" width="8.42578125" style="434" customWidth="1"/>
    <col min="4099" max="4099" width="8.140625" style="434" customWidth="1"/>
    <col min="4100" max="4100" width="2.5703125" style="434" customWidth="1"/>
    <col min="4101" max="4101" width="7.5703125" style="434" customWidth="1"/>
    <col min="4102" max="4102" width="7.7109375" style="434" customWidth="1"/>
    <col min="4103" max="4103" width="2.5703125" style="434" customWidth="1"/>
    <col min="4104" max="4104" width="8.28515625" style="434" customWidth="1"/>
    <col min="4105" max="4105" width="8.42578125" style="434" customWidth="1"/>
    <col min="4106" max="4106" width="2.5703125" style="434" customWidth="1"/>
    <col min="4107" max="4107" width="7.7109375" style="434" customWidth="1"/>
    <col min="4108" max="4108" width="7.5703125" style="434" customWidth="1"/>
    <col min="4109" max="4109" width="2.42578125" style="434" customWidth="1"/>
    <col min="4110" max="4110" width="7.85546875" style="434" customWidth="1"/>
    <col min="4111" max="4111" width="8.140625" style="434" customWidth="1"/>
    <col min="4112" max="4112" width="2.7109375" style="434" customWidth="1"/>
    <col min="4113" max="4114" width="7.7109375" style="434" customWidth="1"/>
    <col min="4115" max="4115" width="2.5703125" style="434" customWidth="1"/>
    <col min="4116" max="4352" width="9.140625" style="434"/>
    <col min="4353" max="4353" width="36" style="434" customWidth="1"/>
    <col min="4354" max="4354" width="8.42578125" style="434" customWidth="1"/>
    <col min="4355" max="4355" width="8.140625" style="434" customWidth="1"/>
    <col min="4356" max="4356" width="2.5703125" style="434" customWidth="1"/>
    <col min="4357" max="4357" width="7.5703125" style="434" customWidth="1"/>
    <col min="4358" max="4358" width="7.7109375" style="434" customWidth="1"/>
    <col min="4359" max="4359" width="2.5703125" style="434" customWidth="1"/>
    <col min="4360" max="4360" width="8.28515625" style="434" customWidth="1"/>
    <col min="4361" max="4361" width="8.42578125" style="434" customWidth="1"/>
    <col min="4362" max="4362" width="2.5703125" style="434" customWidth="1"/>
    <col min="4363" max="4363" width="7.7109375" style="434" customWidth="1"/>
    <col min="4364" max="4364" width="7.5703125" style="434" customWidth="1"/>
    <col min="4365" max="4365" width="2.42578125" style="434" customWidth="1"/>
    <col min="4366" max="4366" width="7.85546875" style="434" customWidth="1"/>
    <col min="4367" max="4367" width="8.140625" style="434" customWidth="1"/>
    <col min="4368" max="4368" width="2.7109375" style="434" customWidth="1"/>
    <col min="4369" max="4370" width="7.7109375" style="434" customWidth="1"/>
    <col min="4371" max="4371" width="2.5703125" style="434" customWidth="1"/>
    <col min="4372" max="4608" width="9.140625" style="434"/>
    <col min="4609" max="4609" width="36" style="434" customWidth="1"/>
    <col min="4610" max="4610" width="8.42578125" style="434" customWidth="1"/>
    <col min="4611" max="4611" width="8.140625" style="434" customWidth="1"/>
    <col min="4612" max="4612" width="2.5703125" style="434" customWidth="1"/>
    <col min="4613" max="4613" width="7.5703125" style="434" customWidth="1"/>
    <col min="4614" max="4614" width="7.7109375" style="434" customWidth="1"/>
    <col min="4615" max="4615" width="2.5703125" style="434" customWidth="1"/>
    <col min="4616" max="4616" width="8.28515625" style="434" customWidth="1"/>
    <col min="4617" max="4617" width="8.42578125" style="434" customWidth="1"/>
    <col min="4618" max="4618" width="2.5703125" style="434" customWidth="1"/>
    <col min="4619" max="4619" width="7.7109375" style="434" customWidth="1"/>
    <col min="4620" max="4620" width="7.5703125" style="434" customWidth="1"/>
    <col min="4621" max="4621" width="2.42578125" style="434" customWidth="1"/>
    <col min="4622" max="4622" width="7.85546875" style="434" customWidth="1"/>
    <col min="4623" max="4623" width="8.140625" style="434" customWidth="1"/>
    <col min="4624" max="4624" width="2.7109375" style="434" customWidth="1"/>
    <col min="4625" max="4626" width="7.7109375" style="434" customWidth="1"/>
    <col min="4627" max="4627" width="2.5703125" style="434" customWidth="1"/>
    <col min="4628" max="4864" width="9.140625" style="434"/>
    <col min="4865" max="4865" width="36" style="434" customWidth="1"/>
    <col min="4866" max="4866" width="8.42578125" style="434" customWidth="1"/>
    <col min="4867" max="4867" width="8.140625" style="434" customWidth="1"/>
    <col min="4868" max="4868" width="2.5703125" style="434" customWidth="1"/>
    <col min="4869" max="4869" width="7.5703125" style="434" customWidth="1"/>
    <col min="4870" max="4870" width="7.7109375" style="434" customWidth="1"/>
    <col min="4871" max="4871" width="2.5703125" style="434" customWidth="1"/>
    <col min="4872" max="4872" width="8.28515625" style="434" customWidth="1"/>
    <col min="4873" max="4873" width="8.42578125" style="434" customWidth="1"/>
    <col min="4874" max="4874" width="2.5703125" style="434" customWidth="1"/>
    <col min="4875" max="4875" width="7.7109375" style="434" customWidth="1"/>
    <col min="4876" max="4876" width="7.5703125" style="434" customWidth="1"/>
    <col min="4877" max="4877" width="2.42578125" style="434" customWidth="1"/>
    <col min="4878" max="4878" width="7.85546875" style="434" customWidth="1"/>
    <col min="4879" max="4879" width="8.140625" style="434" customWidth="1"/>
    <col min="4880" max="4880" width="2.7109375" style="434" customWidth="1"/>
    <col min="4881" max="4882" width="7.7109375" style="434" customWidth="1"/>
    <col min="4883" max="4883" width="2.5703125" style="434" customWidth="1"/>
    <col min="4884" max="5120" width="9.140625" style="434"/>
    <col min="5121" max="5121" width="36" style="434" customWidth="1"/>
    <col min="5122" max="5122" width="8.42578125" style="434" customWidth="1"/>
    <col min="5123" max="5123" width="8.140625" style="434" customWidth="1"/>
    <col min="5124" max="5124" width="2.5703125" style="434" customWidth="1"/>
    <col min="5125" max="5125" width="7.5703125" style="434" customWidth="1"/>
    <col min="5126" max="5126" width="7.7109375" style="434" customWidth="1"/>
    <col min="5127" max="5127" width="2.5703125" style="434" customWidth="1"/>
    <col min="5128" max="5128" width="8.28515625" style="434" customWidth="1"/>
    <col min="5129" max="5129" width="8.42578125" style="434" customWidth="1"/>
    <col min="5130" max="5130" width="2.5703125" style="434" customWidth="1"/>
    <col min="5131" max="5131" width="7.7109375" style="434" customWidth="1"/>
    <col min="5132" max="5132" width="7.5703125" style="434" customWidth="1"/>
    <col min="5133" max="5133" width="2.42578125" style="434" customWidth="1"/>
    <col min="5134" max="5134" width="7.85546875" style="434" customWidth="1"/>
    <col min="5135" max="5135" width="8.140625" style="434" customWidth="1"/>
    <col min="5136" max="5136" width="2.7109375" style="434" customWidth="1"/>
    <col min="5137" max="5138" width="7.7109375" style="434" customWidth="1"/>
    <col min="5139" max="5139" width="2.5703125" style="434" customWidth="1"/>
    <col min="5140" max="5376" width="9.140625" style="434"/>
    <col min="5377" max="5377" width="36" style="434" customWidth="1"/>
    <col min="5378" max="5378" width="8.42578125" style="434" customWidth="1"/>
    <col min="5379" max="5379" width="8.140625" style="434" customWidth="1"/>
    <col min="5380" max="5380" width="2.5703125" style="434" customWidth="1"/>
    <col min="5381" max="5381" width="7.5703125" style="434" customWidth="1"/>
    <col min="5382" max="5382" width="7.7109375" style="434" customWidth="1"/>
    <col min="5383" max="5383" width="2.5703125" style="434" customWidth="1"/>
    <col min="5384" max="5384" width="8.28515625" style="434" customWidth="1"/>
    <col min="5385" max="5385" width="8.42578125" style="434" customWidth="1"/>
    <col min="5386" max="5386" width="2.5703125" style="434" customWidth="1"/>
    <col min="5387" max="5387" width="7.7109375" style="434" customWidth="1"/>
    <col min="5388" max="5388" width="7.5703125" style="434" customWidth="1"/>
    <col min="5389" max="5389" width="2.42578125" style="434" customWidth="1"/>
    <col min="5390" max="5390" width="7.85546875" style="434" customWidth="1"/>
    <col min="5391" max="5391" width="8.140625" style="434" customWidth="1"/>
    <col min="5392" max="5392" width="2.7109375" style="434" customWidth="1"/>
    <col min="5393" max="5394" width="7.7109375" style="434" customWidth="1"/>
    <col min="5395" max="5395" width="2.5703125" style="434" customWidth="1"/>
    <col min="5396" max="5632" width="9.140625" style="434"/>
    <col min="5633" max="5633" width="36" style="434" customWidth="1"/>
    <col min="5634" max="5634" width="8.42578125" style="434" customWidth="1"/>
    <col min="5635" max="5635" width="8.140625" style="434" customWidth="1"/>
    <col min="5636" max="5636" width="2.5703125" style="434" customWidth="1"/>
    <col min="5637" max="5637" width="7.5703125" style="434" customWidth="1"/>
    <col min="5638" max="5638" width="7.7109375" style="434" customWidth="1"/>
    <col min="5639" max="5639" width="2.5703125" style="434" customWidth="1"/>
    <col min="5640" max="5640" width="8.28515625" style="434" customWidth="1"/>
    <col min="5641" max="5641" width="8.42578125" style="434" customWidth="1"/>
    <col min="5642" max="5642" width="2.5703125" style="434" customWidth="1"/>
    <col min="5643" max="5643" width="7.7109375" style="434" customWidth="1"/>
    <col min="5644" max="5644" width="7.5703125" style="434" customWidth="1"/>
    <col min="5645" max="5645" width="2.42578125" style="434" customWidth="1"/>
    <col min="5646" max="5646" width="7.85546875" style="434" customWidth="1"/>
    <col min="5647" max="5647" width="8.140625" style="434" customWidth="1"/>
    <col min="5648" max="5648" width="2.7109375" style="434" customWidth="1"/>
    <col min="5649" max="5650" width="7.7109375" style="434" customWidth="1"/>
    <col min="5651" max="5651" width="2.5703125" style="434" customWidth="1"/>
    <col min="5652" max="5888" width="9.140625" style="434"/>
    <col min="5889" max="5889" width="36" style="434" customWidth="1"/>
    <col min="5890" max="5890" width="8.42578125" style="434" customWidth="1"/>
    <col min="5891" max="5891" width="8.140625" style="434" customWidth="1"/>
    <col min="5892" max="5892" width="2.5703125" style="434" customWidth="1"/>
    <col min="5893" max="5893" width="7.5703125" style="434" customWidth="1"/>
    <col min="5894" max="5894" width="7.7109375" style="434" customWidth="1"/>
    <col min="5895" max="5895" width="2.5703125" style="434" customWidth="1"/>
    <col min="5896" max="5896" width="8.28515625" style="434" customWidth="1"/>
    <col min="5897" max="5897" width="8.42578125" style="434" customWidth="1"/>
    <col min="5898" max="5898" width="2.5703125" style="434" customWidth="1"/>
    <col min="5899" max="5899" width="7.7109375" style="434" customWidth="1"/>
    <col min="5900" max="5900" width="7.5703125" style="434" customWidth="1"/>
    <col min="5901" max="5901" width="2.42578125" style="434" customWidth="1"/>
    <col min="5902" max="5902" width="7.85546875" style="434" customWidth="1"/>
    <col min="5903" max="5903" width="8.140625" style="434" customWidth="1"/>
    <col min="5904" max="5904" width="2.7109375" style="434" customWidth="1"/>
    <col min="5905" max="5906" width="7.7109375" style="434" customWidth="1"/>
    <col min="5907" max="5907" width="2.5703125" style="434" customWidth="1"/>
    <col min="5908" max="6144" width="9.140625" style="434"/>
    <col min="6145" max="6145" width="36" style="434" customWidth="1"/>
    <col min="6146" max="6146" width="8.42578125" style="434" customWidth="1"/>
    <col min="6147" max="6147" width="8.140625" style="434" customWidth="1"/>
    <col min="6148" max="6148" width="2.5703125" style="434" customWidth="1"/>
    <col min="6149" max="6149" width="7.5703125" style="434" customWidth="1"/>
    <col min="6150" max="6150" width="7.7109375" style="434" customWidth="1"/>
    <col min="6151" max="6151" width="2.5703125" style="434" customWidth="1"/>
    <col min="6152" max="6152" width="8.28515625" style="434" customWidth="1"/>
    <col min="6153" max="6153" width="8.42578125" style="434" customWidth="1"/>
    <col min="6154" max="6154" width="2.5703125" style="434" customWidth="1"/>
    <col min="6155" max="6155" width="7.7109375" style="434" customWidth="1"/>
    <col min="6156" max="6156" width="7.5703125" style="434" customWidth="1"/>
    <col min="6157" max="6157" width="2.42578125" style="434" customWidth="1"/>
    <col min="6158" max="6158" width="7.85546875" style="434" customWidth="1"/>
    <col min="6159" max="6159" width="8.140625" style="434" customWidth="1"/>
    <col min="6160" max="6160" width="2.7109375" style="434" customWidth="1"/>
    <col min="6161" max="6162" width="7.7109375" style="434" customWidth="1"/>
    <col min="6163" max="6163" width="2.5703125" style="434" customWidth="1"/>
    <col min="6164" max="6400" width="9.140625" style="434"/>
    <col min="6401" max="6401" width="36" style="434" customWidth="1"/>
    <col min="6402" max="6402" width="8.42578125" style="434" customWidth="1"/>
    <col min="6403" max="6403" width="8.140625" style="434" customWidth="1"/>
    <col min="6404" max="6404" width="2.5703125" style="434" customWidth="1"/>
    <col min="6405" max="6405" width="7.5703125" style="434" customWidth="1"/>
    <col min="6406" max="6406" width="7.7109375" style="434" customWidth="1"/>
    <col min="6407" max="6407" width="2.5703125" style="434" customWidth="1"/>
    <col min="6408" max="6408" width="8.28515625" style="434" customWidth="1"/>
    <col min="6409" max="6409" width="8.42578125" style="434" customWidth="1"/>
    <col min="6410" max="6410" width="2.5703125" style="434" customWidth="1"/>
    <col min="6411" max="6411" width="7.7109375" style="434" customWidth="1"/>
    <col min="6412" max="6412" width="7.5703125" style="434" customWidth="1"/>
    <col min="6413" max="6413" width="2.42578125" style="434" customWidth="1"/>
    <col min="6414" max="6414" width="7.85546875" style="434" customWidth="1"/>
    <col min="6415" max="6415" width="8.140625" style="434" customWidth="1"/>
    <col min="6416" max="6416" width="2.7109375" style="434" customWidth="1"/>
    <col min="6417" max="6418" width="7.7109375" style="434" customWidth="1"/>
    <col min="6419" max="6419" width="2.5703125" style="434" customWidth="1"/>
    <col min="6420" max="6656" width="9.140625" style="434"/>
    <col min="6657" max="6657" width="36" style="434" customWidth="1"/>
    <col min="6658" max="6658" width="8.42578125" style="434" customWidth="1"/>
    <col min="6659" max="6659" width="8.140625" style="434" customWidth="1"/>
    <col min="6660" max="6660" width="2.5703125" style="434" customWidth="1"/>
    <col min="6661" max="6661" width="7.5703125" style="434" customWidth="1"/>
    <col min="6662" max="6662" width="7.7109375" style="434" customWidth="1"/>
    <col min="6663" max="6663" width="2.5703125" style="434" customWidth="1"/>
    <col min="6664" max="6664" width="8.28515625" style="434" customWidth="1"/>
    <col min="6665" max="6665" width="8.42578125" style="434" customWidth="1"/>
    <col min="6666" max="6666" width="2.5703125" style="434" customWidth="1"/>
    <col min="6667" max="6667" width="7.7109375" style="434" customWidth="1"/>
    <col min="6668" max="6668" width="7.5703125" style="434" customWidth="1"/>
    <col min="6669" max="6669" width="2.42578125" style="434" customWidth="1"/>
    <col min="6670" max="6670" width="7.85546875" style="434" customWidth="1"/>
    <col min="6671" max="6671" width="8.140625" style="434" customWidth="1"/>
    <col min="6672" max="6672" width="2.7109375" style="434" customWidth="1"/>
    <col min="6673" max="6674" width="7.7109375" style="434" customWidth="1"/>
    <col min="6675" max="6675" width="2.5703125" style="434" customWidth="1"/>
    <col min="6676" max="6912" width="9.140625" style="434"/>
    <col min="6913" max="6913" width="36" style="434" customWidth="1"/>
    <col min="6914" max="6914" width="8.42578125" style="434" customWidth="1"/>
    <col min="6915" max="6915" width="8.140625" style="434" customWidth="1"/>
    <col min="6916" max="6916" width="2.5703125" style="434" customWidth="1"/>
    <col min="6917" max="6917" width="7.5703125" style="434" customWidth="1"/>
    <col min="6918" max="6918" width="7.7109375" style="434" customWidth="1"/>
    <col min="6919" max="6919" width="2.5703125" style="434" customWidth="1"/>
    <col min="6920" max="6920" width="8.28515625" style="434" customWidth="1"/>
    <col min="6921" max="6921" width="8.42578125" style="434" customWidth="1"/>
    <col min="6922" max="6922" width="2.5703125" style="434" customWidth="1"/>
    <col min="6923" max="6923" width="7.7109375" style="434" customWidth="1"/>
    <col min="6924" max="6924" width="7.5703125" style="434" customWidth="1"/>
    <col min="6925" max="6925" width="2.42578125" style="434" customWidth="1"/>
    <col min="6926" max="6926" width="7.85546875" style="434" customWidth="1"/>
    <col min="6927" max="6927" width="8.140625" style="434" customWidth="1"/>
    <col min="6928" max="6928" width="2.7109375" style="434" customWidth="1"/>
    <col min="6929" max="6930" width="7.7109375" style="434" customWidth="1"/>
    <col min="6931" max="6931" width="2.5703125" style="434" customWidth="1"/>
    <col min="6932" max="7168" width="9.140625" style="434"/>
    <col min="7169" max="7169" width="36" style="434" customWidth="1"/>
    <col min="7170" max="7170" width="8.42578125" style="434" customWidth="1"/>
    <col min="7171" max="7171" width="8.140625" style="434" customWidth="1"/>
    <col min="7172" max="7172" width="2.5703125" style="434" customWidth="1"/>
    <col min="7173" max="7173" width="7.5703125" style="434" customWidth="1"/>
    <col min="7174" max="7174" width="7.7109375" style="434" customWidth="1"/>
    <col min="7175" max="7175" width="2.5703125" style="434" customWidth="1"/>
    <col min="7176" max="7176" width="8.28515625" style="434" customWidth="1"/>
    <col min="7177" max="7177" width="8.42578125" style="434" customWidth="1"/>
    <col min="7178" max="7178" width="2.5703125" style="434" customWidth="1"/>
    <col min="7179" max="7179" width="7.7109375" style="434" customWidth="1"/>
    <col min="7180" max="7180" width="7.5703125" style="434" customWidth="1"/>
    <col min="7181" max="7181" width="2.42578125" style="434" customWidth="1"/>
    <col min="7182" max="7182" width="7.85546875" style="434" customWidth="1"/>
    <col min="7183" max="7183" width="8.140625" style="434" customWidth="1"/>
    <col min="7184" max="7184" width="2.7109375" style="434" customWidth="1"/>
    <col min="7185" max="7186" width="7.7109375" style="434" customWidth="1"/>
    <col min="7187" max="7187" width="2.5703125" style="434" customWidth="1"/>
    <col min="7188" max="7424" width="9.140625" style="434"/>
    <col min="7425" max="7425" width="36" style="434" customWidth="1"/>
    <col min="7426" max="7426" width="8.42578125" style="434" customWidth="1"/>
    <col min="7427" max="7427" width="8.140625" style="434" customWidth="1"/>
    <col min="7428" max="7428" width="2.5703125" style="434" customWidth="1"/>
    <col min="7429" max="7429" width="7.5703125" style="434" customWidth="1"/>
    <col min="7430" max="7430" width="7.7109375" style="434" customWidth="1"/>
    <col min="7431" max="7431" width="2.5703125" style="434" customWidth="1"/>
    <col min="7432" max="7432" width="8.28515625" style="434" customWidth="1"/>
    <col min="7433" max="7433" width="8.42578125" style="434" customWidth="1"/>
    <col min="7434" max="7434" width="2.5703125" style="434" customWidth="1"/>
    <col min="7435" max="7435" width="7.7109375" style="434" customWidth="1"/>
    <col min="7436" max="7436" width="7.5703125" style="434" customWidth="1"/>
    <col min="7437" max="7437" width="2.42578125" style="434" customWidth="1"/>
    <col min="7438" max="7438" width="7.85546875" style="434" customWidth="1"/>
    <col min="7439" max="7439" width="8.140625" style="434" customWidth="1"/>
    <col min="7440" max="7440" width="2.7109375" style="434" customWidth="1"/>
    <col min="7441" max="7442" width="7.7109375" style="434" customWidth="1"/>
    <col min="7443" max="7443" width="2.5703125" style="434" customWidth="1"/>
    <col min="7444" max="7680" width="9.140625" style="434"/>
    <col min="7681" max="7681" width="36" style="434" customWidth="1"/>
    <col min="7682" max="7682" width="8.42578125" style="434" customWidth="1"/>
    <col min="7683" max="7683" width="8.140625" style="434" customWidth="1"/>
    <col min="7684" max="7684" width="2.5703125" style="434" customWidth="1"/>
    <col min="7685" max="7685" width="7.5703125" style="434" customWidth="1"/>
    <col min="7686" max="7686" width="7.7109375" style="434" customWidth="1"/>
    <col min="7687" max="7687" width="2.5703125" style="434" customWidth="1"/>
    <col min="7688" max="7688" width="8.28515625" style="434" customWidth="1"/>
    <col min="7689" max="7689" width="8.42578125" style="434" customWidth="1"/>
    <col min="7690" max="7690" width="2.5703125" style="434" customWidth="1"/>
    <col min="7691" max="7691" width="7.7109375" style="434" customWidth="1"/>
    <col min="7692" max="7692" width="7.5703125" style="434" customWidth="1"/>
    <col min="7693" max="7693" width="2.42578125" style="434" customWidth="1"/>
    <col min="7694" max="7694" width="7.85546875" style="434" customWidth="1"/>
    <col min="7695" max="7695" width="8.140625" style="434" customWidth="1"/>
    <col min="7696" max="7696" width="2.7109375" style="434" customWidth="1"/>
    <col min="7697" max="7698" width="7.7109375" style="434" customWidth="1"/>
    <col min="7699" max="7699" width="2.5703125" style="434" customWidth="1"/>
    <col min="7700" max="7936" width="9.140625" style="434"/>
    <col min="7937" max="7937" width="36" style="434" customWidth="1"/>
    <col min="7938" max="7938" width="8.42578125" style="434" customWidth="1"/>
    <col min="7939" max="7939" width="8.140625" style="434" customWidth="1"/>
    <col min="7940" max="7940" width="2.5703125" style="434" customWidth="1"/>
    <col min="7941" max="7941" width="7.5703125" style="434" customWidth="1"/>
    <col min="7942" max="7942" width="7.7109375" style="434" customWidth="1"/>
    <col min="7943" max="7943" width="2.5703125" style="434" customWidth="1"/>
    <col min="7944" max="7944" width="8.28515625" style="434" customWidth="1"/>
    <col min="7945" max="7945" width="8.42578125" style="434" customWidth="1"/>
    <col min="7946" max="7946" width="2.5703125" style="434" customWidth="1"/>
    <col min="7947" max="7947" width="7.7109375" style="434" customWidth="1"/>
    <col min="7948" max="7948" width="7.5703125" style="434" customWidth="1"/>
    <col min="7949" max="7949" width="2.42578125" style="434" customWidth="1"/>
    <col min="7950" max="7950" width="7.85546875" style="434" customWidth="1"/>
    <col min="7951" max="7951" width="8.140625" style="434" customWidth="1"/>
    <col min="7952" max="7952" width="2.7109375" style="434" customWidth="1"/>
    <col min="7953" max="7954" width="7.7109375" style="434" customWidth="1"/>
    <col min="7955" max="7955" width="2.5703125" style="434" customWidth="1"/>
    <col min="7956" max="8192" width="9.140625" style="434"/>
    <col min="8193" max="8193" width="36" style="434" customWidth="1"/>
    <col min="8194" max="8194" width="8.42578125" style="434" customWidth="1"/>
    <col min="8195" max="8195" width="8.140625" style="434" customWidth="1"/>
    <col min="8196" max="8196" width="2.5703125" style="434" customWidth="1"/>
    <col min="8197" max="8197" width="7.5703125" style="434" customWidth="1"/>
    <col min="8198" max="8198" width="7.7109375" style="434" customWidth="1"/>
    <col min="8199" max="8199" width="2.5703125" style="434" customWidth="1"/>
    <col min="8200" max="8200" width="8.28515625" style="434" customWidth="1"/>
    <col min="8201" max="8201" width="8.42578125" style="434" customWidth="1"/>
    <col min="8202" max="8202" width="2.5703125" style="434" customWidth="1"/>
    <col min="8203" max="8203" width="7.7109375" style="434" customWidth="1"/>
    <col min="8204" max="8204" width="7.5703125" style="434" customWidth="1"/>
    <col min="8205" max="8205" width="2.42578125" style="434" customWidth="1"/>
    <col min="8206" max="8206" width="7.85546875" style="434" customWidth="1"/>
    <col min="8207" max="8207" width="8.140625" style="434" customWidth="1"/>
    <col min="8208" max="8208" width="2.7109375" style="434" customWidth="1"/>
    <col min="8209" max="8210" width="7.7109375" style="434" customWidth="1"/>
    <col min="8211" max="8211" width="2.5703125" style="434" customWidth="1"/>
    <col min="8212" max="8448" width="9.140625" style="434"/>
    <col min="8449" max="8449" width="36" style="434" customWidth="1"/>
    <col min="8450" max="8450" width="8.42578125" style="434" customWidth="1"/>
    <col min="8451" max="8451" width="8.140625" style="434" customWidth="1"/>
    <col min="8452" max="8452" width="2.5703125" style="434" customWidth="1"/>
    <col min="8453" max="8453" width="7.5703125" style="434" customWidth="1"/>
    <col min="8454" max="8454" width="7.7109375" style="434" customWidth="1"/>
    <col min="8455" max="8455" width="2.5703125" style="434" customWidth="1"/>
    <col min="8456" max="8456" width="8.28515625" style="434" customWidth="1"/>
    <col min="8457" max="8457" width="8.42578125" style="434" customWidth="1"/>
    <col min="8458" max="8458" width="2.5703125" style="434" customWidth="1"/>
    <col min="8459" max="8459" width="7.7109375" style="434" customWidth="1"/>
    <col min="8460" max="8460" width="7.5703125" style="434" customWidth="1"/>
    <col min="8461" max="8461" width="2.42578125" style="434" customWidth="1"/>
    <col min="8462" max="8462" width="7.85546875" style="434" customWidth="1"/>
    <col min="8463" max="8463" width="8.140625" style="434" customWidth="1"/>
    <col min="8464" max="8464" width="2.7109375" style="434" customWidth="1"/>
    <col min="8465" max="8466" width="7.7109375" style="434" customWidth="1"/>
    <col min="8467" max="8467" width="2.5703125" style="434" customWidth="1"/>
    <col min="8468" max="8704" width="9.140625" style="434"/>
    <col min="8705" max="8705" width="36" style="434" customWidth="1"/>
    <col min="8706" max="8706" width="8.42578125" style="434" customWidth="1"/>
    <col min="8707" max="8707" width="8.140625" style="434" customWidth="1"/>
    <col min="8708" max="8708" width="2.5703125" style="434" customWidth="1"/>
    <col min="8709" max="8709" width="7.5703125" style="434" customWidth="1"/>
    <col min="8710" max="8710" width="7.7109375" style="434" customWidth="1"/>
    <col min="8711" max="8711" width="2.5703125" style="434" customWidth="1"/>
    <col min="8712" max="8712" width="8.28515625" style="434" customWidth="1"/>
    <col min="8713" max="8713" width="8.42578125" style="434" customWidth="1"/>
    <col min="8714" max="8714" width="2.5703125" style="434" customWidth="1"/>
    <col min="8715" max="8715" width="7.7109375" style="434" customWidth="1"/>
    <col min="8716" max="8716" width="7.5703125" style="434" customWidth="1"/>
    <col min="8717" max="8717" width="2.42578125" style="434" customWidth="1"/>
    <col min="8718" max="8718" width="7.85546875" style="434" customWidth="1"/>
    <col min="8719" max="8719" width="8.140625" style="434" customWidth="1"/>
    <col min="8720" max="8720" width="2.7109375" style="434" customWidth="1"/>
    <col min="8721" max="8722" width="7.7109375" style="434" customWidth="1"/>
    <col min="8723" max="8723" width="2.5703125" style="434" customWidth="1"/>
    <col min="8724" max="8960" width="9.140625" style="434"/>
    <col min="8961" max="8961" width="36" style="434" customWidth="1"/>
    <col min="8962" max="8962" width="8.42578125" style="434" customWidth="1"/>
    <col min="8963" max="8963" width="8.140625" style="434" customWidth="1"/>
    <col min="8964" max="8964" width="2.5703125" style="434" customWidth="1"/>
    <col min="8965" max="8965" width="7.5703125" style="434" customWidth="1"/>
    <col min="8966" max="8966" width="7.7109375" style="434" customWidth="1"/>
    <col min="8967" max="8967" width="2.5703125" style="434" customWidth="1"/>
    <col min="8968" max="8968" width="8.28515625" style="434" customWidth="1"/>
    <col min="8969" max="8969" width="8.42578125" style="434" customWidth="1"/>
    <col min="8970" max="8970" width="2.5703125" style="434" customWidth="1"/>
    <col min="8971" max="8971" width="7.7109375" style="434" customWidth="1"/>
    <col min="8972" max="8972" width="7.5703125" style="434" customWidth="1"/>
    <col min="8973" max="8973" width="2.42578125" style="434" customWidth="1"/>
    <col min="8974" max="8974" width="7.85546875" style="434" customWidth="1"/>
    <col min="8975" max="8975" width="8.140625" style="434" customWidth="1"/>
    <col min="8976" max="8976" width="2.7109375" style="434" customWidth="1"/>
    <col min="8977" max="8978" width="7.7109375" style="434" customWidth="1"/>
    <col min="8979" max="8979" width="2.5703125" style="434" customWidth="1"/>
    <col min="8980" max="9216" width="9.140625" style="434"/>
    <col min="9217" max="9217" width="36" style="434" customWidth="1"/>
    <col min="9218" max="9218" width="8.42578125" style="434" customWidth="1"/>
    <col min="9219" max="9219" width="8.140625" style="434" customWidth="1"/>
    <col min="9220" max="9220" width="2.5703125" style="434" customWidth="1"/>
    <col min="9221" max="9221" width="7.5703125" style="434" customWidth="1"/>
    <col min="9222" max="9222" width="7.7109375" style="434" customWidth="1"/>
    <col min="9223" max="9223" width="2.5703125" style="434" customWidth="1"/>
    <col min="9224" max="9224" width="8.28515625" style="434" customWidth="1"/>
    <col min="9225" max="9225" width="8.42578125" style="434" customWidth="1"/>
    <col min="9226" max="9226" width="2.5703125" style="434" customWidth="1"/>
    <col min="9227" max="9227" width="7.7109375" style="434" customWidth="1"/>
    <col min="9228" max="9228" width="7.5703125" style="434" customWidth="1"/>
    <col min="9229" max="9229" width="2.42578125" style="434" customWidth="1"/>
    <col min="9230" max="9230" width="7.85546875" style="434" customWidth="1"/>
    <col min="9231" max="9231" width="8.140625" style="434" customWidth="1"/>
    <col min="9232" max="9232" width="2.7109375" style="434" customWidth="1"/>
    <col min="9233" max="9234" width="7.7109375" style="434" customWidth="1"/>
    <col min="9235" max="9235" width="2.5703125" style="434" customWidth="1"/>
    <col min="9236" max="9472" width="9.140625" style="434"/>
    <col min="9473" max="9473" width="36" style="434" customWidth="1"/>
    <col min="9474" max="9474" width="8.42578125" style="434" customWidth="1"/>
    <col min="9475" max="9475" width="8.140625" style="434" customWidth="1"/>
    <col min="9476" max="9476" width="2.5703125" style="434" customWidth="1"/>
    <col min="9477" max="9477" width="7.5703125" style="434" customWidth="1"/>
    <col min="9478" max="9478" width="7.7109375" style="434" customWidth="1"/>
    <col min="9479" max="9479" width="2.5703125" style="434" customWidth="1"/>
    <col min="9480" max="9480" width="8.28515625" style="434" customWidth="1"/>
    <col min="9481" max="9481" width="8.42578125" style="434" customWidth="1"/>
    <col min="9482" max="9482" width="2.5703125" style="434" customWidth="1"/>
    <col min="9483" max="9483" width="7.7109375" style="434" customWidth="1"/>
    <col min="9484" max="9484" width="7.5703125" style="434" customWidth="1"/>
    <col min="9485" max="9485" width="2.42578125" style="434" customWidth="1"/>
    <col min="9486" max="9486" width="7.85546875" style="434" customWidth="1"/>
    <col min="9487" max="9487" width="8.140625" style="434" customWidth="1"/>
    <col min="9488" max="9488" width="2.7109375" style="434" customWidth="1"/>
    <col min="9489" max="9490" width="7.7109375" style="434" customWidth="1"/>
    <col min="9491" max="9491" width="2.5703125" style="434" customWidth="1"/>
    <col min="9492" max="9728" width="9.140625" style="434"/>
    <col min="9729" max="9729" width="36" style="434" customWidth="1"/>
    <col min="9730" max="9730" width="8.42578125" style="434" customWidth="1"/>
    <col min="9731" max="9731" width="8.140625" style="434" customWidth="1"/>
    <col min="9732" max="9732" width="2.5703125" style="434" customWidth="1"/>
    <col min="9733" max="9733" width="7.5703125" style="434" customWidth="1"/>
    <col min="9734" max="9734" width="7.7109375" style="434" customWidth="1"/>
    <col min="9735" max="9735" width="2.5703125" style="434" customWidth="1"/>
    <col min="9736" max="9736" width="8.28515625" style="434" customWidth="1"/>
    <col min="9737" max="9737" width="8.42578125" style="434" customWidth="1"/>
    <col min="9738" max="9738" width="2.5703125" style="434" customWidth="1"/>
    <col min="9739" max="9739" width="7.7109375" style="434" customWidth="1"/>
    <col min="9740" max="9740" width="7.5703125" style="434" customWidth="1"/>
    <col min="9741" max="9741" width="2.42578125" style="434" customWidth="1"/>
    <col min="9742" max="9742" width="7.85546875" style="434" customWidth="1"/>
    <col min="9743" max="9743" width="8.140625" style="434" customWidth="1"/>
    <col min="9744" max="9744" width="2.7109375" style="434" customWidth="1"/>
    <col min="9745" max="9746" width="7.7109375" style="434" customWidth="1"/>
    <col min="9747" max="9747" width="2.5703125" style="434" customWidth="1"/>
    <col min="9748" max="9984" width="9.140625" style="434"/>
    <col min="9985" max="9985" width="36" style="434" customWidth="1"/>
    <col min="9986" max="9986" width="8.42578125" style="434" customWidth="1"/>
    <col min="9987" max="9987" width="8.140625" style="434" customWidth="1"/>
    <col min="9988" max="9988" width="2.5703125" style="434" customWidth="1"/>
    <col min="9989" max="9989" width="7.5703125" style="434" customWidth="1"/>
    <col min="9990" max="9990" width="7.7109375" style="434" customWidth="1"/>
    <col min="9991" max="9991" width="2.5703125" style="434" customWidth="1"/>
    <col min="9992" max="9992" width="8.28515625" style="434" customWidth="1"/>
    <col min="9993" max="9993" width="8.42578125" style="434" customWidth="1"/>
    <col min="9994" max="9994" width="2.5703125" style="434" customWidth="1"/>
    <col min="9995" max="9995" width="7.7109375" style="434" customWidth="1"/>
    <col min="9996" max="9996" width="7.5703125" style="434" customWidth="1"/>
    <col min="9997" max="9997" width="2.42578125" style="434" customWidth="1"/>
    <col min="9998" max="9998" width="7.85546875" style="434" customWidth="1"/>
    <col min="9999" max="9999" width="8.140625" style="434" customWidth="1"/>
    <col min="10000" max="10000" width="2.7109375" style="434" customWidth="1"/>
    <col min="10001" max="10002" width="7.7109375" style="434" customWidth="1"/>
    <col min="10003" max="10003" width="2.5703125" style="434" customWidth="1"/>
    <col min="10004" max="10240" width="9.140625" style="434"/>
    <col min="10241" max="10241" width="36" style="434" customWidth="1"/>
    <col min="10242" max="10242" width="8.42578125" style="434" customWidth="1"/>
    <col min="10243" max="10243" width="8.140625" style="434" customWidth="1"/>
    <col min="10244" max="10244" width="2.5703125" style="434" customWidth="1"/>
    <col min="10245" max="10245" width="7.5703125" style="434" customWidth="1"/>
    <col min="10246" max="10246" width="7.7109375" style="434" customWidth="1"/>
    <col min="10247" max="10247" width="2.5703125" style="434" customWidth="1"/>
    <col min="10248" max="10248" width="8.28515625" style="434" customWidth="1"/>
    <col min="10249" max="10249" width="8.42578125" style="434" customWidth="1"/>
    <col min="10250" max="10250" width="2.5703125" style="434" customWidth="1"/>
    <col min="10251" max="10251" width="7.7109375" style="434" customWidth="1"/>
    <col min="10252" max="10252" width="7.5703125" style="434" customWidth="1"/>
    <col min="10253" max="10253" width="2.42578125" style="434" customWidth="1"/>
    <col min="10254" max="10254" width="7.85546875" style="434" customWidth="1"/>
    <col min="10255" max="10255" width="8.140625" style="434" customWidth="1"/>
    <col min="10256" max="10256" width="2.7109375" style="434" customWidth="1"/>
    <col min="10257" max="10258" width="7.7109375" style="434" customWidth="1"/>
    <col min="10259" max="10259" width="2.5703125" style="434" customWidth="1"/>
    <col min="10260" max="10496" width="9.140625" style="434"/>
    <col min="10497" max="10497" width="36" style="434" customWidth="1"/>
    <col min="10498" max="10498" width="8.42578125" style="434" customWidth="1"/>
    <col min="10499" max="10499" width="8.140625" style="434" customWidth="1"/>
    <col min="10500" max="10500" width="2.5703125" style="434" customWidth="1"/>
    <col min="10501" max="10501" width="7.5703125" style="434" customWidth="1"/>
    <col min="10502" max="10502" width="7.7109375" style="434" customWidth="1"/>
    <col min="10503" max="10503" width="2.5703125" style="434" customWidth="1"/>
    <col min="10504" max="10504" width="8.28515625" style="434" customWidth="1"/>
    <col min="10505" max="10505" width="8.42578125" style="434" customWidth="1"/>
    <col min="10506" max="10506" width="2.5703125" style="434" customWidth="1"/>
    <col min="10507" max="10507" width="7.7109375" style="434" customWidth="1"/>
    <col min="10508" max="10508" width="7.5703125" style="434" customWidth="1"/>
    <col min="10509" max="10509" width="2.42578125" style="434" customWidth="1"/>
    <col min="10510" max="10510" width="7.85546875" style="434" customWidth="1"/>
    <col min="10511" max="10511" width="8.140625" style="434" customWidth="1"/>
    <col min="10512" max="10512" width="2.7109375" style="434" customWidth="1"/>
    <col min="10513" max="10514" width="7.7109375" style="434" customWidth="1"/>
    <col min="10515" max="10515" width="2.5703125" style="434" customWidth="1"/>
    <col min="10516" max="10752" width="9.140625" style="434"/>
    <col min="10753" max="10753" width="36" style="434" customWidth="1"/>
    <col min="10754" max="10754" width="8.42578125" style="434" customWidth="1"/>
    <col min="10755" max="10755" width="8.140625" style="434" customWidth="1"/>
    <col min="10756" max="10756" width="2.5703125" style="434" customWidth="1"/>
    <col min="10757" max="10757" width="7.5703125" style="434" customWidth="1"/>
    <col min="10758" max="10758" width="7.7109375" style="434" customWidth="1"/>
    <col min="10759" max="10759" width="2.5703125" style="434" customWidth="1"/>
    <col min="10760" max="10760" width="8.28515625" style="434" customWidth="1"/>
    <col min="10761" max="10761" width="8.42578125" style="434" customWidth="1"/>
    <col min="10762" max="10762" width="2.5703125" style="434" customWidth="1"/>
    <col min="10763" max="10763" width="7.7109375" style="434" customWidth="1"/>
    <col min="10764" max="10764" width="7.5703125" style="434" customWidth="1"/>
    <col min="10765" max="10765" width="2.42578125" style="434" customWidth="1"/>
    <col min="10766" max="10766" width="7.85546875" style="434" customWidth="1"/>
    <col min="10767" max="10767" width="8.140625" style="434" customWidth="1"/>
    <col min="10768" max="10768" width="2.7109375" style="434" customWidth="1"/>
    <col min="10769" max="10770" width="7.7109375" style="434" customWidth="1"/>
    <col min="10771" max="10771" width="2.5703125" style="434" customWidth="1"/>
    <col min="10772" max="11008" width="9.140625" style="434"/>
    <col min="11009" max="11009" width="36" style="434" customWidth="1"/>
    <col min="11010" max="11010" width="8.42578125" style="434" customWidth="1"/>
    <col min="11011" max="11011" width="8.140625" style="434" customWidth="1"/>
    <col min="11012" max="11012" width="2.5703125" style="434" customWidth="1"/>
    <col min="11013" max="11013" width="7.5703125" style="434" customWidth="1"/>
    <col min="11014" max="11014" width="7.7109375" style="434" customWidth="1"/>
    <col min="11015" max="11015" width="2.5703125" style="434" customWidth="1"/>
    <col min="11016" max="11016" width="8.28515625" style="434" customWidth="1"/>
    <col min="11017" max="11017" width="8.42578125" style="434" customWidth="1"/>
    <col min="11018" max="11018" width="2.5703125" style="434" customWidth="1"/>
    <col min="11019" max="11019" width="7.7109375" style="434" customWidth="1"/>
    <col min="11020" max="11020" width="7.5703125" style="434" customWidth="1"/>
    <col min="11021" max="11021" width="2.42578125" style="434" customWidth="1"/>
    <col min="11022" max="11022" width="7.85546875" style="434" customWidth="1"/>
    <col min="11023" max="11023" width="8.140625" style="434" customWidth="1"/>
    <col min="11024" max="11024" width="2.7109375" style="434" customWidth="1"/>
    <col min="11025" max="11026" width="7.7109375" style="434" customWidth="1"/>
    <col min="11027" max="11027" width="2.5703125" style="434" customWidth="1"/>
    <col min="11028" max="11264" width="9.140625" style="434"/>
    <col min="11265" max="11265" width="36" style="434" customWidth="1"/>
    <col min="11266" max="11266" width="8.42578125" style="434" customWidth="1"/>
    <col min="11267" max="11267" width="8.140625" style="434" customWidth="1"/>
    <col min="11268" max="11268" width="2.5703125" style="434" customWidth="1"/>
    <col min="11269" max="11269" width="7.5703125" style="434" customWidth="1"/>
    <col min="11270" max="11270" width="7.7109375" style="434" customWidth="1"/>
    <col min="11271" max="11271" width="2.5703125" style="434" customWidth="1"/>
    <col min="11272" max="11272" width="8.28515625" style="434" customWidth="1"/>
    <col min="11273" max="11273" width="8.42578125" style="434" customWidth="1"/>
    <col min="11274" max="11274" width="2.5703125" style="434" customWidth="1"/>
    <col min="11275" max="11275" width="7.7109375" style="434" customWidth="1"/>
    <col min="11276" max="11276" width="7.5703125" style="434" customWidth="1"/>
    <col min="11277" max="11277" width="2.42578125" style="434" customWidth="1"/>
    <col min="11278" max="11278" width="7.85546875" style="434" customWidth="1"/>
    <col min="11279" max="11279" width="8.140625" style="434" customWidth="1"/>
    <col min="11280" max="11280" width="2.7109375" style="434" customWidth="1"/>
    <col min="11281" max="11282" width="7.7109375" style="434" customWidth="1"/>
    <col min="11283" max="11283" width="2.5703125" style="434" customWidth="1"/>
    <col min="11284" max="11520" width="9.140625" style="434"/>
    <col min="11521" max="11521" width="36" style="434" customWidth="1"/>
    <col min="11522" max="11522" width="8.42578125" style="434" customWidth="1"/>
    <col min="11523" max="11523" width="8.140625" style="434" customWidth="1"/>
    <col min="11524" max="11524" width="2.5703125" style="434" customWidth="1"/>
    <col min="11525" max="11525" width="7.5703125" style="434" customWidth="1"/>
    <col min="11526" max="11526" width="7.7109375" style="434" customWidth="1"/>
    <col min="11527" max="11527" width="2.5703125" style="434" customWidth="1"/>
    <col min="11528" max="11528" width="8.28515625" style="434" customWidth="1"/>
    <col min="11529" max="11529" width="8.42578125" style="434" customWidth="1"/>
    <col min="11530" max="11530" width="2.5703125" style="434" customWidth="1"/>
    <col min="11531" max="11531" width="7.7109375" style="434" customWidth="1"/>
    <col min="11532" max="11532" width="7.5703125" style="434" customWidth="1"/>
    <col min="11533" max="11533" width="2.42578125" style="434" customWidth="1"/>
    <col min="11534" max="11534" width="7.85546875" style="434" customWidth="1"/>
    <col min="11535" max="11535" width="8.140625" style="434" customWidth="1"/>
    <col min="11536" max="11536" width="2.7109375" style="434" customWidth="1"/>
    <col min="11537" max="11538" width="7.7109375" style="434" customWidth="1"/>
    <col min="11539" max="11539" width="2.5703125" style="434" customWidth="1"/>
    <col min="11540" max="11776" width="9.140625" style="434"/>
    <col min="11777" max="11777" width="36" style="434" customWidth="1"/>
    <col min="11778" max="11778" width="8.42578125" style="434" customWidth="1"/>
    <col min="11779" max="11779" width="8.140625" style="434" customWidth="1"/>
    <col min="11780" max="11780" width="2.5703125" style="434" customWidth="1"/>
    <col min="11781" max="11781" width="7.5703125" style="434" customWidth="1"/>
    <col min="11782" max="11782" width="7.7109375" style="434" customWidth="1"/>
    <col min="11783" max="11783" width="2.5703125" style="434" customWidth="1"/>
    <col min="11784" max="11784" width="8.28515625" style="434" customWidth="1"/>
    <col min="11785" max="11785" width="8.42578125" style="434" customWidth="1"/>
    <col min="11786" max="11786" width="2.5703125" style="434" customWidth="1"/>
    <col min="11787" max="11787" width="7.7109375" style="434" customWidth="1"/>
    <col min="11788" max="11788" width="7.5703125" style="434" customWidth="1"/>
    <col min="11789" max="11789" width="2.42578125" style="434" customWidth="1"/>
    <col min="11790" max="11790" width="7.85546875" style="434" customWidth="1"/>
    <col min="11791" max="11791" width="8.140625" style="434" customWidth="1"/>
    <col min="11792" max="11792" width="2.7109375" style="434" customWidth="1"/>
    <col min="11793" max="11794" width="7.7109375" style="434" customWidth="1"/>
    <col min="11795" max="11795" width="2.5703125" style="434" customWidth="1"/>
    <col min="11796" max="12032" width="9.140625" style="434"/>
    <col min="12033" max="12033" width="36" style="434" customWidth="1"/>
    <col min="12034" max="12034" width="8.42578125" style="434" customWidth="1"/>
    <col min="12035" max="12035" width="8.140625" style="434" customWidth="1"/>
    <col min="12036" max="12036" width="2.5703125" style="434" customWidth="1"/>
    <col min="12037" max="12037" width="7.5703125" style="434" customWidth="1"/>
    <col min="12038" max="12038" width="7.7109375" style="434" customWidth="1"/>
    <col min="12039" max="12039" width="2.5703125" style="434" customWidth="1"/>
    <col min="12040" max="12040" width="8.28515625" style="434" customWidth="1"/>
    <col min="12041" max="12041" width="8.42578125" style="434" customWidth="1"/>
    <col min="12042" max="12042" width="2.5703125" style="434" customWidth="1"/>
    <col min="12043" max="12043" width="7.7109375" style="434" customWidth="1"/>
    <col min="12044" max="12044" width="7.5703125" style="434" customWidth="1"/>
    <col min="12045" max="12045" width="2.42578125" style="434" customWidth="1"/>
    <col min="12046" max="12046" width="7.85546875" style="434" customWidth="1"/>
    <col min="12047" max="12047" width="8.140625" style="434" customWidth="1"/>
    <col min="12048" max="12048" width="2.7109375" style="434" customWidth="1"/>
    <col min="12049" max="12050" width="7.7109375" style="434" customWidth="1"/>
    <col min="12051" max="12051" width="2.5703125" style="434" customWidth="1"/>
    <col min="12052" max="12288" width="9.140625" style="434"/>
    <col min="12289" max="12289" width="36" style="434" customWidth="1"/>
    <col min="12290" max="12290" width="8.42578125" style="434" customWidth="1"/>
    <col min="12291" max="12291" width="8.140625" style="434" customWidth="1"/>
    <col min="12292" max="12292" width="2.5703125" style="434" customWidth="1"/>
    <col min="12293" max="12293" width="7.5703125" style="434" customWidth="1"/>
    <col min="12294" max="12294" width="7.7109375" style="434" customWidth="1"/>
    <col min="12295" max="12295" width="2.5703125" style="434" customWidth="1"/>
    <col min="12296" max="12296" width="8.28515625" style="434" customWidth="1"/>
    <col min="12297" max="12297" width="8.42578125" style="434" customWidth="1"/>
    <col min="12298" max="12298" width="2.5703125" style="434" customWidth="1"/>
    <col min="12299" max="12299" width="7.7109375" style="434" customWidth="1"/>
    <col min="12300" max="12300" width="7.5703125" style="434" customWidth="1"/>
    <col min="12301" max="12301" width="2.42578125" style="434" customWidth="1"/>
    <col min="12302" max="12302" width="7.85546875" style="434" customWidth="1"/>
    <col min="12303" max="12303" width="8.140625" style="434" customWidth="1"/>
    <col min="12304" max="12304" width="2.7109375" style="434" customWidth="1"/>
    <col min="12305" max="12306" width="7.7109375" style="434" customWidth="1"/>
    <col min="12307" max="12307" width="2.5703125" style="434" customWidth="1"/>
    <col min="12308" max="12544" width="9.140625" style="434"/>
    <col min="12545" max="12545" width="36" style="434" customWidth="1"/>
    <col min="12546" max="12546" width="8.42578125" style="434" customWidth="1"/>
    <col min="12547" max="12547" width="8.140625" style="434" customWidth="1"/>
    <col min="12548" max="12548" width="2.5703125" style="434" customWidth="1"/>
    <col min="12549" max="12549" width="7.5703125" style="434" customWidth="1"/>
    <col min="12550" max="12550" width="7.7109375" style="434" customWidth="1"/>
    <col min="12551" max="12551" width="2.5703125" style="434" customWidth="1"/>
    <col min="12552" max="12552" width="8.28515625" style="434" customWidth="1"/>
    <col min="12553" max="12553" width="8.42578125" style="434" customWidth="1"/>
    <col min="12554" max="12554" width="2.5703125" style="434" customWidth="1"/>
    <col min="12555" max="12555" width="7.7109375" style="434" customWidth="1"/>
    <col min="12556" max="12556" width="7.5703125" style="434" customWidth="1"/>
    <col min="12557" max="12557" width="2.42578125" style="434" customWidth="1"/>
    <col min="12558" max="12558" width="7.85546875" style="434" customWidth="1"/>
    <col min="12559" max="12559" width="8.140625" style="434" customWidth="1"/>
    <col min="12560" max="12560" width="2.7109375" style="434" customWidth="1"/>
    <col min="12561" max="12562" width="7.7109375" style="434" customWidth="1"/>
    <col min="12563" max="12563" width="2.5703125" style="434" customWidth="1"/>
    <col min="12564" max="12800" width="9.140625" style="434"/>
    <col min="12801" max="12801" width="36" style="434" customWidth="1"/>
    <col min="12802" max="12802" width="8.42578125" style="434" customWidth="1"/>
    <col min="12803" max="12803" width="8.140625" style="434" customWidth="1"/>
    <col min="12804" max="12804" width="2.5703125" style="434" customWidth="1"/>
    <col min="12805" max="12805" width="7.5703125" style="434" customWidth="1"/>
    <col min="12806" max="12806" width="7.7109375" style="434" customWidth="1"/>
    <col min="12807" max="12807" width="2.5703125" style="434" customWidth="1"/>
    <col min="12808" max="12808" width="8.28515625" style="434" customWidth="1"/>
    <col min="12809" max="12809" width="8.42578125" style="434" customWidth="1"/>
    <col min="12810" max="12810" width="2.5703125" style="434" customWidth="1"/>
    <col min="12811" max="12811" width="7.7109375" style="434" customWidth="1"/>
    <col min="12812" max="12812" width="7.5703125" style="434" customWidth="1"/>
    <col min="12813" max="12813" width="2.42578125" style="434" customWidth="1"/>
    <col min="12814" max="12814" width="7.85546875" style="434" customWidth="1"/>
    <col min="12815" max="12815" width="8.140625" style="434" customWidth="1"/>
    <col min="12816" max="12816" width="2.7109375" style="434" customWidth="1"/>
    <col min="12817" max="12818" width="7.7109375" style="434" customWidth="1"/>
    <col min="12819" max="12819" width="2.5703125" style="434" customWidth="1"/>
    <col min="12820" max="13056" width="9.140625" style="434"/>
    <col min="13057" max="13057" width="36" style="434" customWidth="1"/>
    <col min="13058" max="13058" width="8.42578125" style="434" customWidth="1"/>
    <col min="13059" max="13059" width="8.140625" style="434" customWidth="1"/>
    <col min="13060" max="13060" width="2.5703125" style="434" customWidth="1"/>
    <col min="13061" max="13061" width="7.5703125" style="434" customWidth="1"/>
    <col min="13062" max="13062" width="7.7109375" style="434" customWidth="1"/>
    <col min="13063" max="13063" width="2.5703125" style="434" customWidth="1"/>
    <col min="13064" max="13064" width="8.28515625" style="434" customWidth="1"/>
    <col min="13065" max="13065" width="8.42578125" style="434" customWidth="1"/>
    <col min="13066" max="13066" width="2.5703125" style="434" customWidth="1"/>
    <col min="13067" max="13067" width="7.7109375" style="434" customWidth="1"/>
    <col min="13068" max="13068" width="7.5703125" style="434" customWidth="1"/>
    <col min="13069" max="13069" width="2.42578125" style="434" customWidth="1"/>
    <col min="13070" max="13070" width="7.85546875" style="434" customWidth="1"/>
    <col min="13071" max="13071" width="8.140625" style="434" customWidth="1"/>
    <col min="13072" max="13072" width="2.7109375" style="434" customWidth="1"/>
    <col min="13073" max="13074" width="7.7109375" style="434" customWidth="1"/>
    <col min="13075" max="13075" width="2.5703125" style="434" customWidth="1"/>
    <col min="13076" max="13312" width="9.140625" style="434"/>
    <col min="13313" max="13313" width="36" style="434" customWidth="1"/>
    <col min="13314" max="13314" width="8.42578125" style="434" customWidth="1"/>
    <col min="13315" max="13315" width="8.140625" style="434" customWidth="1"/>
    <col min="13316" max="13316" width="2.5703125" style="434" customWidth="1"/>
    <col min="13317" max="13317" width="7.5703125" style="434" customWidth="1"/>
    <col min="13318" max="13318" width="7.7109375" style="434" customWidth="1"/>
    <col min="13319" max="13319" width="2.5703125" style="434" customWidth="1"/>
    <col min="13320" max="13320" width="8.28515625" style="434" customWidth="1"/>
    <col min="13321" max="13321" width="8.42578125" style="434" customWidth="1"/>
    <col min="13322" max="13322" width="2.5703125" style="434" customWidth="1"/>
    <col min="13323" max="13323" width="7.7109375" style="434" customWidth="1"/>
    <col min="13324" max="13324" width="7.5703125" style="434" customWidth="1"/>
    <col min="13325" max="13325" width="2.42578125" style="434" customWidth="1"/>
    <col min="13326" max="13326" width="7.85546875" style="434" customWidth="1"/>
    <col min="13327" max="13327" width="8.140625" style="434" customWidth="1"/>
    <col min="13328" max="13328" width="2.7109375" style="434" customWidth="1"/>
    <col min="13329" max="13330" width="7.7109375" style="434" customWidth="1"/>
    <col min="13331" max="13331" width="2.5703125" style="434" customWidth="1"/>
    <col min="13332" max="13568" width="9.140625" style="434"/>
    <col min="13569" max="13569" width="36" style="434" customWidth="1"/>
    <col min="13570" max="13570" width="8.42578125" style="434" customWidth="1"/>
    <col min="13571" max="13571" width="8.140625" style="434" customWidth="1"/>
    <col min="13572" max="13572" width="2.5703125" style="434" customWidth="1"/>
    <col min="13573" max="13573" width="7.5703125" style="434" customWidth="1"/>
    <col min="13574" max="13574" width="7.7109375" style="434" customWidth="1"/>
    <col min="13575" max="13575" width="2.5703125" style="434" customWidth="1"/>
    <col min="13576" max="13576" width="8.28515625" style="434" customWidth="1"/>
    <col min="13577" max="13577" width="8.42578125" style="434" customWidth="1"/>
    <col min="13578" max="13578" width="2.5703125" style="434" customWidth="1"/>
    <col min="13579" max="13579" width="7.7109375" style="434" customWidth="1"/>
    <col min="13580" max="13580" width="7.5703125" style="434" customWidth="1"/>
    <col min="13581" max="13581" width="2.42578125" style="434" customWidth="1"/>
    <col min="13582" max="13582" width="7.85546875" style="434" customWidth="1"/>
    <col min="13583" max="13583" width="8.140625" style="434" customWidth="1"/>
    <col min="13584" max="13584" width="2.7109375" style="434" customWidth="1"/>
    <col min="13585" max="13586" width="7.7109375" style="434" customWidth="1"/>
    <col min="13587" max="13587" width="2.5703125" style="434" customWidth="1"/>
    <col min="13588" max="13824" width="9.140625" style="434"/>
    <col min="13825" max="13825" width="36" style="434" customWidth="1"/>
    <col min="13826" max="13826" width="8.42578125" style="434" customWidth="1"/>
    <col min="13827" max="13827" width="8.140625" style="434" customWidth="1"/>
    <col min="13828" max="13828" width="2.5703125" style="434" customWidth="1"/>
    <col min="13829" max="13829" width="7.5703125" style="434" customWidth="1"/>
    <col min="13830" max="13830" width="7.7109375" style="434" customWidth="1"/>
    <col min="13831" max="13831" width="2.5703125" style="434" customWidth="1"/>
    <col min="13832" max="13832" width="8.28515625" style="434" customWidth="1"/>
    <col min="13833" max="13833" width="8.42578125" style="434" customWidth="1"/>
    <col min="13834" max="13834" width="2.5703125" style="434" customWidth="1"/>
    <col min="13835" max="13835" width="7.7109375" style="434" customWidth="1"/>
    <col min="13836" max="13836" width="7.5703125" style="434" customWidth="1"/>
    <col min="13837" max="13837" width="2.42578125" style="434" customWidth="1"/>
    <col min="13838" max="13838" width="7.85546875" style="434" customWidth="1"/>
    <col min="13839" max="13839" width="8.140625" style="434" customWidth="1"/>
    <col min="13840" max="13840" width="2.7109375" style="434" customWidth="1"/>
    <col min="13841" max="13842" width="7.7109375" style="434" customWidth="1"/>
    <col min="13843" max="13843" width="2.5703125" style="434" customWidth="1"/>
    <col min="13844" max="14080" width="9.140625" style="434"/>
    <col min="14081" max="14081" width="36" style="434" customWidth="1"/>
    <col min="14082" max="14082" width="8.42578125" style="434" customWidth="1"/>
    <col min="14083" max="14083" width="8.140625" style="434" customWidth="1"/>
    <col min="14084" max="14084" width="2.5703125" style="434" customWidth="1"/>
    <col min="14085" max="14085" width="7.5703125" style="434" customWidth="1"/>
    <col min="14086" max="14086" width="7.7109375" style="434" customWidth="1"/>
    <col min="14087" max="14087" width="2.5703125" style="434" customWidth="1"/>
    <col min="14088" max="14088" width="8.28515625" style="434" customWidth="1"/>
    <col min="14089" max="14089" width="8.42578125" style="434" customWidth="1"/>
    <col min="14090" max="14090" width="2.5703125" style="434" customWidth="1"/>
    <col min="14091" max="14091" width="7.7109375" style="434" customWidth="1"/>
    <col min="14092" max="14092" width="7.5703125" style="434" customWidth="1"/>
    <col min="14093" max="14093" width="2.42578125" style="434" customWidth="1"/>
    <col min="14094" max="14094" width="7.85546875" style="434" customWidth="1"/>
    <col min="14095" max="14095" width="8.140625" style="434" customWidth="1"/>
    <col min="14096" max="14096" width="2.7109375" style="434" customWidth="1"/>
    <col min="14097" max="14098" width="7.7109375" style="434" customWidth="1"/>
    <col min="14099" max="14099" width="2.5703125" style="434" customWidth="1"/>
    <col min="14100" max="14336" width="9.140625" style="434"/>
    <col min="14337" max="14337" width="36" style="434" customWidth="1"/>
    <col min="14338" max="14338" width="8.42578125" style="434" customWidth="1"/>
    <col min="14339" max="14339" width="8.140625" style="434" customWidth="1"/>
    <col min="14340" max="14340" width="2.5703125" style="434" customWidth="1"/>
    <col min="14341" max="14341" width="7.5703125" style="434" customWidth="1"/>
    <col min="14342" max="14342" width="7.7109375" style="434" customWidth="1"/>
    <col min="14343" max="14343" width="2.5703125" style="434" customWidth="1"/>
    <col min="14344" max="14344" width="8.28515625" style="434" customWidth="1"/>
    <col min="14345" max="14345" width="8.42578125" style="434" customWidth="1"/>
    <col min="14346" max="14346" width="2.5703125" style="434" customWidth="1"/>
    <col min="14347" max="14347" width="7.7109375" style="434" customWidth="1"/>
    <col min="14348" max="14348" width="7.5703125" style="434" customWidth="1"/>
    <col min="14349" max="14349" width="2.42578125" style="434" customWidth="1"/>
    <col min="14350" max="14350" width="7.85546875" style="434" customWidth="1"/>
    <col min="14351" max="14351" width="8.140625" style="434" customWidth="1"/>
    <col min="14352" max="14352" width="2.7109375" style="434" customWidth="1"/>
    <col min="14353" max="14354" width="7.7109375" style="434" customWidth="1"/>
    <col min="14355" max="14355" width="2.5703125" style="434" customWidth="1"/>
    <col min="14356" max="14592" width="9.140625" style="434"/>
    <col min="14593" max="14593" width="36" style="434" customWidth="1"/>
    <col min="14594" max="14594" width="8.42578125" style="434" customWidth="1"/>
    <col min="14595" max="14595" width="8.140625" style="434" customWidth="1"/>
    <col min="14596" max="14596" width="2.5703125" style="434" customWidth="1"/>
    <col min="14597" max="14597" width="7.5703125" style="434" customWidth="1"/>
    <col min="14598" max="14598" width="7.7109375" style="434" customWidth="1"/>
    <col min="14599" max="14599" width="2.5703125" style="434" customWidth="1"/>
    <col min="14600" max="14600" width="8.28515625" style="434" customWidth="1"/>
    <col min="14601" max="14601" width="8.42578125" style="434" customWidth="1"/>
    <col min="14602" max="14602" width="2.5703125" style="434" customWidth="1"/>
    <col min="14603" max="14603" width="7.7109375" style="434" customWidth="1"/>
    <col min="14604" max="14604" width="7.5703125" style="434" customWidth="1"/>
    <col min="14605" max="14605" width="2.42578125" style="434" customWidth="1"/>
    <col min="14606" max="14606" width="7.85546875" style="434" customWidth="1"/>
    <col min="14607" max="14607" width="8.140625" style="434" customWidth="1"/>
    <col min="14608" max="14608" width="2.7109375" style="434" customWidth="1"/>
    <col min="14609" max="14610" width="7.7109375" style="434" customWidth="1"/>
    <col min="14611" max="14611" width="2.5703125" style="434" customWidth="1"/>
    <col min="14612" max="14848" width="9.140625" style="434"/>
    <col min="14849" max="14849" width="36" style="434" customWidth="1"/>
    <col min="14850" max="14850" width="8.42578125" style="434" customWidth="1"/>
    <col min="14851" max="14851" width="8.140625" style="434" customWidth="1"/>
    <col min="14852" max="14852" width="2.5703125" style="434" customWidth="1"/>
    <col min="14853" max="14853" width="7.5703125" style="434" customWidth="1"/>
    <col min="14854" max="14854" width="7.7109375" style="434" customWidth="1"/>
    <col min="14855" max="14855" width="2.5703125" style="434" customWidth="1"/>
    <col min="14856" max="14856" width="8.28515625" style="434" customWidth="1"/>
    <col min="14857" max="14857" width="8.42578125" style="434" customWidth="1"/>
    <col min="14858" max="14858" width="2.5703125" style="434" customWidth="1"/>
    <col min="14859" max="14859" width="7.7109375" style="434" customWidth="1"/>
    <col min="14860" max="14860" width="7.5703125" style="434" customWidth="1"/>
    <col min="14861" max="14861" width="2.42578125" style="434" customWidth="1"/>
    <col min="14862" max="14862" width="7.85546875" style="434" customWidth="1"/>
    <col min="14863" max="14863" width="8.140625" style="434" customWidth="1"/>
    <col min="14864" max="14864" width="2.7109375" style="434" customWidth="1"/>
    <col min="14865" max="14866" width="7.7109375" style="434" customWidth="1"/>
    <col min="14867" max="14867" width="2.5703125" style="434" customWidth="1"/>
    <col min="14868" max="15104" width="9.140625" style="434"/>
    <col min="15105" max="15105" width="36" style="434" customWidth="1"/>
    <col min="15106" max="15106" width="8.42578125" style="434" customWidth="1"/>
    <col min="15107" max="15107" width="8.140625" style="434" customWidth="1"/>
    <col min="15108" max="15108" width="2.5703125" style="434" customWidth="1"/>
    <col min="15109" max="15109" width="7.5703125" style="434" customWidth="1"/>
    <col min="15110" max="15110" width="7.7109375" style="434" customWidth="1"/>
    <col min="15111" max="15111" width="2.5703125" style="434" customWidth="1"/>
    <col min="15112" max="15112" width="8.28515625" style="434" customWidth="1"/>
    <col min="15113" max="15113" width="8.42578125" style="434" customWidth="1"/>
    <col min="15114" max="15114" width="2.5703125" style="434" customWidth="1"/>
    <col min="15115" max="15115" width="7.7109375" style="434" customWidth="1"/>
    <col min="15116" max="15116" width="7.5703125" style="434" customWidth="1"/>
    <col min="15117" max="15117" width="2.42578125" style="434" customWidth="1"/>
    <col min="15118" max="15118" width="7.85546875" style="434" customWidth="1"/>
    <col min="15119" max="15119" width="8.140625" style="434" customWidth="1"/>
    <col min="15120" max="15120" width="2.7109375" style="434" customWidth="1"/>
    <col min="15121" max="15122" width="7.7109375" style="434" customWidth="1"/>
    <col min="15123" max="15123" width="2.5703125" style="434" customWidth="1"/>
    <col min="15124" max="15360" width="9.140625" style="434"/>
    <col min="15361" max="15361" width="36" style="434" customWidth="1"/>
    <col min="15362" max="15362" width="8.42578125" style="434" customWidth="1"/>
    <col min="15363" max="15363" width="8.140625" style="434" customWidth="1"/>
    <col min="15364" max="15364" width="2.5703125" style="434" customWidth="1"/>
    <col min="15365" max="15365" width="7.5703125" style="434" customWidth="1"/>
    <col min="15366" max="15366" width="7.7109375" style="434" customWidth="1"/>
    <col min="15367" max="15367" width="2.5703125" style="434" customWidth="1"/>
    <col min="15368" max="15368" width="8.28515625" style="434" customWidth="1"/>
    <col min="15369" max="15369" width="8.42578125" style="434" customWidth="1"/>
    <col min="15370" max="15370" width="2.5703125" style="434" customWidth="1"/>
    <col min="15371" max="15371" width="7.7109375" style="434" customWidth="1"/>
    <col min="15372" max="15372" width="7.5703125" style="434" customWidth="1"/>
    <col min="15373" max="15373" width="2.42578125" style="434" customWidth="1"/>
    <col min="15374" max="15374" width="7.85546875" style="434" customWidth="1"/>
    <col min="15375" max="15375" width="8.140625" style="434" customWidth="1"/>
    <col min="15376" max="15376" width="2.7109375" style="434" customWidth="1"/>
    <col min="15377" max="15378" width="7.7109375" style="434" customWidth="1"/>
    <col min="15379" max="15379" width="2.5703125" style="434" customWidth="1"/>
    <col min="15380" max="15616" width="9.140625" style="434"/>
    <col min="15617" max="15617" width="36" style="434" customWidth="1"/>
    <col min="15618" max="15618" width="8.42578125" style="434" customWidth="1"/>
    <col min="15619" max="15619" width="8.140625" style="434" customWidth="1"/>
    <col min="15620" max="15620" width="2.5703125" style="434" customWidth="1"/>
    <col min="15621" max="15621" width="7.5703125" style="434" customWidth="1"/>
    <col min="15622" max="15622" width="7.7109375" style="434" customWidth="1"/>
    <col min="15623" max="15623" width="2.5703125" style="434" customWidth="1"/>
    <col min="15624" max="15624" width="8.28515625" style="434" customWidth="1"/>
    <col min="15625" max="15625" width="8.42578125" style="434" customWidth="1"/>
    <col min="15626" max="15626" width="2.5703125" style="434" customWidth="1"/>
    <col min="15627" max="15627" width="7.7109375" style="434" customWidth="1"/>
    <col min="15628" max="15628" width="7.5703125" style="434" customWidth="1"/>
    <col min="15629" max="15629" width="2.42578125" style="434" customWidth="1"/>
    <col min="15630" max="15630" width="7.85546875" style="434" customWidth="1"/>
    <col min="15631" max="15631" width="8.140625" style="434" customWidth="1"/>
    <col min="15632" max="15632" width="2.7109375" style="434" customWidth="1"/>
    <col min="15633" max="15634" width="7.7109375" style="434" customWidth="1"/>
    <col min="15635" max="15635" width="2.5703125" style="434" customWidth="1"/>
    <col min="15636" max="15872" width="9.140625" style="434"/>
    <col min="15873" max="15873" width="36" style="434" customWidth="1"/>
    <col min="15874" max="15874" width="8.42578125" style="434" customWidth="1"/>
    <col min="15875" max="15875" width="8.140625" style="434" customWidth="1"/>
    <col min="15876" max="15876" width="2.5703125" style="434" customWidth="1"/>
    <col min="15877" max="15877" width="7.5703125" style="434" customWidth="1"/>
    <col min="15878" max="15878" width="7.7109375" style="434" customWidth="1"/>
    <col min="15879" max="15879" width="2.5703125" style="434" customWidth="1"/>
    <col min="15880" max="15880" width="8.28515625" style="434" customWidth="1"/>
    <col min="15881" max="15881" width="8.42578125" style="434" customWidth="1"/>
    <col min="15882" max="15882" width="2.5703125" style="434" customWidth="1"/>
    <col min="15883" max="15883" width="7.7109375" style="434" customWidth="1"/>
    <col min="15884" max="15884" width="7.5703125" style="434" customWidth="1"/>
    <col min="15885" max="15885" width="2.42578125" style="434" customWidth="1"/>
    <col min="15886" max="15886" width="7.85546875" style="434" customWidth="1"/>
    <col min="15887" max="15887" width="8.140625" style="434" customWidth="1"/>
    <col min="15888" max="15888" width="2.7109375" style="434" customWidth="1"/>
    <col min="15889" max="15890" width="7.7109375" style="434" customWidth="1"/>
    <col min="15891" max="15891" width="2.5703125" style="434" customWidth="1"/>
    <col min="15892" max="16128" width="9.140625" style="434"/>
    <col min="16129" max="16129" width="36" style="434" customWidth="1"/>
    <col min="16130" max="16130" width="8.42578125" style="434" customWidth="1"/>
    <col min="16131" max="16131" width="8.140625" style="434" customWidth="1"/>
    <col min="16132" max="16132" width="2.5703125" style="434" customWidth="1"/>
    <col min="16133" max="16133" width="7.5703125" style="434" customWidth="1"/>
    <col min="16134" max="16134" width="7.7109375" style="434" customWidth="1"/>
    <col min="16135" max="16135" width="2.5703125" style="434" customWidth="1"/>
    <col min="16136" max="16136" width="8.28515625" style="434" customWidth="1"/>
    <col min="16137" max="16137" width="8.42578125" style="434" customWidth="1"/>
    <col min="16138" max="16138" width="2.5703125" style="434" customWidth="1"/>
    <col min="16139" max="16139" width="7.7109375" style="434" customWidth="1"/>
    <col min="16140" max="16140" width="7.5703125" style="434" customWidth="1"/>
    <col min="16141" max="16141" width="2.42578125" style="434" customWidth="1"/>
    <col min="16142" max="16142" width="7.85546875" style="434" customWidth="1"/>
    <col min="16143" max="16143" width="8.140625" style="434" customWidth="1"/>
    <col min="16144" max="16144" width="2.7109375" style="434" customWidth="1"/>
    <col min="16145" max="16146" width="7.7109375" style="434" customWidth="1"/>
    <col min="16147" max="16147" width="2.5703125" style="434" customWidth="1"/>
    <col min="16148" max="16384" width="9.140625" style="434"/>
  </cols>
  <sheetData>
    <row r="1" spans="1:19">
      <c r="A1" s="434" t="s">
        <v>366</v>
      </c>
    </row>
    <row r="2" spans="1:19">
      <c r="A2" s="434" t="s">
        <v>367</v>
      </c>
      <c r="Q2" s="435"/>
    </row>
    <row r="3" spans="1:19" ht="9.9499999999999993" customHeight="1">
      <c r="Q3" s="435"/>
    </row>
    <row r="4" spans="1:19">
      <c r="A4" s="42" t="s">
        <v>422</v>
      </c>
      <c r="L4" s="810"/>
      <c r="O4" s="810"/>
      <c r="Q4" s="435"/>
    </row>
    <row r="5" spans="1:19" ht="9.9499999999999993" customHeight="1" thickBot="1">
      <c r="O5" s="436"/>
      <c r="Q5" s="435"/>
      <c r="R5" s="436"/>
    </row>
    <row r="6" spans="1:19" ht="9.9499999999999993" customHeight="1">
      <c r="A6" s="437" t="s">
        <v>386</v>
      </c>
      <c r="B6" s="805"/>
      <c r="C6" s="439"/>
      <c r="D6" s="437"/>
      <c r="E6" s="438"/>
      <c r="F6" s="439"/>
      <c r="G6" s="437"/>
      <c r="H6" s="438"/>
      <c r="I6" s="439"/>
      <c r="J6" s="439"/>
      <c r="K6" s="438"/>
      <c r="L6" s="439"/>
      <c r="M6" s="437"/>
      <c r="N6" s="438"/>
      <c r="O6" s="439"/>
      <c r="P6" s="439"/>
      <c r="Q6" s="438"/>
      <c r="R6" s="439"/>
      <c r="S6" s="439"/>
    </row>
    <row r="7" spans="1:19" ht="15" customHeight="1">
      <c r="A7" s="440" t="s">
        <v>423</v>
      </c>
      <c r="B7" s="451" t="s">
        <v>371</v>
      </c>
      <c r="C7" s="442"/>
      <c r="D7" s="440"/>
      <c r="E7" s="812" t="s">
        <v>424</v>
      </c>
      <c r="F7" s="442"/>
      <c r="G7" s="440"/>
      <c r="H7" s="1266" t="s">
        <v>308</v>
      </c>
      <c r="I7" s="1266"/>
      <c r="J7" s="442"/>
      <c r="K7" s="1266" t="s">
        <v>425</v>
      </c>
      <c r="L7" s="1266"/>
      <c r="M7" s="440"/>
      <c r="N7" s="1266" t="s">
        <v>306</v>
      </c>
      <c r="O7" s="1266"/>
      <c r="Q7" s="1266" t="s">
        <v>305</v>
      </c>
      <c r="R7" s="1266"/>
    </row>
    <row r="8" spans="1:19" ht="15" customHeight="1">
      <c r="A8" s="434" t="s">
        <v>426</v>
      </c>
      <c r="B8" s="806"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19" ht="13.5" customHeight="1" thickBot="1">
      <c r="A9" s="445" t="s">
        <v>393</v>
      </c>
      <c r="B9" s="807"/>
      <c r="C9" s="447"/>
      <c r="D9" s="445"/>
      <c r="E9" s="446"/>
      <c r="F9" s="447"/>
      <c r="G9" s="445"/>
      <c r="H9" s="446"/>
      <c r="I9" s="447"/>
      <c r="J9" s="447"/>
      <c r="K9" s="446"/>
      <c r="L9" s="447"/>
      <c r="M9" s="445"/>
      <c r="N9" s="446"/>
      <c r="O9" s="447"/>
      <c r="P9" s="447"/>
      <c r="Q9" s="446"/>
      <c r="R9" s="447"/>
      <c r="S9" s="447"/>
    </row>
    <row r="10" spans="1:19" ht="9.9499999999999993" customHeight="1">
      <c r="Q10" s="435"/>
    </row>
    <row r="11" spans="1:19" ht="14.1" customHeight="1">
      <c r="A11" s="90" t="s">
        <v>325</v>
      </c>
      <c r="B11" s="544">
        <f>IF($A11&lt;&gt;"",E11+H11+K11+N11+Q11,"")</f>
        <v>1887</v>
      </c>
      <c r="C11" s="436">
        <f>SUM(C13+C107)</f>
        <v>100</v>
      </c>
      <c r="E11" s="435">
        <f>E13+E107</f>
        <v>808</v>
      </c>
      <c r="F11" s="436">
        <f t="shared" ref="F11:F75" si="0">IF($A11&lt;&gt;0,E11/$B11*100,"")</f>
        <v>42.819289878113409</v>
      </c>
      <c r="H11" s="435">
        <f>H13+H107</f>
        <v>63</v>
      </c>
      <c r="I11" s="436">
        <f t="shared" ref="I11:I75" si="1">IF($A11&lt;&gt;0,H11/$B11*100,"")</f>
        <v>3.3386327503974562</v>
      </c>
      <c r="K11" s="435">
        <f>K13+K107</f>
        <v>384</v>
      </c>
      <c r="L11" s="436">
        <f t="shared" ref="L11:L75" si="2">IF($A11&lt;&gt;0,K11/$B11*100,"")</f>
        <v>20.349761526232115</v>
      </c>
      <c r="M11" s="440"/>
      <c r="N11" s="435">
        <f>N13+N107</f>
        <v>414</v>
      </c>
      <c r="O11" s="436">
        <f t="shared" ref="O11:O75" si="3">IF($A11&lt;&gt;0,N11/$B11*100,"")</f>
        <v>21.939586645468996</v>
      </c>
      <c r="P11" s="442"/>
      <c r="Q11" s="815">
        <f>Q13+Q107</f>
        <v>218</v>
      </c>
      <c r="R11" s="436">
        <f t="shared" ref="R11:R75" si="4">IF($A11&lt;&gt;0,Q11/$B11*100,"")</f>
        <v>11.552729199788022</v>
      </c>
      <c r="S11" s="442"/>
    </row>
    <row r="12" spans="1:19" ht="9.9499999999999993" customHeight="1">
      <c r="B12" s="544" t="str">
        <f t="shared" ref="B12:B79" si="5">IF($A12&lt;&gt;"",E12+H12+K12+N12+Q12,"")</f>
        <v/>
      </c>
      <c r="C12" s="436" t="str">
        <f>IF(A12&lt;&gt;0,B12/$B$10*100,"")</f>
        <v/>
      </c>
      <c r="F12" s="436" t="str">
        <f t="shared" si="0"/>
        <v/>
      </c>
      <c r="I12" s="436" t="str">
        <f t="shared" si="1"/>
        <v/>
      </c>
      <c r="L12" s="436" t="str">
        <f t="shared" si="2"/>
        <v/>
      </c>
      <c r="M12" s="440"/>
      <c r="O12" s="436" t="str">
        <f t="shared" si="3"/>
        <v/>
      </c>
      <c r="P12" s="442"/>
      <c r="Q12" s="435"/>
      <c r="R12" s="436" t="str">
        <f t="shared" si="4"/>
        <v/>
      </c>
      <c r="S12" s="442"/>
    </row>
    <row r="13" spans="1:19" ht="14.1" customHeight="1">
      <c r="A13" s="63" t="s">
        <v>326</v>
      </c>
      <c r="B13" s="544">
        <f t="shared" si="5"/>
        <v>1678</v>
      </c>
      <c r="C13" s="436">
        <f>IF(A13&lt;&gt;0,B13/$B$11*100,"")</f>
        <v>88.924218335983042</v>
      </c>
      <c r="E13" s="435">
        <f>E15+E99</f>
        <v>677</v>
      </c>
      <c r="F13" s="436">
        <f t="shared" si="0"/>
        <v>40.345649582836714</v>
      </c>
      <c r="H13" s="435">
        <f>H15+H99</f>
        <v>59</v>
      </c>
      <c r="I13" s="436">
        <f t="shared" si="1"/>
        <v>3.5160905840286056</v>
      </c>
      <c r="K13" s="435">
        <f>K15+K99</f>
        <v>327</v>
      </c>
      <c r="L13" s="436">
        <f t="shared" si="2"/>
        <v>19.487485101311083</v>
      </c>
      <c r="M13" s="440"/>
      <c r="N13" s="435">
        <f>N15+N99</f>
        <v>398</v>
      </c>
      <c r="O13" s="436">
        <f t="shared" si="3"/>
        <v>23.718712753277714</v>
      </c>
      <c r="P13" s="442"/>
      <c r="Q13" s="435">
        <f>Q15+Q99</f>
        <v>217</v>
      </c>
      <c r="R13" s="436">
        <f t="shared" si="4"/>
        <v>12.932061978545889</v>
      </c>
      <c r="S13" s="442"/>
    </row>
    <row r="14" spans="1:19" ht="10.5" customHeight="1">
      <c r="A14" s="63"/>
      <c r="B14" s="544" t="str">
        <f t="shared" si="5"/>
        <v/>
      </c>
      <c r="C14" s="436" t="str">
        <f>IF(A14&lt;&gt;0,B14/$B$11*100,"")</f>
        <v/>
      </c>
      <c r="F14" s="436" t="str">
        <f t="shared" si="0"/>
        <v/>
      </c>
      <c r="I14" s="436" t="str">
        <f t="shared" si="1"/>
        <v/>
      </c>
      <c r="L14" s="436" t="str">
        <f t="shared" si="2"/>
        <v/>
      </c>
      <c r="M14" s="440"/>
      <c r="O14" s="436" t="str">
        <f t="shared" si="3"/>
        <v/>
      </c>
      <c r="P14" s="442"/>
      <c r="Q14" s="435"/>
      <c r="R14" s="436" t="str">
        <f t="shared" si="4"/>
        <v/>
      </c>
      <c r="S14" s="442"/>
    </row>
    <row r="15" spans="1:19" ht="14.1" customHeight="1">
      <c r="A15" s="63" t="s">
        <v>12</v>
      </c>
      <c r="B15" s="544">
        <f t="shared" si="5"/>
        <v>1539</v>
      </c>
      <c r="C15" s="436">
        <f>IF(A15&lt;&gt;0,B15/$B$11*100,"")</f>
        <v>81.558028616852155</v>
      </c>
      <c r="E15" s="435">
        <f>E17+E28+E36+E62+E76+E83+E95+E96+E97</f>
        <v>613</v>
      </c>
      <c r="F15" s="436">
        <f t="shared" si="0"/>
        <v>39.831059129304741</v>
      </c>
      <c r="H15" s="435">
        <f>H17+H28+H36+H62+H76+H83+H95+H96+H97</f>
        <v>52</v>
      </c>
      <c r="I15" s="436">
        <f t="shared" si="1"/>
        <v>3.378817413905133</v>
      </c>
      <c r="K15" s="435">
        <f>K17+K28+K36+K62+K76+K83+K95+K96+K97</f>
        <v>285</v>
      </c>
      <c r="L15" s="436">
        <f t="shared" si="2"/>
        <v>18.518518518518519</v>
      </c>
      <c r="M15" s="440"/>
      <c r="N15" s="435">
        <f>N17+N28+N36+N62+N76+N83+N95+N96+N97</f>
        <v>375</v>
      </c>
      <c r="O15" s="436">
        <f t="shared" si="3"/>
        <v>24.366471734892787</v>
      </c>
      <c r="P15" s="442"/>
      <c r="Q15" s="435">
        <f>Q17+Q28+Q36+Q62+Q76+Q83+Q95+Q96+Q97</f>
        <v>214</v>
      </c>
      <c r="R15" s="436">
        <f t="shared" si="4"/>
        <v>13.905133203378817</v>
      </c>
      <c r="S15" s="442"/>
    </row>
    <row r="16" spans="1:19" ht="9.9499999999999993" customHeight="1">
      <c r="B16" s="544" t="str">
        <f t="shared" si="5"/>
        <v/>
      </c>
      <c r="C16" s="436" t="str">
        <f>IF(A16&lt;&gt;0,B16/$B$11*100,"")</f>
        <v/>
      </c>
      <c r="F16" s="436" t="str">
        <f t="shared" si="0"/>
        <v/>
      </c>
      <c r="I16" s="436" t="str">
        <f t="shared" si="1"/>
        <v/>
      </c>
      <c r="L16" s="436" t="str">
        <f t="shared" si="2"/>
        <v/>
      </c>
      <c r="M16" s="440"/>
      <c r="O16" s="436" t="str">
        <f t="shared" si="3"/>
        <v/>
      </c>
      <c r="P16" s="442"/>
      <c r="Q16" s="435"/>
      <c r="R16" s="436" t="str">
        <f t="shared" si="4"/>
        <v/>
      </c>
      <c r="S16" s="442"/>
    </row>
    <row r="17" spans="1:19" ht="13.15" customHeight="1">
      <c r="A17" s="63" t="s">
        <v>327</v>
      </c>
      <c r="B17" s="544">
        <f t="shared" si="5"/>
        <v>157</v>
      </c>
      <c r="C17" s="436">
        <f>IF(A17&lt;&gt;0,B17/$B$11*100,"")</f>
        <v>8.3200847906730253</v>
      </c>
      <c r="E17" s="435">
        <f>E18+E23</f>
        <v>94</v>
      </c>
      <c r="F17" s="436">
        <f t="shared" si="0"/>
        <v>59.872611464968152</v>
      </c>
      <c r="H17" s="435">
        <f>H18+H23</f>
        <v>12</v>
      </c>
      <c r="I17" s="436">
        <f t="shared" si="1"/>
        <v>7.6433121019108281</v>
      </c>
      <c r="K17" s="435">
        <f>K18+K23</f>
        <v>34</v>
      </c>
      <c r="L17" s="436">
        <f t="shared" si="2"/>
        <v>21.656050955414013</v>
      </c>
      <c r="M17" s="440"/>
      <c r="N17" s="435">
        <f>N18+N23</f>
        <v>14</v>
      </c>
      <c r="O17" s="436">
        <f t="shared" si="3"/>
        <v>8.9171974522292992</v>
      </c>
      <c r="P17" s="442"/>
      <c r="Q17" s="435">
        <f>Q18+Q23</f>
        <v>3</v>
      </c>
      <c r="R17" s="436">
        <f t="shared" si="4"/>
        <v>1.910828025477707</v>
      </c>
      <c r="S17" s="442"/>
    </row>
    <row r="18" spans="1:19" ht="13.15" customHeight="1">
      <c r="A18" s="434" t="s">
        <v>20</v>
      </c>
      <c r="B18" s="544">
        <f t="shared" si="5"/>
        <v>66</v>
      </c>
      <c r="C18" s="436">
        <f t="shared" ref="C18:C82" si="6">IF(A18&lt;&gt;0,B18/$B$11*100,"")</f>
        <v>3.4976152623211445</v>
      </c>
      <c r="E18" s="435">
        <f>SUM(E19:E21)</f>
        <v>39</v>
      </c>
      <c r="F18" s="436">
        <f t="shared" si="0"/>
        <v>59.090909090909093</v>
      </c>
      <c r="H18" s="435">
        <f>SUM(H19:H21)</f>
        <v>5</v>
      </c>
      <c r="I18" s="436">
        <f t="shared" si="1"/>
        <v>7.5757575757575761</v>
      </c>
      <c r="K18" s="435">
        <f>SUM(K19:K21)</f>
        <v>14</v>
      </c>
      <c r="L18" s="436">
        <f t="shared" si="2"/>
        <v>21.212121212121211</v>
      </c>
      <c r="M18" s="440"/>
      <c r="N18" s="435">
        <f>SUM(N19:N21)</f>
        <v>7</v>
      </c>
      <c r="O18" s="436">
        <f t="shared" si="3"/>
        <v>10.606060606060606</v>
      </c>
      <c r="P18" s="442"/>
      <c r="Q18" s="435">
        <f>SUM(Q19:Q21)</f>
        <v>1</v>
      </c>
      <c r="R18" s="436">
        <f t="shared" si="4"/>
        <v>1.5151515151515151</v>
      </c>
      <c r="S18" s="442"/>
    </row>
    <row r="19" spans="1:19" ht="13.15" customHeight="1">
      <c r="A19" s="434" t="s">
        <v>21</v>
      </c>
      <c r="B19" s="544">
        <f t="shared" si="5"/>
        <v>5</v>
      </c>
      <c r="C19" s="436">
        <f t="shared" si="6"/>
        <v>0.26497085320614733</v>
      </c>
      <c r="E19" s="434">
        <v>4</v>
      </c>
      <c r="F19" s="436">
        <f t="shared" si="0"/>
        <v>80</v>
      </c>
      <c r="H19" s="434">
        <v>0</v>
      </c>
      <c r="I19" s="436">
        <f t="shared" si="1"/>
        <v>0</v>
      </c>
      <c r="J19" s="434"/>
      <c r="K19" s="434">
        <v>1</v>
      </c>
      <c r="L19" s="436">
        <f t="shared" si="2"/>
        <v>20</v>
      </c>
      <c r="N19" s="434">
        <v>0</v>
      </c>
      <c r="O19" s="436">
        <f t="shared" si="3"/>
        <v>0</v>
      </c>
      <c r="Q19" s="434">
        <v>0</v>
      </c>
      <c r="R19" s="436">
        <f t="shared" si="4"/>
        <v>0</v>
      </c>
      <c r="S19" s="442"/>
    </row>
    <row r="20" spans="1:19" ht="13.15" customHeight="1">
      <c r="A20" s="434" t="s">
        <v>22</v>
      </c>
      <c r="B20" s="544">
        <f t="shared" si="5"/>
        <v>39</v>
      </c>
      <c r="C20" s="436">
        <f t="shared" si="6"/>
        <v>2.066772655007949</v>
      </c>
      <c r="E20" s="434">
        <v>20</v>
      </c>
      <c r="F20" s="436">
        <f t="shared" si="0"/>
        <v>51.282051282051277</v>
      </c>
      <c r="H20" s="434">
        <v>4</v>
      </c>
      <c r="I20" s="436">
        <f t="shared" si="1"/>
        <v>10.256410256410255</v>
      </c>
      <c r="J20" s="434"/>
      <c r="K20" s="434">
        <v>7</v>
      </c>
      <c r="L20" s="436">
        <f t="shared" si="2"/>
        <v>17.948717948717949</v>
      </c>
      <c r="N20" s="434">
        <v>7</v>
      </c>
      <c r="O20" s="436">
        <f t="shared" si="3"/>
        <v>17.948717948717949</v>
      </c>
      <c r="Q20" s="434">
        <v>1</v>
      </c>
      <c r="R20" s="436">
        <f t="shared" si="4"/>
        <v>2.5641025641025639</v>
      </c>
      <c r="S20" s="442"/>
    </row>
    <row r="21" spans="1:19" ht="12" customHeight="1">
      <c r="A21" s="434" t="s">
        <v>23</v>
      </c>
      <c r="B21" s="544">
        <f t="shared" si="5"/>
        <v>22</v>
      </c>
      <c r="C21" s="436">
        <f t="shared" si="6"/>
        <v>1.1658717541070482</v>
      </c>
      <c r="E21" s="434">
        <v>15</v>
      </c>
      <c r="F21" s="436">
        <f t="shared" si="0"/>
        <v>68.181818181818173</v>
      </c>
      <c r="H21" s="434">
        <v>1</v>
      </c>
      <c r="I21" s="436">
        <f t="shared" si="1"/>
        <v>4.5454545454545459</v>
      </c>
      <c r="J21" s="434"/>
      <c r="K21" s="434">
        <v>6</v>
      </c>
      <c r="L21" s="436">
        <f t="shared" si="2"/>
        <v>27.27272727272727</v>
      </c>
      <c r="N21" s="434">
        <v>0</v>
      </c>
      <c r="O21" s="436">
        <f t="shared" si="3"/>
        <v>0</v>
      </c>
      <c r="Q21" s="434">
        <v>0</v>
      </c>
      <c r="R21" s="436">
        <f t="shared" si="4"/>
        <v>0</v>
      </c>
      <c r="S21" s="442"/>
    </row>
    <row r="22" spans="1:19" ht="9.9499999999999993" customHeight="1">
      <c r="B22" s="544" t="str">
        <f t="shared" si="5"/>
        <v/>
      </c>
      <c r="C22" s="436" t="str">
        <f t="shared" si="6"/>
        <v/>
      </c>
      <c r="F22" s="436" t="str">
        <f t="shared" si="0"/>
        <v/>
      </c>
      <c r="I22" s="436" t="str">
        <f t="shared" si="1"/>
        <v/>
      </c>
      <c r="L22" s="436" t="str">
        <f t="shared" si="2"/>
        <v/>
      </c>
      <c r="M22" s="440"/>
      <c r="O22" s="436" t="str">
        <f t="shared" si="3"/>
        <v/>
      </c>
      <c r="P22" s="442"/>
      <c r="Q22" s="435"/>
      <c r="R22" s="436" t="str">
        <f t="shared" si="4"/>
        <v/>
      </c>
      <c r="S22" s="442"/>
    </row>
    <row r="23" spans="1:19" ht="13.15" customHeight="1">
      <c r="A23" s="434" t="s">
        <v>24</v>
      </c>
      <c r="B23" s="544">
        <f t="shared" si="5"/>
        <v>91</v>
      </c>
      <c r="C23" s="436">
        <f t="shared" si="6"/>
        <v>4.8224695283518813</v>
      </c>
      <c r="E23" s="435">
        <f>SUM(E24:E26)</f>
        <v>55</v>
      </c>
      <c r="F23" s="436">
        <f t="shared" si="0"/>
        <v>60.439560439560438</v>
      </c>
      <c r="H23" s="435">
        <f>SUM(H24:H26)</f>
        <v>7</v>
      </c>
      <c r="I23" s="436">
        <f t="shared" si="1"/>
        <v>7.6923076923076925</v>
      </c>
      <c r="K23" s="435">
        <f>SUM(K24:K26)</f>
        <v>20</v>
      </c>
      <c r="L23" s="436">
        <f t="shared" si="2"/>
        <v>21.978021978021978</v>
      </c>
      <c r="M23" s="440"/>
      <c r="N23" s="435">
        <f>SUM(N24:N26)</f>
        <v>7</v>
      </c>
      <c r="O23" s="436">
        <f t="shared" si="3"/>
        <v>7.6923076923076925</v>
      </c>
      <c r="P23" s="442"/>
      <c r="Q23" s="435">
        <f>SUM(Q24:Q26)</f>
        <v>2</v>
      </c>
      <c r="R23" s="436">
        <f t="shared" si="4"/>
        <v>2.197802197802198</v>
      </c>
      <c r="S23" s="442"/>
    </row>
    <row r="24" spans="1:19" ht="13.15" customHeight="1">
      <c r="A24" s="434" t="s">
        <v>25</v>
      </c>
      <c r="B24" s="544">
        <f t="shared" si="5"/>
        <v>26</v>
      </c>
      <c r="C24" s="436">
        <f t="shared" si="6"/>
        <v>1.3778484366719661</v>
      </c>
      <c r="E24" s="434">
        <v>15</v>
      </c>
      <c r="F24" s="436">
        <f t="shared" si="0"/>
        <v>57.692307692307686</v>
      </c>
      <c r="H24" s="434">
        <v>1</v>
      </c>
      <c r="I24" s="436">
        <f t="shared" si="1"/>
        <v>3.8461538461538463</v>
      </c>
      <c r="J24" s="434"/>
      <c r="K24" s="434">
        <v>3</v>
      </c>
      <c r="L24" s="436">
        <f t="shared" si="2"/>
        <v>11.538461538461538</v>
      </c>
      <c r="N24" s="434">
        <v>6</v>
      </c>
      <c r="O24" s="436">
        <f t="shared" si="3"/>
        <v>23.076923076923077</v>
      </c>
      <c r="Q24" s="434">
        <v>1</v>
      </c>
      <c r="R24" s="436">
        <f t="shared" si="4"/>
        <v>3.8461538461538463</v>
      </c>
      <c r="S24" s="442"/>
    </row>
    <row r="25" spans="1:19" ht="13.15" customHeight="1">
      <c r="A25" s="434" t="s">
        <v>26</v>
      </c>
      <c r="B25" s="544">
        <f t="shared" si="5"/>
        <v>20</v>
      </c>
      <c r="C25" s="436">
        <f t="shared" si="6"/>
        <v>1.0598834128245893</v>
      </c>
      <c r="E25" s="434">
        <v>7</v>
      </c>
      <c r="F25" s="436">
        <f t="shared" si="0"/>
        <v>35</v>
      </c>
      <c r="H25" s="434">
        <v>5</v>
      </c>
      <c r="I25" s="436">
        <f t="shared" si="1"/>
        <v>25</v>
      </c>
      <c r="J25" s="434"/>
      <c r="K25" s="434">
        <v>7</v>
      </c>
      <c r="L25" s="436">
        <f t="shared" si="2"/>
        <v>35</v>
      </c>
      <c r="N25" s="434">
        <v>1</v>
      </c>
      <c r="O25" s="436">
        <f t="shared" si="3"/>
        <v>5</v>
      </c>
      <c r="Q25" s="434">
        <v>0</v>
      </c>
      <c r="R25" s="436">
        <f t="shared" si="4"/>
        <v>0</v>
      </c>
      <c r="S25" s="442"/>
    </row>
    <row r="26" spans="1:19" ht="12" customHeight="1">
      <c r="A26" s="434" t="s">
        <v>27</v>
      </c>
      <c r="B26" s="544">
        <f t="shared" si="5"/>
        <v>45</v>
      </c>
      <c r="C26" s="436">
        <f t="shared" si="6"/>
        <v>2.3847376788553261</v>
      </c>
      <c r="E26" s="434">
        <v>33</v>
      </c>
      <c r="F26" s="436">
        <f t="shared" si="0"/>
        <v>73.333333333333329</v>
      </c>
      <c r="H26" s="434">
        <v>1</v>
      </c>
      <c r="I26" s="436">
        <f t="shared" si="1"/>
        <v>2.2222222222222223</v>
      </c>
      <c r="J26" s="434"/>
      <c r="K26" s="434">
        <v>10</v>
      </c>
      <c r="L26" s="436">
        <f t="shared" si="2"/>
        <v>22.222222222222221</v>
      </c>
      <c r="N26" s="434">
        <v>0</v>
      </c>
      <c r="O26" s="436">
        <f t="shared" si="3"/>
        <v>0</v>
      </c>
      <c r="Q26" s="434">
        <v>1</v>
      </c>
      <c r="R26" s="436">
        <f t="shared" si="4"/>
        <v>2.2222222222222223</v>
      </c>
      <c r="S26" s="442"/>
    </row>
    <row r="27" spans="1:19" ht="9.9499999999999993" customHeight="1">
      <c r="B27" s="544" t="str">
        <f t="shared" si="5"/>
        <v/>
      </c>
      <c r="C27" s="436" t="str">
        <f t="shared" si="6"/>
        <v/>
      </c>
      <c r="F27" s="436" t="str">
        <f t="shared" si="0"/>
        <v/>
      </c>
      <c r="I27" s="436" t="str">
        <f t="shared" si="1"/>
        <v/>
      </c>
      <c r="L27" s="436" t="str">
        <f t="shared" si="2"/>
        <v/>
      </c>
      <c r="M27" s="440"/>
      <c r="O27" s="436" t="str">
        <f t="shared" si="3"/>
        <v/>
      </c>
      <c r="P27" s="442"/>
      <c r="Q27" s="435"/>
      <c r="R27" s="436" t="str">
        <f t="shared" si="4"/>
        <v/>
      </c>
      <c r="S27" s="442"/>
    </row>
    <row r="28" spans="1:19" ht="13.15" customHeight="1">
      <c r="A28" s="63" t="s">
        <v>375</v>
      </c>
      <c r="B28" s="544">
        <f t="shared" si="5"/>
        <v>133</v>
      </c>
      <c r="C28" s="436">
        <f t="shared" si="6"/>
        <v>7.0482246952835181</v>
      </c>
      <c r="E28" s="435">
        <f>SUM(E30:E34)</f>
        <v>104</v>
      </c>
      <c r="F28" s="436">
        <f t="shared" si="0"/>
        <v>78.195488721804509</v>
      </c>
      <c r="H28" s="435">
        <f>SUM(H30:H34)</f>
        <v>2</v>
      </c>
      <c r="I28" s="436">
        <f t="shared" si="1"/>
        <v>1.5037593984962405</v>
      </c>
      <c r="K28" s="435">
        <f>SUM(K30:K34)</f>
        <v>24</v>
      </c>
      <c r="L28" s="436">
        <f t="shared" si="2"/>
        <v>18.045112781954884</v>
      </c>
      <c r="M28" s="440"/>
      <c r="N28" s="435">
        <f>SUM(N30:N34)</f>
        <v>3</v>
      </c>
      <c r="O28" s="436">
        <f t="shared" si="3"/>
        <v>2.2556390977443606</v>
      </c>
      <c r="P28" s="442"/>
      <c r="Q28" s="435">
        <f>SUM(Q29)</f>
        <v>0</v>
      </c>
      <c r="R28" s="436">
        <f t="shared" si="4"/>
        <v>0</v>
      </c>
      <c r="S28" s="442"/>
    </row>
    <row r="29" spans="1:19" ht="13.15" customHeight="1">
      <c r="A29" s="434" t="s">
        <v>29</v>
      </c>
      <c r="B29" s="544">
        <f t="shared" si="5"/>
        <v>133</v>
      </c>
      <c r="C29" s="436">
        <f t="shared" si="6"/>
        <v>7.0482246952835181</v>
      </c>
      <c r="E29" s="435">
        <f>SUM(E30:E34)</f>
        <v>104</v>
      </c>
      <c r="F29" s="436">
        <f t="shared" si="0"/>
        <v>78.195488721804509</v>
      </c>
      <c r="H29" s="435">
        <f>SUM(H30:H34)</f>
        <v>2</v>
      </c>
      <c r="I29" s="436">
        <f t="shared" si="1"/>
        <v>1.5037593984962405</v>
      </c>
      <c r="K29" s="435">
        <f>SUM(K30:K34)</f>
        <v>24</v>
      </c>
      <c r="L29" s="436">
        <f t="shared" si="2"/>
        <v>18.045112781954884</v>
      </c>
      <c r="M29" s="440"/>
      <c r="N29" s="435">
        <f>SUM(N30:N34)</f>
        <v>3</v>
      </c>
      <c r="O29" s="436">
        <f t="shared" si="3"/>
        <v>2.2556390977443606</v>
      </c>
      <c r="P29" s="442"/>
      <c r="Q29" s="435">
        <f>SUM(Q30:Q34)</f>
        <v>0</v>
      </c>
      <c r="R29" s="436">
        <f t="shared" si="4"/>
        <v>0</v>
      </c>
      <c r="S29" s="442"/>
    </row>
    <row r="30" spans="1:19" ht="13.15" customHeight="1">
      <c r="A30" s="434" t="s">
        <v>30</v>
      </c>
      <c r="B30" s="544">
        <f t="shared" si="5"/>
        <v>37</v>
      </c>
      <c r="C30" s="436">
        <f t="shared" si="6"/>
        <v>1.9607843137254901</v>
      </c>
      <c r="E30" s="434">
        <v>24</v>
      </c>
      <c r="F30" s="436">
        <f t="shared" si="0"/>
        <v>64.86486486486487</v>
      </c>
      <c r="H30" s="434">
        <v>1</v>
      </c>
      <c r="I30" s="436">
        <f t="shared" si="1"/>
        <v>2.7027027027027026</v>
      </c>
      <c r="J30" s="434"/>
      <c r="K30" s="434">
        <v>11</v>
      </c>
      <c r="L30" s="436">
        <f t="shared" si="2"/>
        <v>29.72972972972973</v>
      </c>
      <c r="N30" s="434">
        <v>1</v>
      </c>
      <c r="O30" s="436">
        <f t="shared" si="3"/>
        <v>2.7027027027027026</v>
      </c>
      <c r="Q30" s="434">
        <v>0</v>
      </c>
      <c r="R30" s="436">
        <f t="shared" si="4"/>
        <v>0</v>
      </c>
      <c r="S30" s="442"/>
    </row>
    <row r="31" spans="1:19" ht="13.15" customHeight="1">
      <c r="A31" s="434" t="s">
        <v>31</v>
      </c>
      <c r="B31" s="544">
        <f t="shared" si="5"/>
        <v>25</v>
      </c>
      <c r="C31" s="436">
        <f t="shared" si="6"/>
        <v>1.3248542660307367</v>
      </c>
      <c r="E31" s="434">
        <v>20</v>
      </c>
      <c r="F31" s="436">
        <f t="shared" si="0"/>
        <v>80</v>
      </c>
      <c r="H31" s="434">
        <v>0</v>
      </c>
      <c r="I31" s="436">
        <f t="shared" si="1"/>
        <v>0</v>
      </c>
      <c r="J31" s="434"/>
      <c r="K31" s="434">
        <v>4</v>
      </c>
      <c r="L31" s="436">
        <f t="shared" si="2"/>
        <v>16</v>
      </c>
      <c r="N31" s="434">
        <v>1</v>
      </c>
      <c r="O31" s="436">
        <f t="shared" si="3"/>
        <v>4</v>
      </c>
      <c r="Q31" s="434">
        <v>0</v>
      </c>
      <c r="R31" s="436">
        <f t="shared" si="4"/>
        <v>0</v>
      </c>
      <c r="S31" s="442"/>
    </row>
    <row r="32" spans="1:19" ht="13.15" customHeight="1">
      <c r="A32" s="434" t="s">
        <v>32</v>
      </c>
      <c r="B32" s="544">
        <f t="shared" si="5"/>
        <v>13</v>
      </c>
      <c r="C32" s="436">
        <f t="shared" si="6"/>
        <v>0.68892421833598305</v>
      </c>
      <c r="E32" s="434">
        <v>9</v>
      </c>
      <c r="F32" s="436">
        <f t="shared" si="0"/>
        <v>69.230769230769226</v>
      </c>
      <c r="H32" s="434">
        <v>1</v>
      </c>
      <c r="I32" s="436">
        <f t="shared" si="1"/>
        <v>7.6923076923076925</v>
      </c>
      <c r="J32" s="434"/>
      <c r="K32" s="434">
        <v>3</v>
      </c>
      <c r="L32" s="436">
        <f t="shared" si="2"/>
        <v>23.076923076923077</v>
      </c>
      <c r="N32" s="434">
        <v>0</v>
      </c>
      <c r="O32" s="436">
        <f t="shared" si="3"/>
        <v>0</v>
      </c>
      <c r="Q32" s="434">
        <v>0</v>
      </c>
      <c r="R32" s="436">
        <f t="shared" si="4"/>
        <v>0</v>
      </c>
      <c r="S32" s="442"/>
    </row>
    <row r="33" spans="1:19" ht="13.15" customHeight="1">
      <c r="A33" s="434" t="s">
        <v>33</v>
      </c>
      <c r="B33" s="544">
        <f t="shared" si="5"/>
        <v>26</v>
      </c>
      <c r="C33" s="436">
        <f t="shared" si="6"/>
        <v>1.3778484366719661</v>
      </c>
      <c r="E33" s="434">
        <v>24</v>
      </c>
      <c r="F33" s="436">
        <f t="shared" si="0"/>
        <v>92.307692307692307</v>
      </c>
      <c r="H33" s="434">
        <v>0</v>
      </c>
      <c r="I33" s="436">
        <f t="shared" si="1"/>
        <v>0</v>
      </c>
      <c r="J33" s="434"/>
      <c r="K33" s="434">
        <v>2</v>
      </c>
      <c r="L33" s="436">
        <f t="shared" si="2"/>
        <v>7.6923076923076925</v>
      </c>
      <c r="N33" s="434">
        <v>0</v>
      </c>
      <c r="O33" s="436">
        <f t="shared" si="3"/>
        <v>0</v>
      </c>
      <c r="Q33" s="434">
        <v>0</v>
      </c>
      <c r="R33" s="436">
        <f t="shared" si="4"/>
        <v>0</v>
      </c>
      <c r="S33" s="442"/>
    </row>
    <row r="34" spans="1:19" ht="12" customHeight="1">
      <c r="A34" s="434" t="s">
        <v>34</v>
      </c>
      <c r="B34" s="544">
        <f t="shared" si="5"/>
        <v>32</v>
      </c>
      <c r="C34" s="436">
        <f t="shared" si="6"/>
        <v>1.6958134605193429</v>
      </c>
      <c r="E34" s="434">
        <v>27</v>
      </c>
      <c r="F34" s="436">
        <f t="shared" si="0"/>
        <v>84.375</v>
      </c>
      <c r="H34" s="434">
        <v>0</v>
      </c>
      <c r="I34" s="436">
        <f t="shared" si="1"/>
        <v>0</v>
      </c>
      <c r="J34" s="434"/>
      <c r="K34" s="434">
        <v>4</v>
      </c>
      <c r="L34" s="436">
        <f t="shared" si="2"/>
        <v>12.5</v>
      </c>
      <c r="N34" s="434">
        <v>1</v>
      </c>
      <c r="O34" s="436">
        <f t="shared" si="3"/>
        <v>3.125</v>
      </c>
      <c r="Q34" s="434">
        <v>0</v>
      </c>
      <c r="R34" s="436">
        <f t="shared" si="4"/>
        <v>0</v>
      </c>
      <c r="S34" s="442"/>
    </row>
    <row r="35" spans="1:19" ht="9.9499999999999993" customHeight="1">
      <c r="B35" s="544" t="str">
        <f t="shared" si="5"/>
        <v/>
      </c>
      <c r="C35" s="436" t="str">
        <f t="shared" si="6"/>
        <v/>
      </c>
      <c r="F35" s="436" t="str">
        <f t="shared" si="0"/>
        <v/>
      </c>
      <c r="I35" s="436" t="str">
        <f t="shared" si="1"/>
        <v/>
      </c>
      <c r="L35" s="436" t="str">
        <f t="shared" si="2"/>
        <v/>
      </c>
      <c r="M35" s="440"/>
      <c r="O35" s="436" t="str">
        <f t="shared" si="3"/>
        <v/>
      </c>
      <c r="P35" s="442"/>
      <c r="Q35" s="435"/>
      <c r="R35" s="436" t="str">
        <f t="shared" si="4"/>
        <v/>
      </c>
      <c r="S35" s="442"/>
    </row>
    <row r="36" spans="1:19" ht="15" customHeight="1">
      <c r="A36" s="63" t="s">
        <v>329</v>
      </c>
      <c r="B36" s="544">
        <f t="shared" si="5"/>
        <v>415</v>
      </c>
      <c r="C36" s="436">
        <f t="shared" si="6"/>
        <v>21.992580816110227</v>
      </c>
      <c r="E36" s="435">
        <f>E37+E43+E53+E55</f>
        <v>151</v>
      </c>
      <c r="F36" s="436">
        <f t="shared" si="0"/>
        <v>36.385542168674704</v>
      </c>
      <c r="H36" s="435">
        <f>H37+H43+H53+H55</f>
        <v>20</v>
      </c>
      <c r="I36" s="436">
        <f t="shared" si="1"/>
        <v>4.8192771084337354</v>
      </c>
      <c r="K36" s="435">
        <f>K37+K43+K53+K55</f>
        <v>103</v>
      </c>
      <c r="L36" s="436">
        <f t="shared" si="2"/>
        <v>24.819277108433734</v>
      </c>
      <c r="M36" s="440"/>
      <c r="N36" s="435">
        <f>N37+N43+N53+N55</f>
        <v>121</v>
      </c>
      <c r="O36" s="436">
        <f t="shared" si="3"/>
        <v>29.156626506024097</v>
      </c>
      <c r="P36" s="442"/>
      <c r="Q36" s="435">
        <f>Q37+Q43+Q53+Q55</f>
        <v>20</v>
      </c>
      <c r="R36" s="436">
        <f t="shared" si="4"/>
        <v>4.8192771084337354</v>
      </c>
      <c r="S36" s="442"/>
    </row>
    <row r="37" spans="1:19" ht="13.15" customHeight="1">
      <c r="A37" s="434" t="s">
        <v>36</v>
      </c>
      <c r="B37" s="544">
        <f t="shared" si="5"/>
        <v>110</v>
      </c>
      <c r="C37" s="436">
        <f t="shared" si="6"/>
        <v>5.829358770535241</v>
      </c>
      <c r="E37" s="435">
        <f>SUM(E38:E41)</f>
        <v>28</v>
      </c>
      <c r="F37" s="436">
        <f t="shared" si="0"/>
        <v>25.454545454545453</v>
      </c>
      <c r="H37" s="435">
        <f>SUM(H38:H41)</f>
        <v>5</v>
      </c>
      <c r="I37" s="436">
        <f t="shared" si="1"/>
        <v>4.5454545454545459</v>
      </c>
      <c r="K37" s="435">
        <f>SUM(K38:K41)</f>
        <v>24</v>
      </c>
      <c r="L37" s="436">
        <f t="shared" si="2"/>
        <v>21.818181818181817</v>
      </c>
      <c r="M37" s="440"/>
      <c r="N37" s="435">
        <f>SUM(N38:N41)</f>
        <v>51</v>
      </c>
      <c r="O37" s="436">
        <f t="shared" si="3"/>
        <v>46.36363636363636</v>
      </c>
      <c r="P37" s="442"/>
      <c r="Q37" s="435">
        <f>SUM(Q38:Q41)</f>
        <v>2</v>
      </c>
      <c r="R37" s="436">
        <f t="shared" si="4"/>
        <v>1.8181818181818181</v>
      </c>
      <c r="S37" s="442"/>
    </row>
    <row r="38" spans="1:19" ht="13.15" customHeight="1">
      <c r="A38" s="434" t="s">
        <v>37</v>
      </c>
      <c r="B38" s="544">
        <f t="shared" si="5"/>
        <v>51</v>
      </c>
      <c r="C38" s="436">
        <f t="shared" si="6"/>
        <v>2.7027027027027026</v>
      </c>
      <c r="E38" s="434">
        <v>7</v>
      </c>
      <c r="F38" s="436">
        <f t="shared" si="0"/>
        <v>13.725490196078432</v>
      </c>
      <c r="H38" s="434">
        <v>3</v>
      </c>
      <c r="I38" s="436">
        <f t="shared" si="1"/>
        <v>5.8823529411764701</v>
      </c>
      <c r="J38" s="434"/>
      <c r="K38" s="434">
        <v>15</v>
      </c>
      <c r="L38" s="436">
        <f t="shared" si="2"/>
        <v>29.411764705882355</v>
      </c>
      <c r="N38" s="434">
        <v>24</v>
      </c>
      <c r="O38" s="436">
        <f t="shared" si="3"/>
        <v>47.058823529411761</v>
      </c>
      <c r="Q38" s="434">
        <v>2</v>
      </c>
      <c r="R38" s="436">
        <f t="shared" si="4"/>
        <v>3.9215686274509802</v>
      </c>
      <c r="S38" s="442"/>
    </row>
    <row r="39" spans="1:19" ht="13.15" customHeight="1">
      <c r="A39" s="434" t="s">
        <v>38</v>
      </c>
      <c r="B39" s="544">
        <f t="shared" si="5"/>
        <v>30</v>
      </c>
      <c r="C39" s="436">
        <f t="shared" si="6"/>
        <v>1.5898251192368837</v>
      </c>
      <c r="E39" s="434">
        <v>7</v>
      </c>
      <c r="F39" s="436">
        <f t="shared" si="0"/>
        <v>23.333333333333332</v>
      </c>
      <c r="H39" s="434">
        <v>1</v>
      </c>
      <c r="I39" s="436">
        <f t="shared" si="1"/>
        <v>3.3333333333333335</v>
      </c>
      <c r="J39" s="434"/>
      <c r="K39" s="434">
        <v>4</v>
      </c>
      <c r="L39" s="436">
        <f t="shared" si="2"/>
        <v>13.333333333333334</v>
      </c>
      <c r="N39" s="434">
        <v>18</v>
      </c>
      <c r="O39" s="436">
        <f t="shared" si="3"/>
        <v>60</v>
      </c>
      <c r="Q39" s="434">
        <v>0</v>
      </c>
      <c r="R39" s="436">
        <f t="shared" si="4"/>
        <v>0</v>
      </c>
      <c r="S39" s="442"/>
    </row>
    <row r="40" spans="1:19" ht="13.15" customHeight="1">
      <c r="A40" s="434" t="s">
        <v>39</v>
      </c>
      <c r="B40" s="544">
        <f t="shared" si="5"/>
        <v>17</v>
      </c>
      <c r="C40" s="436">
        <f t="shared" si="6"/>
        <v>0.90090090090090091</v>
      </c>
      <c r="E40" s="434">
        <v>7</v>
      </c>
      <c r="F40" s="436">
        <f t="shared" si="0"/>
        <v>41.17647058823529</v>
      </c>
      <c r="H40" s="434">
        <v>1</v>
      </c>
      <c r="I40" s="436">
        <f t="shared" si="1"/>
        <v>5.8823529411764701</v>
      </c>
      <c r="J40" s="434"/>
      <c r="K40" s="434">
        <v>3</v>
      </c>
      <c r="L40" s="436">
        <f t="shared" si="2"/>
        <v>17.647058823529413</v>
      </c>
      <c r="N40" s="434">
        <v>6</v>
      </c>
      <c r="O40" s="436">
        <f t="shared" si="3"/>
        <v>35.294117647058826</v>
      </c>
      <c r="Q40" s="434">
        <v>0</v>
      </c>
      <c r="R40" s="436">
        <f t="shared" si="4"/>
        <v>0</v>
      </c>
      <c r="S40" s="442"/>
    </row>
    <row r="41" spans="1:19" ht="12" customHeight="1">
      <c r="A41" s="434" t="s">
        <v>40</v>
      </c>
      <c r="B41" s="544">
        <f t="shared" si="5"/>
        <v>12</v>
      </c>
      <c r="C41" s="436">
        <f t="shared" si="6"/>
        <v>0.63593004769475359</v>
      </c>
      <c r="E41" s="434">
        <v>7</v>
      </c>
      <c r="F41" s="436">
        <f t="shared" si="0"/>
        <v>58.333333333333336</v>
      </c>
      <c r="H41" s="434">
        <v>0</v>
      </c>
      <c r="I41" s="436">
        <f t="shared" si="1"/>
        <v>0</v>
      </c>
      <c r="J41" s="434"/>
      <c r="K41" s="434">
        <v>2</v>
      </c>
      <c r="L41" s="436">
        <f t="shared" si="2"/>
        <v>16.666666666666664</v>
      </c>
      <c r="N41" s="434">
        <v>3</v>
      </c>
      <c r="O41" s="436">
        <f t="shared" si="3"/>
        <v>25</v>
      </c>
      <c r="Q41" s="434">
        <v>0</v>
      </c>
      <c r="R41" s="436">
        <f t="shared" si="4"/>
        <v>0</v>
      </c>
      <c r="S41" s="442"/>
    </row>
    <row r="42" spans="1:19" ht="11.25" customHeight="1">
      <c r="B42" s="544" t="str">
        <f t="shared" si="5"/>
        <v/>
      </c>
      <c r="C42" s="436" t="str">
        <f t="shared" si="6"/>
        <v/>
      </c>
      <c r="F42" s="436" t="str">
        <f t="shared" si="0"/>
        <v/>
      </c>
      <c r="I42" s="436" t="str">
        <f t="shared" si="1"/>
        <v/>
      </c>
      <c r="L42" s="436" t="str">
        <f t="shared" si="2"/>
        <v/>
      </c>
      <c r="M42" s="440"/>
      <c r="O42" s="436" t="str">
        <f t="shared" si="3"/>
        <v/>
      </c>
      <c r="P42" s="442"/>
      <c r="Q42" s="435"/>
      <c r="R42" s="436" t="str">
        <f t="shared" si="4"/>
        <v/>
      </c>
      <c r="S42" s="442"/>
    </row>
    <row r="43" spans="1:19" ht="13.15" customHeight="1">
      <c r="A43" s="434" t="s">
        <v>41</v>
      </c>
      <c r="B43" s="544">
        <f t="shared" si="5"/>
        <v>163</v>
      </c>
      <c r="C43" s="436">
        <f t="shared" si="6"/>
        <v>8.6380498145204037</v>
      </c>
      <c r="E43" s="435">
        <f>SUM(E44:E51)</f>
        <v>67</v>
      </c>
      <c r="F43" s="436">
        <f t="shared" si="0"/>
        <v>41.104294478527606</v>
      </c>
      <c r="H43" s="435">
        <f>SUM(H44:H51)</f>
        <v>6</v>
      </c>
      <c r="I43" s="436">
        <f t="shared" si="1"/>
        <v>3.6809815950920246</v>
      </c>
      <c r="K43" s="435">
        <f>SUM(K44:K51)</f>
        <v>50</v>
      </c>
      <c r="L43" s="436">
        <f t="shared" si="2"/>
        <v>30.674846625766872</v>
      </c>
      <c r="M43" s="440"/>
      <c r="N43" s="435">
        <f>SUM(N44:N51)</f>
        <v>35</v>
      </c>
      <c r="O43" s="436">
        <f t="shared" si="3"/>
        <v>21.472392638036812</v>
      </c>
      <c r="P43" s="442"/>
      <c r="Q43" s="435">
        <f>SUM(Q44:Q51)</f>
        <v>5</v>
      </c>
      <c r="R43" s="436">
        <f t="shared" si="4"/>
        <v>3.0674846625766872</v>
      </c>
      <c r="S43" s="442"/>
    </row>
    <row r="44" spans="1:19" ht="13.15" customHeight="1">
      <c r="A44" s="434" t="s">
        <v>43</v>
      </c>
      <c r="B44" s="544">
        <f t="shared" si="5"/>
        <v>33</v>
      </c>
      <c r="C44" s="436">
        <f t="shared" si="6"/>
        <v>1.7488076311605723</v>
      </c>
      <c r="E44" s="434">
        <v>6</v>
      </c>
      <c r="F44" s="436">
        <f t="shared" si="0"/>
        <v>18.181818181818183</v>
      </c>
      <c r="H44" s="434">
        <v>1</v>
      </c>
      <c r="I44" s="436">
        <f t="shared" si="1"/>
        <v>3.0303030303030303</v>
      </c>
      <c r="J44" s="434"/>
      <c r="K44" s="434">
        <v>11</v>
      </c>
      <c r="L44" s="436">
        <f t="shared" si="2"/>
        <v>33.333333333333329</v>
      </c>
      <c r="N44" s="434">
        <v>15</v>
      </c>
      <c r="O44" s="436">
        <f t="shared" si="3"/>
        <v>45.454545454545453</v>
      </c>
      <c r="Q44" s="434">
        <v>0</v>
      </c>
      <c r="R44" s="436">
        <f t="shared" si="4"/>
        <v>0</v>
      </c>
      <c r="S44" s="442"/>
    </row>
    <row r="45" spans="1:19" ht="13.15" customHeight="1">
      <c r="A45" s="434" t="s">
        <v>330</v>
      </c>
      <c r="B45" s="544">
        <f>IF($A45&lt;&gt;"",E45+H45+K45+N45+Q45,"")</f>
        <v>17</v>
      </c>
      <c r="C45" s="436">
        <f>IF(A45&lt;&gt;0,B45/$B$11*100,"")</f>
        <v>0.90090090090090091</v>
      </c>
      <c r="E45" s="434">
        <v>10</v>
      </c>
      <c r="F45" s="436">
        <f t="shared" si="0"/>
        <v>58.82352941176471</v>
      </c>
      <c r="H45" s="434">
        <v>2</v>
      </c>
      <c r="I45" s="436">
        <f t="shared" si="1"/>
        <v>11.76470588235294</v>
      </c>
      <c r="J45" s="434"/>
      <c r="K45" s="434">
        <v>5</v>
      </c>
      <c r="L45" s="436">
        <f t="shared" si="2"/>
        <v>29.411764705882355</v>
      </c>
      <c r="N45" s="434">
        <v>0</v>
      </c>
      <c r="O45" s="436">
        <f t="shared" si="3"/>
        <v>0</v>
      </c>
      <c r="Q45" s="434">
        <v>0</v>
      </c>
      <c r="R45" s="436">
        <f t="shared" si="4"/>
        <v>0</v>
      </c>
      <c r="S45" s="442"/>
    </row>
    <row r="46" spans="1:19" ht="13.15" customHeight="1">
      <c r="A46" s="434" t="s">
        <v>42</v>
      </c>
      <c r="B46" s="544">
        <f>IF($A46&lt;&gt;"",E46+H46+K46+N46+Q46,"")</f>
        <v>20</v>
      </c>
      <c r="C46" s="436">
        <f>IF(A46&lt;&gt;0,B46/$B$11*100,"")</f>
        <v>1.0598834128245893</v>
      </c>
      <c r="E46" s="434">
        <v>13</v>
      </c>
      <c r="F46" s="436">
        <f t="shared" si="0"/>
        <v>65</v>
      </c>
      <c r="H46" s="434">
        <v>0</v>
      </c>
      <c r="I46" s="436">
        <f t="shared" si="1"/>
        <v>0</v>
      </c>
      <c r="J46" s="434"/>
      <c r="K46" s="434">
        <v>7</v>
      </c>
      <c r="L46" s="436">
        <f t="shared" si="2"/>
        <v>35</v>
      </c>
      <c r="N46" s="434">
        <v>0</v>
      </c>
      <c r="O46" s="436">
        <f t="shared" si="3"/>
        <v>0</v>
      </c>
      <c r="Q46" s="434">
        <v>0</v>
      </c>
      <c r="R46" s="436">
        <f t="shared" si="4"/>
        <v>0</v>
      </c>
      <c r="S46" s="442"/>
    </row>
    <row r="47" spans="1:19" ht="13.15" customHeight="1">
      <c r="A47" s="434" t="s">
        <v>44</v>
      </c>
      <c r="B47" s="544">
        <f t="shared" si="5"/>
        <v>17</v>
      </c>
      <c r="C47" s="436">
        <f t="shared" si="6"/>
        <v>0.90090090090090091</v>
      </c>
      <c r="E47" s="434">
        <v>8</v>
      </c>
      <c r="F47" s="436">
        <f t="shared" si="0"/>
        <v>47.058823529411761</v>
      </c>
      <c r="H47" s="434">
        <v>0</v>
      </c>
      <c r="I47" s="436">
        <f t="shared" si="1"/>
        <v>0</v>
      </c>
      <c r="J47" s="434"/>
      <c r="K47" s="434">
        <v>6</v>
      </c>
      <c r="L47" s="436">
        <f t="shared" si="2"/>
        <v>35.294117647058826</v>
      </c>
      <c r="N47" s="434">
        <v>3</v>
      </c>
      <c r="O47" s="436">
        <f t="shared" si="3"/>
        <v>17.647058823529413</v>
      </c>
      <c r="Q47" s="434">
        <v>0</v>
      </c>
      <c r="R47" s="436">
        <f t="shared" si="4"/>
        <v>0</v>
      </c>
      <c r="S47" s="442"/>
    </row>
    <row r="48" spans="1:19" ht="13.15" customHeight="1">
      <c r="A48" s="434" t="s">
        <v>331</v>
      </c>
      <c r="B48" s="544">
        <f t="shared" si="5"/>
        <v>23</v>
      </c>
      <c r="C48" s="436">
        <f t="shared" si="6"/>
        <v>1.2188659247482776</v>
      </c>
      <c r="E48" s="434">
        <v>10</v>
      </c>
      <c r="F48" s="436">
        <f t="shared" si="0"/>
        <v>43.478260869565219</v>
      </c>
      <c r="H48" s="434">
        <v>2</v>
      </c>
      <c r="I48" s="436">
        <f t="shared" si="1"/>
        <v>8.695652173913043</v>
      </c>
      <c r="J48" s="434"/>
      <c r="K48" s="434">
        <v>5</v>
      </c>
      <c r="L48" s="436">
        <f t="shared" si="2"/>
        <v>21.739130434782609</v>
      </c>
      <c r="N48" s="434">
        <v>6</v>
      </c>
      <c r="O48" s="436">
        <f t="shared" si="3"/>
        <v>26.086956521739129</v>
      </c>
      <c r="Q48" s="434">
        <v>0</v>
      </c>
      <c r="R48" s="436">
        <f t="shared" si="4"/>
        <v>0</v>
      </c>
      <c r="S48" s="442"/>
    </row>
    <row r="49" spans="1:19" ht="13.15" customHeight="1">
      <c r="A49" s="434" t="s">
        <v>48</v>
      </c>
      <c r="B49" s="544">
        <f t="shared" si="5"/>
        <v>8</v>
      </c>
      <c r="C49" s="436">
        <f t="shared" si="6"/>
        <v>0.42395336512983572</v>
      </c>
      <c r="E49" s="434">
        <v>5</v>
      </c>
      <c r="F49" s="436">
        <f t="shared" si="0"/>
        <v>62.5</v>
      </c>
      <c r="H49" s="434">
        <v>0</v>
      </c>
      <c r="I49" s="436">
        <f t="shared" si="1"/>
        <v>0</v>
      </c>
      <c r="J49" s="434"/>
      <c r="K49" s="434">
        <v>2</v>
      </c>
      <c r="L49" s="436">
        <f t="shared" si="2"/>
        <v>25</v>
      </c>
      <c r="N49" s="434">
        <v>1</v>
      </c>
      <c r="O49" s="436">
        <f t="shared" si="3"/>
        <v>12.5</v>
      </c>
      <c r="Q49" s="434">
        <v>0</v>
      </c>
      <c r="R49" s="436">
        <f t="shared" si="4"/>
        <v>0</v>
      </c>
      <c r="S49" s="442"/>
    </row>
    <row r="50" spans="1:19" ht="13.15" customHeight="1">
      <c r="A50" s="434" t="s">
        <v>47</v>
      </c>
      <c r="B50" s="544">
        <f t="shared" si="5"/>
        <v>33</v>
      </c>
      <c r="C50" s="436">
        <f t="shared" si="6"/>
        <v>1.7488076311605723</v>
      </c>
      <c r="E50" s="434">
        <v>9</v>
      </c>
      <c r="F50" s="436">
        <f t="shared" si="0"/>
        <v>27.27272727272727</v>
      </c>
      <c r="H50" s="434">
        <v>1</v>
      </c>
      <c r="I50" s="436">
        <f t="shared" si="1"/>
        <v>3.0303030303030303</v>
      </c>
      <c r="J50" s="434"/>
      <c r="K50" s="434">
        <v>11</v>
      </c>
      <c r="L50" s="436">
        <f t="shared" si="2"/>
        <v>33.333333333333329</v>
      </c>
      <c r="N50" s="434">
        <v>7</v>
      </c>
      <c r="O50" s="436">
        <f t="shared" si="3"/>
        <v>21.212121212121211</v>
      </c>
      <c r="Q50" s="434">
        <v>5</v>
      </c>
      <c r="R50" s="436">
        <f t="shared" si="4"/>
        <v>15.151515151515152</v>
      </c>
      <c r="S50" s="442"/>
    </row>
    <row r="51" spans="1:19" ht="12" customHeight="1">
      <c r="A51" s="434" t="s">
        <v>46</v>
      </c>
      <c r="B51" s="544">
        <f t="shared" si="5"/>
        <v>12</v>
      </c>
      <c r="C51" s="436">
        <f t="shared" si="6"/>
        <v>0.63593004769475359</v>
      </c>
      <c r="E51" s="434">
        <v>6</v>
      </c>
      <c r="F51" s="436">
        <f t="shared" si="0"/>
        <v>50</v>
      </c>
      <c r="H51" s="434">
        <v>0</v>
      </c>
      <c r="I51" s="436">
        <f t="shared" si="1"/>
        <v>0</v>
      </c>
      <c r="J51" s="434"/>
      <c r="K51" s="434">
        <v>3</v>
      </c>
      <c r="L51" s="436">
        <f t="shared" si="2"/>
        <v>25</v>
      </c>
      <c r="N51" s="434">
        <v>3</v>
      </c>
      <c r="O51" s="436">
        <f t="shared" si="3"/>
        <v>25</v>
      </c>
      <c r="Q51" s="434">
        <v>0</v>
      </c>
      <c r="R51" s="436">
        <f t="shared" si="4"/>
        <v>0</v>
      </c>
      <c r="S51" s="442"/>
    </row>
    <row r="52" spans="1:19" ht="9.9499999999999993" customHeight="1">
      <c r="B52" s="544" t="str">
        <f t="shared" si="5"/>
        <v/>
      </c>
      <c r="C52" s="436" t="str">
        <f t="shared" si="6"/>
        <v/>
      </c>
      <c r="E52" s="434"/>
      <c r="F52" s="436" t="str">
        <f t="shared" si="0"/>
        <v/>
      </c>
      <c r="H52" s="434"/>
      <c r="I52" s="436" t="str">
        <f t="shared" si="1"/>
        <v/>
      </c>
      <c r="J52" s="434"/>
      <c r="K52" s="434"/>
      <c r="L52" s="436" t="str">
        <f t="shared" si="2"/>
        <v/>
      </c>
      <c r="N52" s="434"/>
      <c r="O52" s="436" t="str">
        <f t="shared" si="3"/>
        <v/>
      </c>
      <c r="R52" s="436" t="str">
        <f t="shared" si="4"/>
        <v/>
      </c>
      <c r="S52" s="442"/>
    </row>
    <row r="53" spans="1:19" ht="12" customHeight="1">
      <c r="A53" s="434" t="s">
        <v>50</v>
      </c>
      <c r="B53" s="544">
        <f t="shared" si="5"/>
        <v>58</v>
      </c>
      <c r="C53" s="436">
        <f t="shared" si="6"/>
        <v>3.0736618971913088</v>
      </c>
      <c r="E53" s="434">
        <v>5</v>
      </c>
      <c r="F53" s="436">
        <f t="shared" si="0"/>
        <v>8.6206896551724146</v>
      </c>
      <c r="H53" s="434">
        <v>1</v>
      </c>
      <c r="I53" s="436">
        <f t="shared" si="1"/>
        <v>1.7241379310344827</v>
      </c>
      <c r="J53" s="434"/>
      <c r="K53" s="434">
        <v>15</v>
      </c>
      <c r="L53" s="436">
        <f t="shared" si="2"/>
        <v>25.862068965517242</v>
      </c>
      <c r="N53" s="434">
        <v>25</v>
      </c>
      <c r="O53" s="436">
        <f t="shared" si="3"/>
        <v>43.103448275862064</v>
      </c>
      <c r="Q53" s="434">
        <v>12</v>
      </c>
      <c r="R53" s="436">
        <f t="shared" si="4"/>
        <v>20.689655172413794</v>
      </c>
      <c r="S53" s="442"/>
    </row>
    <row r="54" spans="1:19" ht="9.9499999999999993" customHeight="1">
      <c r="B54" s="544" t="str">
        <f t="shared" si="5"/>
        <v/>
      </c>
      <c r="C54" s="436" t="str">
        <f t="shared" si="6"/>
        <v/>
      </c>
      <c r="F54" s="436" t="str">
        <f t="shared" si="0"/>
        <v/>
      </c>
      <c r="I54" s="436" t="str">
        <f t="shared" si="1"/>
        <v/>
      </c>
      <c r="L54" s="436" t="str">
        <f t="shared" si="2"/>
        <v/>
      </c>
      <c r="M54" s="440"/>
      <c r="O54" s="436" t="str">
        <f t="shared" si="3"/>
        <v/>
      </c>
      <c r="P54" s="442"/>
      <c r="Q54" s="435"/>
      <c r="R54" s="436" t="str">
        <f t="shared" si="4"/>
        <v/>
      </c>
      <c r="S54" s="442"/>
    </row>
    <row r="55" spans="1:19" ht="13.15" customHeight="1">
      <c r="A55" s="434" t="s">
        <v>51</v>
      </c>
      <c r="B55" s="544">
        <f t="shared" si="5"/>
        <v>84</v>
      </c>
      <c r="C55" s="436">
        <f t="shared" si="6"/>
        <v>4.4515103338632747</v>
      </c>
      <c r="E55" s="435">
        <f>SUM(E56:E60)</f>
        <v>51</v>
      </c>
      <c r="F55" s="436">
        <f t="shared" si="0"/>
        <v>60.714285714285708</v>
      </c>
      <c r="H55" s="435">
        <f>SUM(H56:H60)</f>
        <v>8</v>
      </c>
      <c r="I55" s="436">
        <f t="shared" si="1"/>
        <v>9.5238095238095237</v>
      </c>
      <c r="K55" s="435">
        <f>SUM(K56:K60)</f>
        <v>14</v>
      </c>
      <c r="L55" s="436">
        <f t="shared" si="2"/>
        <v>16.666666666666664</v>
      </c>
      <c r="M55" s="440"/>
      <c r="N55" s="435">
        <f>SUM(N56:N60)</f>
        <v>10</v>
      </c>
      <c r="O55" s="436">
        <f t="shared" si="3"/>
        <v>11.904761904761903</v>
      </c>
      <c r="P55" s="442"/>
      <c r="Q55" s="435">
        <f>SUM(Q56:Q60)</f>
        <v>1</v>
      </c>
      <c r="R55" s="436">
        <f t="shared" si="4"/>
        <v>1.1904761904761905</v>
      </c>
      <c r="S55" s="442"/>
    </row>
    <row r="56" spans="1:19" ht="13.15" customHeight="1">
      <c r="A56" s="434" t="s">
        <v>52</v>
      </c>
      <c r="B56" s="544">
        <f t="shared" si="5"/>
        <v>13</v>
      </c>
      <c r="C56" s="436">
        <f t="shared" si="6"/>
        <v>0.68892421833598305</v>
      </c>
      <c r="E56" s="434">
        <v>3</v>
      </c>
      <c r="F56" s="436">
        <f t="shared" si="0"/>
        <v>23.076923076923077</v>
      </c>
      <c r="H56" s="434">
        <v>2</v>
      </c>
      <c r="I56" s="436">
        <f t="shared" si="1"/>
        <v>15.384615384615385</v>
      </c>
      <c r="J56" s="434"/>
      <c r="K56" s="434">
        <v>3</v>
      </c>
      <c r="L56" s="436">
        <f t="shared" si="2"/>
        <v>23.076923076923077</v>
      </c>
      <c r="N56" s="434">
        <v>5</v>
      </c>
      <c r="O56" s="436">
        <f t="shared" si="3"/>
        <v>38.461538461538467</v>
      </c>
      <c r="Q56" s="434">
        <v>0</v>
      </c>
      <c r="R56" s="436">
        <f t="shared" si="4"/>
        <v>0</v>
      </c>
      <c r="S56" s="442"/>
    </row>
    <row r="57" spans="1:19" ht="13.15" customHeight="1">
      <c r="A57" s="434" t="s">
        <v>53</v>
      </c>
      <c r="B57" s="544">
        <f t="shared" si="5"/>
        <v>26</v>
      </c>
      <c r="C57" s="436">
        <f t="shared" si="6"/>
        <v>1.3778484366719661</v>
      </c>
      <c r="E57" s="434">
        <v>16</v>
      </c>
      <c r="F57" s="436">
        <f t="shared" si="0"/>
        <v>61.53846153846154</v>
      </c>
      <c r="H57" s="434">
        <v>1</v>
      </c>
      <c r="I57" s="436">
        <f t="shared" si="1"/>
        <v>3.8461538461538463</v>
      </c>
      <c r="J57" s="434"/>
      <c r="K57" s="434">
        <v>7</v>
      </c>
      <c r="L57" s="436">
        <f t="shared" si="2"/>
        <v>26.923076923076923</v>
      </c>
      <c r="N57" s="434">
        <v>2</v>
      </c>
      <c r="O57" s="436">
        <f t="shared" si="3"/>
        <v>7.6923076923076925</v>
      </c>
      <c r="Q57" s="434">
        <v>0</v>
      </c>
      <c r="R57" s="436">
        <f t="shared" si="4"/>
        <v>0</v>
      </c>
      <c r="S57" s="442"/>
    </row>
    <row r="58" spans="1:19" ht="13.15" customHeight="1">
      <c r="A58" s="434" t="s">
        <v>54</v>
      </c>
      <c r="B58" s="544">
        <f t="shared" si="5"/>
        <v>21</v>
      </c>
      <c r="C58" s="436">
        <f t="shared" si="6"/>
        <v>1.1128775834658187</v>
      </c>
      <c r="E58" s="434">
        <v>13</v>
      </c>
      <c r="F58" s="436">
        <f t="shared" si="0"/>
        <v>61.904761904761905</v>
      </c>
      <c r="H58" s="434">
        <v>3</v>
      </c>
      <c r="I58" s="436">
        <f t="shared" si="1"/>
        <v>14.285714285714285</v>
      </c>
      <c r="J58" s="434"/>
      <c r="K58" s="434">
        <v>3</v>
      </c>
      <c r="L58" s="436">
        <f t="shared" si="2"/>
        <v>14.285714285714285</v>
      </c>
      <c r="N58" s="434">
        <v>2</v>
      </c>
      <c r="O58" s="436">
        <f t="shared" si="3"/>
        <v>9.5238095238095237</v>
      </c>
      <c r="Q58" s="434">
        <v>0</v>
      </c>
      <c r="R58" s="436">
        <f t="shared" si="4"/>
        <v>0</v>
      </c>
      <c r="S58" s="442"/>
    </row>
    <row r="59" spans="1:19" ht="13.15" customHeight="1">
      <c r="A59" s="434" t="s">
        <v>332</v>
      </c>
      <c r="B59" s="544">
        <f t="shared" si="5"/>
        <v>9</v>
      </c>
      <c r="C59" s="436">
        <f t="shared" si="6"/>
        <v>0.47694753577106513</v>
      </c>
      <c r="E59" s="434">
        <v>8</v>
      </c>
      <c r="F59" s="436">
        <f t="shared" si="0"/>
        <v>88.888888888888886</v>
      </c>
      <c r="H59" s="434">
        <v>1</v>
      </c>
      <c r="I59" s="436">
        <f t="shared" si="1"/>
        <v>11.111111111111111</v>
      </c>
      <c r="J59" s="434"/>
      <c r="K59" s="434">
        <v>0</v>
      </c>
      <c r="L59" s="436">
        <f t="shared" si="2"/>
        <v>0</v>
      </c>
      <c r="N59" s="434">
        <v>0</v>
      </c>
      <c r="O59" s="436">
        <f t="shared" si="3"/>
        <v>0</v>
      </c>
      <c r="Q59" s="434">
        <v>0</v>
      </c>
      <c r="R59" s="436">
        <f t="shared" si="4"/>
        <v>0</v>
      </c>
      <c r="S59" s="442"/>
    </row>
    <row r="60" spans="1:19" ht="12" customHeight="1">
      <c r="A60" s="434" t="s">
        <v>56</v>
      </c>
      <c r="B60" s="544">
        <f t="shared" si="5"/>
        <v>15</v>
      </c>
      <c r="C60" s="436">
        <f t="shared" si="6"/>
        <v>0.79491255961844187</v>
      </c>
      <c r="E60" s="434">
        <v>11</v>
      </c>
      <c r="F60" s="436">
        <f t="shared" si="0"/>
        <v>73.333333333333329</v>
      </c>
      <c r="H60" s="434">
        <v>1</v>
      </c>
      <c r="I60" s="436">
        <f t="shared" si="1"/>
        <v>6.666666666666667</v>
      </c>
      <c r="J60" s="434"/>
      <c r="K60" s="434">
        <v>1</v>
      </c>
      <c r="L60" s="436">
        <f t="shared" si="2"/>
        <v>6.666666666666667</v>
      </c>
      <c r="N60" s="434">
        <v>1</v>
      </c>
      <c r="O60" s="436">
        <f t="shared" si="3"/>
        <v>6.666666666666667</v>
      </c>
      <c r="Q60" s="434">
        <v>1</v>
      </c>
      <c r="R60" s="436">
        <f t="shared" si="4"/>
        <v>6.666666666666667</v>
      </c>
      <c r="S60" s="442"/>
    </row>
    <row r="61" spans="1:19" ht="9.9499999999999993" customHeight="1">
      <c r="B61" s="544" t="str">
        <f t="shared" si="5"/>
        <v/>
      </c>
      <c r="C61" s="436" t="str">
        <f t="shared" si="6"/>
        <v/>
      </c>
      <c r="F61" s="436" t="str">
        <f t="shared" si="0"/>
        <v/>
      </c>
      <c r="I61" s="436" t="str">
        <f t="shared" si="1"/>
        <v/>
      </c>
      <c r="L61" s="436" t="str">
        <f t="shared" si="2"/>
        <v/>
      </c>
      <c r="M61" s="440"/>
      <c r="O61" s="436" t="str">
        <f t="shared" si="3"/>
        <v/>
      </c>
      <c r="P61" s="442"/>
      <c r="Q61" s="435"/>
      <c r="R61" s="436" t="str">
        <f t="shared" si="4"/>
        <v/>
      </c>
      <c r="S61" s="442"/>
    </row>
    <row r="62" spans="1:19" ht="13.15" customHeight="1">
      <c r="A62" s="63" t="s">
        <v>333</v>
      </c>
      <c r="B62" s="544">
        <f t="shared" si="5"/>
        <v>508</v>
      </c>
      <c r="C62" s="436">
        <f t="shared" si="6"/>
        <v>26.92103868574457</v>
      </c>
      <c r="E62" s="435">
        <f>E63+E65+E72+E74</f>
        <v>114</v>
      </c>
      <c r="F62" s="436">
        <f t="shared" si="0"/>
        <v>22.440944881889763</v>
      </c>
      <c r="H62" s="435">
        <f>H63+H65+H72+H74</f>
        <v>4</v>
      </c>
      <c r="I62" s="436">
        <f t="shared" si="1"/>
        <v>0.78740157480314954</v>
      </c>
      <c r="K62" s="435">
        <f>K63+K65+K72+K74</f>
        <v>48</v>
      </c>
      <c r="L62" s="436">
        <f t="shared" si="2"/>
        <v>9.4488188976377945</v>
      </c>
      <c r="M62" s="440"/>
      <c r="N62" s="435">
        <f>N63+N65+N72+N74</f>
        <v>156</v>
      </c>
      <c r="O62" s="436">
        <f t="shared" si="3"/>
        <v>30.708661417322837</v>
      </c>
      <c r="P62" s="442"/>
      <c r="Q62" s="435">
        <f>Q63+Q65+Q72+Q74</f>
        <v>186</v>
      </c>
      <c r="R62" s="436">
        <f t="shared" si="4"/>
        <v>36.614173228346459</v>
      </c>
      <c r="S62" s="442"/>
    </row>
    <row r="63" spans="1:19" ht="12" customHeight="1">
      <c r="A63" s="434" t="s">
        <v>334</v>
      </c>
      <c r="B63" s="544">
        <f t="shared" si="5"/>
        <v>25</v>
      </c>
      <c r="C63" s="436">
        <f t="shared" si="6"/>
        <v>1.3248542660307367</v>
      </c>
      <c r="E63" s="434">
        <v>21</v>
      </c>
      <c r="F63" s="436">
        <f t="shared" si="0"/>
        <v>84</v>
      </c>
      <c r="H63" s="434">
        <v>0</v>
      </c>
      <c r="I63" s="436">
        <f t="shared" si="1"/>
        <v>0</v>
      </c>
      <c r="J63" s="434"/>
      <c r="K63" s="434">
        <v>1</v>
      </c>
      <c r="L63" s="436">
        <f t="shared" si="2"/>
        <v>4</v>
      </c>
      <c r="N63" s="434">
        <v>1</v>
      </c>
      <c r="O63" s="436">
        <f t="shared" si="3"/>
        <v>4</v>
      </c>
      <c r="Q63" s="434">
        <v>2</v>
      </c>
      <c r="R63" s="436">
        <f t="shared" si="4"/>
        <v>8</v>
      </c>
      <c r="S63" s="442"/>
    </row>
    <row r="64" spans="1:19" ht="9.9499999999999993" customHeight="1">
      <c r="B64" s="544" t="str">
        <f t="shared" si="5"/>
        <v/>
      </c>
      <c r="C64" s="436" t="str">
        <f t="shared" si="6"/>
        <v/>
      </c>
      <c r="F64" s="436" t="str">
        <f t="shared" si="0"/>
        <v/>
      </c>
      <c r="I64" s="436" t="str">
        <f t="shared" si="1"/>
        <v/>
      </c>
      <c r="L64" s="436" t="str">
        <f t="shared" si="2"/>
        <v/>
      </c>
      <c r="M64" s="440"/>
      <c r="O64" s="436" t="str">
        <f t="shared" si="3"/>
        <v/>
      </c>
      <c r="P64" s="442"/>
      <c r="Q64" s="435"/>
      <c r="R64" s="436" t="str">
        <f t="shared" si="4"/>
        <v/>
      </c>
      <c r="S64" s="442"/>
    </row>
    <row r="65" spans="1:19" ht="13.15" customHeight="1">
      <c r="A65" s="434" t="s">
        <v>60</v>
      </c>
      <c r="B65" s="544">
        <f t="shared" si="5"/>
        <v>373</v>
      </c>
      <c r="C65" s="436">
        <f t="shared" si="6"/>
        <v>19.766825649178589</v>
      </c>
      <c r="E65" s="435">
        <f>SUM(E66:E70)</f>
        <v>52</v>
      </c>
      <c r="F65" s="436">
        <f t="shared" si="0"/>
        <v>13.941018766756033</v>
      </c>
      <c r="H65" s="435">
        <f>SUM(H66:H70)</f>
        <v>2</v>
      </c>
      <c r="I65" s="436">
        <f t="shared" si="1"/>
        <v>0.53619302949061665</v>
      </c>
      <c r="K65" s="435">
        <f>SUM(K66:K70)</f>
        <v>21</v>
      </c>
      <c r="L65" s="436">
        <f t="shared" si="2"/>
        <v>5.6300268096514747</v>
      </c>
      <c r="M65" s="440"/>
      <c r="N65" s="435">
        <f>SUM(N66:N70)</f>
        <v>126</v>
      </c>
      <c r="O65" s="436">
        <f t="shared" si="3"/>
        <v>33.780160857908847</v>
      </c>
      <c r="P65" s="442"/>
      <c r="Q65" s="435">
        <f>SUM(Q66:Q70)</f>
        <v>172</v>
      </c>
      <c r="R65" s="436">
        <f t="shared" si="4"/>
        <v>46.112600536193028</v>
      </c>
      <c r="S65" s="442"/>
    </row>
    <row r="66" spans="1:19" ht="13.15" customHeight="1">
      <c r="A66" s="434" t="s">
        <v>395</v>
      </c>
      <c r="B66" s="544">
        <f t="shared" si="5"/>
        <v>307</v>
      </c>
      <c r="C66" s="436">
        <f t="shared" si="6"/>
        <v>16.269210386857445</v>
      </c>
      <c r="E66" s="434">
        <v>10</v>
      </c>
      <c r="F66" s="436">
        <f t="shared" si="0"/>
        <v>3.2573289902280131</v>
      </c>
      <c r="H66" s="434">
        <v>1</v>
      </c>
      <c r="I66" s="436">
        <f t="shared" si="1"/>
        <v>0.32573289902280134</v>
      </c>
      <c r="J66" s="434"/>
      <c r="K66" s="434">
        <v>13</v>
      </c>
      <c r="L66" s="436">
        <f t="shared" si="2"/>
        <v>4.234527687296417</v>
      </c>
      <c r="N66" s="434">
        <v>114</v>
      </c>
      <c r="O66" s="436">
        <f t="shared" si="3"/>
        <v>37.133550488599347</v>
      </c>
      <c r="Q66" s="434">
        <v>169</v>
      </c>
      <c r="R66" s="436">
        <f t="shared" si="4"/>
        <v>55.048859934853425</v>
      </c>
      <c r="S66" s="442"/>
    </row>
    <row r="67" spans="1:19" ht="13.15" customHeight="1">
      <c r="A67" s="434" t="s">
        <v>62</v>
      </c>
      <c r="B67" s="544">
        <f t="shared" si="5"/>
        <v>29</v>
      </c>
      <c r="C67" s="436">
        <f t="shared" si="6"/>
        <v>1.5368309485956544</v>
      </c>
      <c r="E67" s="434">
        <v>27</v>
      </c>
      <c r="F67" s="436">
        <f t="shared" si="0"/>
        <v>93.103448275862064</v>
      </c>
      <c r="H67" s="434">
        <v>0</v>
      </c>
      <c r="I67" s="436">
        <f t="shared" si="1"/>
        <v>0</v>
      </c>
      <c r="J67" s="434"/>
      <c r="K67" s="434">
        <v>1</v>
      </c>
      <c r="L67" s="436">
        <f t="shared" si="2"/>
        <v>3.4482758620689653</v>
      </c>
      <c r="N67" s="434">
        <v>1</v>
      </c>
      <c r="O67" s="436">
        <f t="shared" si="3"/>
        <v>3.4482758620689653</v>
      </c>
      <c r="Q67" s="434">
        <v>0</v>
      </c>
      <c r="R67" s="436">
        <f t="shared" si="4"/>
        <v>0</v>
      </c>
      <c r="S67" s="442"/>
    </row>
    <row r="68" spans="1:19" ht="13.15" customHeight="1">
      <c r="A68" s="434" t="s">
        <v>64</v>
      </c>
      <c r="B68" s="544">
        <f t="shared" si="5"/>
        <v>14</v>
      </c>
      <c r="C68" s="436">
        <f t="shared" si="6"/>
        <v>0.74191838897721252</v>
      </c>
      <c r="E68" s="434">
        <v>10</v>
      </c>
      <c r="F68" s="436">
        <f t="shared" si="0"/>
        <v>71.428571428571431</v>
      </c>
      <c r="H68" s="434">
        <v>0</v>
      </c>
      <c r="I68" s="436">
        <f t="shared" si="1"/>
        <v>0</v>
      </c>
      <c r="J68" s="434"/>
      <c r="K68" s="434">
        <v>1</v>
      </c>
      <c r="L68" s="436">
        <f t="shared" si="2"/>
        <v>7.1428571428571423</v>
      </c>
      <c r="N68" s="434">
        <v>2</v>
      </c>
      <c r="O68" s="436">
        <f t="shared" si="3"/>
        <v>14.285714285714285</v>
      </c>
      <c r="Q68" s="434">
        <v>1</v>
      </c>
      <c r="R68" s="436">
        <f t="shared" si="4"/>
        <v>7.1428571428571423</v>
      </c>
      <c r="S68" s="442"/>
    </row>
    <row r="69" spans="1:19" ht="12" customHeight="1">
      <c r="A69" s="434" t="s">
        <v>63</v>
      </c>
      <c r="B69" s="544">
        <f t="shared" si="5"/>
        <v>12</v>
      </c>
      <c r="C69" s="436">
        <f t="shared" si="6"/>
        <v>0.63593004769475359</v>
      </c>
      <c r="E69" s="434">
        <v>4</v>
      </c>
      <c r="F69" s="436">
        <f t="shared" si="0"/>
        <v>33.333333333333329</v>
      </c>
      <c r="H69" s="434">
        <v>1</v>
      </c>
      <c r="I69" s="436">
        <f t="shared" si="1"/>
        <v>8.3333333333333321</v>
      </c>
      <c r="J69" s="434"/>
      <c r="K69" s="434">
        <v>4</v>
      </c>
      <c r="L69" s="436">
        <f t="shared" si="2"/>
        <v>33.333333333333329</v>
      </c>
      <c r="N69" s="434">
        <v>1</v>
      </c>
      <c r="O69" s="436">
        <f t="shared" si="3"/>
        <v>8.3333333333333321</v>
      </c>
      <c r="Q69" s="434">
        <v>2</v>
      </c>
      <c r="R69" s="436">
        <f t="shared" si="4"/>
        <v>16.666666666666664</v>
      </c>
      <c r="S69" s="442"/>
    </row>
    <row r="70" spans="1:19" ht="13.15" customHeight="1">
      <c r="A70" s="434" t="s">
        <v>65</v>
      </c>
      <c r="B70" s="544">
        <f t="shared" si="5"/>
        <v>11</v>
      </c>
      <c r="C70" s="436">
        <f t="shared" si="6"/>
        <v>0.58293587705352412</v>
      </c>
      <c r="E70" s="434">
        <v>1</v>
      </c>
      <c r="F70" s="436">
        <f t="shared" si="0"/>
        <v>9.0909090909090917</v>
      </c>
      <c r="H70" s="434">
        <v>0</v>
      </c>
      <c r="I70" s="436">
        <f t="shared" si="1"/>
        <v>0</v>
      </c>
      <c r="J70" s="434"/>
      <c r="K70" s="434">
        <v>2</v>
      </c>
      <c r="L70" s="436">
        <f t="shared" si="2"/>
        <v>18.181818181818183</v>
      </c>
      <c r="N70" s="434">
        <v>8</v>
      </c>
      <c r="O70" s="436">
        <f t="shared" si="3"/>
        <v>72.727272727272734</v>
      </c>
      <c r="Q70" s="434">
        <v>0</v>
      </c>
      <c r="R70" s="436">
        <f t="shared" si="4"/>
        <v>0</v>
      </c>
      <c r="S70" s="442"/>
    </row>
    <row r="71" spans="1:19" ht="9.9499999999999993" customHeight="1">
      <c r="B71" s="544" t="str">
        <f t="shared" si="5"/>
        <v/>
      </c>
      <c r="C71" s="436" t="str">
        <f t="shared" si="6"/>
        <v/>
      </c>
      <c r="E71" s="434"/>
      <c r="F71" s="436" t="str">
        <f t="shared" si="0"/>
        <v/>
      </c>
      <c r="H71" s="434"/>
      <c r="I71" s="436" t="str">
        <f t="shared" si="1"/>
        <v/>
      </c>
      <c r="J71" s="434"/>
      <c r="K71" s="434"/>
      <c r="L71" s="436" t="str">
        <f t="shared" si="2"/>
        <v/>
      </c>
      <c r="N71" s="434"/>
      <c r="O71" s="436" t="str">
        <f t="shared" si="3"/>
        <v/>
      </c>
      <c r="R71" s="436" t="str">
        <f t="shared" si="4"/>
        <v/>
      </c>
      <c r="S71" s="442"/>
    </row>
    <row r="72" spans="1:19" ht="13.15" customHeight="1">
      <c r="A72" s="434" t="s">
        <v>66</v>
      </c>
      <c r="B72" s="544">
        <f t="shared" si="5"/>
        <v>26</v>
      </c>
      <c r="C72" s="436">
        <f t="shared" si="6"/>
        <v>1.3778484366719661</v>
      </c>
      <c r="E72" s="434">
        <v>22</v>
      </c>
      <c r="F72" s="436">
        <f t="shared" si="0"/>
        <v>84.615384615384613</v>
      </c>
      <c r="H72" s="434">
        <v>0</v>
      </c>
      <c r="I72" s="436">
        <f t="shared" si="1"/>
        <v>0</v>
      </c>
      <c r="J72" s="434"/>
      <c r="K72" s="434">
        <v>3</v>
      </c>
      <c r="L72" s="436">
        <f t="shared" si="2"/>
        <v>11.538461538461538</v>
      </c>
      <c r="N72" s="434">
        <v>0</v>
      </c>
      <c r="O72" s="436">
        <f t="shared" si="3"/>
        <v>0</v>
      </c>
      <c r="Q72" s="434">
        <v>1</v>
      </c>
      <c r="R72" s="436">
        <f t="shared" si="4"/>
        <v>3.8461538461538463</v>
      </c>
      <c r="S72" s="442"/>
    </row>
    <row r="73" spans="1:19" ht="9.9499999999999993" customHeight="1">
      <c r="B73" s="544" t="str">
        <f t="shared" si="5"/>
        <v/>
      </c>
      <c r="C73" s="436" t="str">
        <f t="shared" si="6"/>
        <v/>
      </c>
      <c r="E73" s="434"/>
      <c r="F73" s="436" t="str">
        <f t="shared" si="0"/>
        <v/>
      </c>
      <c r="H73" s="434"/>
      <c r="I73" s="436" t="str">
        <f t="shared" si="1"/>
        <v/>
      </c>
      <c r="J73" s="434"/>
      <c r="K73" s="434"/>
      <c r="L73" s="436" t="str">
        <f t="shared" si="2"/>
        <v/>
      </c>
      <c r="N73" s="434"/>
      <c r="O73" s="436" t="str">
        <f t="shared" si="3"/>
        <v/>
      </c>
      <c r="R73" s="436" t="str">
        <f t="shared" si="4"/>
        <v/>
      </c>
      <c r="S73" s="442"/>
    </row>
    <row r="74" spans="1:19" ht="13.15" customHeight="1">
      <c r="A74" s="434" t="s">
        <v>67</v>
      </c>
      <c r="B74" s="544">
        <f t="shared" si="5"/>
        <v>84</v>
      </c>
      <c r="C74" s="436">
        <f t="shared" si="6"/>
        <v>4.4515103338632747</v>
      </c>
      <c r="E74" s="434">
        <v>19</v>
      </c>
      <c r="F74" s="436">
        <f t="shared" si="0"/>
        <v>22.61904761904762</v>
      </c>
      <c r="H74" s="434">
        <v>2</v>
      </c>
      <c r="I74" s="436">
        <f t="shared" si="1"/>
        <v>2.3809523809523809</v>
      </c>
      <c r="J74" s="434"/>
      <c r="K74" s="434">
        <v>23</v>
      </c>
      <c r="L74" s="436">
        <f t="shared" si="2"/>
        <v>27.380952380952383</v>
      </c>
      <c r="N74" s="434">
        <v>29</v>
      </c>
      <c r="O74" s="436">
        <f t="shared" si="3"/>
        <v>34.523809523809526</v>
      </c>
      <c r="Q74" s="434">
        <v>11</v>
      </c>
      <c r="R74" s="436">
        <f t="shared" si="4"/>
        <v>13.095238095238097</v>
      </c>
      <c r="S74" s="442"/>
    </row>
    <row r="75" spans="1:19" ht="9.9499999999999993" customHeight="1">
      <c r="B75" s="544" t="str">
        <f t="shared" si="5"/>
        <v/>
      </c>
      <c r="C75" s="436" t="str">
        <f t="shared" si="6"/>
        <v/>
      </c>
      <c r="F75" s="436" t="str">
        <f t="shared" si="0"/>
        <v/>
      </c>
      <c r="I75" s="436" t="str">
        <f t="shared" si="1"/>
        <v/>
      </c>
      <c r="L75" s="436" t="str">
        <f t="shared" si="2"/>
        <v/>
      </c>
      <c r="M75" s="440"/>
      <c r="O75" s="436" t="str">
        <f t="shared" si="3"/>
        <v/>
      </c>
      <c r="P75" s="442"/>
      <c r="Q75" s="435"/>
      <c r="R75" s="436" t="str">
        <f t="shared" si="4"/>
        <v/>
      </c>
      <c r="S75" s="442"/>
    </row>
    <row r="76" spans="1:19" ht="13.15" customHeight="1">
      <c r="A76" s="63" t="s">
        <v>336</v>
      </c>
      <c r="B76" s="544">
        <f t="shared" si="5"/>
        <v>59</v>
      </c>
      <c r="C76" s="436">
        <f t="shared" si="6"/>
        <v>3.1266560678325379</v>
      </c>
      <c r="E76" s="435">
        <f>E77</f>
        <v>40</v>
      </c>
      <c r="F76" s="436">
        <f t="shared" ref="F76:F112" si="7">IF($A76&lt;&gt;0,E76/$B76*100,"")</f>
        <v>67.796610169491515</v>
      </c>
      <c r="H76" s="435">
        <f>H77</f>
        <v>0</v>
      </c>
      <c r="I76" s="436">
        <f t="shared" ref="I76:I112" si="8">IF($A76&lt;&gt;0,H76/$B76*100,"")</f>
        <v>0</v>
      </c>
      <c r="K76" s="435">
        <f>K77</f>
        <v>12</v>
      </c>
      <c r="L76" s="436">
        <f t="shared" ref="L76:L112" si="9">IF($A76&lt;&gt;0,K76/$B76*100,"")</f>
        <v>20.33898305084746</v>
      </c>
      <c r="M76" s="440"/>
      <c r="N76" s="435">
        <f>N77</f>
        <v>5</v>
      </c>
      <c r="O76" s="436">
        <f t="shared" ref="O76:O112" si="10">IF($A76&lt;&gt;0,N76/$B76*100,"")</f>
        <v>8.4745762711864394</v>
      </c>
      <c r="P76" s="442"/>
      <c r="Q76" s="435">
        <f>Q77</f>
        <v>2</v>
      </c>
      <c r="R76" s="436">
        <f t="shared" ref="R76:R112" si="11">IF($A76&lt;&gt;0,Q76/$B76*100,"")</f>
        <v>3.3898305084745761</v>
      </c>
      <c r="S76" s="442"/>
    </row>
    <row r="77" spans="1:19" ht="13.15" customHeight="1">
      <c r="A77" s="434" t="s">
        <v>337</v>
      </c>
      <c r="B77" s="544">
        <f t="shared" si="5"/>
        <v>59</v>
      </c>
      <c r="C77" s="436">
        <f t="shared" si="6"/>
        <v>3.1266560678325379</v>
      </c>
      <c r="E77" s="435">
        <f>SUM(E78:E81)</f>
        <v>40</v>
      </c>
      <c r="F77" s="436">
        <f t="shared" si="7"/>
        <v>67.796610169491515</v>
      </c>
      <c r="H77" s="435">
        <f>SUM(H78:H81)</f>
        <v>0</v>
      </c>
      <c r="I77" s="436">
        <f t="shared" si="8"/>
        <v>0</v>
      </c>
      <c r="K77" s="435">
        <f>SUM(K78:K81)</f>
        <v>12</v>
      </c>
      <c r="L77" s="436">
        <f t="shared" si="9"/>
        <v>20.33898305084746</v>
      </c>
      <c r="M77" s="440"/>
      <c r="N77" s="435">
        <f>SUM(N78:N81)</f>
        <v>5</v>
      </c>
      <c r="O77" s="436">
        <f t="shared" si="10"/>
        <v>8.4745762711864394</v>
      </c>
      <c r="P77" s="442"/>
      <c r="Q77" s="435">
        <f>SUM(Q78:Q81)</f>
        <v>2</v>
      </c>
      <c r="R77" s="436">
        <f t="shared" si="11"/>
        <v>3.3898305084745761</v>
      </c>
      <c r="S77" s="442"/>
    </row>
    <row r="78" spans="1:19" ht="13.15" customHeight="1">
      <c r="A78" s="434" t="s">
        <v>70</v>
      </c>
      <c r="B78" s="544">
        <f t="shared" si="5"/>
        <v>12</v>
      </c>
      <c r="C78" s="436">
        <f t="shared" si="6"/>
        <v>0.63593004769475359</v>
      </c>
      <c r="E78" s="434">
        <v>9</v>
      </c>
      <c r="F78" s="436">
        <f t="shared" si="7"/>
        <v>75</v>
      </c>
      <c r="H78" s="434">
        <v>0</v>
      </c>
      <c r="I78" s="436">
        <f t="shared" si="8"/>
        <v>0</v>
      </c>
      <c r="J78" s="434"/>
      <c r="K78" s="434">
        <v>3</v>
      </c>
      <c r="L78" s="436">
        <f t="shared" si="9"/>
        <v>25</v>
      </c>
      <c r="N78" s="434">
        <v>0</v>
      </c>
      <c r="O78" s="436">
        <f t="shared" si="10"/>
        <v>0</v>
      </c>
      <c r="Q78" s="434">
        <v>0</v>
      </c>
      <c r="R78" s="436">
        <f t="shared" si="11"/>
        <v>0</v>
      </c>
      <c r="S78" s="442"/>
    </row>
    <row r="79" spans="1:19" ht="13.15" customHeight="1">
      <c r="A79" s="434" t="s">
        <v>71</v>
      </c>
      <c r="B79" s="544">
        <f t="shared" si="5"/>
        <v>28</v>
      </c>
      <c r="C79" s="436">
        <f t="shared" si="6"/>
        <v>1.483836777954425</v>
      </c>
      <c r="E79" s="434">
        <v>17</v>
      </c>
      <c r="F79" s="436">
        <f t="shared" si="7"/>
        <v>60.714285714285708</v>
      </c>
      <c r="H79" s="434">
        <v>0</v>
      </c>
      <c r="I79" s="436">
        <f t="shared" si="8"/>
        <v>0</v>
      </c>
      <c r="J79" s="434"/>
      <c r="K79" s="434">
        <v>6</v>
      </c>
      <c r="L79" s="436">
        <f t="shared" si="9"/>
        <v>21.428571428571427</v>
      </c>
      <c r="N79" s="434">
        <v>3</v>
      </c>
      <c r="O79" s="436">
        <f t="shared" si="10"/>
        <v>10.714285714285714</v>
      </c>
      <c r="Q79" s="434">
        <v>2</v>
      </c>
      <c r="R79" s="436">
        <f t="shared" si="11"/>
        <v>7.1428571428571423</v>
      </c>
      <c r="S79" s="442"/>
    </row>
    <row r="80" spans="1:19" ht="12" customHeight="1">
      <c r="A80" s="434" t="s">
        <v>72</v>
      </c>
      <c r="B80" s="544">
        <f t="shared" ref="B80:B112" si="12">IF($A80&lt;&gt;"",E80+H80+K80+N80+Q80,"")</f>
        <v>7</v>
      </c>
      <c r="C80" s="436">
        <f t="shared" si="6"/>
        <v>0.37095919448860626</v>
      </c>
      <c r="E80" s="434">
        <v>5</v>
      </c>
      <c r="F80" s="436">
        <f t="shared" si="7"/>
        <v>71.428571428571431</v>
      </c>
      <c r="H80" s="434">
        <v>0</v>
      </c>
      <c r="I80" s="436">
        <f t="shared" si="8"/>
        <v>0</v>
      </c>
      <c r="J80" s="434"/>
      <c r="K80" s="434">
        <v>2</v>
      </c>
      <c r="L80" s="436">
        <f t="shared" si="9"/>
        <v>28.571428571428569</v>
      </c>
      <c r="N80" s="434">
        <v>0</v>
      </c>
      <c r="O80" s="436">
        <f t="shared" si="10"/>
        <v>0</v>
      </c>
      <c r="Q80" s="434">
        <v>0</v>
      </c>
      <c r="R80" s="436">
        <f t="shared" si="11"/>
        <v>0</v>
      </c>
      <c r="S80" s="442"/>
    </row>
    <row r="81" spans="1:19" ht="13.15" customHeight="1">
      <c r="A81" s="434" t="s">
        <v>73</v>
      </c>
      <c r="B81" s="544">
        <f t="shared" si="12"/>
        <v>12</v>
      </c>
      <c r="C81" s="436">
        <f t="shared" si="6"/>
        <v>0.63593004769475359</v>
      </c>
      <c r="E81" s="434">
        <v>9</v>
      </c>
      <c r="F81" s="436">
        <f t="shared" si="7"/>
        <v>75</v>
      </c>
      <c r="H81" s="434">
        <v>0</v>
      </c>
      <c r="I81" s="436">
        <f t="shared" si="8"/>
        <v>0</v>
      </c>
      <c r="J81" s="434"/>
      <c r="K81" s="434">
        <v>1</v>
      </c>
      <c r="L81" s="436">
        <f t="shared" si="9"/>
        <v>8.3333333333333321</v>
      </c>
      <c r="N81" s="434">
        <v>2</v>
      </c>
      <c r="O81" s="436">
        <f t="shared" si="10"/>
        <v>16.666666666666664</v>
      </c>
      <c r="Q81" s="434">
        <v>0</v>
      </c>
      <c r="R81" s="436">
        <f t="shared" si="11"/>
        <v>0</v>
      </c>
      <c r="S81" s="442"/>
    </row>
    <row r="82" spans="1:19" ht="11.25" customHeight="1">
      <c r="B82" s="544" t="str">
        <f t="shared" si="12"/>
        <v/>
      </c>
      <c r="C82" s="436" t="str">
        <f t="shared" si="6"/>
        <v/>
      </c>
      <c r="F82" s="436" t="str">
        <f t="shared" si="7"/>
        <v/>
      </c>
      <c r="I82" s="436" t="str">
        <f t="shared" si="8"/>
        <v/>
      </c>
      <c r="L82" s="436" t="str">
        <f t="shared" si="9"/>
        <v/>
      </c>
      <c r="M82" s="440"/>
      <c r="O82" s="436" t="str">
        <f t="shared" si="10"/>
        <v/>
      </c>
      <c r="P82" s="442"/>
      <c r="Q82" s="435"/>
      <c r="R82" s="436" t="str">
        <f t="shared" si="11"/>
        <v/>
      </c>
      <c r="S82" s="442"/>
    </row>
    <row r="83" spans="1:19" s="63" customFormat="1" ht="12.75" customHeight="1">
      <c r="A83" s="63" t="s">
        <v>396</v>
      </c>
      <c r="B83" s="544">
        <f t="shared" si="12"/>
        <v>158</v>
      </c>
      <c r="C83" s="436">
        <f t="shared" ref="C83:C105" si="13">IF(A83&lt;&gt;0,B83/$B$11*100,"")</f>
        <v>8.3730789613142544</v>
      </c>
      <c r="E83" s="93">
        <f>SUM(E84)</f>
        <v>66</v>
      </c>
      <c r="F83" s="436">
        <f t="shared" si="7"/>
        <v>41.77215189873418</v>
      </c>
      <c r="G83" s="42"/>
      <c r="H83" s="93">
        <f>SUM(H84)</f>
        <v>5</v>
      </c>
      <c r="I83" s="436">
        <f t="shared" si="8"/>
        <v>3.1645569620253164</v>
      </c>
      <c r="J83" s="94"/>
      <c r="K83" s="93">
        <f>SUM(K84)</f>
        <v>31</v>
      </c>
      <c r="L83" s="436">
        <f t="shared" si="9"/>
        <v>19.62025316455696</v>
      </c>
      <c r="M83" s="95"/>
      <c r="N83" s="93">
        <f>SUM(N84)</f>
        <v>53</v>
      </c>
      <c r="O83" s="436">
        <f t="shared" si="10"/>
        <v>33.544303797468359</v>
      </c>
      <c r="P83" s="96"/>
      <c r="Q83" s="93">
        <f>SUM(Q84)</f>
        <v>3</v>
      </c>
      <c r="R83" s="436">
        <f t="shared" si="11"/>
        <v>1.89873417721519</v>
      </c>
      <c r="S83" s="96"/>
    </row>
    <row r="84" spans="1:19" ht="13.15" customHeight="1">
      <c r="A84" s="434" t="s">
        <v>75</v>
      </c>
      <c r="B84" s="544">
        <f t="shared" si="12"/>
        <v>158</v>
      </c>
      <c r="C84" s="436">
        <f t="shared" si="13"/>
        <v>8.3730789613142544</v>
      </c>
      <c r="E84" s="435">
        <f>SUM(E85:E93)</f>
        <v>66</v>
      </c>
      <c r="F84" s="436">
        <f t="shared" si="7"/>
        <v>41.77215189873418</v>
      </c>
      <c r="H84" s="435">
        <f>SUM(H85:H93)</f>
        <v>5</v>
      </c>
      <c r="I84" s="436">
        <f t="shared" si="8"/>
        <v>3.1645569620253164</v>
      </c>
      <c r="K84" s="435">
        <f>SUM(K85:K93)</f>
        <v>31</v>
      </c>
      <c r="L84" s="436">
        <f t="shared" si="9"/>
        <v>19.62025316455696</v>
      </c>
      <c r="M84" s="440"/>
      <c r="N84" s="435">
        <f>SUM(N85:N93)</f>
        <v>53</v>
      </c>
      <c r="O84" s="436">
        <f t="shared" si="10"/>
        <v>33.544303797468359</v>
      </c>
      <c r="P84" s="442"/>
      <c r="Q84" s="435">
        <f>SUM(Q85:Q93)</f>
        <v>3</v>
      </c>
      <c r="R84" s="436">
        <f t="shared" si="11"/>
        <v>1.89873417721519</v>
      </c>
      <c r="S84" s="442"/>
    </row>
    <row r="85" spans="1:19" ht="13.15" customHeight="1">
      <c r="A85" s="434" t="s">
        <v>338</v>
      </c>
      <c r="B85" s="544">
        <f t="shared" si="12"/>
        <v>8</v>
      </c>
      <c r="C85" s="436">
        <f t="shared" si="13"/>
        <v>0.42395336512983572</v>
      </c>
      <c r="E85" s="434">
        <v>5</v>
      </c>
      <c r="F85" s="436">
        <f t="shared" si="7"/>
        <v>62.5</v>
      </c>
      <c r="H85" s="434">
        <v>0</v>
      </c>
      <c r="I85" s="436">
        <f t="shared" si="8"/>
        <v>0</v>
      </c>
      <c r="J85" s="434"/>
      <c r="K85" s="434">
        <v>1</v>
      </c>
      <c r="L85" s="436">
        <f t="shared" si="9"/>
        <v>12.5</v>
      </c>
      <c r="N85" s="434">
        <v>2</v>
      </c>
      <c r="O85" s="436">
        <f t="shared" si="10"/>
        <v>25</v>
      </c>
      <c r="Q85" s="434">
        <v>0</v>
      </c>
      <c r="R85" s="436">
        <f t="shared" si="11"/>
        <v>0</v>
      </c>
      <c r="S85" s="442"/>
    </row>
    <row r="86" spans="1:19" ht="13.15" customHeight="1">
      <c r="A86" s="434" t="s">
        <v>76</v>
      </c>
      <c r="B86" s="544">
        <f t="shared" si="12"/>
        <v>23</v>
      </c>
      <c r="C86" s="436">
        <f t="shared" si="13"/>
        <v>1.2188659247482776</v>
      </c>
      <c r="E86" s="434">
        <v>11</v>
      </c>
      <c r="F86" s="436">
        <f t="shared" si="7"/>
        <v>47.826086956521742</v>
      </c>
      <c r="H86" s="434">
        <v>1</v>
      </c>
      <c r="I86" s="436">
        <f t="shared" si="8"/>
        <v>4.3478260869565215</v>
      </c>
      <c r="J86" s="434"/>
      <c r="K86" s="434">
        <v>4</v>
      </c>
      <c r="L86" s="436">
        <f t="shared" si="9"/>
        <v>17.391304347826086</v>
      </c>
      <c r="N86" s="434">
        <v>7</v>
      </c>
      <c r="O86" s="436">
        <f t="shared" si="10"/>
        <v>30.434782608695656</v>
      </c>
      <c r="Q86" s="434">
        <v>0</v>
      </c>
      <c r="R86" s="436">
        <f t="shared" si="11"/>
        <v>0</v>
      </c>
      <c r="S86" s="442"/>
    </row>
    <row r="87" spans="1:19" ht="13.15" customHeight="1">
      <c r="A87" s="434" t="s">
        <v>78</v>
      </c>
      <c r="B87" s="544">
        <f t="shared" si="12"/>
        <v>18</v>
      </c>
      <c r="C87" s="436">
        <f t="shared" si="13"/>
        <v>0.95389507154213027</v>
      </c>
      <c r="E87" s="434">
        <v>13</v>
      </c>
      <c r="F87" s="436">
        <f t="shared" si="7"/>
        <v>72.222222222222214</v>
      </c>
      <c r="H87" s="434">
        <v>0</v>
      </c>
      <c r="I87" s="436">
        <f t="shared" si="8"/>
        <v>0</v>
      </c>
      <c r="J87" s="434"/>
      <c r="K87" s="434">
        <v>1</v>
      </c>
      <c r="L87" s="436">
        <f t="shared" si="9"/>
        <v>5.5555555555555554</v>
      </c>
      <c r="N87" s="434">
        <v>3</v>
      </c>
      <c r="O87" s="436">
        <f t="shared" si="10"/>
        <v>16.666666666666664</v>
      </c>
      <c r="Q87" s="434">
        <v>1</v>
      </c>
      <c r="R87" s="436">
        <f t="shared" si="11"/>
        <v>5.5555555555555554</v>
      </c>
      <c r="S87" s="442"/>
    </row>
    <row r="88" spans="1:19" ht="13.15" customHeight="1">
      <c r="A88" s="434" t="s">
        <v>80</v>
      </c>
      <c r="B88" s="544">
        <f t="shared" si="12"/>
        <v>18</v>
      </c>
      <c r="C88" s="436">
        <f t="shared" si="13"/>
        <v>0.95389507154213027</v>
      </c>
      <c r="E88" s="434">
        <v>3</v>
      </c>
      <c r="F88" s="436">
        <f t="shared" si="7"/>
        <v>16.666666666666664</v>
      </c>
      <c r="H88" s="434">
        <v>0</v>
      </c>
      <c r="I88" s="436">
        <f t="shared" si="8"/>
        <v>0</v>
      </c>
      <c r="J88" s="434"/>
      <c r="K88" s="434">
        <v>4</v>
      </c>
      <c r="L88" s="436">
        <f t="shared" si="9"/>
        <v>22.222222222222221</v>
      </c>
      <c r="N88" s="434">
        <v>11</v>
      </c>
      <c r="O88" s="436">
        <f t="shared" si="10"/>
        <v>61.111111111111114</v>
      </c>
      <c r="Q88" s="434">
        <v>0</v>
      </c>
      <c r="R88" s="436">
        <f t="shared" si="11"/>
        <v>0</v>
      </c>
      <c r="S88" s="442"/>
    </row>
    <row r="89" spans="1:19" ht="13.15" customHeight="1">
      <c r="A89" s="434" t="s">
        <v>79</v>
      </c>
      <c r="B89" s="544">
        <f t="shared" si="12"/>
        <v>13</v>
      </c>
      <c r="C89" s="436">
        <f t="shared" si="13"/>
        <v>0.68892421833598305</v>
      </c>
      <c r="E89" s="434">
        <v>7</v>
      </c>
      <c r="F89" s="436">
        <f t="shared" si="7"/>
        <v>53.846153846153847</v>
      </c>
      <c r="H89" s="434">
        <v>1</v>
      </c>
      <c r="I89" s="436">
        <f t="shared" si="8"/>
        <v>7.6923076923076925</v>
      </c>
      <c r="J89" s="434"/>
      <c r="K89" s="434">
        <v>0</v>
      </c>
      <c r="L89" s="436">
        <f t="shared" si="9"/>
        <v>0</v>
      </c>
      <c r="N89" s="434">
        <v>4</v>
      </c>
      <c r="O89" s="436">
        <f t="shared" si="10"/>
        <v>30.76923076923077</v>
      </c>
      <c r="Q89" s="434">
        <v>1</v>
      </c>
      <c r="R89" s="436">
        <f t="shared" si="11"/>
        <v>7.6923076923076925</v>
      </c>
      <c r="S89" s="442"/>
    </row>
    <row r="90" spans="1:19" ht="13.15" customHeight="1">
      <c r="A90" s="434" t="s">
        <v>77</v>
      </c>
      <c r="B90" s="544">
        <f t="shared" si="12"/>
        <v>10</v>
      </c>
      <c r="C90" s="436">
        <f t="shared" si="13"/>
        <v>0.52994170641229466</v>
      </c>
      <c r="E90" s="434">
        <v>3</v>
      </c>
      <c r="F90" s="436">
        <f t="shared" si="7"/>
        <v>30</v>
      </c>
      <c r="H90" s="434">
        <v>0</v>
      </c>
      <c r="I90" s="436">
        <f t="shared" si="8"/>
        <v>0</v>
      </c>
      <c r="J90" s="434"/>
      <c r="K90" s="434">
        <v>0</v>
      </c>
      <c r="L90" s="436">
        <f t="shared" si="9"/>
        <v>0</v>
      </c>
      <c r="N90" s="434">
        <v>7</v>
      </c>
      <c r="O90" s="436">
        <f t="shared" si="10"/>
        <v>70</v>
      </c>
      <c r="Q90" s="434">
        <v>0</v>
      </c>
      <c r="R90" s="436">
        <f t="shared" si="11"/>
        <v>0</v>
      </c>
      <c r="S90" s="442"/>
    </row>
    <row r="91" spans="1:19" ht="13.15" customHeight="1">
      <c r="A91" s="434" t="s">
        <v>81</v>
      </c>
      <c r="B91" s="544">
        <f t="shared" si="12"/>
        <v>37</v>
      </c>
      <c r="C91" s="436">
        <f t="shared" si="13"/>
        <v>1.9607843137254901</v>
      </c>
      <c r="E91" s="434">
        <v>4</v>
      </c>
      <c r="F91" s="436">
        <f t="shared" si="7"/>
        <v>10.810810810810811</v>
      </c>
      <c r="H91" s="434">
        <v>3</v>
      </c>
      <c r="I91" s="436">
        <f t="shared" si="8"/>
        <v>8.1081081081081088</v>
      </c>
      <c r="J91" s="434"/>
      <c r="K91" s="434">
        <v>18</v>
      </c>
      <c r="L91" s="436">
        <f t="shared" si="9"/>
        <v>48.648648648648653</v>
      </c>
      <c r="N91" s="434">
        <v>12</v>
      </c>
      <c r="O91" s="436">
        <f t="shared" si="10"/>
        <v>32.432432432432435</v>
      </c>
      <c r="Q91" s="434">
        <v>0</v>
      </c>
      <c r="R91" s="436">
        <f t="shared" si="11"/>
        <v>0</v>
      </c>
      <c r="S91" s="442"/>
    </row>
    <row r="92" spans="1:19" ht="12" customHeight="1">
      <c r="A92" s="434" t="s">
        <v>84</v>
      </c>
      <c r="B92" s="544">
        <f t="shared" si="12"/>
        <v>8</v>
      </c>
      <c r="C92" s="436">
        <f t="shared" si="13"/>
        <v>0.42395336512983572</v>
      </c>
      <c r="E92" s="434">
        <v>0</v>
      </c>
      <c r="F92" s="436">
        <f t="shared" si="7"/>
        <v>0</v>
      </c>
      <c r="H92" s="434">
        <v>0</v>
      </c>
      <c r="I92" s="436">
        <f t="shared" si="8"/>
        <v>0</v>
      </c>
      <c r="J92" s="434"/>
      <c r="K92" s="434">
        <v>1</v>
      </c>
      <c r="L92" s="436">
        <f t="shared" si="9"/>
        <v>12.5</v>
      </c>
      <c r="N92" s="434">
        <v>6</v>
      </c>
      <c r="O92" s="436">
        <f t="shared" si="10"/>
        <v>75</v>
      </c>
      <c r="Q92" s="434">
        <v>1</v>
      </c>
      <c r="R92" s="436">
        <f t="shared" si="11"/>
        <v>12.5</v>
      </c>
      <c r="S92" s="442"/>
    </row>
    <row r="93" spans="1:19" ht="13.15" customHeight="1">
      <c r="A93" s="434" t="s">
        <v>339</v>
      </c>
      <c r="B93" s="544">
        <f t="shared" si="12"/>
        <v>23</v>
      </c>
      <c r="C93" s="436">
        <f t="shared" si="13"/>
        <v>1.2188659247482776</v>
      </c>
      <c r="E93" s="434">
        <v>20</v>
      </c>
      <c r="F93" s="436">
        <f t="shared" si="7"/>
        <v>86.956521739130437</v>
      </c>
      <c r="H93" s="434">
        <v>0</v>
      </c>
      <c r="I93" s="436">
        <f t="shared" si="8"/>
        <v>0</v>
      </c>
      <c r="J93" s="434"/>
      <c r="K93" s="434">
        <v>2</v>
      </c>
      <c r="L93" s="436">
        <f t="shared" si="9"/>
        <v>8.695652173913043</v>
      </c>
      <c r="N93" s="434">
        <v>1</v>
      </c>
      <c r="O93" s="436">
        <f t="shared" si="10"/>
        <v>4.3478260869565215</v>
      </c>
      <c r="Q93" s="434">
        <v>0</v>
      </c>
      <c r="R93" s="436">
        <f t="shared" si="11"/>
        <v>0</v>
      </c>
      <c r="S93" s="442"/>
    </row>
    <row r="94" spans="1:19" ht="9.9499999999999993" customHeight="1">
      <c r="B94" s="544" t="str">
        <f t="shared" si="12"/>
        <v/>
      </c>
      <c r="C94" s="436" t="str">
        <f t="shared" si="13"/>
        <v/>
      </c>
      <c r="E94" s="434"/>
      <c r="F94" s="436" t="str">
        <f t="shared" si="7"/>
        <v/>
      </c>
      <c r="H94" s="434"/>
      <c r="I94" s="436" t="str">
        <f t="shared" si="8"/>
        <v/>
      </c>
      <c r="J94" s="434"/>
      <c r="K94" s="434"/>
      <c r="L94" s="436" t="str">
        <f t="shared" si="9"/>
        <v/>
      </c>
      <c r="N94" s="434"/>
      <c r="O94" s="436" t="str">
        <f t="shared" si="10"/>
        <v/>
      </c>
      <c r="R94" s="436" t="str">
        <f t="shared" si="11"/>
        <v/>
      </c>
      <c r="S94" s="442"/>
    </row>
    <row r="95" spans="1:19" ht="12" customHeight="1">
      <c r="A95" s="434" t="s">
        <v>85</v>
      </c>
      <c r="B95" s="544">
        <f t="shared" si="12"/>
        <v>104</v>
      </c>
      <c r="C95" s="436">
        <f t="shared" si="13"/>
        <v>5.5113937466878644</v>
      </c>
      <c r="E95" s="434">
        <v>44</v>
      </c>
      <c r="F95" s="436">
        <f t="shared" si="7"/>
        <v>42.307692307692307</v>
      </c>
      <c r="H95" s="434">
        <v>9</v>
      </c>
      <c r="I95" s="436">
        <f t="shared" si="8"/>
        <v>8.6538461538461533</v>
      </c>
      <c r="J95" s="434"/>
      <c r="K95" s="434">
        <v>33</v>
      </c>
      <c r="L95" s="436">
        <f t="shared" si="9"/>
        <v>31.73076923076923</v>
      </c>
      <c r="N95" s="434">
        <v>18</v>
      </c>
      <c r="O95" s="436">
        <f t="shared" si="10"/>
        <v>17.307692307692307</v>
      </c>
      <c r="Q95" s="434">
        <v>0</v>
      </c>
      <c r="R95" s="436">
        <f t="shared" si="11"/>
        <v>0</v>
      </c>
      <c r="S95" s="442"/>
    </row>
    <row r="96" spans="1:19" ht="12" customHeight="1">
      <c r="A96" s="42" t="s">
        <v>340</v>
      </c>
      <c r="B96" s="544">
        <f t="shared" si="12"/>
        <v>1</v>
      </c>
      <c r="C96" s="436">
        <f t="shared" si="13"/>
        <v>5.2994170641229466E-2</v>
      </c>
      <c r="E96" s="434">
        <v>0</v>
      </c>
      <c r="F96" s="436">
        <f t="shared" si="7"/>
        <v>0</v>
      </c>
      <c r="H96" s="434">
        <v>0</v>
      </c>
      <c r="I96" s="436">
        <f t="shared" si="8"/>
        <v>0</v>
      </c>
      <c r="J96" s="434"/>
      <c r="K96" s="434">
        <v>0</v>
      </c>
      <c r="L96" s="436">
        <f t="shared" si="9"/>
        <v>0</v>
      </c>
      <c r="N96" s="434">
        <v>1</v>
      </c>
      <c r="O96" s="436">
        <f t="shared" si="10"/>
        <v>100</v>
      </c>
      <c r="Q96" s="434">
        <v>0</v>
      </c>
      <c r="R96" s="436">
        <f t="shared" si="11"/>
        <v>0</v>
      </c>
      <c r="S96" s="442"/>
    </row>
    <row r="97" spans="1:19" ht="12" customHeight="1">
      <c r="A97" s="42" t="s">
        <v>341</v>
      </c>
      <c r="B97" s="544">
        <f t="shared" si="12"/>
        <v>4</v>
      </c>
      <c r="C97" s="436">
        <f t="shared" si="13"/>
        <v>0.21197668256491786</v>
      </c>
      <c r="E97" s="434">
        <v>0</v>
      </c>
      <c r="F97" s="436">
        <f t="shared" si="7"/>
        <v>0</v>
      </c>
      <c r="H97" s="434">
        <v>0</v>
      </c>
      <c r="I97" s="436">
        <f t="shared" si="8"/>
        <v>0</v>
      </c>
      <c r="J97" s="434"/>
      <c r="K97" s="434">
        <v>0</v>
      </c>
      <c r="L97" s="436">
        <f t="shared" si="9"/>
        <v>0</v>
      </c>
      <c r="N97" s="434">
        <v>4</v>
      </c>
      <c r="O97" s="436">
        <f t="shared" si="10"/>
        <v>100</v>
      </c>
      <c r="Q97" s="434">
        <v>0</v>
      </c>
      <c r="R97" s="436">
        <f t="shared" si="11"/>
        <v>0</v>
      </c>
      <c r="S97" s="442"/>
    </row>
    <row r="98" spans="1:19" ht="9" customHeight="1">
      <c r="B98" s="544" t="str">
        <f t="shared" si="12"/>
        <v/>
      </c>
      <c r="C98" s="436" t="str">
        <f t="shared" si="13"/>
        <v/>
      </c>
      <c r="E98" s="434">
        <v>0</v>
      </c>
      <c r="F98" s="436" t="str">
        <f t="shared" si="7"/>
        <v/>
      </c>
      <c r="H98" s="434">
        <v>0</v>
      </c>
      <c r="I98" s="436" t="str">
        <f t="shared" si="8"/>
        <v/>
      </c>
      <c r="J98" s="434"/>
      <c r="K98" s="434">
        <v>0</v>
      </c>
      <c r="L98" s="436" t="str">
        <f t="shared" si="9"/>
        <v/>
      </c>
      <c r="N98" s="434"/>
      <c r="O98" s="436" t="str">
        <f t="shared" si="10"/>
        <v/>
      </c>
      <c r="R98" s="436" t="str">
        <f t="shared" si="11"/>
        <v/>
      </c>
      <c r="S98" s="442"/>
    </row>
    <row r="99" spans="1:19" ht="12" customHeight="1">
      <c r="A99" s="63" t="s">
        <v>86</v>
      </c>
      <c r="B99" s="544">
        <f t="shared" si="12"/>
        <v>139</v>
      </c>
      <c r="C99" s="436">
        <f t="shared" si="13"/>
        <v>7.3661897191308956</v>
      </c>
      <c r="E99" s="449">
        <f>SUM(E101:E105)</f>
        <v>64</v>
      </c>
      <c r="F99" s="436">
        <f t="shared" si="7"/>
        <v>46.043165467625904</v>
      </c>
      <c r="G99" s="455"/>
      <c r="H99" s="449">
        <f>SUM(H101:H105)</f>
        <v>7</v>
      </c>
      <c r="I99" s="436">
        <f t="shared" si="8"/>
        <v>5.0359712230215825</v>
      </c>
      <c r="J99" s="454"/>
      <c r="K99" s="449">
        <f>SUM(K101:K105)</f>
        <v>42</v>
      </c>
      <c r="L99" s="436">
        <f t="shared" si="9"/>
        <v>30.215827338129497</v>
      </c>
      <c r="M99" s="453"/>
      <c r="N99" s="449">
        <f>SUM(N101:N105)</f>
        <v>23</v>
      </c>
      <c r="O99" s="436">
        <f t="shared" si="10"/>
        <v>16.546762589928058</v>
      </c>
      <c r="P99" s="450"/>
      <c r="Q99" s="449">
        <f>SUM(Q101:Q105)</f>
        <v>3</v>
      </c>
      <c r="R99" s="436">
        <f t="shared" si="11"/>
        <v>2.1582733812949639</v>
      </c>
      <c r="S99" s="442"/>
    </row>
    <row r="100" spans="1:19" ht="10.5" customHeight="1">
      <c r="B100" s="544" t="str">
        <f t="shared" si="12"/>
        <v/>
      </c>
      <c r="C100" s="436" t="str">
        <f t="shared" si="13"/>
        <v/>
      </c>
      <c r="E100" s="449"/>
      <c r="F100" s="436" t="str">
        <f t="shared" si="7"/>
        <v/>
      </c>
      <c r="G100" s="455"/>
      <c r="H100" s="449"/>
      <c r="I100" s="436" t="str">
        <f t="shared" si="8"/>
        <v/>
      </c>
      <c r="J100" s="454"/>
      <c r="K100" s="449"/>
      <c r="L100" s="436" t="str">
        <f t="shared" si="9"/>
        <v/>
      </c>
      <c r="M100" s="453"/>
      <c r="N100" s="449"/>
      <c r="O100" s="436" t="str">
        <f t="shared" si="10"/>
        <v/>
      </c>
      <c r="P100" s="450"/>
      <c r="Q100" s="449"/>
      <c r="R100" s="436" t="str">
        <f t="shared" si="11"/>
        <v/>
      </c>
      <c r="S100" s="442"/>
    </row>
    <row r="101" spans="1:19" ht="12" customHeight="1">
      <c r="A101" s="434" t="s">
        <v>398</v>
      </c>
      <c r="B101" s="544">
        <f t="shared" si="12"/>
        <v>51</v>
      </c>
      <c r="C101" s="436">
        <f t="shared" si="13"/>
        <v>2.7027027027027026</v>
      </c>
      <c r="E101" s="434">
        <v>22</v>
      </c>
      <c r="F101" s="436">
        <f t="shared" si="7"/>
        <v>43.137254901960787</v>
      </c>
      <c r="H101" s="434">
        <v>4</v>
      </c>
      <c r="I101" s="436">
        <f t="shared" si="8"/>
        <v>7.8431372549019605</v>
      </c>
      <c r="J101" s="434"/>
      <c r="K101" s="434">
        <v>15</v>
      </c>
      <c r="L101" s="436">
        <f t="shared" si="9"/>
        <v>29.411764705882355</v>
      </c>
      <c r="N101" s="434">
        <v>8</v>
      </c>
      <c r="O101" s="436">
        <f t="shared" si="10"/>
        <v>15.686274509803921</v>
      </c>
      <c r="Q101" s="434">
        <v>2</v>
      </c>
      <c r="R101" s="436">
        <f t="shared" si="11"/>
        <v>3.9215686274509802</v>
      </c>
      <c r="S101" s="442"/>
    </row>
    <row r="102" spans="1:19" ht="12" customHeight="1">
      <c r="A102" s="434" t="s">
        <v>399</v>
      </c>
      <c r="B102" s="544">
        <f t="shared" si="12"/>
        <v>74</v>
      </c>
      <c r="C102" s="436">
        <f t="shared" si="13"/>
        <v>3.9215686274509802</v>
      </c>
      <c r="E102" s="434">
        <v>32</v>
      </c>
      <c r="F102" s="436">
        <f t="shared" si="7"/>
        <v>43.243243243243242</v>
      </c>
      <c r="H102" s="434">
        <v>2</v>
      </c>
      <c r="I102" s="436">
        <f t="shared" si="8"/>
        <v>2.7027027027027026</v>
      </c>
      <c r="J102" s="434"/>
      <c r="K102" s="434">
        <v>26</v>
      </c>
      <c r="L102" s="436">
        <f t="shared" si="9"/>
        <v>35.135135135135137</v>
      </c>
      <c r="N102" s="434">
        <v>13</v>
      </c>
      <c r="O102" s="436">
        <f t="shared" si="10"/>
        <v>17.567567567567568</v>
      </c>
      <c r="Q102" s="434">
        <v>1</v>
      </c>
      <c r="R102" s="436">
        <f t="shared" si="11"/>
        <v>1.3513513513513513</v>
      </c>
      <c r="S102" s="442"/>
    </row>
    <row r="103" spans="1:19" ht="12" customHeight="1">
      <c r="A103" s="434" t="s">
        <v>400</v>
      </c>
      <c r="B103" s="544">
        <f t="shared" si="12"/>
        <v>12</v>
      </c>
      <c r="C103" s="436">
        <f t="shared" si="13"/>
        <v>0.63593004769475359</v>
      </c>
      <c r="E103" s="434">
        <v>10</v>
      </c>
      <c r="F103" s="436">
        <f t="shared" si="7"/>
        <v>83.333333333333343</v>
      </c>
      <c r="H103" s="434">
        <v>1</v>
      </c>
      <c r="I103" s="436">
        <f t="shared" si="8"/>
        <v>8.3333333333333321</v>
      </c>
      <c r="J103" s="434"/>
      <c r="K103" s="434">
        <v>1</v>
      </c>
      <c r="L103" s="436">
        <f t="shared" si="9"/>
        <v>8.3333333333333321</v>
      </c>
      <c r="N103" s="434">
        <v>0</v>
      </c>
      <c r="O103" s="436">
        <f t="shared" si="10"/>
        <v>0</v>
      </c>
      <c r="Q103" s="434">
        <v>0</v>
      </c>
      <c r="R103" s="436">
        <f t="shared" si="11"/>
        <v>0</v>
      </c>
      <c r="S103" s="442"/>
    </row>
    <row r="104" spans="1:19" ht="12" customHeight="1">
      <c r="B104" s="544" t="str">
        <f t="shared" si="12"/>
        <v/>
      </c>
      <c r="C104" s="436" t="str">
        <f t="shared" si="13"/>
        <v/>
      </c>
      <c r="E104" s="434"/>
      <c r="F104" s="436" t="str">
        <f t="shared" si="7"/>
        <v/>
      </c>
      <c r="H104" s="434"/>
      <c r="I104" s="436" t="str">
        <f t="shared" si="8"/>
        <v/>
      </c>
      <c r="J104" s="434"/>
      <c r="K104" s="434"/>
      <c r="L104" s="436" t="str">
        <f t="shared" si="9"/>
        <v/>
      </c>
      <c r="N104" s="434"/>
      <c r="O104" s="436" t="str">
        <f t="shared" si="10"/>
        <v/>
      </c>
      <c r="R104" s="436" t="str">
        <f t="shared" si="11"/>
        <v/>
      </c>
      <c r="S104" s="442"/>
    </row>
    <row r="105" spans="1:19" ht="12" customHeight="1">
      <c r="A105" s="434" t="s">
        <v>410</v>
      </c>
      <c r="B105" s="544">
        <f t="shared" si="12"/>
        <v>2</v>
      </c>
      <c r="C105" s="436">
        <f t="shared" si="13"/>
        <v>0.10598834128245893</v>
      </c>
      <c r="E105" s="434">
        <v>0</v>
      </c>
      <c r="F105" s="436">
        <f t="shared" si="7"/>
        <v>0</v>
      </c>
      <c r="H105" s="434">
        <v>0</v>
      </c>
      <c r="I105" s="436">
        <f t="shared" si="8"/>
        <v>0</v>
      </c>
      <c r="J105" s="434"/>
      <c r="K105" s="434">
        <v>0</v>
      </c>
      <c r="L105" s="436">
        <f t="shared" si="9"/>
        <v>0</v>
      </c>
      <c r="N105" s="434">
        <v>2</v>
      </c>
      <c r="O105" s="436">
        <f t="shared" si="10"/>
        <v>100</v>
      </c>
      <c r="Q105" s="434">
        <v>0</v>
      </c>
      <c r="R105" s="436">
        <f t="shared" si="11"/>
        <v>0</v>
      </c>
      <c r="S105" s="442"/>
    </row>
    <row r="106" spans="1:19" ht="9.75" customHeight="1">
      <c r="B106" s="544" t="str">
        <f t="shared" si="12"/>
        <v/>
      </c>
      <c r="F106" s="436" t="str">
        <f t="shared" si="7"/>
        <v/>
      </c>
      <c r="I106" s="436" t="str">
        <f t="shared" si="8"/>
        <v/>
      </c>
      <c r="L106" s="436" t="str">
        <f t="shared" si="9"/>
        <v/>
      </c>
      <c r="M106" s="440"/>
      <c r="O106" s="436" t="str">
        <f t="shared" si="10"/>
        <v/>
      </c>
      <c r="P106" s="442"/>
      <c r="Q106" s="435"/>
      <c r="R106" s="436" t="str">
        <f t="shared" si="11"/>
        <v/>
      </c>
      <c r="S106" s="442"/>
    </row>
    <row r="107" spans="1:19" ht="12" customHeight="1">
      <c r="A107" s="63" t="s">
        <v>346</v>
      </c>
      <c r="B107" s="544">
        <f t="shared" si="12"/>
        <v>209</v>
      </c>
      <c r="C107" s="436">
        <f t="shared" ref="C107:C112" si="14">IF(A107&lt;&gt;0,B107/$B$11*100,"")</f>
        <v>11.075781664016958</v>
      </c>
      <c r="E107" s="435">
        <f>SUM(E108:E112)</f>
        <v>131</v>
      </c>
      <c r="F107" s="436">
        <f t="shared" si="7"/>
        <v>62.679425837320579</v>
      </c>
      <c r="H107" s="435">
        <f>SUM(H108:H112)</f>
        <v>4</v>
      </c>
      <c r="I107" s="436">
        <f t="shared" si="8"/>
        <v>1.9138755980861244</v>
      </c>
      <c r="K107" s="435">
        <f>SUM(K108:K112)</f>
        <v>57</v>
      </c>
      <c r="L107" s="436">
        <f t="shared" si="9"/>
        <v>27.27272727272727</v>
      </c>
      <c r="M107" s="440"/>
      <c r="N107" s="435">
        <f>SUM(N108:N112)</f>
        <v>16</v>
      </c>
      <c r="O107" s="436">
        <f t="shared" si="10"/>
        <v>7.6555023923444976</v>
      </c>
      <c r="P107" s="442"/>
      <c r="Q107" s="435">
        <f>SUM(Q108:Q112)</f>
        <v>1</v>
      </c>
      <c r="R107" s="436">
        <f t="shared" si="11"/>
        <v>0.4784688995215311</v>
      </c>
      <c r="S107" s="442"/>
    </row>
    <row r="108" spans="1:19" ht="12" customHeight="1">
      <c r="A108" s="434" t="s">
        <v>347</v>
      </c>
      <c r="B108" s="544">
        <f t="shared" si="12"/>
        <v>92</v>
      </c>
      <c r="C108" s="436">
        <f t="shared" si="14"/>
        <v>4.8754636989931104</v>
      </c>
      <c r="E108" s="434">
        <v>69</v>
      </c>
      <c r="F108" s="436">
        <f t="shared" si="7"/>
        <v>75</v>
      </c>
      <c r="H108" s="434">
        <v>2</v>
      </c>
      <c r="I108" s="436">
        <f t="shared" si="8"/>
        <v>2.1739130434782608</v>
      </c>
      <c r="J108" s="434"/>
      <c r="K108" s="434">
        <v>13</v>
      </c>
      <c r="L108" s="436">
        <f t="shared" si="9"/>
        <v>14.130434782608695</v>
      </c>
      <c r="N108" s="434">
        <v>7</v>
      </c>
      <c r="O108" s="436">
        <f t="shared" si="10"/>
        <v>7.608695652173914</v>
      </c>
      <c r="Q108" s="434">
        <v>1</v>
      </c>
      <c r="R108" s="436">
        <f t="shared" si="11"/>
        <v>1.0869565217391304</v>
      </c>
      <c r="S108" s="442"/>
    </row>
    <row r="109" spans="1:19" ht="12" customHeight="1">
      <c r="A109" s="434" t="s">
        <v>348</v>
      </c>
      <c r="B109" s="544">
        <f t="shared" si="12"/>
        <v>34</v>
      </c>
      <c r="C109" s="436">
        <f t="shared" si="14"/>
        <v>1.8018018018018018</v>
      </c>
      <c r="E109" s="434">
        <v>18</v>
      </c>
      <c r="F109" s="436">
        <f t="shared" si="7"/>
        <v>52.941176470588239</v>
      </c>
      <c r="H109" s="434">
        <v>0</v>
      </c>
      <c r="I109" s="436">
        <f t="shared" si="8"/>
        <v>0</v>
      </c>
      <c r="J109" s="434"/>
      <c r="K109" s="434">
        <v>12</v>
      </c>
      <c r="L109" s="436">
        <f t="shared" si="9"/>
        <v>35.294117647058826</v>
      </c>
      <c r="N109" s="434">
        <v>4</v>
      </c>
      <c r="O109" s="436">
        <f t="shared" si="10"/>
        <v>11.76470588235294</v>
      </c>
      <c r="Q109" s="434">
        <v>0</v>
      </c>
      <c r="R109" s="436">
        <f t="shared" si="11"/>
        <v>0</v>
      </c>
      <c r="S109" s="442"/>
    </row>
    <row r="110" spans="1:19" ht="12" customHeight="1">
      <c r="A110" s="434" t="s">
        <v>349</v>
      </c>
      <c r="B110" s="544">
        <f t="shared" si="12"/>
        <v>34</v>
      </c>
      <c r="C110" s="436">
        <f t="shared" si="14"/>
        <v>1.8018018018018018</v>
      </c>
      <c r="E110" s="434">
        <v>20</v>
      </c>
      <c r="F110" s="436">
        <f t="shared" si="7"/>
        <v>58.82352941176471</v>
      </c>
      <c r="H110" s="434">
        <v>0</v>
      </c>
      <c r="I110" s="436">
        <f t="shared" si="8"/>
        <v>0</v>
      </c>
      <c r="J110" s="434"/>
      <c r="K110" s="434">
        <v>14</v>
      </c>
      <c r="L110" s="436">
        <f t="shared" si="9"/>
        <v>41.17647058823529</v>
      </c>
      <c r="N110" s="434">
        <v>0</v>
      </c>
      <c r="O110" s="436">
        <f t="shared" si="10"/>
        <v>0</v>
      </c>
      <c r="Q110" s="434">
        <v>0</v>
      </c>
      <c r="R110" s="436">
        <f t="shared" si="11"/>
        <v>0</v>
      </c>
      <c r="S110" s="442"/>
    </row>
    <row r="111" spans="1:19" ht="12" customHeight="1">
      <c r="A111" s="42" t="s">
        <v>378</v>
      </c>
      <c r="B111" s="544">
        <f t="shared" si="12"/>
        <v>23</v>
      </c>
      <c r="C111" s="436">
        <f t="shared" si="14"/>
        <v>1.2188659247482776</v>
      </c>
      <c r="E111" s="434">
        <v>10</v>
      </c>
      <c r="F111" s="436">
        <f t="shared" si="7"/>
        <v>43.478260869565219</v>
      </c>
      <c r="H111" s="434">
        <v>1</v>
      </c>
      <c r="I111" s="436">
        <f t="shared" si="8"/>
        <v>4.3478260869565215</v>
      </c>
      <c r="J111" s="434"/>
      <c r="K111" s="434">
        <v>9</v>
      </c>
      <c r="L111" s="436">
        <f t="shared" si="9"/>
        <v>39.130434782608695</v>
      </c>
      <c r="N111" s="434">
        <v>3</v>
      </c>
      <c r="O111" s="436">
        <f t="shared" si="10"/>
        <v>13.043478260869565</v>
      </c>
      <c r="Q111" s="434">
        <v>0</v>
      </c>
      <c r="R111" s="436">
        <f t="shared" si="11"/>
        <v>0</v>
      </c>
      <c r="S111" s="442"/>
    </row>
    <row r="112" spans="1:19" ht="12" customHeight="1">
      <c r="A112" s="434" t="s">
        <v>351</v>
      </c>
      <c r="B112" s="544">
        <f t="shared" si="12"/>
        <v>26</v>
      </c>
      <c r="C112" s="436">
        <f t="shared" si="14"/>
        <v>1.3778484366719661</v>
      </c>
      <c r="E112" s="434">
        <v>14</v>
      </c>
      <c r="F112" s="436">
        <f t="shared" si="7"/>
        <v>53.846153846153847</v>
      </c>
      <c r="H112" s="434">
        <v>1</v>
      </c>
      <c r="I112" s="436">
        <f t="shared" si="8"/>
        <v>3.8461538461538463</v>
      </c>
      <c r="J112" s="434"/>
      <c r="K112" s="434">
        <v>9</v>
      </c>
      <c r="L112" s="436">
        <f t="shared" si="9"/>
        <v>34.615384615384613</v>
      </c>
      <c r="N112" s="434">
        <v>2</v>
      </c>
      <c r="O112" s="436">
        <f t="shared" si="10"/>
        <v>7.6923076923076925</v>
      </c>
      <c r="Q112" s="434">
        <v>0</v>
      </c>
      <c r="R112" s="436">
        <f t="shared" si="11"/>
        <v>0</v>
      </c>
      <c r="S112" s="442"/>
    </row>
    <row r="113" spans="1:19" ht="9.9499999999999993" customHeight="1" thickBot="1">
      <c r="O113" s="436"/>
      <c r="P113" s="436"/>
      <c r="Q113" s="435"/>
      <c r="R113" s="436"/>
      <c r="S113" s="436"/>
    </row>
    <row r="114" spans="1:19" ht="9.9499999999999993" customHeight="1">
      <c r="A114" s="437"/>
      <c r="B114" s="805"/>
      <c r="C114" s="439"/>
      <c r="D114" s="437"/>
      <c r="E114" s="438"/>
      <c r="F114" s="439"/>
      <c r="G114" s="437"/>
      <c r="H114" s="438"/>
      <c r="I114" s="439"/>
      <c r="J114" s="439"/>
      <c r="K114" s="438"/>
      <c r="L114" s="439"/>
      <c r="M114" s="437"/>
      <c r="N114" s="438"/>
      <c r="O114" s="439"/>
      <c r="P114" s="439"/>
      <c r="Q114" s="438"/>
      <c r="R114" s="439"/>
      <c r="S114" s="439"/>
    </row>
    <row r="115" spans="1:19">
      <c r="A115" s="453" t="s">
        <v>427</v>
      </c>
      <c r="B115" s="451"/>
      <c r="C115" s="450"/>
      <c r="D115" s="453"/>
      <c r="E115" s="452"/>
      <c r="F115" s="450"/>
      <c r="G115" s="453"/>
      <c r="H115" s="452"/>
      <c r="I115" s="450"/>
      <c r="J115" s="450"/>
      <c r="K115" s="452"/>
      <c r="L115" s="450"/>
      <c r="M115" s="453"/>
      <c r="N115" s="452"/>
      <c r="O115" s="450"/>
      <c r="P115" s="442"/>
      <c r="Q115" s="441"/>
      <c r="R115" s="442"/>
      <c r="S115" s="442"/>
    </row>
    <row r="116" spans="1:19" ht="10.5" customHeight="1">
      <c r="A116" s="453" t="s">
        <v>428</v>
      </c>
      <c r="B116" s="451"/>
      <c r="C116" s="450"/>
      <c r="D116" s="453"/>
      <c r="E116" s="452"/>
      <c r="F116" s="450"/>
      <c r="G116" s="453"/>
      <c r="H116" s="452"/>
      <c r="I116" s="450"/>
      <c r="J116" s="450"/>
      <c r="K116" s="452"/>
      <c r="L116" s="450"/>
      <c r="M116" s="453"/>
      <c r="N116" s="452"/>
      <c r="O116" s="450"/>
      <c r="P116" s="442"/>
      <c r="Q116" s="441"/>
      <c r="R116" s="442"/>
      <c r="S116" s="442"/>
    </row>
    <row r="117" spans="1:19" ht="8.25" customHeight="1">
      <c r="A117" s="453"/>
      <c r="B117" s="451"/>
      <c r="C117" s="450"/>
      <c r="D117" s="453"/>
      <c r="E117" s="452"/>
      <c r="F117" s="450"/>
      <c r="G117" s="453"/>
      <c r="H117" s="452"/>
      <c r="I117" s="450"/>
      <c r="J117" s="450"/>
      <c r="K117" s="452"/>
      <c r="L117" s="450"/>
      <c r="M117" s="453"/>
      <c r="N117" s="452"/>
      <c r="O117" s="450"/>
    </row>
    <row r="118" spans="1:19">
      <c r="A118" s="97" t="s">
        <v>2110</v>
      </c>
      <c r="B118" s="451"/>
      <c r="C118" s="450"/>
      <c r="D118" s="453"/>
      <c r="E118" s="452"/>
      <c r="F118" s="450"/>
      <c r="G118" s="453"/>
      <c r="H118" s="452"/>
      <c r="I118" s="450"/>
      <c r="J118" s="450"/>
      <c r="K118" s="452"/>
      <c r="L118" s="450"/>
      <c r="M118" s="453"/>
      <c r="N118" s="452"/>
      <c r="O118" s="450"/>
    </row>
    <row r="119" spans="1:19" ht="7.5" customHeight="1">
      <c r="A119" s="453"/>
      <c r="B119" s="451"/>
      <c r="C119" s="450"/>
      <c r="D119" s="453"/>
      <c r="E119" s="452"/>
      <c r="F119" s="450"/>
      <c r="G119" s="453"/>
      <c r="H119" s="452"/>
      <c r="I119" s="450"/>
      <c r="J119" s="450"/>
      <c r="K119" s="452"/>
      <c r="L119" s="450"/>
      <c r="M119" s="453"/>
      <c r="N119" s="452"/>
      <c r="O119" s="450"/>
    </row>
    <row r="120" spans="1:19">
      <c r="A120" s="455" t="s">
        <v>404</v>
      </c>
      <c r="C120" s="454"/>
      <c r="D120" s="455"/>
      <c r="E120" s="449"/>
      <c r="F120" s="454"/>
      <c r="G120" s="455"/>
      <c r="H120" s="449"/>
      <c r="I120" s="454"/>
      <c r="J120" s="454"/>
      <c r="K120" s="449"/>
      <c r="L120" s="454"/>
      <c r="M120" s="455"/>
      <c r="N120" s="449"/>
      <c r="O120" s="455"/>
    </row>
    <row r="121" spans="1:19">
      <c r="A121" s="455" t="s">
        <v>385</v>
      </c>
      <c r="C121" s="454"/>
      <c r="D121" s="455"/>
      <c r="E121" s="449"/>
      <c r="F121" s="454"/>
      <c r="G121" s="455"/>
      <c r="H121" s="449"/>
      <c r="I121" s="454"/>
      <c r="J121" s="454"/>
      <c r="K121" s="449"/>
      <c r="L121" s="454"/>
      <c r="M121" s="455"/>
      <c r="N121" s="449"/>
      <c r="O121" s="455"/>
    </row>
    <row r="123" spans="1:19">
      <c r="A123" s="453"/>
    </row>
    <row r="124" spans="1:19">
      <c r="A124" s="453"/>
    </row>
    <row r="125" spans="1:19">
      <c r="A125" s="453"/>
      <c r="B125" s="451"/>
      <c r="C125" s="450"/>
      <c r="D125" s="453"/>
      <c r="E125" s="452"/>
      <c r="F125" s="450"/>
      <c r="G125" s="453"/>
      <c r="H125" s="452"/>
      <c r="I125" s="450"/>
      <c r="J125" s="450"/>
      <c r="K125" s="452"/>
      <c r="L125" s="450"/>
      <c r="M125" s="453"/>
      <c r="N125" s="452"/>
      <c r="O125" s="450"/>
      <c r="P125" s="450"/>
      <c r="Q125" s="452"/>
      <c r="R125" s="450"/>
      <c r="S125" s="450"/>
    </row>
    <row r="126" spans="1:19">
      <c r="A126" s="453"/>
      <c r="B126" s="451"/>
      <c r="C126" s="450"/>
      <c r="D126" s="453"/>
      <c r="E126" s="452"/>
      <c r="F126" s="450"/>
      <c r="G126" s="453"/>
      <c r="H126" s="452"/>
      <c r="I126" s="450"/>
      <c r="J126" s="450"/>
      <c r="K126" s="452"/>
      <c r="L126" s="450"/>
      <c r="M126" s="453"/>
      <c r="N126" s="452"/>
      <c r="O126" s="450"/>
      <c r="P126" s="450"/>
      <c r="Q126" s="452"/>
      <c r="R126" s="450"/>
      <c r="S126" s="450"/>
    </row>
    <row r="127" spans="1:19">
      <c r="A127" s="453"/>
      <c r="B127" s="451"/>
      <c r="C127" s="450"/>
      <c r="D127" s="453"/>
      <c r="E127" s="452"/>
      <c r="F127" s="450"/>
      <c r="G127" s="453"/>
      <c r="H127" s="452"/>
      <c r="I127" s="450"/>
      <c r="J127" s="450"/>
      <c r="K127" s="452"/>
      <c r="L127" s="450"/>
      <c r="M127" s="453"/>
      <c r="N127" s="452"/>
      <c r="O127" s="450"/>
      <c r="P127" s="450"/>
      <c r="Q127" s="452"/>
      <c r="R127" s="450"/>
      <c r="S127" s="450"/>
    </row>
    <row r="128" spans="1:19">
      <c r="A128" s="453"/>
      <c r="B128" s="451"/>
      <c r="C128" s="450"/>
      <c r="D128" s="453"/>
      <c r="E128" s="452"/>
      <c r="F128" s="450"/>
      <c r="G128" s="453"/>
      <c r="H128" s="452"/>
      <c r="I128" s="450"/>
      <c r="J128" s="450"/>
      <c r="K128" s="452"/>
      <c r="L128" s="450"/>
      <c r="M128" s="453"/>
      <c r="N128" s="452"/>
      <c r="O128" s="450"/>
      <c r="P128" s="450"/>
      <c r="Q128" s="452"/>
      <c r="R128" s="450"/>
      <c r="S128" s="450"/>
    </row>
    <row r="129" spans="1:19">
      <c r="A129" s="453"/>
      <c r="B129" s="451"/>
      <c r="C129" s="450"/>
      <c r="D129" s="453"/>
      <c r="E129" s="452"/>
      <c r="F129" s="450"/>
      <c r="G129" s="453"/>
      <c r="H129" s="452"/>
      <c r="I129" s="450"/>
      <c r="J129" s="450"/>
      <c r="K129" s="452"/>
      <c r="L129" s="450"/>
      <c r="M129" s="453"/>
      <c r="N129" s="452"/>
      <c r="O129" s="450"/>
      <c r="P129" s="450"/>
      <c r="Q129" s="452"/>
      <c r="R129" s="450"/>
      <c r="S129" s="450"/>
    </row>
    <row r="130" spans="1:19">
      <c r="A130" s="453"/>
      <c r="B130" s="451"/>
      <c r="C130" s="450"/>
      <c r="D130" s="453"/>
      <c r="E130" s="452"/>
      <c r="F130" s="450"/>
      <c r="G130" s="453"/>
      <c r="H130" s="452"/>
      <c r="I130" s="450"/>
      <c r="J130" s="450"/>
      <c r="K130" s="452"/>
      <c r="L130" s="450"/>
      <c r="M130" s="453"/>
      <c r="N130" s="452"/>
      <c r="O130" s="450"/>
      <c r="P130" s="450"/>
      <c r="Q130" s="452"/>
      <c r="R130" s="450"/>
      <c r="S130" s="450"/>
    </row>
    <row r="131" spans="1:19">
      <c r="A131" s="97"/>
      <c r="B131" s="451"/>
      <c r="C131" s="450"/>
      <c r="D131" s="453"/>
      <c r="E131" s="452"/>
      <c r="F131" s="450"/>
      <c r="G131" s="453"/>
      <c r="H131" s="452"/>
      <c r="I131" s="450"/>
      <c r="J131" s="450"/>
      <c r="K131" s="452"/>
      <c r="L131" s="450"/>
      <c r="M131" s="453"/>
      <c r="N131" s="452"/>
      <c r="O131" s="450"/>
      <c r="P131" s="450"/>
      <c r="Q131" s="452"/>
      <c r="R131" s="450"/>
      <c r="S131" s="450"/>
    </row>
    <row r="132" spans="1:19">
      <c r="A132" s="453"/>
      <c r="B132" s="451"/>
      <c r="C132" s="450"/>
      <c r="D132" s="453"/>
      <c r="E132" s="452"/>
      <c r="F132" s="450"/>
      <c r="G132" s="453"/>
      <c r="H132" s="452"/>
      <c r="I132" s="450"/>
      <c r="J132" s="450"/>
      <c r="K132" s="452"/>
      <c r="L132" s="450"/>
      <c r="M132" s="453"/>
      <c r="N132" s="452"/>
      <c r="O132" s="450"/>
      <c r="P132" s="450"/>
      <c r="Q132" s="452"/>
      <c r="R132" s="450"/>
      <c r="S132" s="450"/>
    </row>
    <row r="133" spans="1:19">
      <c r="A133" s="455"/>
      <c r="C133" s="454"/>
      <c r="D133" s="455"/>
      <c r="E133" s="449"/>
      <c r="F133" s="454"/>
      <c r="G133" s="455"/>
      <c r="H133" s="449"/>
      <c r="I133" s="454"/>
      <c r="J133" s="454"/>
      <c r="K133" s="449"/>
      <c r="L133" s="454"/>
      <c r="M133" s="455"/>
      <c r="N133" s="449"/>
      <c r="O133" s="455"/>
      <c r="P133" s="455"/>
      <c r="Q133" s="449"/>
      <c r="R133" s="455"/>
      <c r="S133" s="455"/>
    </row>
    <row r="134" spans="1:19">
      <c r="A134" s="455"/>
      <c r="C134" s="454"/>
      <c r="D134" s="455"/>
      <c r="E134" s="449"/>
      <c r="F134" s="454"/>
      <c r="G134" s="455"/>
      <c r="H134" s="449"/>
      <c r="I134" s="454"/>
      <c r="J134" s="454"/>
      <c r="K134" s="449"/>
      <c r="L134" s="454"/>
      <c r="M134" s="455"/>
      <c r="N134" s="449"/>
      <c r="O134" s="455"/>
      <c r="P134" s="455"/>
      <c r="Q134" s="449"/>
      <c r="R134" s="455"/>
      <c r="S134" s="455"/>
    </row>
  </sheetData>
  <mergeCells count="4">
    <mergeCell ref="H7:I7"/>
    <mergeCell ref="K7:L7"/>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19.xml><?xml version="1.0" encoding="utf-8"?>
<worksheet xmlns="http://schemas.openxmlformats.org/spreadsheetml/2006/main" xmlns:r="http://schemas.openxmlformats.org/officeDocument/2006/relationships">
  <dimension ref="A1:S123"/>
  <sheetViews>
    <sheetView topLeftCell="A85" workbookViewId="0">
      <selection activeCell="A20" sqref="A20"/>
    </sheetView>
  </sheetViews>
  <sheetFormatPr baseColWidth="10" defaultColWidth="9.140625" defaultRowHeight="12.75"/>
  <cols>
    <col min="1" max="1" width="36" style="434" customWidth="1"/>
    <col min="2" max="2" width="8" style="544" customWidth="1"/>
    <col min="3" max="3" width="8.28515625" style="436" customWidth="1"/>
    <col min="4" max="4" width="2.5703125" style="434" customWidth="1"/>
    <col min="5" max="5" width="7.5703125" style="435" customWidth="1"/>
    <col min="6" max="6" width="7.85546875" style="436" customWidth="1"/>
    <col min="7" max="7" width="2.5703125" style="434" customWidth="1"/>
    <col min="8" max="8" width="8.28515625" style="435" customWidth="1"/>
    <col min="9" max="9" width="8.42578125" style="436" customWidth="1"/>
    <col min="10" max="10" width="2.5703125" style="436" customWidth="1"/>
    <col min="11" max="11" width="7.7109375" style="435" customWidth="1"/>
    <col min="12" max="12" width="7.5703125" style="436" customWidth="1"/>
    <col min="13" max="13" width="2.5703125" style="434" customWidth="1"/>
    <col min="14" max="14" width="7.85546875" style="435" customWidth="1"/>
    <col min="15" max="15" width="7.7109375" style="434" customWidth="1"/>
    <col min="16" max="16" width="2.7109375" style="434" customWidth="1"/>
    <col min="17" max="18" width="7.7109375" style="434" customWidth="1"/>
    <col min="19" max="19" width="2.5703125" style="434" customWidth="1"/>
    <col min="20" max="256" width="9.140625" style="434"/>
    <col min="257" max="257" width="36" style="434" customWidth="1"/>
    <col min="258" max="258" width="8" style="434" customWidth="1"/>
    <col min="259" max="259" width="8.28515625" style="434" customWidth="1"/>
    <col min="260" max="260" width="2.5703125" style="434" customWidth="1"/>
    <col min="261" max="261" width="7.5703125" style="434" customWidth="1"/>
    <col min="262" max="262" width="7.85546875" style="434" customWidth="1"/>
    <col min="263" max="263" width="2.5703125" style="434" customWidth="1"/>
    <col min="264" max="264" width="8.28515625" style="434" customWidth="1"/>
    <col min="265" max="265" width="8.42578125" style="434" customWidth="1"/>
    <col min="266" max="266" width="2.5703125" style="434" customWidth="1"/>
    <col min="267" max="267" width="7.7109375" style="434" customWidth="1"/>
    <col min="268" max="268" width="7.5703125" style="434" customWidth="1"/>
    <col min="269" max="269" width="2.5703125" style="434" customWidth="1"/>
    <col min="270" max="270" width="7.85546875" style="434" customWidth="1"/>
    <col min="271" max="271" width="7.7109375" style="434" customWidth="1"/>
    <col min="272" max="272" width="2.7109375" style="434" customWidth="1"/>
    <col min="273" max="274" width="7.7109375" style="434" customWidth="1"/>
    <col min="275" max="275" width="2.5703125" style="434" customWidth="1"/>
    <col min="276" max="512" width="9.140625" style="434"/>
    <col min="513" max="513" width="36" style="434" customWidth="1"/>
    <col min="514" max="514" width="8" style="434" customWidth="1"/>
    <col min="515" max="515" width="8.28515625" style="434" customWidth="1"/>
    <col min="516" max="516" width="2.5703125" style="434" customWidth="1"/>
    <col min="517" max="517" width="7.5703125" style="434" customWidth="1"/>
    <col min="518" max="518" width="7.85546875" style="434" customWidth="1"/>
    <col min="519" max="519" width="2.5703125" style="434" customWidth="1"/>
    <col min="520" max="520" width="8.28515625" style="434" customWidth="1"/>
    <col min="521" max="521" width="8.42578125" style="434" customWidth="1"/>
    <col min="522" max="522" width="2.5703125" style="434" customWidth="1"/>
    <col min="523" max="523" width="7.7109375" style="434" customWidth="1"/>
    <col min="524" max="524" width="7.5703125" style="434" customWidth="1"/>
    <col min="525" max="525" width="2.5703125" style="434" customWidth="1"/>
    <col min="526" max="526" width="7.85546875" style="434" customWidth="1"/>
    <col min="527" max="527" width="7.7109375" style="434" customWidth="1"/>
    <col min="528" max="528" width="2.7109375" style="434" customWidth="1"/>
    <col min="529" max="530" width="7.7109375" style="434" customWidth="1"/>
    <col min="531" max="531" width="2.5703125" style="434" customWidth="1"/>
    <col min="532" max="768" width="9.140625" style="434"/>
    <col min="769" max="769" width="36" style="434" customWidth="1"/>
    <col min="770" max="770" width="8" style="434" customWidth="1"/>
    <col min="771" max="771" width="8.28515625" style="434" customWidth="1"/>
    <col min="772" max="772" width="2.5703125" style="434" customWidth="1"/>
    <col min="773" max="773" width="7.5703125" style="434" customWidth="1"/>
    <col min="774" max="774" width="7.85546875" style="434" customWidth="1"/>
    <col min="775" max="775" width="2.5703125" style="434" customWidth="1"/>
    <col min="776" max="776" width="8.28515625" style="434" customWidth="1"/>
    <col min="777" max="777" width="8.42578125" style="434" customWidth="1"/>
    <col min="778" max="778" width="2.5703125" style="434" customWidth="1"/>
    <col min="779" max="779" width="7.7109375" style="434" customWidth="1"/>
    <col min="780" max="780" width="7.5703125" style="434" customWidth="1"/>
    <col min="781" max="781" width="2.5703125" style="434" customWidth="1"/>
    <col min="782" max="782" width="7.85546875" style="434" customWidth="1"/>
    <col min="783" max="783" width="7.7109375" style="434" customWidth="1"/>
    <col min="784" max="784" width="2.7109375" style="434" customWidth="1"/>
    <col min="785" max="786" width="7.7109375" style="434" customWidth="1"/>
    <col min="787" max="787" width="2.5703125" style="434" customWidth="1"/>
    <col min="788" max="1024" width="9.140625" style="434"/>
    <col min="1025" max="1025" width="36" style="434" customWidth="1"/>
    <col min="1026" max="1026" width="8" style="434" customWidth="1"/>
    <col min="1027" max="1027" width="8.28515625" style="434" customWidth="1"/>
    <col min="1028" max="1028" width="2.5703125" style="434" customWidth="1"/>
    <col min="1029" max="1029" width="7.5703125" style="434" customWidth="1"/>
    <col min="1030" max="1030" width="7.85546875" style="434" customWidth="1"/>
    <col min="1031" max="1031" width="2.5703125" style="434" customWidth="1"/>
    <col min="1032" max="1032" width="8.28515625" style="434" customWidth="1"/>
    <col min="1033" max="1033" width="8.42578125" style="434" customWidth="1"/>
    <col min="1034" max="1034" width="2.5703125" style="434" customWidth="1"/>
    <col min="1035" max="1035" width="7.7109375" style="434" customWidth="1"/>
    <col min="1036" max="1036" width="7.5703125" style="434" customWidth="1"/>
    <col min="1037" max="1037" width="2.5703125" style="434" customWidth="1"/>
    <col min="1038" max="1038" width="7.85546875" style="434" customWidth="1"/>
    <col min="1039" max="1039" width="7.7109375" style="434" customWidth="1"/>
    <col min="1040" max="1040" width="2.7109375" style="434" customWidth="1"/>
    <col min="1041" max="1042" width="7.7109375" style="434" customWidth="1"/>
    <col min="1043" max="1043" width="2.5703125" style="434" customWidth="1"/>
    <col min="1044" max="1280" width="9.140625" style="434"/>
    <col min="1281" max="1281" width="36" style="434" customWidth="1"/>
    <col min="1282" max="1282" width="8" style="434" customWidth="1"/>
    <col min="1283" max="1283" width="8.28515625" style="434" customWidth="1"/>
    <col min="1284" max="1284" width="2.5703125" style="434" customWidth="1"/>
    <col min="1285" max="1285" width="7.5703125" style="434" customWidth="1"/>
    <col min="1286" max="1286" width="7.85546875" style="434" customWidth="1"/>
    <col min="1287" max="1287" width="2.5703125" style="434" customWidth="1"/>
    <col min="1288" max="1288" width="8.28515625" style="434" customWidth="1"/>
    <col min="1289" max="1289" width="8.42578125" style="434" customWidth="1"/>
    <col min="1290" max="1290" width="2.5703125" style="434" customWidth="1"/>
    <col min="1291" max="1291" width="7.7109375" style="434" customWidth="1"/>
    <col min="1292" max="1292" width="7.5703125" style="434" customWidth="1"/>
    <col min="1293" max="1293" width="2.5703125" style="434" customWidth="1"/>
    <col min="1294" max="1294" width="7.85546875" style="434" customWidth="1"/>
    <col min="1295" max="1295" width="7.7109375" style="434" customWidth="1"/>
    <col min="1296" max="1296" width="2.7109375" style="434" customWidth="1"/>
    <col min="1297" max="1298" width="7.7109375" style="434" customWidth="1"/>
    <col min="1299" max="1299" width="2.5703125" style="434" customWidth="1"/>
    <col min="1300" max="1536" width="9.140625" style="434"/>
    <col min="1537" max="1537" width="36" style="434" customWidth="1"/>
    <col min="1538" max="1538" width="8" style="434" customWidth="1"/>
    <col min="1539" max="1539" width="8.28515625" style="434" customWidth="1"/>
    <col min="1540" max="1540" width="2.5703125" style="434" customWidth="1"/>
    <col min="1541" max="1541" width="7.5703125" style="434" customWidth="1"/>
    <col min="1542" max="1542" width="7.85546875" style="434" customWidth="1"/>
    <col min="1543" max="1543" width="2.5703125" style="434" customWidth="1"/>
    <col min="1544" max="1544" width="8.28515625" style="434" customWidth="1"/>
    <col min="1545" max="1545" width="8.42578125" style="434" customWidth="1"/>
    <col min="1546" max="1546" width="2.5703125" style="434" customWidth="1"/>
    <col min="1547" max="1547" width="7.7109375" style="434" customWidth="1"/>
    <col min="1548" max="1548" width="7.5703125" style="434" customWidth="1"/>
    <col min="1549" max="1549" width="2.5703125" style="434" customWidth="1"/>
    <col min="1550" max="1550" width="7.85546875" style="434" customWidth="1"/>
    <col min="1551" max="1551" width="7.7109375" style="434" customWidth="1"/>
    <col min="1552" max="1552" width="2.7109375" style="434" customWidth="1"/>
    <col min="1553" max="1554" width="7.7109375" style="434" customWidth="1"/>
    <col min="1555" max="1555" width="2.5703125" style="434" customWidth="1"/>
    <col min="1556" max="1792" width="9.140625" style="434"/>
    <col min="1793" max="1793" width="36" style="434" customWidth="1"/>
    <col min="1794" max="1794" width="8" style="434" customWidth="1"/>
    <col min="1795" max="1795" width="8.28515625" style="434" customWidth="1"/>
    <col min="1796" max="1796" width="2.5703125" style="434" customWidth="1"/>
    <col min="1797" max="1797" width="7.5703125" style="434" customWidth="1"/>
    <col min="1798" max="1798" width="7.85546875" style="434" customWidth="1"/>
    <col min="1799" max="1799" width="2.5703125" style="434" customWidth="1"/>
    <col min="1800" max="1800" width="8.28515625" style="434" customWidth="1"/>
    <col min="1801" max="1801" width="8.42578125" style="434" customWidth="1"/>
    <col min="1802" max="1802" width="2.5703125" style="434" customWidth="1"/>
    <col min="1803" max="1803" width="7.7109375" style="434" customWidth="1"/>
    <col min="1804" max="1804" width="7.5703125" style="434" customWidth="1"/>
    <col min="1805" max="1805" width="2.5703125" style="434" customWidth="1"/>
    <col min="1806" max="1806" width="7.85546875" style="434" customWidth="1"/>
    <col min="1807" max="1807" width="7.7109375" style="434" customWidth="1"/>
    <col min="1808" max="1808" width="2.7109375" style="434" customWidth="1"/>
    <col min="1809" max="1810" width="7.7109375" style="434" customWidth="1"/>
    <col min="1811" max="1811" width="2.5703125" style="434" customWidth="1"/>
    <col min="1812" max="2048" width="9.140625" style="434"/>
    <col min="2049" max="2049" width="36" style="434" customWidth="1"/>
    <col min="2050" max="2050" width="8" style="434" customWidth="1"/>
    <col min="2051" max="2051" width="8.28515625" style="434" customWidth="1"/>
    <col min="2052" max="2052" width="2.5703125" style="434" customWidth="1"/>
    <col min="2053" max="2053" width="7.5703125" style="434" customWidth="1"/>
    <col min="2054" max="2054" width="7.85546875" style="434" customWidth="1"/>
    <col min="2055" max="2055" width="2.5703125" style="434" customWidth="1"/>
    <col min="2056" max="2056" width="8.28515625" style="434" customWidth="1"/>
    <col min="2057" max="2057" width="8.42578125" style="434" customWidth="1"/>
    <col min="2058" max="2058" width="2.5703125" style="434" customWidth="1"/>
    <col min="2059" max="2059" width="7.7109375" style="434" customWidth="1"/>
    <col min="2060" max="2060" width="7.5703125" style="434" customWidth="1"/>
    <col min="2061" max="2061" width="2.5703125" style="434" customWidth="1"/>
    <col min="2062" max="2062" width="7.85546875" style="434" customWidth="1"/>
    <col min="2063" max="2063" width="7.7109375" style="434" customWidth="1"/>
    <col min="2064" max="2064" width="2.7109375" style="434" customWidth="1"/>
    <col min="2065" max="2066" width="7.7109375" style="434" customWidth="1"/>
    <col min="2067" max="2067" width="2.5703125" style="434" customWidth="1"/>
    <col min="2068" max="2304" width="9.140625" style="434"/>
    <col min="2305" max="2305" width="36" style="434" customWidth="1"/>
    <col min="2306" max="2306" width="8" style="434" customWidth="1"/>
    <col min="2307" max="2307" width="8.28515625" style="434" customWidth="1"/>
    <col min="2308" max="2308" width="2.5703125" style="434" customWidth="1"/>
    <col min="2309" max="2309" width="7.5703125" style="434" customWidth="1"/>
    <col min="2310" max="2310" width="7.85546875" style="434" customWidth="1"/>
    <col min="2311" max="2311" width="2.5703125" style="434" customWidth="1"/>
    <col min="2312" max="2312" width="8.28515625" style="434" customWidth="1"/>
    <col min="2313" max="2313" width="8.42578125" style="434" customWidth="1"/>
    <col min="2314" max="2314" width="2.5703125" style="434" customWidth="1"/>
    <col min="2315" max="2315" width="7.7109375" style="434" customWidth="1"/>
    <col min="2316" max="2316" width="7.5703125" style="434" customWidth="1"/>
    <col min="2317" max="2317" width="2.5703125" style="434" customWidth="1"/>
    <col min="2318" max="2318" width="7.85546875" style="434" customWidth="1"/>
    <col min="2319" max="2319" width="7.7109375" style="434" customWidth="1"/>
    <col min="2320" max="2320" width="2.7109375" style="434" customWidth="1"/>
    <col min="2321" max="2322" width="7.7109375" style="434" customWidth="1"/>
    <col min="2323" max="2323" width="2.5703125" style="434" customWidth="1"/>
    <col min="2324" max="2560" width="9.140625" style="434"/>
    <col min="2561" max="2561" width="36" style="434" customWidth="1"/>
    <col min="2562" max="2562" width="8" style="434" customWidth="1"/>
    <col min="2563" max="2563" width="8.28515625" style="434" customWidth="1"/>
    <col min="2564" max="2564" width="2.5703125" style="434" customWidth="1"/>
    <col min="2565" max="2565" width="7.5703125" style="434" customWidth="1"/>
    <col min="2566" max="2566" width="7.85546875" style="434" customWidth="1"/>
    <col min="2567" max="2567" width="2.5703125" style="434" customWidth="1"/>
    <col min="2568" max="2568" width="8.28515625" style="434" customWidth="1"/>
    <col min="2569" max="2569" width="8.42578125" style="434" customWidth="1"/>
    <col min="2570" max="2570" width="2.5703125" style="434" customWidth="1"/>
    <col min="2571" max="2571" width="7.7109375" style="434" customWidth="1"/>
    <col min="2572" max="2572" width="7.5703125" style="434" customWidth="1"/>
    <col min="2573" max="2573" width="2.5703125" style="434" customWidth="1"/>
    <col min="2574" max="2574" width="7.85546875" style="434" customWidth="1"/>
    <col min="2575" max="2575" width="7.7109375" style="434" customWidth="1"/>
    <col min="2576" max="2576" width="2.7109375" style="434" customWidth="1"/>
    <col min="2577" max="2578" width="7.7109375" style="434" customWidth="1"/>
    <col min="2579" max="2579" width="2.5703125" style="434" customWidth="1"/>
    <col min="2580" max="2816" width="9.140625" style="434"/>
    <col min="2817" max="2817" width="36" style="434" customWidth="1"/>
    <col min="2818" max="2818" width="8" style="434" customWidth="1"/>
    <col min="2819" max="2819" width="8.28515625" style="434" customWidth="1"/>
    <col min="2820" max="2820" width="2.5703125" style="434" customWidth="1"/>
    <col min="2821" max="2821" width="7.5703125" style="434" customWidth="1"/>
    <col min="2822" max="2822" width="7.85546875" style="434" customWidth="1"/>
    <col min="2823" max="2823" width="2.5703125" style="434" customWidth="1"/>
    <col min="2824" max="2824" width="8.28515625" style="434" customWidth="1"/>
    <col min="2825" max="2825" width="8.42578125" style="434" customWidth="1"/>
    <col min="2826" max="2826" width="2.5703125" style="434" customWidth="1"/>
    <col min="2827" max="2827" width="7.7109375" style="434" customWidth="1"/>
    <col min="2828" max="2828" width="7.5703125" style="434" customWidth="1"/>
    <col min="2829" max="2829" width="2.5703125" style="434" customWidth="1"/>
    <col min="2830" max="2830" width="7.85546875" style="434" customWidth="1"/>
    <col min="2831" max="2831" width="7.7109375" style="434" customWidth="1"/>
    <col min="2832" max="2832" width="2.7109375" style="434" customWidth="1"/>
    <col min="2833" max="2834" width="7.7109375" style="434" customWidth="1"/>
    <col min="2835" max="2835" width="2.5703125" style="434" customWidth="1"/>
    <col min="2836" max="3072" width="9.140625" style="434"/>
    <col min="3073" max="3073" width="36" style="434" customWidth="1"/>
    <col min="3074" max="3074" width="8" style="434" customWidth="1"/>
    <col min="3075" max="3075" width="8.28515625" style="434" customWidth="1"/>
    <col min="3076" max="3076" width="2.5703125" style="434" customWidth="1"/>
    <col min="3077" max="3077" width="7.5703125" style="434" customWidth="1"/>
    <col min="3078" max="3078" width="7.85546875" style="434" customWidth="1"/>
    <col min="3079" max="3079" width="2.5703125" style="434" customWidth="1"/>
    <col min="3080" max="3080" width="8.28515625" style="434" customWidth="1"/>
    <col min="3081" max="3081" width="8.42578125" style="434" customWidth="1"/>
    <col min="3082" max="3082" width="2.5703125" style="434" customWidth="1"/>
    <col min="3083" max="3083" width="7.7109375" style="434" customWidth="1"/>
    <col min="3084" max="3084" width="7.5703125" style="434" customWidth="1"/>
    <col min="3085" max="3085" width="2.5703125" style="434" customWidth="1"/>
    <col min="3086" max="3086" width="7.85546875" style="434" customWidth="1"/>
    <col min="3087" max="3087" width="7.7109375" style="434" customWidth="1"/>
    <col min="3088" max="3088" width="2.7109375" style="434" customWidth="1"/>
    <col min="3089" max="3090" width="7.7109375" style="434" customWidth="1"/>
    <col min="3091" max="3091" width="2.5703125" style="434" customWidth="1"/>
    <col min="3092" max="3328" width="9.140625" style="434"/>
    <col min="3329" max="3329" width="36" style="434" customWidth="1"/>
    <col min="3330" max="3330" width="8" style="434" customWidth="1"/>
    <col min="3331" max="3331" width="8.28515625" style="434" customWidth="1"/>
    <col min="3332" max="3332" width="2.5703125" style="434" customWidth="1"/>
    <col min="3333" max="3333" width="7.5703125" style="434" customWidth="1"/>
    <col min="3334" max="3334" width="7.85546875" style="434" customWidth="1"/>
    <col min="3335" max="3335" width="2.5703125" style="434" customWidth="1"/>
    <col min="3336" max="3336" width="8.28515625" style="434" customWidth="1"/>
    <col min="3337" max="3337" width="8.42578125" style="434" customWidth="1"/>
    <col min="3338" max="3338" width="2.5703125" style="434" customWidth="1"/>
    <col min="3339" max="3339" width="7.7109375" style="434" customWidth="1"/>
    <col min="3340" max="3340" width="7.5703125" style="434" customWidth="1"/>
    <col min="3341" max="3341" width="2.5703125" style="434" customWidth="1"/>
    <col min="3342" max="3342" width="7.85546875" style="434" customWidth="1"/>
    <col min="3343" max="3343" width="7.7109375" style="434" customWidth="1"/>
    <col min="3344" max="3344" width="2.7109375" style="434" customWidth="1"/>
    <col min="3345" max="3346" width="7.7109375" style="434" customWidth="1"/>
    <col min="3347" max="3347" width="2.5703125" style="434" customWidth="1"/>
    <col min="3348" max="3584" width="9.140625" style="434"/>
    <col min="3585" max="3585" width="36" style="434" customWidth="1"/>
    <col min="3586" max="3586" width="8" style="434" customWidth="1"/>
    <col min="3587" max="3587" width="8.28515625" style="434" customWidth="1"/>
    <col min="3588" max="3588" width="2.5703125" style="434" customWidth="1"/>
    <col min="3589" max="3589" width="7.5703125" style="434" customWidth="1"/>
    <col min="3590" max="3590" width="7.85546875" style="434" customWidth="1"/>
    <col min="3591" max="3591" width="2.5703125" style="434" customWidth="1"/>
    <col min="3592" max="3592" width="8.28515625" style="434" customWidth="1"/>
    <col min="3593" max="3593" width="8.42578125" style="434" customWidth="1"/>
    <col min="3594" max="3594" width="2.5703125" style="434" customWidth="1"/>
    <col min="3595" max="3595" width="7.7109375" style="434" customWidth="1"/>
    <col min="3596" max="3596" width="7.5703125" style="434" customWidth="1"/>
    <col min="3597" max="3597" width="2.5703125" style="434" customWidth="1"/>
    <col min="3598" max="3598" width="7.85546875" style="434" customWidth="1"/>
    <col min="3599" max="3599" width="7.7109375" style="434" customWidth="1"/>
    <col min="3600" max="3600" width="2.7109375" style="434" customWidth="1"/>
    <col min="3601" max="3602" width="7.7109375" style="434" customWidth="1"/>
    <col min="3603" max="3603" width="2.5703125" style="434" customWidth="1"/>
    <col min="3604" max="3840" width="9.140625" style="434"/>
    <col min="3841" max="3841" width="36" style="434" customWidth="1"/>
    <col min="3842" max="3842" width="8" style="434" customWidth="1"/>
    <col min="3843" max="3843" width="8.28515625" style="434" customWidth="1"/>
    <col min="3844" max="3844" width="2.5703125" style="434" customWidth="1"/>
    <col min="3845" max="3845" width="7.5703125" style="434" customWidth="1"/>
    <col min="3846" max="3846" width="7.85546875" style="434" customWidth="1"/>
    <col min="3847" max="3847" width="2.5703125" style="434" customWidth="1"/>
    <col min="3848" max="3848" width="8.28515625" style="434" customWidth="1"/>
    <col min="3849" max="3849" width="8.42578125" style="434" customWidth="1"/>
    <col min="3850" max="3850" width="2.5703125" style="434" customWidth="1"/>
    <col min="3851" max="3851" width="7.7109375" style="434" customWidth="1"/>
    <col min="3852" max="3852" width="7.5703125" style="434" customWidth="1"/>
    <col min="3853" max="3853" width="2.5703125" style="434" customWidth="1"/>
    <col min="3854" max="3854" width="7.85546875" style="434" customWidth="1"/>
    <col min="3855" max="3855" width="7.7109375" style="434" customWidth="1"/>
    <col min="3856" max="3856" width="2.7109375" style="434" customWidth="1"/>
    <col min="3857" max="3858" width="7.7109375" style="434" customWidth="1"/>
    <col min="3859" max="3859" width="2.5703125" style="434" customWidth="1"/>
    <col min="3860" max="4096" width="9.140625" style="434"/>
    <col min="4097" max="4097" width="36" style="434" customWidth="1"/>
    <col min="4098" max="4098" width="8" style="434" customWidth="1"/>
    <col min="4099" max="4099" width="8.28515625" style="434" customWidth="1"/>
    <col min="4100" max="4100" width="2.5703125" style="434" customWidth="1"/>
    <col min="4101" max="4101" width="7.5703125" style="434" customWidth="1"/>
    <col min="4102" max="4102" width="7.85546875" style="434" customWidth="1"/>
    <col min="4103" max="4103" width="2.5703125" style="434" customWidth="1"/>
    <col min="4104" max="4104" width="8.28515625" style="434" customWidth="1"/>
    <col min="4105" max="4105" width="8.42578125" style="434" customWidth="1"/>
    <col min="4106" max="4106" width="2.5703125" style="434" customWidth="1"/>
    <col min="4107" max="4107" width="7.7109375" style="434" customWidth="1"/>
    <col min="4108" max="4108" width="7.5703125" style="434" customWidth="1"/>
    <col min="4109" max="4109" width="2.5703125" style="434" customWidth="1"/>
    <col min="4110" max="4110" width="7.85546875" style="434" customWidth="1"/>
    <col min="4111" max="4111" width="7.7109375" style="434" customWidth="1"/>
    <col min="4112" max="4112" width="2.7109375" style="434" customWidth="1"/>
    <col min="4113" max="4114" width="7.7109375" style="434" customWidth="1"/>
    <col min="4115" max="4115" width="2.5703125" style="434" customWidth="1"/>
    <col min="4116" max="4352" width="9.140625" style="434"/>
    <col min="4353" max="4353" width="36" style="434" customWidth="1"/>
    <col min="4354" max="4354" width="8" style="434" customWidth="1"/>
    <col min="4355" max="4355" width="8.28515625" style="434" customWidth="1"/>
    <col min="4356" max="4356" width="2.5703125" style="434" customWidth="1"/>
    <col min="4357" max="4357" width="7.5703125" style="434" customWidth="1"/>
    <col min="4358" max="4358" width="7.85546875" style="434" customWidth="1"/>
    <col min="4359" max="4359" width="2.5703125" style="434" customWidth="1"/>
    <col min="4360" max="4360" width="8.28515625" style="434" customWidth="1"/>
    <col min="4361" max="4361" width="8.42578125" style="434" customWidth="1"/>
    <col min="4362" max="4362" width="2.5703125" style="434" customWidth="1"/>
    <col min="4363" max="4363" width="7.7109375" style="434" customWidth="1"/>
    <col min="4364" max="4364" width="7.5703125" style="434" customWidth="1"/>
    <col min="4365" max="4365" width="2.5703125" style="434" customWidth="1"/>
    <col min="4366" max="4366" width="7.85546875" style="434" customWidth="1"/>
    <col min="4367" max="4367" width="7.7109375" style="434" customWidth="1"/>
    <col min="4368" max="4368" width="2.7109375" style="434" customWidth="1"/>
    <col min="4369" max="4370" width="7.7109375" style="434" customWidth="1"/>
    <col min="4371" max="4371" width="2.5703125" style="434" customWidth="1"/>
    <col min="4372" max="4608" width="9.140625" style="434"/>
    <col min="4609" max="4609" width="36" style="434" customWidth="1"/>
    <col min="4610" max="4610" width="8" style="434" customWidth="1"/>
    <col min="4611" max="4611" width="8.28515625" style="434" customWidth="1"/>
    <col min="4612" max="4612" width="2.5703125" style="434" customWidth="1"/>
    <col min="4613" max="4613" width="7.5703125" style="434" customWidth="1"/>
    <col min="4614" max="4614" width="7.85546875" style="434" customWidth="1"/>
    <col min="4615" max="4615" width="2.5703125" style="434" customWidth="1"/>
    <col min="4616" max="4616" width="8.28515625" style="434" customWidth="1"/>
    <col min="4617" max="4617" width="8.42578125" style="434" customWidth="1"/>
    <col min="4618" max="4618" width="2.5703125" style="434" customWidth="1"/>
    <col min="4619" max="4619" width="7.7109375" style="434" customWidth="1"/>
    <col min="4620" max="4620" width="7.5703125" style="434" customWidth="1"/>
    <col min="4621" max="4621" width="2.5703125" style="434" customWidth="1"/>
    <col min="4622" max="4622" width="7.85546875" style="434" customWidth="1"/>
    <col min="4623" max="4623" width="7.7109375" style="434" customWidth="1"/>
    <col min="4624" max="4624" width="2.7109375" style="434" customWidth="1"/>
    <col min="4625" max="4626" width="7.7109375" style="434" customWidth="1"/>
    <col min="4627" max="4627" width="2.5703125" style="434" customWidth="1"/>
    <col min="4628" max="4864" width="9.140625" style="434"/>
    <col min="4865" max="4865" width="36" style="434" customWidth="1"/>
    <col min="4866" max="4866" width="8" style="434" customWidth="1"/>
    <col min="4867" max="4867" width="8.28515625" style="434" customWidth="1"/>
    <col min="4868" max="4868" width="2.5703125" style="434" customWidth="1"/>
    <col min="4869" max="4869" width="7.5703125" style="434" customWidth="1"/>
    <col min="4870" max="4870" width="7.85546875" style="434" customWidth="1"/>
    <col min="4871" max="4871" width="2.5703125" style="434" customWidth="1"/>
    <col min="4872" max="4872" width="8.28515625" style="434" customWidth="1"/>
    <col min="4873" max="4873" width="8.42578125" style="434" customWidth="1"/>
    <col min="4874" max="4874" width="2.5703125" style="434" customWidth="1"/>
    <col min="4875" max="4875" width="7.7109375" style="434" customWidth="1"/>
    <col min="4876" max="4876" width="7.5703125" style="434" customWidth="1"/>
    <col min="4877" max="4877" width="2.5703125" style="434" customWidth="1"/>
    <col min="4878" max="4878" width="7.85546875" style="434" customWidth="1"/>
    <col min="4879" max="4879" width="7.7109375" style="434" customWidth="1"/>
    <col min="4880" max="4880" width="2.7109375" style="434" customWidth="1"/>
    <col min="4881" max="4882" width="7.7109375" style="434" customWidth="1"/>
    <col min="4883" max="4883" width="2.5703125" style="434" customWidth="1"/>
    <col min="4884" max="5120" width="9.140625" style="434"/>
    <col min="5121" max="5121" width="36" style="434" customWidth="1"/>
    <col min="5122" max="5122" width="8" style="434" customWidth="1"/>
    <col min="5123" max="5123" width="8.28515625" style="434" customWidth="1"/>
    <col min="5124" max="5124" width="2.5703125" style="434" customWidth="1"/>
    <col min="5125" max="5125" width="7.5703125" style="434" customWidth="1"/>
    <col min="5126" max="5126" width="7.85546875" style="434" customWidth="1"/>
    <col min="5127" max="5127" width="2.5703125" style="434" customWidth="1"/>
    <col min="5128" max="5128" width="8.28515625" style="434" customWidth="1"/>
    <col min="5129" max="5129" width="8.42578125" style="434" customWidth="1"/>
    <col min="5130" max="5130" width="2.5703125" style="434" customWidth="1"/>
    <col min="5131" max="5131" width="7.7109375" style="434" customWidth="1"/>
    <col min="5132" max="5132" width="7.5703125" style="434" customWidth="1"/>
    <col min="5133" max="5133" width="2.5703125" style="434" customWidth="1"/>
    <col min="5134" max="5134" width="7.85546875" style="434" customWidth="1"/>
    <col min="5135" max="5135" width="7.7109375" style="434" customWidth="1"/>
    <col min="5136" max="5136" width="2.7109375" style="434" customWidth="1"/>
    <col min="5137" max="5138" width="7.7109375" style="434" customWidth="1"/>
    <col min="5139" max="5139" width="2.5703125" style="434" customWidth="1"/>
    <col min="5140" max="5376" width="9.140625" style="434"/>
    <col min="5377" max="5377" width="36" style="434" customWidth="1"/>
    <col min="5378" max="5378" width="8" style="434" customWidth="1"/>
    <col min="5379" max="5379" width="8.28515625" style="434" customWidth="1"/>
    <col min="5380" max="5380" width="2.5703125" style="434" customWidth="1"/>
    <col min="5381" max="5381" width="7.5703125" style="434" customWidth="1"/>
    <col min="5382" max="5382" width="7.85546875" style="434" customWidth="1"/>
    <col min="5383" max="5383" width="2.5703125" style="434" customWidth="1"/>
    <col min="5384" max="5384" width="8.28515625" style="434" customWidth="1"/>
    <col min="5385" max="5385" width="8.42578125" style="434" customWidth="1"/>
    <col min="5386" max="5386" width="2.5703125" style="434" customWidth="1"/>
    <col min="5387" max="5387" width="7.7109375" style="434" customWidth="1"/>
    <col min="5388" max="5388" width="7.5703125" style="434" customWidth="1"/>
    <col min="5389" max="5389" width="2.5703125" style="434" customWidth="1"/>
    <col min="5390" max="5390" width="7.85546875" style="434" customWidth="1"/>
    <col min="5391" max="5391" width="7.7109375" style="434" customWidth="1"/>
    <col min="5392" max="5392" width="2.7109375" style="434" customWidth="1"/>
    <col min="5393" max="5394" width="7.7109375" style="434" customWidth="1"/>
    <col min="5395" max="5395" width="2.5703125" style="434" customWidth="1"/>
    <col min="5396" max="5632" width="9.140625" style="434"/>
    <col min="5633" max="5633" width="36" style="434" customWidth="1"/>
    <col min="5634" max="5634" width="8" style="434" customWidth="1"/>
    <col min="5635" max="5635" width="8.28515625" style="434" customWidth="1"/>
    <col min="5636" max="5636" width="2.5703125" style="434" customWidth="1"/>
    <col min="5637" max="5637" width="7.5703125" style="434" customWidth="1"/>
    <col min="5638" max="5638" width="7.85546875" style="434" customWidth="1"/>
    <col min="5639" max="5639" width="2.5703125" style="434" customWidth="1"/>
    <col min="5640" max="5640" width="8.28515625" style="434" customWidth="1"/>
    <col min="5641" max="5641" width="8.42578125" style="434" customWidth="1"/>
    <col min="5642" max="5642" width="2.5703125" style="434" customWidth="1"/>
    <col min="5643" max="5643" width="7.7109375" style="434" customWidth="1"/>
    <col min="5644" max="5644" width="7.5703125" style="434" customWidth="1"/>
    <col min="5645" max="5645" width="2.5703125" style="434" customWidth="1"/>
    <col min="5646" max="5646" width="7.85546875" style="434" customWidth="1"/>
    <col min="5647" max="5647" width="7.7109375" style="434" customWidth="1"/>
    <col min="5648" max="5648" width="2.7109375" style="434" customWidth="1"/>
    <col min="5649" max="5650" width="7.7109375" style="434" customWidth="1"/>
    <col min="5651" max="5651" width="2.5703125" style="434" customWidth="1"/>
    <col min="5652" max="5888" width="9.140625" style="434"/>
    <col min="5889" max="5889" width="36" style="434" customWidth="1"/>
    <col min="5890" max="5890" width="8" style="434" customWidth="1"/>
    <col min="5891" max="5891" width="8.28515625" style="434" customWidth="1"/>
    <col min="5892" max="5892" width="2.5703125" style="434" customWidth="1"/>
    <col min="5893" max="5893" width="7.5703125" style="434" customWidth="1"/>
    <col min="5894" max="5894" width="7.85546875" style="434" customWidth="1"/>
    <col min="5895" max="5895" width="2.5703125" style="434" customWidth="1"/>
    <col min="5896" max="5896" width="8.28515625" style="434" customWidth="1"/>
    <col min="5897" max="5897" width="8.42578125" style="434" customWidth="1"/>
    <col min="5898" max="5898" width="2.5703125" style="434" customWidth="1"/>
    <col min="5899" max="5899" width="7.7109375" style="434" customWidth="1"/>
    <col min="5900" max="5900" width="7.5703125" style="434" customWidth="1"/>
    <col min="5901" max="5901" width="2.5703125" style="434" customWidth="1"/>
    <col min="5902" max="5902" width="7.85546875" style="434" customWidth="1"/>
    <col min="5903" max="5903" width="7.7109375" style="434" customWidth="1"/>
    <col min="5904" max="5904" width="2.7109375" style="434" customWidth="1"/>
    <col min="5905" max="5906" width="7.7109375" style="434" customWidth="1"/>
    <col min="5907" max="5907" width="2.5703125" style="434" customWidth="1"/>
    <col min="5908" max="6144" width="9.140625" style="434"/>
    <col min="6145" max="6145" width="36" style="434" customWidth="1"/>
    <col min="6146" max="6146" width="8" style="434" customWidth="1"/>
    <col min="6147" max="6147" width="8.28515625" style="434" customWidth="1"/>
    <col min="6148" max="6148" width="2.5703125" style="434" customWidth="1"/>
    <col min="6149" max="6149" width="7.5703125" style="434" customWidth="1"/>
    <col min="6150" max="6150" width="7.85546875" style="434" customWidth="1"/>
    <col min="6151" max="6151" width="2.5703125" style="434" customWidth="1"/>
    <col min="6152" max="6152" width="8.28515625" style="434" customWidth="1"/>
    <col min="6153" max="6153" width="8.42578125" style="434" customWidth="1"/>
    <col min="6154" max="6154" width="2.5703125" style="434" customWidth="1"/>
    <col min="6155" max="6155" width="7.7109375" style="434" customWidth="1"/>
    <col min="6156" max="6156" width="7.5703125" style="434" customWidth="1"/>
    <col min="6157" max="6157" width="2.5703125" style="434" customWidth="1"/>
    <col min="6158" max="6158" width="7.85546875" style="434" customWidth="1"/>
    <col min="6159" max="6159" width="7.7109375" style="434" customWidth="1"/>
    <col min="6160" max="6160" width="2.7109375" style="434" customWidth="1"/>
    <col min="6161" max="6162" width="7.7109375" style="434" customWidth="1"/>
    <col min="6163" max="6163" width="2.5703125" style="434" customWidth="1"/>
    <col min="6164" max="6400" width="9.140625" style="434"/>
    <col min="6401" max="6401" width="36" style="434" customWidth="1"/>
    <col min="6402" max="6402" width="8" style="434" customWidth="1"/>
    <col min="6403" max="6403" width="8.28515625" style="434" customWidth="1"/>
    <col min="6404" max="6404" width="2.5703125" style="434" customWidth="1"/>
    <col min="6405" max="6405" width="7.5703125" style="434" customWidth="1"/>
    <col min="6406" max="6406" width="7.85546875" style="434" customWidth="1"/>
    <col min="6407" max="6407" width="2.5703125" style="434" customWidth="1"/>
    <col min="6408" max="6408" width="8.28515625" style="434" customWidth="1"/>
    <col min="6409" max="6409" width="8.42578125" style="434" customWidth="1"/>
    <col min="6410" max="6410" width="2.5703125" style="434" customWidth="1"/>
    <col min="6411" max="6411" width="7.7109375" style="434" customWidth="1"/>
    <col min="6412" max="6412" width="7.5703125" style="434" customWidth="1"/>
    <col min="6413" max="6413" width="2.5703125" style="434" customWidth="1"/>
    <col min="6414" max="6414" width="7.85546875" style="434" customWidth="1"/>
    <col min="6415" max="6415" width="7.7109375" style="434" customWidth="1"/>
    <col min="6416" max="6416" width="2.7109375" style="434" customWidth="1"/>
    <col min="6417" max="6418" width="7.7109375" style="434" customWidth="1"/>
    <col min="6419" max="6419" width="2.5703125" style="434" customWidth="1"/>
    <col min="6420" max="6656" width="9.140625" style="434"/>
    <col min="6657" max="6657" width="36" style="434" customWidth="1"/>
    <col min="6658" max="6658" width="8" style="434" customWidth="1"/>
    <col min="6659" max="6659" width="8.28515625" style="434" customWidth="1"/>
    <col min="6660" max="6660" width="2.5703125" style="434" customWidth="1"/>
    <col min="6661" max="6661" width="7.5703125" style="434" customWidth="1"/>
    <col min="6662" max="6662" width="7.85546875" style="434" customWidth="1"/>
    <col min="6663" max="6663" width="2.5703125" style="434" customWidth="1"/>
    <col min="6664" max="6664" width="8.28515625" style="434" customWidth="1"/>
    <col min="6665" max="6665" width="8.42578125" style="434" customWidth="1"/>
    <col min="6666" max="6666" width="2.5703125" style="434" customWidth="1"/>
    <col min="6667" max="6667" width="7.7109375" style="434" customWidth="1"/>
    <col min="6668" max="6668" width="7.5703125" style="434" customWidth="1"/>
    <col min="6669" max="6669" width="2.5703125" style="434" customWidth="1"/>
    <col min="6670" max="6670" width="7.85546875" style="434" customWidth="1"/>
    <col min="6671" max="6671" width="7.7109375" style="434" customWidth="1"/>
    <col min="6672" max="6672" width="2.7109375" style="434" customWidth="1"/>
    <col min="6673" max="6674" width="7.7109375" style="434" customWidth="1"/>
    <col min="6675" max="6675" width="2.5703125" style="434" customWidth="1"/>
    <col min="6676" max="6912" width="9.140625" style="434"/>
    <col min="6913" max="6913" width="36" style="434" customWidth="1"/>
    <col min="6914" max="6914" width="8" style="434" customWidth="1"/>
    <col min="6915" max="6915" width="8.28515625" style="434" customWidth="1"/>
    <col min="6916" max="6916" width="2.5703125" style="434" customWidth="1"/>
    <col min="6917" max="6917" width="7.5703125" style="434" customWidth="1"/>
    <col min="6918" max="6918" width="7.85546875" style="434" customWidth="1"/>
    <col min="6919" max="6919" width="2.5703125" style="434" customWidth="1"/>
    <col min="6920" max="6920" width="8.28515625" style="434" customWidth="1"/>
    <col min="6921" max="6921" width="8.42578125" style="434" customWidth="1"/>
    <col min="6922" max="6922" width="2.5703125" style="434" customWidth="1"/>
    <col min="6923" max="6923" width="7.7109375" style="434" customWidth="1"/>
    <col min="6924" max="6924" width="7.5703125" style="434" customWidth="1"/>
    <col min="6925" max="6925" width="2.5703125" style="434" customWidth="1"/>
    <col min="6926" max="6926" width="7.85546875" style="434" customWidth="1"/>
    <col min="6927" max="6927" width="7.7109375" style="434" customWidth="1"/>
    <col min="6928" max="6928" width="2.7109375" style="434" customWidth="1"/>
    <col min="6929" max="6930" width="7.7109375" style="434" customWidth="1"/>
    <col min="6931" max="6931" width="2.5703125" style="434" customWidth="1"/>
    <col min="6932" max="7168" width="9.140625" style="434"/>
    <col min="7169" max="7169" width="36" style="434" customWidth="1"/>
    <col min="7170" max="7170" width="8" style="434" customWidth="1"/>
    <col min="7171" max="7171" width="8.28515625" style="434" customWidth="1"/>
    <col min="7172" max="7172" width="2.5703125" style="434" customWidth="1"/>
    <col min="7173" max="7173" width="7.5703125" style="434" customWidth="1"/>
    <col min="7174" max="7174" width="7.85546875" style="434" customWidth="1"/>
    <col min="7175" max="7175" width="2.5703125" style="434" customWidth="1"/>
    <col min="7176" max="7176" width="8.28515625" style="434" customWidth="1"/>
    <col min="7177" max="7177" width="8.42578125" style="434" customWidth="1"/>
    <col min="7178" max="7178" width="2.5703125" style="434" customWidth="1"/>
    <col min="7179" max="7179" width="7.7109375" style="434" customWidth="1"/>
    <col min="7180" max="7180" width="7.5703125" style="434" customWidth="1"/>
    <col min="7181" max="7181" width="2.5703125" style="434" customWidth="1"/>
    <col min="7182" max="7182" width="7.85546875" style="434" customWidth="1"/>
    <col min="7183" max="7183" width="7.7109375" style="434" customWidth="1"/>
    <col min="7184" max="7184" width="2.7109375" style="434" customWidth="1"/>
    <col min="7185" max="7186" width="7.7109375" style="434" customWidth="1"/>
    <col min="7187" max="7187" width="2.5703125" style="434" customWidth="1"/>
    <col min="7188" max="7424" width="9.140625" style="434"/>
    <col min="7425" max="7425" width="36" style="434" customWidth="1"/>
    <col min="7426" max="7426" width="8" style="434" customWidth="1"/>
    <col min="7427" max="7427" width="8.28515625" style="434" customWidth="1"/>
    <col min="7428" max="7428" width="2.5703125" style="434" customWidth="1"/>
    <col min="7429" max="7429" width="7.5703125" style="434" customWidth="1"/>
    <col min="7430" max="7430" width="7.85546875" style="434" customWidth="1"/>
    <col min="7431" max="7431" width="2.5703125" style="434" customWidth="1"/>
    <col min="7432" max="7432" width="8.28515625" style="434" customWidth="1"/>
    <col min="7433" max="7433" width="8.42578125" style="434" customWidth="1"/>
    <col min="7434" max="7434" width="2.5703125" style="434" customWidth="1"/>
    <col min="7435" max="7435" width="7.7109375" style="434" customWidth="1"/>
    <col min="7436" max="7436" width="7.5703125" style="434" customWidth="1"/>
    <col min="7437" max="7437" width="2.5703125" style="434" customWidth="1"/>
    <col min="7438" max="7438" width="7.85546875" style="434" customWidth="1"/>
    <col min="7439" max="7439" width="7.7109375" style="434" customWidth="1"/>
    <col min="7440" max="7440" width="2.7109375" style="434" customWidth="1"/>
    <col min="7441" max="7442" width="7.7109375" style="434" customWidth="1"/>
    <col min="7443" max="7443" width="2.5703125" style="434" customWidth="1"/>
    <col min="7444" max="7680" width="9.140625" style="434"/>
    <col min="7681" max="7681" width="36" style="434" customWidth="1"/>
    <col min="7682" max="7682" width="8" style="434" customWidth="1"/>
    <col min="7683" max="7683" width="8.28515625" style="434" customWidth="1"/>
    <col min="7684" max="7684" width="2.5703125" style="434" customWidth="1"/>
    <col min="7685" max="7685" width="7.5703125" style="434" customWidth="1"/>
    <col min="7686" max="7686" width="7.85546875" style="434" customWidth="1"/>
    <col min="7687" max="7687" width="2.5703125" style="434" customWidth="1"/>
    <col min="7688" max="7688" width="8.28515625" style="434" customWidth="1"/>
    <col min="7689" max="7689" width="8.42578125" style="434" customWidth="1"/>
    <col min="7690" max="7690" width="2.5703125" style="434" customWidth="1"/>
    <col min="7691" max="7691" width="7.7109375" style="434" customWidth="1"/>
    <col min="7692" max="7692" width="7.5703125" style="434" customWidth="1"/>
    <col min="7693" max="7693" width="2.5703125" style="434" customWidth="1"/>
    <col min="7694" max="7694" width="7.85546875" style="434" customWidth="1"/>
    <col min="7695" max="7695" width="7.7109375" style="434" customWidth="1"/>
    <col min="7696" max="7696" width="2.7109375" style="434" customWidth="1"/>
    <col min="7697" max="7698" width="7.7109375" style="434" customWidth="1"/>
    <col min="7699" max="7699" width="2.5703125" style="434" customWidth="1"/>
    <col min="7700" max="7936" width="9.140625" style="434"/>
    <col min="7937" max="7937" width="36" style="434" customWidth="1"/>
    <col min="7938" max="7938" width="8" style="434" customWidth="1"/>
    <col min="7939" max="7939" width="8.28515625" style="434" customWidth="1"/>
    <col min="7940" max="7940" width="2.5703125" style="434" customWidth="1"/>
    <col min="7941" max="7941" width="7.5703125" style="434" customWidth="1"/>
    <col min="7942" max="7942" width="7.85546875" style="434" customWidth="1"/>
    <col min="7943" max="7943" width="2.5703125" style="434" customWidth="1"/>
    <col min="7944" max="7944" width="8.28515625" style="434" customWidth="1"/>
    <col min="7945" max="7945" width="8.42578125" style="434" customWidth="1"/>
    <col min="7946" max="7946" width="2.5703125" style="434" customWidth="1"/>
    <col min="7947" max="7947" width="7.7109375" style="434" customWidth="1"/>
    <col min="7948" max="7948" width="7.5703125" style="434" customWidth="1"/>
    <col min="7949" max="7949" width="2.5703125" style="434" customWidth="1"/>
    <col min="7950" max="7950" width="7.85546875" style="434" customWidth="1"/>
    <col min="7951" max="7951" width="7.7109375" style="434" customWidth="1"/>
    <col min="7952" max="7952" width="2.7109375" style="434" customWidth="1"/>
    <col min="7953" max="7954" width="7.7109375" style="434" customWidth="1"/>
    <col min="7955" max="7955" width="2.5703125" style="434" customWidth="1"/>
    <col min="7956" max="8192" width="9.140625" style="434"/>
    <col min="8193" max="8193" width="36" style="434" customWidth="1"/>
    <col min="8194" max="8194" width="8" style="434" customWidth="1"/>
    <col min="8195" max="8195" width="8.28515625" style="434" customWidth="1"/>
    <col min="8196" max="8196" width="2.5703125" style="434" customWidth="1"/>
    <col min="8197" max="8197" width="7.5703125" style="434" customWidth="1"/>
    <col min="8198" max="8198" width="7.85546875" style="434" customWidth="1"/>
    <col min="8199" max="8199" width="2.5703125" style="434" customWidth="1"/>
    <col min="8200" max="8200" width="8.28515625" style="434" customWidth="1"/>
    <col min="8201" max="8201" width="8.42578125" style="434" customWidth="1"/>
    <col min="8202" max="8202" width="2.5703125" style="434" customWidth="1"/>
    <col min="8203" max="8203" width="7.7109375" style="434" customWidth="1"/>
    <col min="8204" max="8204" width="7.5703125" style="434" customWidth="1"/>
    <col min="8205" max="8205" width="2.5703125" style="434" customWidth="1"/>
    <col min="8206" max="8206" width="7.85546875" style="434" customWidth="1"/>
    <col min="8207" max="8207" width="7.7109375" style="434" customWidth="1"/>
    <col min="8208" max="8208" width="2.7109375" style="434" customWidth="1"/>
    <col min="8209" max="8210" width="7.7109375" style="434" customWidth="1"/>
    <col min="8211" max="8211" width="2.5703125" style="434" customWidth="1"/>
    <col min="8212" max="8448" width="9.140625" style="434"/>
    <col min="8449" max="8449" width="36" style="434" customWidth="1"/>
    <col min="8450" max="8450" width="8" style="434" customWidth="1"/>
    <col min="8451" max="8451" width="8.28515625" style="434" customWidth="1"/>
    <col min="8452" max="8452" width="2.5703125" style="434" customWidth="1"/>
    <col min="8453" max="8453" width="7.5703125" style="434" customWidth="1"/>
    <col min="8454" max="8454" width="7.85546875" style="434" customWidth="1"/>
    <col min="8455" max="8455" width="2.5703125" style="434" customWidth="1"/>
    <col min="8456" max="8456" width="8.28515625" style="434" customWidth="1"/>
    <col min="8457" max="8457" width="8.42578125" style="434" customWidth="1"/>
    <col min="8458" max="8458" width="2.5703125" style="434" customWidth="1"/>
    <col min="8459" max="8459" width="7.7109375" style="434" customWidth="1"/>
    <col min="8460" max="8460" width="7.5703125" style="434" customWidth="1"/>
    <col min="8461" max="8461" width="2.5703125" style="434" customWidth="1"/>
    <col min="8462" max="8462" width="7.85546875" style="434" customWidth="1"/>
    <col min="8463" max="8463" width="7.7109375" style="434" customWidth="1"/>
    <col min="8464" max="8464" width="2.7109375" style="434" customWidth="1"/>
    <col min="8465" max="8466" width="7.7109375" style="434" customWidth="1"/>
    <col min="8467" max="8467" width="2.5703125" style="434" customWidth="1"/>
    <col min="8468" max="8704" width="9.140625" style="434"/>
    <col min="8705" max="8705" width="36" style="434" customWidth="1"/>
    <col min="8706" max="8706" width="8" style="434" customWidth="1"/>
    <col min="8707" max="8707" width="8.28515625" style="434" customWidth="1"/>
    <col min="8708" max="8708" width="2.5703125" style="434" customWidth="1"/>
    <col min="8709" max="8709" width="7.5703125" style="434" customWidth="1"/>
    <col min="8710" max="8710" width="7.85546875" style="434" customWidth="1"/>
    <col min="8711" max="8711" width="2.5703125" style="434" customWidth="1"/>
    <col min="8712" max="8712" width="8.28515625" style="434" customWidth="1"/>
    <col min="8713" max="8713" width="8.42578125" style="434" customWidth="1"/>
    <col min="8714" max="8714" width="2.5703125" style="434" customWidth="1"/>
    <col min="8715" max="8715" width="7.7109375" style="434" customWidth="1"/>
    <col min="8716" max="8716" width="7.5703125" style="434" customWidth="1"/>
    <col min="8717" max="8717" width="2.5703125" style="434" customWidth="1"/>
    <col min="8718" max="8718" width="7.85546875" style="434" customWidth="1"/>
    <col min="8719" max="8719" width="7.7109375" style="434" customWidth="1"/>
    <col min="8720" max="8720" width="2.7109375" style="434" customWidth="1"/>
    <col min="8721" max="8722" width="7.7109375" style="434" customWidth="1"/>
    <col min="8723" max="8723" width="2.5703125" style="434" customWidth="1"/>
    <col min="8724" max="8960" width="9.140625" style="434"/>
    <col min="8961" max="8961" width="36" style="434" customWidth="1"/>
    <col min="8962" max="8962" width="8" style="434" customWidth="1"/>
    <col min="8963" max="8963" width="8.28515625" style="434" customWidth="1"/>
    <col min="8964" max="8964" width="2.5703125" style="434" customWidth="1"/>
    <col min="8965" max="8965" width="7.5703125" style="434" customWidth="1"/>
    <col min="8966" max="8966" width="7.85546875" style="434" customWidth="1"/>
    <col min="8967" max="8967" width="2.5703125" style="434" customWidth="1"/>
    <col min="8968" max="8968" width="8.28515625" style="434" customWidth="1"/>
    <col min="8969" max="8969" width="8.42578125" style="434" customWidth="1"/>
    <col min="8970" max="8970" width="2.5703125" style="434" customWidth="1"/>
    <col min="8971" max="8971" width="7.7109375" style="434" customWidth="1"/>
    <col min="8972" max="8972" width="7.5703125" style="434" customWidth="1"/>
    <col min="8973" max="8973" width="2.5703125" style="434" customWidth="1"/>
    <col min="8974" max="8974" width="7.85546875" style="434" customWidth="1"/>
    <col min="8975" max="8975" width="7.7109375" style="434" customWidth="1"/>
    <col min="8976" max="8976" width="2.7109375" style="434" customWidth="1"/>
    <col min="8977" max="8978" width="7.7109375" style="434" customWidth="1"/>
    <col min="8979" max="8979" width="2.5703125" style="434" customWidth="1"/>
    <col min="8980" max="9216" width="9.140625" style="434"/>
    <col min="9217" max="9217" width="36" style="434" customWidth="1"/>
    <col min="9218" max="9218" width="8" style="434" customWidth="1"/>
    <col min="9219" max="9219" width="8.28515625" style="434" customWidth="1"/>
    <col min="9220" max="9220" width="2.5703125" style="434" customWidth="1"/>
    <col min="9221" max="9221" width="7.5703125" style="434" customWidth="1"/>
    <col min="9222" max="9222" width="7.85546875" style="434" customWidth="1"/>
    <col min="9223" max="9223" width="2.5703125" style="434" customWidth="1"/>
    <col min="9224" max="9224" width="8.28515625" style="434" customWidth="1"/>
    <col min="9225" max="9225" width="8.42578125" style="434" customWidth="1"/>
    <col min="9226" max="9226" width="2.5703125" style="434" customWidth="1"/>
    <col min="9227" max="9227" width="7.7109375" style="434" customWidth="1"/>
    <col min="9228" max="9228" width="7.5703125" style="434" customWidth="1"/>
    <col min="9229" max="9229" width="2.5703125" style="434" customWidth="1"/>
    <col min="9230" max="9230" width="7.85546875" style="434" customWidth="1"/>
    <col min="9231" max="9231" width="7.7109375" style="434" customWidth="1"/>
    <col min="9232" max="9232" width="2.7109375" style="434" customWidth="1"/>
    <col min="9233" max="9234" width="7.7109375" style="434" customWidth="1"/>
    <col min="9235" max="9235" width="2.5703125" style="434" customWidth="1"/>
    <col min="9236" max="9472" width="9.140625" style="434"/>
    <col min="9473" max="9473" width="36" style="434" customWidth="1"/>
    <col min="9474" max="9474" width="8" style="434" customWidth="1"/>
    <col min="9475" max="9475" width="8.28515625" style="434" customWidth="1"/>
    <col min="9476" max="9476" width="2.5703125" style="434" customWidth="1"/>
    <col min="9477" max="9477" width="7.5703125" style="434" customWidth="1"/>
    <col min="9478" max="9478" width="7.85546875" style="434" customWidth="1"/>
    <col min="9479" max="9479" width="2.5703125" style="434" customWidth="1"/>
    <col min="9480" max="9480" width="8.28515625" style="434" customWidth="1"/>
    <col min="9481" max="9481" width="8.42578125" style="434" customWidth="1"/>
    <col min="9482" max="9482" width="2.5703125" style="434" customWidth="1"/>
    <col min="9483" max="9483" width="7.7109375" style="434" customWidth="1"/>
    <col min="9484" max="9484" width="7.5703125" style="434" customWidth="1"/>
    <col min="9485" max="9485" width="2.5703125" style="434" customWidth="1"/>
    <col min="9486" max="9486" width="7.85546875" style="434" customWidth="1"/>
    <col min="9487" max="9487" width="7.7109375" style="434" customWidth="1"/>
    <col min="9488" max="9488" width="2.7109375" style="434" customWidth="1"/>
    <col min="9489" max="9490" width="7.7109375" style="434" customWidth="1"/>
    <col min="9491" max="9491" width="2.5703125" style="434" customWidth="1"/>
    <col min="9492" max="9728" width="9.140625" style="434"/>
    <col min="9729" max="9729" width="36" style="434" customWidth="1"/>
    <col min="9730" max="9730" width="8" style="434" customWidth="1"/>
    <col min="9731" max="9731" width="8.28515625" style="434" customWidth="1"/>
    <col min="9732" max="9732" width="2.5703125" style="434" customWidth="1"/>
    <col min="9733" max="9733" width="7.5703125" style="434" customWidth="1"/>
    <col min="9734" max="9734" width="7.85546875" style="434" customWidth="1"/>
    <col min="9735" max="9735" width="2.5703125" style="434" customWidth="1"/>
    <col min="9736" max="9736" width="8.28515625" style="434" customWidth="1"/>
    <col min="9737" max="9737" width="8.42578125" style="434" customWidth="1"/>
    <col min="9738" max="9738" width="2.5703125" style="434" customWidth="1"/>
    <col min="9739" max="9739" width="7.7109375" style="434" customWidth="1"/>
    <col min="9740" max="9740" width="7.5703125" style="434" customWidth="1"/>
    <col min="9741" max="9741" width="2.5703125" style="434" customWidth="1"/>
    <col min="9742" max="9742" width="7.85546875" style="434" customWidth="1"/>
    <col min="9743" max="9743" width="7.7109375" style="434" customWidth="1"/>
    <col min="9744" max="9744" width="2.7109375" style="434" customWidth="1"/>
    <col min="9745" max="9746" width="7.7109375" style="434" customWidth="1"/>
    <col min="9747" max="9747" width="2.5703125" style="434" customWidth="1"/>
    <col min="9748" max="9984" width="9.140625" style="434"/>
    <col min="9985" max="9985" width="36" style="434" customWidth="1"/>
    <col min="9986" max="9986" width="8" style="434" customWidth="1"/>
    <col min="9987" max="9987" width="8.28515625" style="434" customWidth="1"/>
    <col min="9988" max="9988" width="2.5703125" style="434" customWidth="1"/>
    <col min="9989" max="9989" width="7.5703125" style="434" customWidth="1"/>
    <col min="9990" max="9990" width="7.85546875" style="434" customWidth="1"/>
    <col min="9991" max="9991" width="2.5703125" style="434" customWidth="1"/>
    <col min="9992" max="9992" width="8.28515625" style="434" customWidth="1"/>
    <col min="9993" max="9993" width="8.42578125" style="434" customWidth="1"/>
    <col min="9994" max="9994" width="2.5703125" style="434" customWidth="1"/>
    <col min="9995" max="9995" width="7.7109375" style="434" customWidth="1"/>
    <col min="9996" max="9996" width="7.5703125" style="434" customWidth="1"/>
    <col min="9997" max="9997" width="2.5703125" style="434" customWidth="1"/>
    <col min="9998" max="9998" width="7.85546875" style="434" customWidth="1"/>
    <col min="9999" max="9999" width="7.7109375" style="434" customWidth="1"/>
    <col min="10000" max="10000" width="2.7109375" style="434" customWidth="1"/>
    <col min="10001" max="10002" width="7.7109375" style="434" customWidth="1"/>
    <col min="10003" max="10003" width="2.5703125" style="434" customWidth="1"/>
    <col min="10004" max="10240" width="9.140625" style="434"/>
    <col min="10241" max="10241" width="36" style="434" customWidth="1"/>
    <col min="10242" max="10242" width="8" style="434" customWidth="1"/>
    <col min="10243" max="10243" width="8.28515625" style="434" customWidth="1"/>
    <col min="10244" max="10244" width="2.5703125" style="434" customWidth="1"/>
    <col min="10245" max="10245" width="7.5703125" style="434" customWidth="1"/>
    <col min="10246" max="10246" width="7.85546875" style="434" customWidth="1"/>
    <col min="10247" max="10247" width="2.5703125" style="434" customWidth="1"/>
    <col min="10248" max="10248" width="8.28515625" style="434" customWidth="1"/>
    <col min="10249" max="10249" width="8.42578125" style="434" customWidth="1"/>
    <col min="10250" max="10250" width="2.5703125" style="434" customWidth="1"/>
    <col min="10251" max="10251" width="7.7109375" style="434" customWidth="1"/>
    <col min="10252" max="10252" width="7.5703125" style="434" customWidth="1"/>
    <col min="10253" max="10253" width="2.5703125" style="434" customWidth="1"/>
    <col min="10254" max="10254" width="7.85546875" style="434" customWidth="1"/>
    <col min="10255" max="10255" width="7.7109375" style="434" customWidth="1"/>
    <col min="10256" max="10256" width="2.7109375" style="434" customWidth="1"/>
    <col min="10257" max="10258" width="7.7109375" style="434" customWidth="1"/>
    <col min="10259" max="10259" width="2.5703125" style="434" customWidth="1"/>
    <col min="10260" max="10496" width="9.140625" style="434"/>
    <col min="10497" max="10497" width="36" style="434" customWidth="1"/>
    <col min="10498" max="10498" width="8" style="434" customWidth="1"/>
    <col min="10499" max="10499" width="8.28515625" style="434" customWidth="1"/>
    <col min="10500" max="10500" width="2.5703125" style="434" customWidth="1"/>
    <col min="10501" max="10501" width="7.5703125" style="434" customWidth="1"/>
    <col min="10502" max="10502" width="7.85546875" style="434" customWidth="1"/>
    <col min="10503" max="10503" width="2.5703125" style="434" customWidth="1"/>
    <col min="10504" max="10504" width="8.28515625" style="434" customWidth="1"/>
    <col min="10505" max="10505" width="8.42578125" style="434" customWidth="1"/>
    <col min="10506" max="10506" width="2.5703125" style="434" customWidth="1"/>
    <col min="10507" max="10507" width="7.7109375" style="434" customWidth="1"/>
    <col min="10508" max="10508" width="7.5703125" style="434" customWidth="1"/>
    <col min="10509" max="10509" width="2.5703125" style="434" customWidth="1"/>
    <col min="10510" max="10510" width="7.85546875" style="434" customWidth="1"/>
    <col min="10511" max="10511" width="7.7109375" style="434" customWidth="1"/>
    <col min="10512" max="10512" width="2.7109375" style="434" customWidth="1"/>
    <col min="10513" max="10514" width="7.7109375" style="434" customWidth="1"/>
    <col min="10515" max="10515" width="2.5703125" style="434" customWidth="1"/>
    <col min="10516" max="10752" width="9.140625" style="434"/>
    <col min="10753" max="10753" width="36" style="434" customWidth="1"/>
    <col min="10754" max="10754" width="8" style="434" customWidth="1"/>
    <col min="10755" max="10755" width="8.28515625" style="434" customWidth="1"/>
    <col min="10756" max="10756" width="2.5703125" style="434" customWidth="1"/>
    <col min="10757" max="10757" width="7.5703125" style="434" customWidth="1"/>
    <col min="10758" max="10758" width="7.85546875" style="434" customWidth="1"/>
    <col min="10759" max="10759" width="2.5703125" style="434" customWidth="1"/>
    <col min="10760" max="10760" width="8.28515625" style="434" customWidth="1"/>
    <col min="10761" max="10761" width="8.42578125" style="434" customWidth="1"/>
    <col min="10762" max="10762" width="2.5703125" style="434" customWidth="1"/>
    <col min="10763" max="10763" width="7.7109375" style="434" customWidth="1"/>
    <col min="10764" max="10764" width="7.5703125" style="434" customWidth="1"/>
    <col min="10765" max="10765" width="2.5703125" style="434" customWidth="1"/>
    <col min="10766" max="10766" width="7.85546875" style="434" customWidth="1"/>
    <col min="10767" max="10767" width="7.7109375" style="434" customWidth="1"/>
    <col min="10768" max="10768" width="2.7109375" style="434" customWidth="1"/>
    <col min="10769" max="10770" width="7.7109375" style="434" customWidth="1"/>
    <col min="10771" max="10771" width="2.5703125" style="434" customWidth="1"/>
    <col min="10772" max="11008" width="9.140625" style="434"/>
    <col min="11009" max="11009" width="36" style="434" customWidth="1"/>
    <col min="11010" max="11010" width="8" style="434" customWidth="1"/>
    <col min="11011" max="11011" width="8.28515625" style="434" customWidth="1"/>
    <col min="11012" max="11012" width="2.5703125" style="434" customWidth="1"/>
    <col min="11013" max="11013" width="7.5703125" style="434" customWidth="1"/>
    <col min="11014" max="11014" width="7.85546875" style="434" customWidth="1"/>
    <col min="11015" max="11015" width="2.5703125" style="434" customWidth="1"/>
    <col min="11016" max="11016" width="8.28515625" style="434" customWidth="1"/>
    <col min="11017" max="11017" width="8.42578125" style="434" customWidth="1"/>
    <col min="11018" max="11018" width="2.5703125" style="434" customWidth="1"/>
    <col min="11019" max="11019" width="7.7109375" style="434" customWidth="1"/>
    <col min="11020" max="11020" width="7.5703125" style="434" customWidth="1"/>
    <col min="11021" max="11021" width="2.5703125" style="434" customWidth="1"/>
    <col min="11022" max="11022" width="7.85546875" style="434" customWidth="1"/>
    <col min="11023" max="11023" width="7.7109375" style="434" customWidth="1"/>
    <col min="11024" max="11024" width="2.7109375" style="434" customWidth="1"/>
    <col min="11025" max="11026" width="7.7109375" style="434" customWidth="1"/>
    <col min="11027" max="11027" width="2.5703125" style="434" customWidth="1"/>
    <col min="11028" max="11264" width="9.140625" style="434"/>
    <col min="11265" max="11265" width="36" style="434" customWidth="1"/>
    <col min="11266" max="11266" width="8" style="434" customWidth="1"/>
    <col min="11267" max="11267" width="8.28515625" style="434" customWidth="1"/>
    <col min="11268" max="11268" width="2.5703125" style="434" customWidth="1"/>
    <col min="11269" max="11269" width="7.5703125" style="434" customWidth="1"/>
    <col min="11270" max="11270" width="7.85546875" style="434" customWidth="1"/>
    <col min="11271" max="11271" width="2.5703125" style="434" customWidth="1"/>
    <col min="11272" max="11272" width="8.28515625" style="434" customWidth="1"/>
    <col min="11273" max="11273" width="8.42578125" style="434" customWidth="1"/>
    <col min="11274" max="11274" width="2.5703125" style="434" customWidth="1"/>
    <col min="11275" max="11275" width="7.7109375" style="434" customWidth="1"/>
    <col min="11276" max="11276" width="7.5703125" style="434" customWidth="1"/>
    <col min="11277" max="11277" width="2.5703125" style="434" customWidth="1"/>
    <col min="11278" max="11278" width="7.85546875" style="434" customWidth="1"/>
    <col min="11279" max="11279" width="7.7109375" style="434" customWidth="1"/>
    <col min="11280" max="11280" width="2.7109375" style="434" customWidth="1"/>
    <col min="11281" max="11282" width="7.7109375" style="434" customWidth="1"/>
    <col min="11283" max="11283" width="2.5703125" style="434" customWidth="1"/>
    <col min="11284" max="11520" width="9.140625" style="434"/>
    <col min="11521" max="11521" width="36" style="434" customWidth="1"/>
    <col min="11522" max="11522" width="8" style="434" customWidth="1"/>
    <col min="11523" max="11523" width="8.28515625" style="434" customWidth="1"/>
    <col min="11524" max="11524" width="2.5703125" style="434" customWidth="1"/>
    <col min="11525" max="11525" width="7.5703125" style="434" customWidth="1"/>
    <col min="11526" max="11526" width="7.85546875" style="434" customWidth="1"/>
    <col min="11527" max="11527" width="2.5703125" style="434" customWidth="1"/>
    <col min="11528" max="11528" width="8.28515625" style="434" customWidth="1"/>
    <col min="11529" max="11529" width="8.42578125" style="434" customWidth="1"/>
    <col min="11530" max="11530" width="2.5703125" style="434" customWidth="1"/>
    <col min="11531" max="11531" width="7.7109375" style="434" customWidth="1"/>
    <col min="11532" max="11532" width="7.5703125" style="434" customWidth="1"/>
    <col min="11533" max="11533" width="2.5703125" style="434" customWidth="1"/>
    <col min="11534" max="11534" width="7.85546875" style="434" customWidth="1"/>
    <col min="11535" max="11535" width="7.7109375" style="434" customWidth="1"/>
    <col min="11536" max="11536" width="2.7109375" style="434" customWidth="1"/>
    <col min="11537" max="11538" width="7.7109375" style="434" customWidth="1"/>
    <col min="11539" max="11539" width="2.5703125" style="434" customWidth="1"/>
    <col min="11540" max="11776" width="9.140625" style="434"/>
    <col min="11777" max="11777" width="36" style="434" customWidth="1"/>
    <col min="11778" max="11778" width="8" style="434" customWidth="1"/>
    <col min="11779" max="11779" width="8.28515625" style="434" customWidth="1"/>
    <col min="11780" max="11780" width="2.5703125" style="434" customWidth="1"/>
    <col min="11781" max="11781" width="7.5703125" style="434" customWidth="1"/>
    <col min="11782" max="11782" width="7.85546875" style="434" customWidth="1"/>
    <col min="11783" max="11783" width="2.5703125" style="434" customWidth="1"/>
    <col min="11784" max="11784" width="8.28515625" style="434" customWidth="1"/>
    <col min="11785" max="11785" width="8.42578125" style="434" customWidth="1"/>
    <col min="11786" max="11786" width="2.5703125" style="434" customWidth="1"/>
    <col min="11787" max="11787" width="7.7109375" style="434" customWidth="1"/>
    <col min="11788" max="11788" width="7.5703125" style="434" customWidth="1"/>
    <col min="11789" max="11789" width="2.5703125" style="434" customWidth="1"/>
    <col min="11790" max="11790" width="7.85546875" style="434" customWidth="1"/>
    <col min="11791" max="11791" width="7.7109375" style="434" customWidth="1"/>
    <col min="11792" max="11792" width="2.7109375" style="434" customWidth="1"/>
    <col min="11793" max="11794" width="7.7109375" style="434" customWidth="1"/>
    <col min="11795" max="11795" width="2.5703125" style="434" customWidth="1"/>
    <col min="11796" max="12032" width="9.140625" style="434"/>
    <col min="12033" max="12033" width="36" style="434" customWidth="1"/>
    <col min="12034" max="12034" width="8" style="434" customWidth="1"/>
    <col min="12035" max="12035" width="8.28515625" style="434" customWidth="1"/>
    <col min="12036" max="12036" width="2.5703125" style="434" customWidth="1"/>
    <col min="12037" max="12037" width="7.5703125" style="434" customWidth="1"/>
    <col min="12038" max="12038" width="7.85546875" style="434" customWidth="1"/>
    <col min="12039" max="12039" width="2.5703125" style="434" customWidth="1"/>
    <col min="12040" max="12040" width="8.28515625" style="434" customWidth="1"/>
    <col min="12041" max="12041" width="8.42578125" style="434" customWidth="1"/>
    <col min="12042" max="12042" width="2.5703125" style="434" customWidth="1"/>
    <col min="12043" max="12043" width="7.7109375" style="434" customWidth="1"/>
    <col min="12044" max="12044" width="7.5703125" style="434" customWidth="1"/>
    <col min="12045" max="12045" width="2.5703125" style="434" customWidth="1"/>
    <col min="12046" max="12046" width="7.85546875" style="434" customWidth="1"/>
    <col min="12047" max="12047" width="7.7109375" style="434" customWidth="1"/>
    <col min="12048" max="12048" width="2.7109375" style="434" customWidth="1"/>
    <col min="12049" max="12050" width="7.7109375" style="434" customWidth="1"/>
    <col min="12051" max="12051" width="2.5703125" style="434" customWidth="1"/>
    <col min="12052" max="12288" width="9.140625" style="434"/>
    <col min="12289" max="12289" width="36" style="434" customWidth="1"/>
    <col min="12290" max="12290" width="8" style="434" customWidth="1"/>
    <col min="12291" max="12291" width="8.28515625" style="434" customWidth="1"/>
    <col min="12292" max="12292" width="2.5703125" style="434" customWidth="1"/>
    <col min="12293" max="12293" width="7.5703125" style="434" customWidth="1"/>
    <col min="12294" max="12294" width="7.85546875" style="434" customWidth="1"/>
    <col min="12295" max="12295" width="2.5703125" style="434" customWidth="1"/>
    <col min="12296" max="12296" width="8.28515625" style="434" customWidth="1"/>
    <col min="12297" max="12297" width="8.42578125" style="434" customWidth="1"/>
    <col min="12298" max="12298" width="2.5703125" style="434" customWidth="1"/>
    <col min="12299" max="12299" width="7.7109375" style="434" customWidth="1"/>
    <col min="12300" max="12300" width="7.5703125" style="434" customWidth="1"/>
    <col min="12301" max="12301" width="2.5703125" style="434" customWidth="1"/>
    <col min="12302" max="12302" width="7.85546875" style="434" customWidth="1"/>
    <col min="12303" max="12303" width="7.7109375" style="434" customWidth="1"/>
    <col min="12304" max="12304" width="2.7109375" style="434" customWidth="1"/>
    <col min="12305" max="12306" width="7.7109375" style="434" customWidth="1"/>
    <col min="12307" max="12307" width="2.5703125" style="434" customWidth="1"/>
    <col min="12308" max="12544" width="9.140625" style="434"/>
    <col min="12545" max="12545" width="36" style="434" customWidth="1"/>
    <col min="12546" max="12546" width="8" style="434" customWidth="1"/>
    <col min="12547" max="12547" width="8.28515625" style="434" customWidth="1"/>
    <col min="12548" max="12548" width="2.5703125" style="434" customWidth="1"/>
    <col min="12549" max="12549" width="7.5703125" style="434" customWidth="1"/>
    <col min="12550" max="12550" width="7.85546875" style="434" customWidth="1"/>
    <col min="12551" max="12551" width="2.5703125" style="434" customWidth="1"/>
    <col min="12552" max="12552" width="8.28515625" style="434" customWidth="1"/>
    <col min="12553" max="12553" width="8.42578125" style="434" customWidth="1"/>
    <col min="12554" max="12554" width="2.5703125" style="434" customWidth="1"/>
    <col min="12555" max="12555" width="7.7109375" style="434" customWidth="1"/>
    <col min="12556" max="12556" width="7.5703125" style="434" customWidth="1"/>
    <col min="12557" max="12557" width="2.5703125" style="434" customWidth="1"/>
    <col min="12558" max="12558" width="7.85546875" style="434" customWidth="1"/>
    <col min="12559" max="12559" width="7.7109375" style="434" customWidth="1"/>
    <col min="12560" max="12560" width="2.7109375" style="434" customWidth="1"/>
    <col min="12561" max="12562" width="7.7109375" style="434" customWidth="1"/>
    <col min="12563" max="12563" width="2.5703125" style="434" customWidth="1"/>
    <col min="12564" max="12800" width="9.140625" style="434"/>
    <col min="12801" max="12801" width="36" style="434" customWidth="1"/>
    <col min="12802" max="12802" width="8" style="434" customWidth="1"/>
    <col min="12803" max="12803" width="8.28515625" style="434" customWidth="1"/>
    <col min="12804" max="12804" width="2.5703125" style="434" customWidth="1"/>
    <col min="12805" max="12805" width="7.5703125" style="434" customWidth="1"/>
    <col min="12806" max="12806" width="7.85546875" style="434" customWidth="1"/>
    <col min="12807" max="12807" width="2.5703125" style="434" customWidth="1"/>
    <col min="12808" max="12808" width="8.28515625" style="434" customWidth="1"/>
    <col min="12809" max="12809" width="8.42578125" style="434" customWidth="1"/>
    <col min="12810" max="12810" width="2.5703125" style="434" customWidth="1"/>
    <col min="12811" max="12811" width="7.7109375" style="434" customWidth="1"/>
    <col min="12812" max="12812" width="7.5703125" style="434" customWidth="1"/>
    <col min="12813" max="12813" width="2.5703125" style="434" customWidth="1"/>
    <col min="12814" max="12814" width="7.85546875" style="434" customWidth="1"/>
    <col min="12815" max="12815" width="7.7109375" style="434" customWidth="1"/>
    <col min="12816" max="12816" width="2.7109375" style="434" customWidth="1"/>
    <col min="12817" max="12818" width="7.7109375" style="434" customWidth="1"/>
    <col min="12819" max="12819" width="2.5703125" style="434" customWidth="1"/>
    <col min="12820" max="13056" width="9.140625" style="434"/>
    <col min="13057" max="13057" width="36" style="434" customWidth="1"/>
    <col min="13058" max="13058" width="8" style="434" customWidth="1"/>
    <col min="13059" max="13059" width="8.28515625" style="434" customWidth="1"/>
    <col min="13060" max="13060" width="2.5703125" style="434" customWidth="1"/>
    <col min="13061" max="13061" width="7.5703125" style="434" customWidth="1"/>
    <col min="13062" max="13062" width="7.85546875" style="434" customWidth="1"/>
    <col min="13063" max="13063" width="2.5703125" style="434" customWidth="1"/>
    <col min="13064" max="13064" width="8.28515625" style="434" customWidth="1"/>
    <col min="13065" max="13065" width="8.42578125" style="434" customWidth="1"/>
    <col min="13066" max="13066" width="2.5703125" style="434" customWidth="1"/>
    <col min="13067" max="13067" width="7.7109375" style="434" customWidth="1"/>
    <col min="13068" max="13068" width="7.5703125" style="434" customWidth="1"/>
    <col min="13069" max="13069" width="2.5703125" style="434" customWidth="1"/>
    <col min="13070" max="13070" width="7.85546875" style="434" customWidth="1"/>
    <col min="13071" max="13071" width="7.7109375" style="434" customWidth="1"/>
    <col min="13072" max="13072" width="2.7109375" style="434" customWidth="1"/>
    <col min="13073" max="13074" width="7.7109375" style="434" customWidth="1"/>
    <col min="13075" max="13075" width="2.5703125" style="434" customWidth="1"/>
    <col min="13076" max="13312" width="9.140625" style="434"/>
    <col min="13313" max="13313" width="36" style="434" customWidth="1"/>
    <col min="13314" max="13314" width="8" style="434" customWidth="1"/>
    <col min="13315" max="13315" width="8.28515625" style="434" customWidth="1"/>
    <col min="13316" max="13316" width="2.5703125" style="434" customWidth="1"/>
    <col min="13317" max="13317" width="7.5703125" style="434" customWidth="1"/>
    <col min="13318" max="13318" width="7.85546875" style="434" customWidth="1"/>
    <col min="13319" max="13319" width="2.5703125" style="434" customWidth="1"/>
    <col min="13320" max="13320" width="8.28515625" style="434" customWidth="1"/>
    <col min="13321" max="13321" width="8.42578125" style="434" customWidth="1"/>
    <col min="13322" max="13322" width="2.5703125" style="434" customWidth="1"/>
    <col min="13323" max="13323" width="7.7109375" style="434" customWidth="1"/>
    <col min="13324" max="13324" width="7.5703125" style="434" customWidth="1"/>
    <col min="13325" max="13325" width="2.5703125" style="434" customWidth="1"/>
    <col min="13326" max="13326" width="7.85546875" style="434" customWidth="1"/>
    <col min="13327" max="13327" width="7.7109375" style="434" customWidth="1"/>
    <col min="13328" max="13328" width="2.7109375" style="434" customWidth="1"/>
    <col min="13329" max="13330" width="7.7109375" style="434" customWidth="1"/>
    <col min="13331" max="13331" width="2.5703125" style="434" customWidth="1"/>
    <col min="13332" max="13568" width="9.140625" style="434"/>
    <col min="13569" max="13569" width="36" style="434" customWidth="1"/>
    <col min="13570" max="13570" width="8" style="434" customWidth="1"/>
    <col min="13571" max="13571" width="8.28515625" style="434" customWidth="1"/>
    <col min="13572" max="13572" width="2.5703125" style="434" customWidth="1"/>
    <col min="13573" max="13573" width="7.5703125" style="434" customWidth="1"/>
    <col min="13574" max="13574" width="7.85546875" style="434" customWidth="1"/>
    <col min="13575" max="13575" width="2.5703125" style="434" customWidth="1"/>
    <col min="13576" max="13576" width="8.28515625" style="434" customWidth="1"/>
    <col min="13577" max="13577" width="8.42578125" style="434" customWidth="1"/>
    <col min="13578" max="13578" width="2.5703125" style="434" customWidth="1"/>
    <col min="13579" max="13579" width="7.7109375" style="434" customWidth="1"/>
    <col min="13580" max="13580" width="7.5703125" style="434" customWidth="1"/>
    <col min="13581" max="13581" width="2.5703125" style="434" customWidth="1"/>
    <col min="13582" max="13582" width="7.85546875" style="434" customWidth="1"/>
    <col min="13583" max="13583" width="7.7109375" style="434" customWidth="1"/>
    <col min="13584" max="13584" width="2.7109375" style="434" customWidth="1"/>
    <col min="13585" max="13586" width="7.7109375" style="434" customWidth="1"/>
    <col min="13587" max="13587" width="2.5703125" style="434" customWidth="1"/>
    <col min="13588" max="13824" width="9.140625" style="434"/>
    <col min="13825" max="13825" width="36" style="434" customWidth="1"/>
    <col min="13826" max="13826" width="8" style="434" customWidth="1"/>
    <col min="13827" max="13827" width="8.28515625" style="434" customWidth="1"/>
    <col min="13828" max="13828" width="2.5703125" style="434" customWidth="1"/>
    <col min="13829" max="13829" width="7.5703125" style="434" customWidth="1"/>
    <col min="13830" max="13830" width="7.85546875" style="434" customWidth="1"/>
    <col min="13831" max="13831" width="2.5703125" style="434" customWidth="1"/>
    <col min="13832" max="13832" width="8.28515625" style="434" customWidth="1"/>
    <col min="13833" max="13833" width="8.42578125" style="434" customWidth="1"/>
    <col min="13834" max="13834" width="2.5703125" style="434" customWidth="1"/>
    <col min="13835" max="13835" width="7.7109375" style="434" customWidth="1"/>
    <col min="13836" max="13836" width="7.5703125" style="434" customWidth="1"/>
    <col min="13837" max="13837" width="2.5703125" style="434" customWidth="1"/>
    <col min="13838" max="13838" width="7.85546875" style="434" customWidth="1"/>
    <col min="13839" max="13839" width="7.7109375" style="434" customWidth="1"/>
    <col min="13840" max="13840" width="2.7109375" style="434" customWidth="1"/>
    <col min="13841" max="13842" width="7.7109375" style="434" customWidth="1"/>
    <col min="13843" max="13843" width="2.5703125" style="434" customWidth="1"/>
    <col min="13844" max="14080" width="9.140625" style="434"/>
    <col min="14081" max="14081" width="36" style="434" customWidth="1"/>
    <col min="14082" max="14082" width="8" style="434" customWidth="1"/>
    <col min="14083" max="14083" width="8.28515625" style="434" customWidth="1"/>
    <col min="14084" max="14084" width="2.5703125" style="434" customWidth="1"/>
    <col min="14085" max="14085" width="7.5703125" style="434" customWidth="1"/>
    <col min="14086" max="14086" width="7.85546875" style="434" customWidth="1"/>
    <col min="14087" max="14087" width="2.5703125" style="434" customWidth="1"/>
    <col min="14088" max="14088" width="8.28515625" style="434" customWidth="1"/>
    <col min="14089" max="14089" width="8.42578125" style="434" customWidth="1"/>
    <col min="14090" max="14090" width="2.5703125" style="434" customWidth="1"/>
    <col min="14091" max="14091" width="7.7109375" style="434" customWidth="1"/>
    <col min="14092" max="14092" width="7.5703125" style="434" customWidth="1"/>
    <col min="14093" max="14093" width="2.5703125" style="434" customWidth="1"/>
    <col min="14094" max="14094" width="7.85546875" style="434" customWidth="1"/>
    <col min="14095" max="14095" width="7.7109375" style="434" customWidth="1"/>
    <col min="14096" max="14096" width="2.7109375" style="434" customWidth="1"/>
    <col min="14097" max="14098" width="7.7109375" style="434" customWidth="1"/>
    <col min="14099" max="14099" width="2.5703125" style="434" customWidth="1"/>
    <col min="14100" max="14336" width="9.140625" style="434"/>
    <col min="14337" max="14337" width="36" style="434" customWidth="1"/>
    <col min="14338" max="14338" width="8" style="434" customWidth="1"/>
    <col min="14339" max="14339" width="8.28515625" style="434" customWidth="1"/>
    <col min="14340" max="14340" width="2.5703125" style="434" customWidth="1"/>
    <col min="14341" max="14341" width="7.5703125" style="434" customWidth="1"/>
    <col min="14342" max="14342" width="7.85546875" style="434" customWidth="1"/>
    <col min="14343" max="14343" width="2.5703125" style="434" customWidth="1"/>
    <col min="14344" max="14344" width="8.28515625" style="434" customWidth="1"/>
    <col min="14345" max="14345" width="8.42578125" style="434" customWidth="1"/>
    <col min="14346" max="14346" width="2.5703125" style="434" customWidth="1"/>
    <col min="14347" max="14347" width="7.7109375" style="434" customWidth="1"/>
    <col min="14348" max="14348" width="7.5703125" style="434" customWidth="1"/>
    <col min="14349" max="14349" width="2.5703125" style="434" customWidth="1"/>
    <col min="14350" max="14350" width="7.85546875" style="434" customWidth="1"/>
    <col min="14351" max="14351" width="7.7109375" style="434" customWidth="1"/>
    <col min="14352" max="14352" width="2.7109375" style="434" customWidth="1"/>
    <col min="14353" max="14354" width="7.7109375" style="434" customWidth="1"/>
    <col min="14355" max="14355" width="2.5703125" style="434" customWidth="1"/>
    <col min="14356" max="14592" width="9.140625" style="434"/>
    <col min="14593" max="14593" width="36" style="434" customWidth="1"/>
    <col min="14594" max="14594" width="8" style="434" customWidth="1"/>
    <col min="14595" max="14595" width="8.28515625" style="434" customWidth="1"/>
    <col min="14596" max="14596" width="2.5703125" style="434" customWidth="1"/>
    <col min="14597" max="14597" width="7.5703125" style="434" customWidth="1"/>
    <col min="14598" max="14598" width="7.85546875" style="434" customWidth="1"/>
    <col min="14599" max="14599" width="2.5703125" style="434" customWidth="1"/>
    <col min="14600" max="14600" width="8.28515625" style="434" customWidth="1"/>
    <col min="14601" max="14601" width="8.42578125" style="434" customWidth="1"/>
    <col min="14602" max="14602" width="2.5703125" style="434" customWidth="1"/>
    <col min="14603" max="14603" width="7.7109375" style="434" customWidth="1"/>
    <col min="14604" max="14604" width="7.5703125" style="434" customWidth="1"/>
    <col min="14605" max="14605" width="2.5703125" style="434" customWidth="1"/>
    <col min="14606" max="14606" width="7.85546875" style="434" customWidth="1"/>
    <col min="14607" max="14607" width="7.7109375" style="434" customWidth="1"/>
    <col min="14608" max="14608" width="2.7109375" style="434" customWidth="1"/>
    <col min="14609" max="14610" width="7.7109375" style="434" customWidth="1"/>
    <col min="14611" max="14611" width="2.5703125" style="434" customWidth="1"/>
    <col min="14612" max="14848" width="9.140625" style="434"/>
    <col min="14849" max="14849" width="36" style="434" customWidth="1"/>
    <col min="14850" max="14850" width="8" style="434" customWidth="1"/>
    <col min="14851" max="14851" width="8.28515625" style="434" customWidth="1"/>
    <col min="14852" max="14852" width="2.5703125" style="434" customWidth="1"/>
    <col min="14853" max="14853" width="7.5703125" style="434" customWidth="1"/>
    <col min="14854" max="14854" width="7.85546875" style="434" customWidth="1"/>
    <col min="14855" max="14855" width="2.5703125" style="434" customWidth="1"/>
    <col min="14856" max="14856" width="8.28515625" style="434" customWidth="1"/>
    <col min="14857" max="14857" width="8.42578125" style="434" customWidth="1"/>
    <col min="14858" max="14858" width="2.5703125" style="434" customWidth="1"/>
    <col min="14859" max="14859" width="7.7109375" style="434" customWidth="1"/>
    <col min="14860" max="14860" width="7.5703125" style="434" customWidth="1"/>
    <col min="14861" max="14861" width="2.5703125" style="434" customWidth="1"/>
    <col min="14862" max="14862" width="7.85546875" style="434" customWidth="1"/>
    <col min="14863" max="14863" width="7.7109375" style="434" customWidth="1"/>
    <col min="14864" max="14864" width="2.7109375" style="434" customWidth="1"/>
    <col min="14865" max="14866" width="7.7109375" style="434" customWidth="1"/>
    <col min="14867" max="14867" width="2.5703125" style="434" customWidth="1"/>
    <col min="14868" max="15104" width="9.140625" style="434"/>
    <col min="15105" max="15105" width="36" style="434" customWidth="1"/>
    <col min="15106" max="15106" width="8" style="434" customWidth="1"/>
    <col min="15107" max="15107" width="8.28515625" style="434" customWidth="1"/>
    <col min="15108" max="15108" width="2.5703125" style="434" customWidth="1"/>
    <col min="15109" max="15109" width="7.5703125" style="434" customWidth="1"/>
    <col min="15110" max="15110" width="7.85546875" style="434" customWidth="1"/>
    <col min="15111" max="15111" width="2.5703125" style="434" customWidth="1"/>
    <col min="15112" max="15112" width="8.28515625" style="434" customWidth="1"/>
    <col min="15113" max="15113" width="8.42578125" style="434" customWidth="1"/>
    <col min="15114" max="15114" width="2.5703125" style="434" customWidth="1"/>
    <col min="15115" max="15115" width="7.7109375" style="434" customWidth="1"/>
    <col min="15116" max="15116" width="7.5703125" style="434" customWidth="1"/>
    <col min="15117" max="15117" width="2.5703125" style="434" customWidth="1"/>
    <col min="15118" max="15118" width="7.85546875" style="434" customWidth="1"/>
    <col min="15119" max="15119" width="7.7109375" style="434" customWidth="1"/>
    <col min="15120" max="15120" width="2.7109375" style="434" customWidth="1"/>
    <col min="15121" max="15122" width="7.7109375" style="434" customWidth="1"/>
    <col min="15123" max="15123" width="2.5703125" style="434" customWidth="1"/>
    <col min="15124" max="15360" width="9.140625" style="434"/>
    <col min="15361" max="15361" width="36" style="434" customWidth="1"/>
    <col min="15362" max="15362" width="8" style="434" customWidth="1"/>
    <col min="15363" max="15363" width="8.28515625" style="434" customWidth="1"/>
    <col min="15364" max="15364" width="2.5703125" style="434" customWidth="1"/>
    <col min="15365" max="15365" width="7.5703125" style="434" customWidth="1"/>
    <col min="15366" max="15366" width="7.85546875" style="434" customWidth="1"/>
    <col min="15367" max="15367" width="2.5703125" style="434" customWidth="1"/>
    <col min="15368" max="15368" width="8.28515625" style="434" customWidth="1"/>
    <col min="15369" max="15369" width="8.42578125" style="434" customWidth="1"/>
    <col min="15370" max="15370" width="2.5703125" style="434" customWidth="1"/>
    <col min="15371" max="15371" width="7.7109375" style="434" customWidth="1"/>
    <col min="15372" max="15372" width="7.5703125" style="434" customWidth="1"/>
    <col min="15373" max="15373" width="2.5703125" style="434" customWidth="1"/>
    <col min="15374" max="15374" width="7.85546875" style="434" customWidth="1"/>
    <col min="15375" max="15375" width="7.7109375" style="434" customWidth="1"/>
    <col min="15376" max="15376" width="2.7109375" style="434" customWidth="1"/>
    <col min="15377" max="15378" width="7.7109375" style="434" customWidth="1"/>
    <col min="15379" max="15379" width="2.5703125" style="434" customWidth="1"/>
    <col min="15380" max="15616" width="9.140625" style="434"/>
    <col min="15617" max="15617" width="36" style="434" customWidth="1"/>
    <col min="15618" max="15618" width="8" style="434" customWidth="1"/>
    <col min="15619" max="15619" width="8.28515625" style="434" customWidth="1"/>
    <col min="15620" max="15620" width="2.5703125" style="434" customWidth="1"/>
    <col min="15621" max="15621" width="7.5703125" style="434" customWidth="1"/>
    <col min="15622" max="15622" width="7.85546875" style="434" customWidth="1"/>
    <col min="15623" max="15623" width="2.5703125" style="434" customWidth="1"/>
    <col min="15624" max="15624" width="8.28515625" style="434" customWidth="1"/>
    <col min="15625" max="15625" width="8.42578125" style="434" customWidth="1"/>
    <col min="15626" max="15626" width="2.5703125" style="434" customWidth="1"/>
    <col min="15627" max="15627" width="7.7109375" style="434" customWidth="1"/>
    <col min="15628" max="15628" width="7.5703125" style="434" customWidth="1"/>
    <col min="15629" max="15629" width="2.5703125" style="434" customWidth="1"/>
    <col min="15630" max="15630" width="7.85546875" style="434" customWidth="1"/>
    <col min="15631" max="15631" width="7.7109375" style="434" customWidth="1"/>
    <col min="15632" max="15632" width="2.7109375" style="434" customWidth="1"/>
    <col min="15633" max="15634" width="7.7109375" style="434" customWidth="1"/>
    <col min="15635" max="15635" width="2.5703125" style="434" customWidth="1"/>
    <col min="15636" max="15872" width="9.140625" style="434"/>
    <col min="15873" max="15873" width="36" style="434" customWidth="1"/>
    <col min="15874" max="15874" width="8" style="434" customWidth="1"/>
    <col min="15875" max="15875" width="8.28515625" style="434" customWidth="1"/>
    <col min="15876" max="15876" width="2.5703125" style="434" customWidth="1"/>
    <col min="15877" max="15877" width="7.5703125" style="434" customWidth="1"/>
    <col min="15878" max="15878" width="7.85546875" style="434" customWidth="1"/>
    <col min="15879" max="15879" width="2.5703125" style="434" customWidth="1"/>
    <col min="15880" max="15880" width="8.28515625" style="434" customWidth="1"/>
    <col min="15881" max="15881" width="8.42578125" style="434" customWidth="1"/>
    <col min="15882" max="15882" width="2.5703125" style="434" customWidth="1"/>
    <col min="15883" max="15883" width="7.7109375" style="434" customWidth="1"/>
    <col min="15884" max="15884" width="7.5703125" style="434" customWidth="1"/>
    <col min="15885" max="15885" width="2.5703125" style="434" customWidth="1"/>
    <col min="15886" max="15886" width="7.85546875" style="434" customWidth="1"/>
    <col min="15887" max="15887" width="7.7109375" style="434" customWidth="1"/>
    <col min="15888" max="15888" width="2.7109375" style="434" customWidth="1"/>
    <col min="15889" max="15890" width="7.7109375" style="434" customWidth="1"/>
    <col min="15891" max="15891" width="2.5703125" style="434" customWidth="1"/>
    <col min="15892" max="16128" width="9.140625" style="434"/>
    <col min="16129" max="16129" width="36" style="434" customWidth="1"/>
    <col min="16130" max="16130" width="8" style="434" customWidth="1"/>
    <col min="16131" max="16131" width="8.28515625" style="434" customWidth="1"/>
    <col min="16132" max="16132" width="2.5703125" style="434" customWidth="1"/>
    <col min="16133" max="16133" width="7.5703125" style="434" customWidth="1"/>
    <col min="16134" max="16134" width="7.85546875" style="434" customWidth="1"/>
    <col min="16135" max="16135" width="2.5703125" style="434" customWidth="1"/>
    <col min="16136" max="16136" width="8.28515625" style="434" customWidth="1"/>
    <col min="16137" max="16137" width="8.42578125" style="434" customWidth="1"/>
    <col min="16138" max="16138" width="2.5703125" style="434" customWidth="1"/>
    <col min="16139" max="16139" width="7.7109375" style="434" customWidth="1"/>
    <col min="16140" max="16140" width="7.5703125" style="434" customWidth="1"/>
    <col min="16141" max="16141" width="2.5703125" style="434" customWidth="1"/>
    <col min="16142" max="16142" width="7.85546875" style="434" customWidth="1"/>
    <col min="16143" max="16143" width="7.7109375" style="434" customWidth="1"/>
    <col min="16144" max="16144" width="2.7109375" style="434" customWidth="1"/>
    <col min="16145" max="16146" width="7.7109375" style="434" customWidth="1"/>
    <col min="16147" max="16147" width="2.5703125" style="434" customWidth="1"/>
    <col min="16148" max="16384" width="9.140625" style="434"/>
  </cols>
  <sheetData>
    <row r="1" spans="1:19">
      <c r="A1" s="434" t="s">
        <v>366</v>
      </c>
      <c r="Q1" s="435"/>
    </row>
    <row r="2" spans="1:19">
      <c r="A2" s="434" t="s">
        <v>367</v>
      </c>
      <c r="Q2" s="435"/>
    </row>
    <row r="3" spans="1:19" ht="9.9499999999999993" customHeight="1">
      <c r="Q3" s="435"/>
    </row>
    <row r="4" spans="1:19">
      <c r="A4" s="42" t="s">
        <v>429</v>
      </c>
      <c r="L4" s="810"/>
      <c r="O4" s="810"/>
      <c r="Q4" s="435"/>
    </row>
    <row r="5" spans="1:19" ht="9.9499999999999993" customHeight="1" thickBot="1">
      <c r="O5" s="436"/>
      <c r="Q5" s="435"/>
      <c r="R5" s="436"/>
    </row>
    <row r="6" spans="1:19" ht="9.9499999999999993" customHeight="1">
      <c r="A6" s="437" t="s">
        <v>386</v>
      </c>
      <c r="B6" s="805"/>
      <c r="C6" s="439"/>
      <c r="D6" s="437"/>
      <c r="E6" s="438"/>
      <c r="F6" s="439"/>
      <c r="G6" s="437"/>
      <c r="H6" s="438"/>
      <c r="I6" s="439"/>
      <c r="J6" s="439"/>
      <c r="K6" s="438"/>
      <c r="L6" s="439"/>
      <c r="M6" s="437"/>
      <c r="N6" s="438"/>
      <c r="O6" s="439"/>
      <c r="P6" s="439"/>
      <c r="Q6" s="438"/>
      <c r="R6" s="439"/>
      <c r="S6" s="439"/>
    </row>
    <row r="7" spans="1:19" ht="15" customHeight="1">
      <c r="A7" s="440" t="s">
        <v>423</v>
      </c>
      <c r="B7" s="451" t="s">
        <v>371</v>
      </c>
      <c r="C7" s="442"/>
      <c r="D7" s="440"/>
      <c r="E7" s="812" t="s">
        <v>424</v>
      </c>
      <c r="F7" s="442"/>
      <c r="G7" s="440"/>
      <c r="H7" s="1266" t="s">
        <v>308</v>
      </c>
      <c r="I7" s="1266"/>
      <c r="J7" s="442"/>
      <c r="K7" s="1266" t="s">
        <v>425</v>
      </c>
      <c r="L7" s="1266"/>
      <c r="M7" s="440"/>
      <c r="N7" s="1266" t="s">
        <v>306</v>
      </c>
      <c r="O7" s="1266"/>
      <c r="Q7" s="1266" t="s">
        <v>305</v>
      </c>
      <c r="R7" s="1266"/>
    </row>
    <row r="8" spans="1:19" ht="15" customHeight="1">
      <c r="A8" s="434" t="s">
        <v>426</v>
      </c>
      <c r="B8" s="806"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19" ht="14.25" customHeight="1" thickBot="1">
      <c r="A9" s="445" t="s">
        <v>393</v>
      </c>
      <c r="B9" s="807"/>
      <c r="C9" s="447"/>
      <c r="D9" s="445"/>
      <c r="E9" s="446"/>
      <c r="F9" s="447"/>
      <c r="G9" s="445"/>
      <c r="H9" s="446"/>
      <c r="I9" s="447"/>
      <c r="J9" s="447"/>
      <c r="K9" s="446"/>
      <c r="L9" s="447"/>
      <c r="M9" s="445"/>
      <c r="N9" s="446"/>
      <c r="O9" s="447"/>
      <c r="P9" s="447"/>
      <c r="Q9" s="446"/>
      <c r="R9" s="447"/>
      <c r="S9" s="447"/>
    </row>
    <row r="10" spans="1:19" ht="9.9499999999999993" customHeight="1">
      <c r="Q10" s="435"/>
    </row>
    <row r="11" spans="1:19" ht="14.1" customHeight="1">
      <c r="A11" s="90" t="s">
        <v>325</v>
      </c>
      <c r="B11" s="544">
        <f>IF($A11&lt;&gt;"",E11+H11+K11+N11+Q11,"")</f>
        <v>1874</v>
      </c>
      <c r="C11" s="436">
        <f>SUM(C13+C109)</f>
        <v>100</v>
      </c>
      <c r="E11" s="435">
        <f>E13+E109</f>
        <v>796</v>
      </c>
      <c r="F11" s="436">
        <f t="shared" ref="F11:F75" si="0">IF($A11&lt;&gt;0,E11/$B11*100,"")</f>
        <v>42.475987193169686</v>
      </c>
      <c r="H11" s="435">
        <f>H13+H109</f>
        <v>62</v>
      </c>
      <c r="I11" s="436">
        <f t="shared" ref="I11:I74" si="1">IF($A11&lt;&gt;0,H11/$B11*100,"")</f>
        <v>3.3084311632870866</v>
      </c>
      <c r="K11" s="435">
        <f>K13+K109</f>
        <v>392</v>
      </c>
      <c r="L11" s="436">
        <f t="shared" ref="L11:L74" si="2">IF($A11&lt;&gt;0,K11/$B11*100,"")</f>
        <v>20.917822838847385</v>
      </c>
      <c r="M11" s="440"/>
      <c r="N11" s="435">
        <f>N13+N109</f>
        <v>407</v>
      </c>
      <c r="O11" s="436">
        <f t="shared" ref="O11:O74" si="3">IF($A11&lt;&gt;0,N11/$B11*100,"")</f>
        <v>21.718249733191037</v>
      </c>
      <c r="P11" s="442"/>
      <c r="Q11" s="435">
        <f>Q13+Q109</f>
        <v>217</v>
      </c>
      <c r="R11" s="436">
        <f t="shared" ref="R11:R78" si="4">IF($A11&lt;&gt;0,Q11/$B11*100,"")</f>
        <v>11.579509071504802</v>
      </c>
      <c r="S11" s="442"/>
    </row>
    <row r="12" spans="1:19" ht="9.9499999999999993" customHeight="1">
      <c r="B12" s="544" t="str">
        <f t="shared" ref="B12:B79" si="5">IF($A12&lt;&gt;"",E12+H12+K12+N12+Q12,"")</f>
        <v/>
      </c>
      <c r="C12" s="436" t="str">
        <f>IF(A12&lt;&gt;0,B12/$B$10*100,"")</f>
        <v/>
      </c>
      <c r="F12" s="436" t="str">
        <f t="shared" si="0"/>
        <v/>
      </c>
      <c r="I12" s="436" t="str">
        <f t="shared" si="1"/>
        <v/>
      </c>
      <c r="L12" s="436" t="str">
        <f t="shared" si="2"/>
        <v/>
      </c>
      <c r="M12" s="440"/>
      <c r="O12" s="436" t="str">
        <f t="shared" si="3"/>
        <v/>
      </c>
      <c r="P12" s="442"/>
      <c r="Q12" s="435"/>
      <c r="R12" s="436" t="str">
        <f t="shared" si="4"/>
        <v/>
      </c>
      <c r="S12" s="442"/>
    </row>
    <row r="13" spans="1:19" ht="14.1" customHeight="1">
      <c r="A13" s="63" t="s">
        <v>326</v>
      </c>
      <c r="B13" s="544">
        <f t="shared" si="5"/>
        <v>1671</v>
      </c>
      <c r="C13" s="436">
        <f>IF(A13&lt;&gt;0,B13/$B$11*100,"")</f>
        <v>89.167556029882604</v>
      </c>
      <c r="E13" s="435">
        <f>E15+E101</f>
        <v>669</v>
      </c>
      <c r="F13" s="436">
        <f t="shared" si="0"/>
        <v>40.035906642728904</v>
      </c>
      <c r="H13" s="435">
        <f>H15+H101</f>
        <v>59</v>
      </c>
      <c r="I13" s="436">
        <f t="shared" si="1"/>
        <v>3.5308198683423102</v>
      </c>
      <c r="K13" s="435">
        <f>K15+K101</f>
        <v>335</v>
      </c>
      <c r="L13" s="436">
        <f t="shared" si="2"/>
        <v>20.047875523638538</v>
      </c>
      <c r="M13" s="440"/>
      <c r="N13" s="435">
        <f>N15+N101</f>
        <v>392</v>
      </c>
      <c r="O13" s="436">
        <f t="shared" si="3"/>
        <v>23.459006582884502</v>
      </c>
      <c r="P13" s="442"/>
      <c r="Q13" s="435">
        <f>Q15+Q101</f>
        <v>216</v>
      </c>
      <c r="R13" s="436">
        <f t="shared" si="4"/>
        <v>12.926391382405743</v>
      </c>
      <c r="S13" s="442"/>
    </row>
    <row r="14" spans="1:19" ht="9.75" customHeight="1">
      <c r="A14" s="63"/>
      <c r="B14" s="544" t="str">
        <f t="shared" si="5"/>
        <v/>
      </c>
      <c r="C14" s="436" t="str">
        <f>IF(A14&lt;&gt;0,B14/$B$11*100,"")</f>
        <v/>
      </c>
      <c r="F14" s="436" t="str">
        <f t="shared" si="0"/>
        <v/>
      </c>
      <c r="I14" s="436" t="str">
        <f t="shared" si="1"/>
        <v/>
      </c>
      <c r="L14" s="436" t="str">
        <f t="shared" si="2"/>
        <v/>
      </c>
      <c r="M14" s="440"/>
      <c r="O14" s="436" t="str">
        <f t="shared" si="3"/>
        <v/>
      </c>
      <c r="P14" s="442"/>
      <c r="Q14" s="435"/>
      <c r="R14" s="436" t="str">
        <f t="shared" si="4"/>
        <v/>
      </c>
      <c r="S14" s="442"/>
    </row>
    <row r="15" spans="1:19" ht="14.1" customHeight="1">
      <c r="A15" s="63" t="s">
        <v>12</v>
      </c>
      <c r="B15" s="544">
        <f t="shared" si="5"/>
        <v>1533</v>
      </c>
      <c r="C15" s="436">
        <f>IF(A15&lt;&gt;0,B15/$B$11*100,"")</f>
        <v>81.803628601921019</v>
      </c>
      <c r="E15" s="435">
        <f>E17+E28+E36+E62+E76+E83+E95+E99+E96+E97</f>
        <v>607</v>
      </c>
      <c r="F15" s="436">
        <f t="shared" si="0"/>
        <v>39.595564253098495</v>
      </c>
      <c r="H15" s="435">
        <f>H17+H28+H36+H62+H76+H83+H95+H99+H96+H97</f>
        <v>52</v>
      </c>
      <c r="I15" s="436">
        <f t="shared" si="1"/>
        <v>3.3920417482061316</v>
      </c>
      <c r="K15" s="435">
        <f>K17+K28+K36+K62+K76+K83+K95+K99+K96+K97</f>
        <v>290</v>
      </c>
      <c r="L15" s="436">
        <f t="shared" si="2"/>
        <v>18.917155903457271</v>
      </c>
      <c r="M15" s="440"/>
      <c r="N15" s="435">
        <f>N17+N28+N36+N62+N76+N83+N95+N99+N96+N97</f>
        <v>371</v>
      </c>
      <c r="O15" s="436">
        <f t="shared" si="3"/>
        <v>24.200913242009133</v>
      </c>
      <c r="P15" s="442"/>
      <c r="Q15" s="435">
        <f>Q17+Q28+Q36+Q62+Q76+Q83+Q95+Q99+Q96+Q97</f>
        <v>213</v>
      </c>
      <c r="R15" s="436">
        <f t="shared" si="4"/>
        <v>13.894324853228962</v>
      </c>
      <c r="S15" s="442"/>
    </row>
    <row r="16" spans="1:19" ht="9.9499999999999993" customHeight="1">
      <c r="B16" s="544" t="str">
        <f t="shared" si="5"/>
        <v/>
      </c>
      <c r="C16" s="436" t="str">
        <f>IF(A16&lt;&gt;0,B16/$B$11*100,"")</f>
        <v/>
      </c>
      <c r="F16" s="436" t="str">
        <f t="shared" si="0"/>
        <v/>
      </c>
      <c r="I16" s="436" t="str">
        <f t="shared" si="1"/>
        <v/>
      </c>
      <c r="L16" s="436" t="str">
        <f t="shared" si="2"/>
        <v/>
      </c>
      <c r="M16" s="440"/>
      <c r="O16" s="436" t="str">
        <f t="shared" si="3"/>
        <v/>
      </c>
      <c r="P16" s="442"/>
      <c r="Q16" s="435"/>
      <c r="R16" s="436" t="str">
        <f t="shared" si="4"/>
        <v/>
      </c>
      <c r="S16" s="442"/>
    </row>
    <row r="17" spans="1:19" ht="13.15" customHeight="1">
      <c r="A17" s="63" t="s">
        <v>327</v>
      </c>
      <c r="B17" s="544">
        <f t="shared" si="5"/>
        <v>155</v>
      </c>
      <c r="C17" s="436">
        <f>IF(A17&lt;&gt;0,B17/$B$11*100,"")</f>
        <v>8.2710779082177162</v>
      </c>
      <c r="E17" s="435">
        <f>E18+E23</f>
        <v>91</v>
      </c>
      <c r="F17" s="436">
        <f t="shared" si="0"/>
        <v>58.709677419354833</v>
      </c>
      <c r="H17" s="435">
        <f>H18+H23</f>
        <v>12</v>
      </c>
      <c r="I17" s="436">
        <f t="shared" si="1"/>
        <v>7.741935483870968</v>
      </c>
      <c r="K17" s="435">
        <f>K18+K23</f>
        <v>36</v>
      </c>
      <c r="L17" s="436">
        <f t="shared" si="2"/>
        <v>23.225806451612904</v>
      </c>
      <c r="M17" s="440"/>
      <c r="N17" s="435">
        <f>N18+N23</f>
        <v>14</v>
      </c>
      <c r="O17" s="436">
        <f t="shared" si="3"/>
        <v>9.0322580645161281</v>
      </c>
      <c r="P17" s="442"/>
      <c r="Q17" s="435">
        <f>Q18+Q23</f>
        <v>2</v>
      </c>
      <c r="R17" s="436">
        <f t="shared" si="4"/>
        <v>1.2903225806451613</v>
      </c>
      <c r="S17" s="442"/>
    </row>
    <row r="18" spans="1:19" ht="13.15" customHeight="1">
      <c r="A18" s="434" t="s">
        <v>20</v>
      </c>
      <c r="B18" s="544">
        <f t="shared" si="5"/>
        <v>63</v>
      </c>
      <c r="C18" s="436">
        <f t="shared" ref="C18:C81" si="6">IF(A18&lt;&gt;0,B18/$B$11*100,"")</f>
        <v>3.3617929562433297</v>
      </c>
      <c r="E18" s="435">
        <f>SUM(E19:E21)</f>
        <v>37</v>
      </c>
      <c r="F18" s="436">
        <f t="shared" si="0"/>
        <v>58.730158730158735</v>
      </c>
      <c r="H18" s="435">
        <f>SUM(H19:H21)</f>
        <v>4</v>
      </c>
      <c r="I18" s="436">
        <f t="shared" si="1"/>
        <v>6.3492063492063489</v>
      </c>
      <c r="K18" s="435">
        <f>SUM(K19:K21)</f>
        <v>13</v>
      </c>
      <c r="L18" s="436">
        <f t="shared" si="2"/>
        <v>20.634920634920633</v>
      </c>
      <c r="M18" s="440"/>
      <c r="N18" s="435">
        <f>SUM(N19:N21)</f>
        <v>8</v>
      </c>
      <c r="O18" s="436">
        <f t="shared" si="3"/>
        <v>12.698412698412698</v>
      </c>
      <c r="P18" s="442"/>
      <c r="Q18" s="435">
        <f>SUM(Q19:Q21)</f>
        <v>1</v>
      </c>
      <c r="R18" s="436">
        <f t="shared" si="4"/>
        <v>1.5873015873015872</v>
      </c>
      <c r="S18" s="442"/>
    </row>
    <row r="19" spans="1:19" ht="13.15" customHeight="1">
      <c r="A19" s="434" t="s">
        <v>21</v>
      </c>
      <c r="B19" s="544">
        <f>IF($A19&lt;&gt;"",E19+H19+K19+N19+Q19,"")</f>
        <v>4</v>
      </c>
      <c r="C19" s="436">
        <f t="shared" si="6"/>
        <v>0.21344717182497333</v>
      </c>
      <c r="E19" s="434">
        <v>3</v>
      </c>
      <c r="F19" s="436">
        <f t="shared" si="0"/>
        <v>75</v>
      </c>
      <c r="H19" s="434">
        <v>0</v>
      </c>
      <c r="I19" s="436">
        <f t="shared" si="1"/>
        <v>0</v>
      </c>
      <c r="J19" s="434"/>
      <c r="K19" s="434">
        <v>0</v>
      </c>
      <c r="L19" s="436">
        <f t="shared" si="2"/>
        <v>0</v>
      </c>
      <c r="N19" s="434">
        <v>1</v>
      </c>
      <c r="O19" s="436">
        <f t="shared" si="3"/>
        <v>25</v>
      </c>
      <c r="Q19" s="434">
        <v>0</v>
      </c>
      <c r="R19" s="436">
        <f t="shared" si="4"/>
        <v>0</v>
      </c>
      <c r="S19" s="442"/>
    </row>
    <row r="20" spans="1:19" ht="13.15" customHeight="1">
      <c r="A20" s="434" t="s">
        <v>22</v>
      </c>
      <c r="B20" s="544">
        <f>IF($A20&lt;&gt;"",E20+H20+K20+N20+Q20,"")</f>
        <v>20</v>
      </c>
      <c r="C20" s="436">
        <f t="shared" si="6"/>
        <v>1.0672358591248665</v>
      </c>
      <c r="E20" s="434">
        <v>14</v>
      </c>
      <c r="F20" s="436">
        <f t="shared" si="0"/>
        <v>70</v>
      </c>
      <c r="H20" s="434">
        <v>0</v>
      </c>
      <c r="I20" s="436">
        <f t="shared" si="1"/>
        <v>0</v>
      </c>
      <c r="J20" s="434"/>
      <c r="K20" s="434">
        <v>6</v>
      </c>
      <c r="L20" s="436">
        <f t="shared" si="2"/>
        <v>30</v>
      </c>
      <c r="N20" s="434">
        <v>0</v>
      </c>
      <c r="O20" s="436">
        <f t="shared" si="3"/>
        <v>0</v>
      </c>
      <c r="Q20" s="434">
        <v>0</v>
      </c>
      <c r="R20" s="436">
        <f t="shared" si="4"/>
        <v>0</v>
      </c>
      <c r="S20" s="442"/>
    </row>
    <row r="21" spans="1:19" ht="12" customHeight="1">
      <c r="A21" s="434" t="s">
        <v>23</v>
      </c>
      <c r="B21" s="544">
        <f>IF($A21&lt;&gt;"",E21+H21+K21+N21+Q21,"")</f>
        <v>39</v>
      </c>
      <c r="C21" s="436">
        <f t="shared" si="6"/>
        <v>2.0811099252934899</v>
      </c>
      <c r="E21" s="434">
        <v>20</v>
      </c>
      <c r="F21" s="436">
        <f t="shared" si="0"/>
        <v>51.282051282051277</v>
      </c>
      <c r="H21" s="434">
        <v>4</v>
      </c>
      <c r="I21" s="436">
        <f t="shared" si="1"/>
        <v>10.256410256410255</v>
      </c>
      <c r="J21" s="434"/>
      <c r="K21" s="434">
        <v>7</v>
      </c>
      <c r="L21" s="436">
        <f t="shared" si="2"/>
        <v>17.948717948717949</v>
      </c>
      <c r="N21" s="434">
        <v>7</v>
      </c>
      <c r="O21" s="436">
        <f t="shared" si="3"/>
        <v>17.948717948717949</v>
      </c>
      <c r="Q21" s="434">
        <v>1</v>
      </c>
      <c r="R21" s="436">
        <f t="shared" si="4"/>
        <v>2.5641025641025639</v>
      </c>
      <c r="S21" s="442"/>
    </row>
    <row r="22" spans="1:19" ht="9.9499999999999993" customHeight="1">
      <c r="B22" s="544" t="str">
        <f t="shared" si="5"/>
        <v/>
      </c>
      <c r="C22" s="436" t="str">
        <f t="shared" si="6"/>
        <v/>
      </c>
      <c r="F22" s="436" t="str">
        <f t="shared" si="0"/>
        <v/>
      </c>
      <c r="I22" s="436" t="str">
        <f t="shared" si="1"/>
        <v/>
      </c>
      <c r="L22" s="436" t="str">
        <f t="shared" si="2"/>
        <v/>
      </c>
      <c r="M22" s="440"/>
      <c r="O22" s="436" t="str">
        <f t="shared" si="3"/>
        <v/>
      </c>
      <c r="P22" s="442"/>
      <c r="Q22" s="435"/>
      <c r="R22" s="436" t="str">
        <f t="shared" si="4"/>
        <v/>
      </c>
      <c r="S22" s="442"/>
    </row>
    <row r="23" spans="1:19" ht="13.15" customHeight="1">
      <c r="A23" s="434" t="s">
        <v>24</v>
      </c>
      <c r="B23" s="544">
        <f t="shared" si="5"/>
        <v>92</v>
      </c>
      <c r="C23" s="436">
        <f t="shared" si="6"/>
        <v>4.909284951974386</v>
      </c>
      <c r="E23" s="435">
        <f>SUM(E24:E26)</f>
        <v>54</v>
      </c>
      <c r="F23" s="436">
        <f t="shared" si="0"/>
        <v>58.695652173913047</v>
      </c>
      <c r="H23" s="435">
        <f>SUM(H24:H26)</f>
        <v>8</v>
      </c>
      <c r="I23" s="436">
        <f t="shared" si="1"/>
        <v>8.695652173913043</v>
      </c>
      <c r="K23" s="435">
        <f>SUM(K24:K26)</f>
        <v>23</v>
      </c>
      <c r="L23" s="436">
        <f t="shared" si="2"/>
        <v>25</v>
      </c>
      <c r="M23" s="440"/>
      <c r="N23" s="435">
        <f>SUM(N24:N26)</f>
        <v>6</v>
      </c>
      <c r="O23" s="436">
        <f t="shared" si="3"/>
        <v>6.5217391304347823</v>
      </c>
      <c r="P23" s="442"/>
      <c r="Q23" s="435">
        <f>SUM(Q24:Q26)</f>
        <v>1</v>
      </c>
      <c r="R23" s="436">
        <f t="shared" si="4"/>
        <v>1.0869565217391304</v>
      </c>
      <c r="S23" s="442"/>
    </row>
    <row r="24" spans="1:19" ht="13.15" customHeight="1">
      <c r="A24" s="434" t="s">
        <v>25</v>
      </c>
      <c r="B24" s="544">
        <f t="shared" si="5"/>
        <v>25</v>
      </c>
      <c r="C24" s="436">
        <f t="shared" si="6"/>
        <v>1.3340448239060834</v>
      </c>
      <c r="E24" s="434">
        <v>14</v>
      </c>
      <c r="F24" s="436">
        <f t="shared" si="0"/>
        <v>56.000000000000007</v>
      </c>
      <c r="H24" s="434">
        <v>1</v>
      </c>
      <c r="I24" s="436">
        <f t="shared" si="1"/>
        <v>4</v>
      </c>
      <c r="J24" s="434"/>
      <c r="K24" s="434">
        <v>4</v>
      </c>
      <c r="L24" s="436">
        <f t="shared" si="2"/>
        <v>16</v>
      </c>
      <c r="N24" s="434">
        <v>5</v>
      </c>
      <c r="O24" s="436">
        <f t="shared" si="3"/>
        <v>20</v>
      </c>
      <c r="Q24" s="434">
        <v>1</v>
      </c>
      <c r="R24" s="436">
        <f t="shared" si="4"/>
        <v>4</v>
      </c>
      <c r="S24" s="442"/>
    </row>
    <row r="25" spans="1:19" ht="13.15" customHeight="1">
      <c r="A25" s="434" t="s">
        <v>26</v>
      </c>
      <c r="B25" s="544">
        <f t="shared" si="5"/>
        <v>19</v>
      </c>
      <c r="C25" s="436">
        <f t="shared" si="6"/>
        <v>1.0138740661686232</v>
      </c>
      <c r="E25" s="434">
        <v>6</v>
      </c>
      <c r="F25" s="436">
        <f t="shared" si="0"/>
        <v>31.578947368421051</v>
      </c>
      <c r="H25" s="434">
        <v>5</v>
      </c>
      <c r="I25" s="436">
        <f t="shared" si="1"/>
        <v>26.315789473684209</v>
      </c>
      <c r="J25" s="434"/>
      <c r="K25" s="434">
        <v>7</v>
      </c>
      <c r="L25" s="436">
        <f t="shared" si="2"/>
        <v>36.84210526315789</v>
      </c>
      <c r="N25" s="434">
        <v>1</v>
      </c>
      <c r="O25" s="436">
        <f t="shared" si="3"/>
        <v>5.2631578947368416</v>
      </c>
      <c r="Q25" s="434">
        <v>0</v>
      </c>
      <c r="R25" s="436">
        <f t="shared" si="4"/>
        <v>0</v>
      </c>
      <c r="S25" s="442"/>
    </row>
    <row r="26" spans="1:19" ht="12" customHeight="1">
      <c r="A26" s="434" t="s">
        <v>27</v>
      </c>
      <c r="B26" s="544">
        <f t="shared" si="5"/>
        <v>48</v>
      </c>
      <c r="C26" s="436">
        <f t="shared" si="6"/>
        <v>2.5613660618996796</v>
      </c>
      <c r="E26" s="434">
        <v>34</v>
      </c>
      <c r="F26" s="436">
        <f t="shared" si="0"/>
        <v>70.833333333333343</v>
      </c>
      <c r="H26" s="434">
        <v>2</v>
      </c>
      <c r="I26" s="436">
        <f t="shared" si="1"/>
        <v>4.1666666666666661</v>
      </c>
      <c r="J26" s="434"/>
      <c r="K26" s="434">
        <v>12</v>
      </c>
      <c r="L26" s="436">
        <f t="shared" si="2"/>
        <v>25</v>
      </c>
      <c r="N26" s="434">
        <v>0</v>
      </c>
      <c r="O26" s="436">
        <f t="shared" si="3"/>
        <v>0</v>
      </c>
      <c r="Q26" s="434">
        <v>0</v>
      </c>
      <c r="R26" s="436">
        <f t="shared" si="4"/>
        <v>0</v>
      </c>
      <c r="S26" s="442"/>
    </row>
    <row r="27" spans="1:19" ht="9.9499999999999993" customHeight="1">
      <c r="B27" s="544" t="str">
        <f t="shared" si="5"/>
        <v/>
      </c>
      <c r="C27" s="436" t="str">
        <f t="shared" si="6"/>
        <v/>
      </c>
      <c r="F27" s="436" t="str">
        <f t="shared" si="0"/>
        <v/>
      </c>
      <c r="I27" s="436" t="str">
        <f t="shared" si="1"/>
        <v/>
      </c>
      <c r="L27" s="436" t="str">
        <f t="shared" si="2"/>
        <v/>
      </c>
      <c r="M27" s="440"/>
      <c r="O27" s="436" t="str">
        <f t="shared" si="3"/>
        <v/>
      </c>
      <c r="P27" s="442"/>
      <c r="Q27" s="435"/>
      <c r="R27" s="436" t="str">
        <f t="shared" si="4"/>
        <v/>
      </c>
      <c r="S27" s="442"/>
    </row>
    <row r="28" spans="1:19" ht="13.15" customHeight="1">
      <c r="A28" s="63" t="s">
        <v>375</v>
      </c>
      <c r="B28" s="544">
        <f t="shared" si="5"/>
        <v>135</v>
      </c>
      <c r="C28" s="436">
        <f t="shared" si="6"/>
        <v>7.2038420490928496</v>
      </c>
      <c r="E28" s="435">
        <f>SUM(E30:E34)</f>
        <v>105</v>
      </c>
      <c r="F28" s="436">
        <f t="shared" si="0"/>
        <v>77.777777777777786</v>
      </c>
      <c r="H28" s="435">
        <f>SUM(H30:H34)</f>
        <v>1</v>
      </c>
      <c r="I28" s="436">
        <f t="shared" si="1"/>
        <v>0.74074074074074081</v>
      </c>
      <c r="K28" s="435">
        <f>SUM(K30:K34)</f>
        <v>25</v>
      </c>
      <c r="L28" s="436">
        <f t="shared" si="2"/>
        <v>18.518518518518519</v>
      </c>
      <c r="M28" s="440"/>
      <c r="N28" s="435">
        <f>SUM(N30:N34)</f>
        <v>3</v>
      </c>
      <c r="O28" s="436">
        <f t="shared" si="3"/>
        <v>2.2222222222222223</v>
      </c>
      <c r="P28" s="442"/>
      <c r="Q28" s="435">
        <f>SUM(Q29)</f>
        <v>1</v>
      </c>
      <c r="R28" s="436">
        <f t="shared" si="4"/>
        <v>0.74074074074074081</v>
      </c>
      <c r="S28" s="442"/>
    </row>
    <row r="29" spans="1:19" ht="13.15" customHeight="1">
      <c r="A29" s="434" t="s">
        <v>29</v>
      </c>
      <c r="B29" s="544">
        <f t="shared" si="5"/>
        <v>135</v>
      </c>
      <c r="C29" s="436">
        <f t="shared" si="6"/>
        <v>7.2038420490928496</v>
      </c>
      <c r="E29" s="435">
        <f>SUM(E30:E34)</f>
        <v>105</v>
      </c>
      <c r="F29" s="436">
        <f t="shared" si="0"/>
        <v>77.777777777777786</v>
      </c>
      <c r="H29" s="435">
        <f>SUM(H30:H34)</f>
        <v>1</v>
      </c>
      <c r="I29" s="436">
        <f t="shared" si="1"/>
        <v>0.74074074074074081</v>
      </c>
      <c r="K29" s="435">
        <f>SUM(K30:K34)</f>
        <v>25</v>
      </c>
      <c r="L29" s="436">
        <f t="shared" si="2"/>
        <v>18.518518518518519</v>
      </c>
      <c r="M29" s="440"/>
      <c r="N29" s="435">
        <f>SUM(N30:N34)</f>
        <v>3</v>
      </c>
      <c r="O29" s="436">
        <f t="shared" si="3"/>
        <v>2.2222222222222223</v>
      </c>
      <c r="P29" s="442"/>
      <c r="Q29" s="435">
        <f>SUM(Q30:Q34)</f>
        <v>1</v>
      </c>
      <c r="R29" s="436">
        <f t="shared" si="4"/>
        <v>0.74074074074074081</v>
      </c>
      <c r="S29" s="442"/>
    </row>
    <row r="30" spans="1:19" ht="13.15" customHeight="1">
      <c r="A30" s="434" t="s">
        <v>30</v>
      </c>
      <c r="B30" s="544">
        <f t="shared" si="5"/>
        <v>35</v>
      </c>
      <c r="C30" s="436">
        <f t="shared" si="6"/>
        <v>1.8676627534685166</v>
      </c>
      <c r="E30" s="434">
        <v>23</v>
      </c>
      <c r="F30" s="436">
        <f t="shared" si="0"/>
        <v>65.714285714285708</v>
      </c>
      <c r="H30" s="434">
        <v>0</v>
      </c>
      <c r="I30" s="436">
        <f t="shared" si="1"/>
        <v>0</v>
      </c>
      <c r="J30" s="434"/>
      <c r="K30" s="434">
        <v>12</v>
      </c>
      <c r="L30" s="436">
        <f t="shared" si="2"/>
        <v>34.285714285714285</v>
      </c>
      <c r="N30" s="434">
        <v>0</v>
      </c>
      <c r="O30" s="436">
        <f t="shared" si="3"/>
        <v>0</v>
      </c>
      <c r="Q30" s="434">
        <v>0</v>
      </c>
      <c r="R30" s="436">
        <f t="shared" si="4"/>
        <v>0</v>
      </c>
      <c r="S30" s="442"/>
    </row>
    <row r="31" spans="1:19" ht="13.15" customHeight="1">
      <c r="A31" s="434" t="s">
        <v>31</v>
      </c>
      <c r="B31" s="544">
        <f t="shared" si="5"/>
        <v>28</v>
      </c>
      <c r="C31" s="436">
        <f t="shared" si="6"/>
        <v>1.4941302027748131</v>
      </c>
      <c r="E31" s="434">
        <v>23</v>
      </c>
      <c r="F31" s="436">
        <f t="shared" si="0"/>
        <v>82.142857142857139</v>
      </c>
      <c r="H31" s="434">
        <v>0</v>
      </c>
      <c r="I31" s="436">
        <f t="shared" si="1"/>
        <v>0</v>
      </c>
      <c r="J31" s="434"/>
      <c r="K31" s="434">
        <v>4</v>
      </c>
      <c r="L31" s="436">
        <f t="shared" si="2"/>
        <v>14.285714285714285</v>
      </c>
      <c r="N31" s="434">
        <v>1</v>
      </c>
      <c r="O31" s="436">
        <f t="shared" si="3"/>
        <v>3.5714285714285712</v>
      </c>
      <c r="Q31" s="434">
        <v>0</v>
      </c>
      <c r="R31" s="436">
        <f t="shared" si="4"/>
        <v>0</v>
      </c>
      <c r="S31" s="442"/>
    </row>
    <row r="32" spans="1:19" ht="13.15" customHeight="1">
      <c r="A32" s="434" t="s">
        <v>32</v>
      </c>
      <c r="B32" s="544">
        <f t="shared" si="5"/>
        <v>14</v>
      </c>
      <c r="C32" s="436">
        <f t="shared" si="6"/>
        <v>0.74706510138740656</v>
      </c>
      <c r="E32" s="434">
        <v>9</v>
      </c>
      <c r="F32" s="436">
        <f t="shared" si="0"/>
        <v>64.285714285714292</v>
      </c>
      <c r="H32" s="434">
        <v>1</v>
      </c>
      <c r="I32" s="436">
        <f t="shared" si="1"/>
        <v>7.1428571428571423</v>
      </c>
      <c r="J32" s="434"/>
      <c r="K32" s="434">
        <v>3</v>
      </c>
      <c r="L32" s="436">
        <f t="shared" si="2"/>
        <v>21.428571428571427</v>
      </c>
      <c r="N32" s="434">
        <v>0</v>
      </c>
      <c r="O32" s="436">
        <f t="shared" si="3"/>
        <v>0</v>
      </c>
      <c r="Q32" s="434">
        <v>1</v>
      </c>
      <c r="R32" s="436">
        <f t="shared" si="4"/>
        <v>7.1428571428571423</v>
      </c>
      <c r="S32" s="442"/>
    </row>
    <row r="33" spans="1:19" ht="13.15" customHeight="1">
      <c r="A33" s="434" t="s">
        <v>33</v>
      </c>
      <c r="B33" s="544">
        <f t="shared" si="5"/>
        <v>26</v>
      </c>
      <c r="C33" s="436">
        <f t="shared" si="6"/>
        <v>1.3874066168623265</v>
      </c>
      <c r="E33" s="434">
        <v>24</v>
      </c>
      <c r="F33" s="436">
        <f t="shared" si="0"/>
        <v>92.307692307692307</v>
      </c>
      <c r="H33" s="434">
        <v>0</v>
      </c>
      <c r="I33" s="436">
        <f t="shared" si="1"/>
        <v>0</v>
      </c>
      <c r="J33" s="434"/>
      <c r="K33" s="434">
        <v>2</v>
      </c>
      <c r="L33" s="436">
        <f t="shared" si="2"/>
        <v>7.6923076923076925</v>
      </c>
      <c r="N33" s="434">
        <v>0</v>
      </c>
      <c r="O33" s="436">
        <f t="shared" si="3"/>
        <v>0</v>
      </c>
      <c r="Q33" s="434">
        <v>0</v>
      </c>
      <c r="R33" s="436">
        <f t="shared" si="4"/>
        <v>0</v>
      </c>
      <c r="S33" s="442"/>
    </row>
    <row r="34" spans="1:19" ht="12" customHeight="1">
      <c r="A34" s="434" t="s">
        <v>34</v>
      </c>
      <c r="B34" s="544">
        <f t="shared" si="5"/>
        <v>32</v>
      </c>
      <c r="C34" s="436">
        <f t="shared" si="6"/>
        <v>1.7075773745997866</v>
      </c>
      <c r="E34" s="434">
        <v>26</v>
      </c>
      <c r="F34" s="436">
        <f t="shared" si="0"/>
        <v>81.25</v>
      </c>
      <c r="H34" s="434">
        <v>0</v>
      </c>
      <c r="I34" s="436">
        <f t="shared" si="1"/>
        <v>0</v>
      </c>
      <c r="J34" s="434"/>
      <c r="K34" s="434">
        <v>4</v>
      </c>
      <c r="L34" s="436">
        <f t="shared" si="2"/>
        <v>12.5</v>
      </c>
      <c r="N34" s="434">
        <v>2</v>
      </c>
      <c r="O34" s="436">
        <f t="shared" si="3"/>
        <v>6.25</v>
      </c>
      <c r="Q34" s="434">
        <v>0</v>
      </c>
      <c r="R34" s="436">
        <f t="shared" si="4"/>
        <v>0</v>
      </c>
      <c r="S34" s="442"/>
    </row>
    <row r="35" spans="1:19" ht="9.9499999999999993" customHeight="1">
      <c r="B35" s="544" t="str">
        <f t="shared" si="5"/>
        <v/>
      </c>
      <c r="C35" s="436" t="str">
        <f t="shared" si="6"/>
        <v/>
      </c>
      <c r="F35" s="436" t="str">
        <f t="shared" si="0"/>
        <v/>
      </c>
      <c r="I35" s="436" t="str">
        <f t="shared" si="1"/>
        <v/>
      </c>
      <c r="L35" s="436" t="str">
        <f t="shared" si="2"/>
        <v/>
      </c>
      <c r="M35" s="440"/>
      <c r="O35" s="436" t="str">
        <f t="shared" si="3"/>
        <v/>
      </c>
      <c r="P35" s="442"/>
      <c r="Q35" s="435"/>
      <c r="R35" s="436" t="str">
        <f t="shared" si="4"/>
        <v/>
      </c>
      <c r="S35" s="442"/>
    </row>
    <row r="36" spans="1:19" ht="13.15" customHeight="1">
      <c r="A36" s="63" t="s">
        <v>329</v>
      </c>
      <c r="B36" s="544">
        <f t="shared" si="5"/>
        <v>415</v>
      </c>
      <c r="C36" s="436">
        <f t="shared" si="6"/>
        <v>22.145144076840982</v>
      </c>
      <c r="E36" s="435">
        <f>E37+E43+E53+E55</f>
        <v>152</v>
      </c>
      <c r="F36" s="436">
        <f t="shared" si="0"/>
        <v>36.626506024096386</v>
      </c>
      <c r="H36" s="435">
        <f>H37+H43+H53+H55</f>
        <v>18</v>
      </c>
      <c r="I36" s="436">
        <f t="shared" si="1"/>
        <v>4.3373493975903612</v>
      </c>
      <c r="K36" s="435">
        <f>K37+K43+K53+K55</f>
        <v>105</v>
      </c>
      <c r="L36" s="436">
        <f t="shared" si="2"/>
        <v>25.301204819277107</v>
      </c>
      <c r="M36" s="440"/>
      <c r="N36" s="435">
        <f>N37+N43+N53+N55</f>
        <v>121</v>
      </c>
      <c r="O36" s="436">
        <f t="shared" si="3"/>
        <v>29.156626506024097</v>
      </c>
      <c r="P36" s="442"/>
      <c r="Q36" s="435">
        <f>Q37+Q43+Q53+Q55</f>
        <v>19</v>
      </c>
      <c r="R36" s="436">
        <f t="shared" si="4"/>
        <v>4.5783132530120483</v>
      </c>
      <c r="S36" s="442"/>
    </row>
    <row r="37" spans="1:19" ht="13.15" customHeight="1">
      <c r="A37" s="434" t="s">
        <v>36</v>
      </c>
      <c r="B37" s="544">
        <f t="shared" si="5"/>
        <v>113</v>
      </c>
      <c r="C37" s="436">
        <f t="shared" si="6"/>
        <v>6.029882604055496</v>
      </c>
      <c r="E37" s="435">
        <f>SUM(E38:E41)</f>
        <v>28</v>
      </c>
      <c r="F37" s="436">
        <f t="shared" si="0"/>
        <v>24.778761061946902</v>
      </c>
      <c r="H37" s="435">
        <f>SUM(H38:H41)</f>
        <v>7</v>
      </c>
      <c r="I37" s="436">
        <f t="shared" si="1"/>
        <v>6.1946902654867255</v>
      </c>
      <c r="K37" s="435">
        <f>SUM(K38:K41)</f>
        <v>24</v>
      </c>
      <c r="L37" s="436">
        <f t="shared" si="2"/>
        <v>21.238938053097346</v>
      </c>
      <c r="M37" s="440"/>
      <c r="N37" s="435">
        <f>SUM(N38:N41)</f>
        <v>54</v>
      </c>
      <c r="O37" s="436">
        <f t="shared" si="3"/>
        <v>47.787610619469028</v>
      </c>
      <c r="P37" s="442"/>
      <c r="Q37" s="435">
        <f>SUM(Q38:Q41)</f>
        <v>0</v>
      </c>
      <c r="R37" s="436">
        <f t="shared" si="4"/>
        <v>0</v>
      </c>
      <c r="S37" s="442"/>
    </row>
    <row r="38" spans="1:19" ht="13.15" customHeight="1">
      <c r="A38" s="434" t="s">
        <v>37</v>
      </c>
      <c r="B38" s="544">
        <f t="shared" si="5"/>
        <v>49</v>
      </c>
      <c r="C38" s="436">
        <f t="shared" si="6"/>
        <v>2.6147278548559232</v>
      </c>
      <c r="E38" s="434">
        <v>6</v>
      </c>
      <c r="F38" s="436">
        <f t="shared" si="0"/>
        <v>12.244897959183673</v>
      </c>
      <c r="H38" s="434">
        <v>4</v>
      </c>
      <c r="I38" s="436">
        <f t="shared" si="1"/>
        <v>8.1632653061224492</v>
      </c>
      <c r="J38" s="434"/>
      <c r="K38" s="434">
        <v>15</v>
      </c>
      <c r="L38" s="436">
        <f t="shared" si="2"/>
        <v>30.612244897959183</v>
      </c>
      <c r="N38" s="434">
        <v>24</v>
      </c>
      <c r="O38" s="436">
        <f t="shared" si="3"/>
        <v>48.979591836734691</v>
      </c>
      <c r="Q38" s="434">
        <v>0</v>
      </c>
      <c r="R38" s="436">
        <f t="shared" si="4"/>
        <v>0</v>
      </c>
      <c r="S38" s="442"/>
    </row>
    <row r="39" spans="1:19" ht="13.15" customHeight="1">
      <c r="A39" s="434" t="s">
        <v>38</v>
      </c>
      <c r="B39" s="544">
        <f t="shared" si="5"/>
        <v>28</v>
      </c>
      <c r="C39" s="436">
        <f t="shared" si="6"/>
        <v>1.4941302027748131</v>
      </c>
      <c r="E39" s="434">
        <v>6</v>
      </c>
      <c r="F39" s="436">
        <f t="shared" si="0"/>
        <v>21.428571428571427</v>
      </c>
      <c r="H39" s="434">
        <v>1</v>
      </c>
      <c r="I39" s="436">
        <f t="shared" si="1"/>
        <v>3.5714285714285712</v>
      </c>
      <c r="J39" s="434"/>
      <c r="K39" s="434">
        <v>4</v>
      </c>
      <c r="L39" s="436">
        <f t="shared" si="2"/>
        <v>14.285714285714285</v>
      </c>
      <c r="N39" s="434">
        <v>17</v>
      </c>
      <c r="O39" s="436">
        <f t="shared" si="3"/>
        <v>60.714285714285708</v>
      </c>
      <c r="Q39" s="434">
        <v>0</v>
      </c>
      <c r="R39" s="436">
        <f t="shared" si="4"/>
        <v>0</v>
      </c>
      <c r="S39" s="442"/>
    </row>
    <row r="40" spans="1:19" ht="13.15" customHeight="1">
      <c r="A40" s="434" t="s">
        <v>39</v>
      </c>
      <c r="B40" s="544">
        <f t="shared" si="5"/>
        <v>23</v>
      </c>
      <c r="C40" s="436">
        <f t="shared" si="6"/>
        <v>1.2273212379935965</v>
      </c>
      <c r="E40" s="434">
        <v>9</v>
      </c>
      <c r="F40" s="436">
        <f t="shared" si="0"/>
        <v>39.130434782608695</v>
      </c>
      <c r="H40" s="434">
        <v>2</v>
      </c>
      <c r="I40" s="436">
        <f t="shared" si="1"/>
        <v>8.695652173913043</v>
      </c>
      <c r="J40" s="434"/>
      <c r="K40" s="434">
        <v>2</v>
      </c>
      <c r="L40" s="436">
        <f t="shared" si="2"/>
        <v>8.695652173913043</v>
      </c>
      <c r="N40" s="434">
        <v>10</v>
      </c>
      <c r="O40" s="436">
        <f t="shared" si="3"/>
        <v>43.478260869565219</v>
      </c>
      <c r="Q40" s="434">
        <v>0</v>
      </c>
      <c r="R40" s="436">
        <f t="shared" si="4"/>
        <v>0</v>
      </c>
      <c r="S40" s="442"/>
    </row>
    <row r="41" spans="1:19" ht="12" customHeight="1">
      <c r="A41" s="434" t="s">
        <v>40</v>
      </c>
      <c r="B41" s="544">
        <f t="shared" si="5"/>
        <v>13</v>
      </c>
      <c r="C41" s="436">
        <f t="shared" si="6"/>
        <v>0.69370330843116323</v>
      </c>
      <c r="E41" s="434">
        <v>7</v>
      </c>
      <c r="F41" s="436">
        <f t="shared" si="0"/>
        <v>53.846153846153847</v>
      </c>
      <c r="H41" s="434">
        <v>0</v>
      </c>
      <c r="I41" s="436">
        <f t="shared" si="1"/>
        <v>0</v>
      </c>
      <c r="J41" s="434"/>
      <c r="K41" s="434">
        <v>3</v>
      </c>
      <c r="L41" s="436">
        <f t="shared" si="2"/>
        <v>23.076923076923077</v>
      </c>
      <c r="N41" s="434">
        <v>3</v>
      </c>
      <c r="O41" s="436">
        <f t="shared" si="3"/>
        <v>23.076923076923077</v>
      </c>
      <c r="Q41" s="434">
        <v>0</v>
      </c>
      <c r="R41" s="436">
        <f t="shared" si="4"/>
        <v>0</v>
      </c>
      <c r="S41" s="442"/>
    </row>
    <row r="42" spans="1:19" ht="9.9499999999999993" customHeight="1">
      <c r="B42" s="544" t="str">
        <f t="shared" si="5"/>
        <v/>
      </c>
      <c r="C42" s="436" t="str">
        <f t="shared" si="6"/>
        <v/>
      </c>
      <c r="F42" s="436" t="str">
        <f t="shared" si="0"/>
        <v/>
      </c>
      <c r="I42" s="436" t="str">
        <f t="shared" si="1"/>
        <v/>
      </c>
      <c r="L42" s="436" t="str">
        <f t="shared" si="2"/>
        <v/>
      </c>
      <c r="M42" s="440"/>
      <c r="O42" s="436" t="str">
        <f t="shared" si="3"/>
        <v/>
      </c>
      <c r="P42" s="442"/>
      <c r="Q42" s="435"/>
      <c r="R42" s="436" t="str">
        <f t="shared" si="4"/>
        <v/>
      </c>
      <c r="S42" s="442"/>
    </row>
    <row r="43" spans="1:19" ht="13.15" customHeight="1">
      <c r="A43" s="434" t="s">
        <v>41</v>
      </c>
      <c r="B43" s="544">
        <f t="shared" si="5"/>
        <v>162</v>
      </c>
      <c r="C43" s="436">
        <f t="shared" si="6"/>
        <v>8.6446104589114192</v>
      </c>
      <c r="E43" s="435">
        <f>SUM(E44:E51)</f>
        <v>68</v>
      </c>
      <c r="F43" s="436">
        <f t="shared" si="0"/>
        <v>41.975308641975303</v>
      </c>
      <c r="H43" s="435">
        <f>SUM(H44:H51)</f>
        <v>5</v>
      </c>
      <c r="I43" s="436">
        <f t="shared" si="1"/>
        <v>3.0864197530864197</v>
      </c>
      <c r="K43" s="435">
        <f>SUM(K44:K51)</f>
        <v>49</v>
      </c>
      <c r="L43" s="436">
        <f t="shared" si="2"/>
        <v>30.246913580246915</v>
      </c>
      <c r="M43" s="440"/>
      <c r="N43" s="435">
        <f>SUM(N44:N51)</f>
        <v>35</v>
      </c>
      <c r="O43" s="436">
        <f t="shared" si="3"/>
        <v>21.604938271604937</v>
      </c>
      <c r="P43" s="442"/>
      <c r="Q43" s="435">
        <f>SUM(Q44:Q51)</f>
        <v>5</v>
      </c>
      <c r="R43" s="436">
        <f t="shared" si="4"/>
        <v>3.0864197530864197</v>
      </c>
      <c r="S43" s="442"/>
    </row>
    <row r="44" spans="1:19" ht="13.15" customHeight="1">
      <c r="A44" s="434" t="s">
        <v>43</v>
      </c>
      <c r="B44" s="544">
        <f t="shared" si="5"/>
        <v>31</v>
      </c>
      <c r="C44" s="436">
        <f t="shared" si="6"/>
        <v>1.6542155816435433</v>
      </c>
      <c r="E44" s="434">
        <v>5</v>
      </c>
      <c r="F44" s="436">
        <f t="shared" si="0"/>
        <v>16.129032258064516</v>
      </c>
      <c r="H44" s="434">
        <v>1</v>
      </c>
      <c r="I44" s="436">
        <f t="shared" si="1"/>
        <v>3.225806451612903</v>
      </c>
      <c r="J44" s="434"/>
      <c r="K44" s="434">
        <v>10</v>
      </c>
      <c r="L44" s="436">
        <f t="shared" si="2"/>
        <v>32.258064516129032</v>
      </c>
      <c r="N44" s="434">
        <v>15</v>
      </c>
      <c r="O44" s="436">
        <f t="shared" si="3"/>
        <v>48.387096774193552</v>
      </c>
      <c r="Q44" s="434">
        <v>0</v>
      </c>
      <c r="R44" s="436">
        <f t="shared" si="4"/>
        <v>0</v>
      </c>
      <c r="S44" s="442"/>
    </row>
    <row r="45" spans="1:19" ht="13.15" customHeight="1">
      <c r="A45" s="434" t="s">
        <v>49</v>
      </c>
      <c r="B45" s="544">
        <f>IF($A45&lt;&gt;"",E45+H45+K45+N45+Q45,"")</f>
        <v>17</v>
      </c>
      <c r="C45" s="436">
        <f>IF(A45&lt;&gt;0,B45/$B$11*100,"")</f>
        <v>0.90715048025613654</v>
      </c>
      <c r="E45" s="434">
        <v>10</v>
      </c>
      <c r="F45" s="436">
        <f t="shared" si="0"/>
        <v>58.82352941176471</v>
      </c>
      <c r="H45" s="434">
        <v>1</v>
      </c>
      <c r="I45" s="436">
        <f t="shared" si="1"/>
        <v>5.8823529411764701</v>
      </c>
      <c r="J45" s="434"/>
      <c r="K45" s="434">
        <v>6</v>
      </c>
      <c r="L45" s="436">
        <f t="shared" si="2"/>
        <v>35.294117647058826</v>
      </c>
      <c r="N45" s="434">
        <v>0</v>
      </c>
      <c r="O45" s="436">
        <f t="shared" si="3"/>
        <v>0</v>
      </c>
      <c r="Q45" s="434">
        <v>0</v>
      </c>
      <c r="R45" s="436">
        <f t="shared" si="4"/>
        <v>0</v>
      </c>
      <c r="S45" s="442"/>
    </row>
    <row r="46" spans="1:19" ht="13.15" customHeight="1">
      <c r="A46" s="434" t="s">
        <v>42</v>
      </c>
      <c r="B46" s="544">
        <f>IF($A46&lt;&gt;"",E46+H46+K46+N46+Q46,"")</f>
        <v>17</v>
      </c>
      <c r="C46" s="436">
        <f>IF(A46&lt;&gt;0,B46/$B$11*100,"")</f>
        <v>0.90715048025613654</v>
      </c>
      <c r="E46" s="434">
        <v>11</v>
      </c>
      <c r="F46" s="436">
        <f t="shared" si="0"/>
        <v>64.705882352941174</v>
      </c>
      <c r="H46" s="434">
        <v>0</v>
      </c>
      <c r="I46" s="436">
        <f t="shared" si="1"/>
        <v>0</v>
      </c>
      <c r="J46" s="434"/>
      <c r="K46" s="434">
        <v>6</v>
      </c>
      <c r="L46" s="436">
        <f t="shared" si="2"/>
        <v>35.294117647058826</v>
      </c>
      <c r="N46" s="434">
        <v>0</v>
      </c>
      <c r="O46" s="436">
        <f t="shared" si="3"/>
        <v>0</v>
      </c>
      <c r="Q46" s="434">
        <v>0</v>
      </c>
      <c r="R46" s="436">
        <f t="shared" si="4"/>
        <v>0</v>
      </c>
      <c r="S46" s="442"/>
    </row>
    <row r="47" spans="1:19" ht="13.15" customHeight="1">
      <c r="A47" s="434" t="s">
        <v>44</v>
      </c>
      <c r="B47" s="544">
        <f t="shared" si="5"/>
        <v>17</v>
      </c>
      <c r="C47" s="436">
        <f t="shared" si="6"/>
        <v>0.90715048025613654</v>
      </c>
      <c r="E47" s="434">
        <v>8</v>
      </c>
      <c r="F47" s="436">
        <f t="shared" si="0"/>
        <v>47.058823529411761</v>
      </c>
      <c r="H47" s="434">
        <v>1</v>
      </c>
      <c r="I47" s="436">
        <f t="shared" si="1"/>
        <v>5.8823529411764701</v>
      </c>
      <c r="J47" s="434"/>
      <c r="K47" s="434">
        <v>5</v>
      </c>
      <c r="L47" s="436">
        <f t="shared" si="2"/>
        <v>29.411764705882355</v>
      </c>
      <c r="N47" s="434">
        <v>3</v>
      </c>
      <c r="O47" s="436">
        <f t="shared" si="3"/>
        <v>17.647058823529413</v>
      </c>
      <c r="Q47" s="434">
        <v>0</v>
      </c>
      <c r="R47" s="436">
        <f t="shared" si="4"/>
        <v>0</v>
      </c>
      <c r="S47" s="442"/>
    </row>
    <row r="48" spans="1:19" ht="13.15" customHeight="1">
      <c r="A48" s="434" t="s">
        <v>331</v>
      </c>
      <c r="B48" s="544">
        <f t="shared" si="5"/>
        <v>25</v>
      </c>
      <c r="C48" s="436">
        <f t="shared" si="6"/>
        <v>1.3340448239060834</v>
      </c>
      <c r="E48" s="434">
        <v>12</v>
      </c>
      <c r="F48" s="436">
        <f t="shared" si="0"/>
        <v>48</v>
      </c>
      <c r="H48" s="434">
        <v>1</v>
      </c>
      <c r="I48" s="436">
        <f t="shared" si="1"/>
        <v>4</v>
      </c>
      <c r="J48" s="434"/>
      <c r="K48" s="434">
        <v>5</v>
      </c>
      <c r="L48" s="436">
        <f t="shared" si="2"/>
        <v>20</v>
      </c>
      <c r="N48" s="434">
        <v>7</v>
      </c>
      <c r="O48" s="436">
        <f t="shared" si="3"/>
        <v>28.000000000000004</v>
      </c>
      <c r="Q48" s="434">
        <v>0</v>
      </c>
      <c r="R48" s="436">
        <f t="shared" si="4"/>
        <v>0</v>
      </c>
      <c r="S48" s="442"/>
    </row>
    <row r="49" spans="1:19" ht="13.15" customHeight="1">
      <c r="A49" s="434" t="s">
        <v>48</v>
      </c>
      <c r="B49" s="544">
        <f t="shared" si="5"/>
        <v>8</v>
      </c>
      <c r="C49" s="436">
        <f t="shared" si="6"/>
        <v>0.42689434364994666</v>
      </c>
      <c r="E49" s="434">
        <v>5</v>
      </c>
      <c r="F49" s="436">
        <f t="shared" si="0"/>
        <v>62.5</v>
      </c>
      <c r="H49" s="434">
        <v>0</v>
      </c>
      <c r="I49" s="436">
        <f t="shared" si="1"/>
        <v>0</v>
      </c>
      <c r="J49" s="434"/>
      <c r="K49" s="434">
        <v>2</v>
      </c>
      <c r="L49" s="436">
        <f t="shared" si="2"/>
        <v>25</v>
      </c>
      <c r="N49" s="434">
        <v>1</v>
      </c>
      <c r="O49" s="436">
        <f t="shared" si="3"/>
        <v>12.5</v>
      </c>
      <c r="Q49" s="434">
        <v>0</v>
      </c>
      <c r="R49" s="436">
        <f t="shared" si="4"/>
        <v>0</v>
      </c>
      <c r="S49" s="442"/>
    </row>
    <row r="50" spans="1:19" ht="13.15" customHeight="1">
      <c r="A50" s="434" t="s">
        <v>47</v>
      </c>
      <c r="B50" s="544">
        <f t="shared" si="5"/>
        <v>34</v>
      </c>
      <c r="C50" s="436">
        <f t="shared" si="6"/>
        <v>1.8143009605122731</v>
      </c>
      <c r="E50" s="434">
        <v>10</v>
      </c>
      <c r="F50" s="436">
        <f t="shared" si="0"/>
        <v>29.411764705882355</v>
      </c>
      <c r="H50" s="434">
        <v>1</v>
      </c>
      <c r="I50" s="436">
        <f t="shared" si="1"/>
        <v>2.9411764705882351</v>
      </c>
      <c r="J50" s="434"/>
      <c r="K50" s="434">
        <v>12</v>
      </c>
      <c r="L50" s="436">
        <f t="shared" si="2"/>
        <v>35.294117647058826</v>
      </c>
      <c r="N50" s="434">
        <v>6</v>
      </c>
      <c r="O50" s="436">
        <f t="shared" si="3"/>
        <v>17.647058823529413</v>
      </c>
      <c r="Q50" s="434">
        <v>5</v>
      </c>
      <c r="R50" s="436">
        <f t="shared" si="4"/>
        <v>14.705882352941178</v>
      </c>
      <c r="S50" s="442"/>
    </row>
    <row r="51" spans="1:19" ht="12" customHeight="1">
      <c r="A51" s="434" t="s">
        <v>46</v>
      </c>
      <c r="B51" s="544">
        <f t="shared" si="5"/>
        <v>13</v>
      </c>
      <c r="C51" s="436">
        <f t="shared" si="6"/>
        <v>0.69370330843116323</v>
      </c>
      <c r="E51" s="434">
        <v>7</v>
      </c>
      <c r="F51" s="436">
        <f t="shared" si="0"/>
        <v>53.846153846153847</v>
      </c>
      <c r="H51" s="434">
        <v>0</v>
      </c>
      <c r="I51" s="436">
        <f t="shared" si="1"/>
        <v>0</v>
      </c>
      <c r="J51" s="434"/>
      <c r="K51" s="434">
        <v>3</v>
      </c>
      <c r="L51" s="436">
        <f t="shared" si="2"/>
        <v>23.076923076923077</v>
      </c>
      <c r="N51" s="434">
        <v>3</v>
      </c>
      <c r="O51" s="436">
        <f t="shared" si="3"/>
        <v>23.076923076923077</v>
      </c>
      <c r="Q51" s="434">
        <v>0</v>
      </c>
      <c r="R51" s="436">
        <f t="shared" si="4"/>
        <v>0</v>
      </c>
      <c r="S51" s="442"/>
    </row>
    <row r="52" spans="1:19" ht="9.9499999999999993" customHeight="1">
      <c r="B52" s="544" t="str">
        <f t="shared" si="5"/>
        <v/>
      </c>
      <c r="C52" s="436" t="str">
        <f t="shared" si="6"/>
        <v/>
      </c>
      <c r="E52" s="434"/>
      <c r="F52" s="436" t="str">
        <f t="shared" si="0"/>
        <v/>
      </c>
      <c r="H52" s="434"/>
      <c r="I52" s="436" t="str">
        <f t="shared" si="1"/>
        <v/>
      </c>
      <c r="J52" s="434"/>
      <c r="K52" s="434"/>
      <c r="L52" s="436" t="str">
        <f t="shared" si="2"/>
        <v/>
      </c>
      <c r="N52" s="434"/>
      <c r="O52" s="436" t="str">
        <f t="shared" si="3"/>
        <v/>
      </c>
      <c r="R52" s="436" t="str">
        <f t="shared" si="4"/>
        <v/>
      </c>
      <c r="S52" s="442"/>
    </row>
    <row r="53" spans="1:19" ht="12" customHeight="1">
      <c r="A53" s="434" t="s">
        <v>50</v>
      </c>
      <c r="B53" s="544">
        <f t="shared" si="5"/>
        <v>56</v>
      </c>
      <c r="C53" s="436">
        <f t="shared" si="6"/>
        <v>2.9882604055496262</v>
      </c>
      <c r="E53" s="434">
        <v>4</v>
      </c>
      <c r="F53" s="436">
        <f t="shared" si="0"/>
        <v>7.1428571428571423</v>
      </c>
      <c r="H53" s="434">
        <v>1</v>
      </c>
      <c r="I53" s="436">
        <f t="shared" si="1"/>
        <v>1.7857142857142856</v>
      </c>
      <c r="J53" s="434"/>
      <c r="K53" s="434">
        <v>15</v>
      </c>
      <c r="L53" s="436">
        <f t="shared" si="2"/>
        <v>26.785714285714285</v>
      </c>
      <c r="N53" s="434">
        <v>24</v>
      </c>
      <c r="O53" s="436">
        <f t="shared" si="3"/>
        <v>42.857142857142854</v>
      </c>
      <c r="Q53" s="434">
        <v>12</v>
      </c>
      <c r="R53" s="436">
        <f t="shared" si="4"/>
        <v>21.428571428571427</v>
      </c>
      <c r="S53" s="442"/>
    </row>
    <row r="54" spans="1:19" ht="9.9499999999999993" customHeight="1">
      <c r="B54" s="544" t="str">
        <f t="shared" si="5"/>
        <v/>
      </c>
      <c r="C54" s="436" t="str">
        <f t="shared" si="6"/>
        <v/>
      </c>
      <c r="F54" s="436" t="str">
        <f t="shared" si="0"/>
        <v/>
      </c>
      <c r="I54" s="436" t="str">
        <f t="shared" si="1"/>
        <v/>
      </c>
      <c r="L54" s="436" t="str">
        <f t="shared" si="2"/>
        <v/>
      </c>
      <c r="M54" s="440"/>
      <c r="O54" s="436" t="str">
        <f t="shared" si="3"/>
        <v/>
      </c>
      <c r="P54" s="442"/>
      <c r="Q54" s="435"/>
      <c r="R54" s="436" t="str">
        <f t="shared" si="4"/>
        <v/>
      </c>
      <c r="S54" s="442"/>
    </row>
    <row r="55" spans="1:19" ht="13.15" customHeight="1">
      <c r="A55" s="434" t="s">
        <v>51</v>
      </c>
      <c r="B55" s="544">
        <f t="shared" si="5"/>
        <v>84</v>
      </c>
      <c r="C55" s="436">
        <f t="shared" si="6"/>
        <v>4.4823906083244394</v>
      </c>
      <c r="E55" s="435">
        <f>SUM(E56:E60)</f>
        <v>52</v>
      </c>
      <c r="F55" s="436">
        <f t="shared" si="0"/>
        <v>61.904761904761905</v>
      </c>
      <c r="H55" s="435">
        <f>SUM(H56:H60)</f>
        <v>5</v>
      </c>
      <c r="I55" s="436">
        <f t="shared" si="1"/>
        <v>5.9523809523809517</v>
      </c>
      <c r="K55" s="435">
        <f>SUM(K56:K60)</f>
        <v>17</v>
      </c>
      <c r="L55" s="436">
        <f t="shared" si="2"/>
        <v>20.238095238095237</v>
      </c>
      <c r="M55" s="440"/>
      <c r="N55" s="435">
        <f>SUM(N56:N60)</f>
        <v>8</v>
      </c>
      <c r="O55" s="436">
        <f t="shared" si="3"/>
        <v>9.5238095238095237</v>
      </c>
      <c r="P55" s="442"/>
      <c r="Q55" s="435">
        <f>SUM(Q56:Q60)</f>
        <v>2</v>
      </c>
      <c r="R55" s="436">
        <f t="shared" si="4"/>
        <v>2.3809523809523809</v>
      </c>
      <c r="S55" s="442"/>
    </row>
    <row r="56" spans="1:19" ht="13.15" customHeight="1">
      <c r="A56" s="434" t="s">
        <v>52</v>
      </c>
      <c r="B56" s="544">
        <f t="shared" si="5"/>
        <v>13</v>
      </c>
      <c r="C56" s="436">
        <f t="shared" si="6"/>
        <v>0.69370330843116323</v>
      </c>
      <c r="E56" s="434">
        <v>3</v>
      </c>
      <c r="F56" s="436">
        <f t="shared" si="0"/>
        <v>23.076923076923077</v>
      </c>
      <c r="H56" s="434">
        <v>2</v>
      </c>
      <c r="I56" s="436">
        <f t="shared" si="1"/>
        <v>15.384615384615385</v>
      </c>
      <c r="J56" s="434"/>
      <c r="K56" s="434">
        <v>4</v>
      </c>
      <c r="L56" s="436">
        <f t="shared" si="2"/>
        <v>30.76923076923077</v>
      </c>
      <c r="N56" s="434">
        <v>4</v>
      </c>
      <c r="O56" s="436">
        <f t="shared" si="3"/>
        <v>30.76923076923077</v>
      </c>
      <c r="Q56" s="434">
        <v>0</v>
      </c>
      <c r="R56" s="436">
        <f t="shared" si="4"/>
        <v>0</v>
      </c>
      <c r="S56" s="442"/>
    </row>
    <row r="57" spans="1:19" ht="13.15" customHeight="1">
      <c r="A57" s="434" t="s">
        <v>53</v>
      </c>
      <c r="B57" s="544">
        <f t="shared" si="5"/>
        <v>26</v>
      </c>
      <c r="C57" s="436">
        <f t="shared" si="6"/>
        <v>1.3874066168623265</v>
      </c>
      <c r="E57" s="434">
        <v>15</v>
      </c>
      <c r="F57" s="436">
        <f t="shared" si="0"/>
        <v>57.692307692307686</v>
      </c>
      <c r="H57" s="434">
        <v>1</v>
      </c>
      <c r="I57" s="436">
        <f t="shared" si="1"/>
        <v>3.8461538461538463</v>
      </c>
      <c r="J57" s="434"/>
      <c r="K57" s="434">
        <v>7</v>
      </c>
      <c r="L57" s="436">
        <f t="shared" si="2"/>
        <v>26.923076923076923</v>
      </c>
      <c r="N57" s="434">
        <v>2</v>
      </c>
      <c r="O57" s="436">
        <f t="shared" si="3"/>
        <v>7.6923076923076925</v>
      </c>
      <c r="Q57" s="434">
        <v>1</v>
      </c>
      <c r="R57" s="436">
        <f t="shared" si="4"/>
        <v>3.8461538461538463</v>
      </c>
      <c r="S57" s="442"/>
    </row>
    <row r="58" spans="1:19" ht="13.15" customHeight="1">
      <c r="A58" s="434" t="s">
        <v>54</v>
      </c>
      <c r="B58" s="544">
        <f t="shared" si="5"/>
        <v>21</v>
      </c>
      <c r="C58" s="436">
        <f t="shared" si="6"/>
        <v>1.1205976520811098</v>
      </c>
      <c r="E58" s="434">
        <v>15</v>
      </c>
      <c r="F58" s="436">
        <f t="shared" si="0"/>
        <v>71.428571428571431</v>
      </c>
      <c r="H58" s="434">
        <v>1</v>
      </c>
      <c r="I58" s="436">
        <f t="shared" si="1"/>
        <v>4.7619047619047619</v>
      </c>
      <c r="J58" s="434"/>
      <c r="K58" s="434">
        <v>4</v>
      </c>
      <c r="L58" s="436">
        <f t="shared" si="2"/>
        <v>19.047619047619047</v>
      </c>
      <c r="N58" s="434">
        <v>1</v>
      </c>
      <c r="O58" s="436">
        <f t="shared" si="3"/>
        <v>4.7619047619047619</v>
      </c>
      <c r="Q58" s="434">
        <v>0</v>
      </c>
      <c r="R58" s="436">
        <f t="shared" si="4"/>
        <v>0</v>
      </c>
      <c r="S58" s="442"/>
    </row>
    <row r="59" spans="1:19" ht="13.15" customHeight="1">
      <c r="A59" s="434" t="s">
        <v>332</v>
      </c>
      <c r="B59" s="544">
        <f t="shared" si="5"/>
        <v>9</v>
      </c>
      <c r="C59" s="436">
        <f t="shared" si="6"/>
        <v>0.48025613660618999</v>
      </c>
      <c r="E59" s="434">
        <v>8</v>
      </c>
      <c r="F59" s="436">
        <f t="shared" si="0"/>
        <v>88.888888888888886</v>
      </c>
      <c r="H59" s="434">
        <v>0</v>
      </c>
      <c r="I59" s="436">
        <f t="shared" si="1"/>
        <v>0</v>
      </c>
      <c r="J59" s="434"/>
      <c r="K59" s="434">
        <v>1</v>
      </c>
      <c r="L59" s="436">
        <f t="shared" si="2"/>
        <v>11.111111111111111</v>
      </c>
      <c r="N59" s="434">
        <v>0</v>
      </c>
      <c r="O59" s="436">
        <f t="shared" si="3"/>
        <v>0</v>
      </c>
      <c r="Q59" s="434">
        <v>0</v>
      </c>
      <c r="R59" s="436">
        <f t="shared" si="4"/>
        <v>0</v>
      </c>
      <c r="S59" s="442"/>
    </row>
    <row r="60" spans="1:19" ht="12" customHeight="1">
      <c r="A60" s="434" t="s">
        <v>56</v>
      </c>
      <c r="B60" s="544">
        <f t="shared" si="5"/>
        <v>15</v>
      </c>
      <c r="C60" s="436">
        <f t="shared" si="6"/>
        <v>0.80042689434364989</v>
      </c>
      <c r="E60" s="434">
        <v>11</v>
      </c>
      <c r="F60" s="436">
        <f t="shared" si="0"/>
        <v>73.333333333333329</v>
      </c>
      <c r="H60" s="434">
        <v>1</v>
      </c>
      <c r="I60" s="436">
        <f t="shared" si="1"/>
        <v>6.666666666666667</v>
      </c>
      <c r="J60" s="434"/>
      <c r="K60" s="434">
        <v>1</v>
      </c>
      <c r="L60" s="436">
        <f t="shared" si="2"/>
        <v>6.666666666666667</v>
      </c>
      <c r="N60" s="434">
        <v>1</v>
      </c>
      <c r="O60" s="436">
        <f t="shared" si="3"/>
        <v>6.666666666666667</v>
      </c>
      <c r="Q60" s="434">
        <v>1</v>
      </c>
      <c r="R60" s="436">
        <f t="shared" si="4"/>
        <v>6.666666666666667</v>
      </c>
      <c r="S60" s="442"/>
    </row>
    <row r="61" spans="1:19" ht="9.9499999999999993" customHeight="1">
      <c r="B61" s="544" t="str">
        <f t="shared" si="5"/>
        <v/>
      </c>
      <c r="C61" s="436" t="str">
        <f t="shared" si="6"/>
        <v/>
      </c>
      <c r="F61" s="436" t="str">
        <f t="shared" si="0"/>
        <v/>
      </c>
      <c r="I61" s="436" t="str">
        <f t="shared" si="1"/>
        <v/>
      </c>
      <c r="L61" s="436" t="str">
        <f t="shared" si="2"/>
        <v/>
      </c>
      <c r="M61" s="440"/>
      <c r="O61" s="436" t="str">
        <f t="shared" si="3"/>
        <v/>
      </c>
      <c r="P61" s="442"/>
      <c r="Q61" s="435"/>
      <c r="R61" s="436" t="str">
        <f t="shared" si="4"/>
        <v/>
      </c>
      <c r="S61" s="442"/>
    </row>
    <row r="62" spans="1:19" ht="13.15" customHeight="1">
      <c r="A62" s="63" t="s">
        <v>333</v>
      </c>
      <c r="B62" s="544">
        <f t="shared" si="5"/>
        <v>510</v>
      </c>
      <c r="C62" s="436">
        <f t="shared" si="6"/>
        <v>27.214514407684099</v>
      </c>
      <c r="E62" s="435">
        <f>E63+E65+E72+E74</f>
        <v>116</v>
      </c>
      <c r="F62" s="436">
        <f t="shared" si="0"/>
        <v>22.745098039215687</v>
      </c>
      <c r="H62" s="435">
        <f>H63+H65+H72+H74</f>
        <v>7</v>
      </c>
      <c r="I62" s="436">
        <f t="shared" si="1"/>
        <v>1.3725490196078431</v>
      </c>
      <c r="K62" s="435">
        <f>K63+K65+K72+K74</f>
        <v>46</v>
      </c>
      <c r="L62" s="436">
        <f t="shared" si="2"/>
        <v>9.0196078431372548</v>
      </c>
      <c r="M62" s="440"/>
      <c r="N62" s="435">
        <f>N63+N65+N72+N74</f>
        <v>158</v>
      </c>
      <c r="O62" s="436">
        <f t="shared" si="3"/>
        <v>30.980392156862745</v>
      </c>
      <c r="P62" s="442"/>
      <c r="Q62" s="435">
        <f>Q63+Q65+Q72+Q74</f>
        <v>183</v>
      </c>
      <c r="R62" s="436">
        <f t="shared" si="4"/>
        <v>35.882352941176471</v>
      </c>
      <c r="S62" s="442"/>
    </row>
    <row r="63" spans="1:19" ht="12" customHeight="1">
      <c r="A63" s="434" t="s">
        <v>334</v>
      </c>
      <c r="B63" s="544">
        <f t="shared" si="5"/>
        <v>25</v>
      </c>
      <c r="C63" s="436">
        <f t="shared" si="6"/>
        <v>1.3340448239060834</v>
      </c>
      <c r="E63" s="434">
        <v>21</v>
      </c>
      <c r="F63" s="436">
        <f t="shared" si="0"/>
        <v>84</v>
      </c>
      <c r="H63" s="434">
        <v>1</v>
      </c>
      <c r="I63" s="436">
        <f t="shared" si="1"/>
        <v>4</v>
      </c>
      <c r="J63" s="434"/>
      <c r="K63" s="434">
        <v>1</v>
      </c>
      <c r="L63" s="436">
        <f t="shared" si="2"/>
        <v>4</v>
      </c>
      <c r="N63" s="434">
        <v>0</v>
      </c>
      <c r="O63" s="436">
        <f t="shared" si="3"/>
        <v>0</v>
      </c>
      <c r="Q63" s="434">
        <v>2</v>
      </c>
      <c r="R63" s="436">
        <f t="shared" si="4"/>
        <v>8</v>
      </c>
      <c r="S63" s="442"/>
    </row>
    <row r="64" spans="1:19" ht="9.9499999999999993" customHeight="1">
      <c r="B64" s="544" t="str">
        <f t="shared" si="5"/>
        <v/>
      </c>
      <c r="C64" s="436" t="str">
        <f t="shared" si="6"/>
        <v/>
      </c>
      <c r="F64" s="436" t="str">
        <f t="shared" si="0"/>
        <v/>
      </c>
      <c r="I64" s="436" t="str">
        <f t="shared" si="1"/>
        <v/>
      </c>
      <c r="L64" s="436" t="str">
        <f t="shared" si="2"/>
        <v/>
      </c>
      <c r="M64" s="440"/>
      <c r="O64" s="436" t="str">
        <f t="shared" si="3"/>
        <v/>
      </c>
      <c r="P64" s="442"/>
      <c r="Q64" s="435"/>
      <c r="R64" s="436" t="str">
        <f t="shared" si="4"/>
        <v/>
      </c>
      <c r="S64" s="442"/>
    </row>
    <row r="65" spans="1:19" ht="13.15" customHeight="1">
      <c r="A65" s="434" t="s">
        <v>60</v>
      </c>
      <c r="B65" s="544">
        <f t="shared" si="5"/>
        <v>374</v>
      </c>
      <c r="C65" s="436">
        <f t="shared" si="6"/>
        <v>19.957310565635005</v>
      </c>
      <c r="E65" s="435">
        <f>SUM(E66:E70)</f>
        <v>54</v>
      </c>
      <c r="F65" s="436">
        <f t="shared" si="0"/>
        <v>14.438502673796791</v>
      </c>
      <c r="H65" s="435">
        <f>SUM(H66:H70)</f>
        <v>4</v>
      </c>
      <c r="I65" s="436">
        <f t="shared" si="1"/>
        <v>1.0695187165775399</v>
      </c>
      <c r="K65" s="435">
        <f>SUM(K66:K70)</f>
        <v>21</v>
      </c>
      <c r="L65" s="436">
        <f t="shared" si="2"/>
        <v>5.6149732620320858</v>
      </c>
      <c r="M65" s="440"/>
      <c r="N65" s="435">
        <f>SUM(N66:N70)</f>
        <v>128</v>
      </c>
      <c r="O65" s="436">
        <f t="shared" si="3"/>
        <v>34.224598930481278</v>
      </c>
      <c r="P65" s="442"/>
      <c r="Q65" s="435">
        <f>SUM(Q66:Q70)</f>
        <v>167</v>
      </c>
      <c r="R65" s="436">
        <f t="shared" si="4"/>
        <v>44.652406417112303</v>
      </c>
      <c r="S65" s="442"/>
    </row>
    <row r="66" spans="1:19" ht="13.15" customHeight="1">
      <c r="A66" s="434" t="s">
        <v>395</v>
      </c>
      <c r="B66" s="544">
        <f t="shared" si="5"/>
        <v>305</v>
      </c>
      <c r="C66" s="436">
        <f t="shared" si="6"/>
        <v>16.275346851654216</v>
      </c>
      <c r="E66" s="434">
        <v>10</v>
      </c>
      <c r="F66" s="436">
        <f t="shared" si="0"/>
        <v>3.278688524590164</v>
      </c>
      <c r="H66" s="434">
        <v>1</v>
      </c>
      <c r="I66" s="436">
        <f t="shared" si="1"/>
        <v>0.32786885245901637</v>
      </c>
      <c r="J66" s="434"/>
      <c r="K66" s="434">
        <v>13</v>
      </c>
      <c r="L66" s="436">
        <f t="shared" si="2"/>
        <v>4.2622950819672125</v>
      </c>
      <c r="N66" s="434">
        <v>115</v>
      </c>
      <c r="O66" s="436">
        <f t="shared" si="3"/>
        <v>37.704918032786885</v>
      </c>
      <c r="Q66" s="434">
        <v>166</v>
      </c>
      <c r="R66" s="436">
        <f t="shared" si="4"/>
        <v>54.42622950819672</v>
      </c>
      <c r="S66" s="442"/>
    </row>
    <row r="67" spans="1:19" ht="13.15" customHeight="1">
      <c r="A67" s="434" t="s">
        <v>62</v>
      </c>
      <c r="B67" s="544">
        <f t="shared" si="5"/>
        <v>29</v>
      </c>
      <c r="C67" s="436">
        <f t="shared" si="6"/>
        <v>1.5474919957310567</v>
      </c>
      <c r="E67" s="434">
        <v>27</v>
      </c>
      <c r="F67" s="436">
        <f t="shared" si="0"/>
        <v>93.103448275862064</v>
      </c>
      <c r="H67" s="434">
        <v>0</v>
      </c>
      <c r="I67" s="436">
        <f t="shared" si="1"/>
        <v>0</v>
      </c>
      <c r="J67" s="434"/>
      <c r="K67" s="434">
        <v>1</v>
      </c>
      <c r="L67" s="436">
        <f t="shared" si="2"/>
        <v>3.4482758620689653</v>
      </c>
      <c r="N67" s="434">
        <v>1</v>
      </c>
      <c r="O67" s="436">
        <f t="shared" si="3"/>
        <v>3.4482758620689653</v>
      </c>
      <c r="Q67" s="434">
        <v>0</v>
      </c>
      <c r="R67" s="436">
        <f t="shared" si="4"/>
        <v>0</v>
      </c>
      <c r="S67" s="442"/>
    </row>
    <row r="68" spans="1:19" ht="13.15" customHeight="1">
      <c r="A68" s="434" t="s">
        <v>64</v>
      </c>
      <c r="B68" s="544">
        <f t="shared" si="5"/>
        <v>17</v>
      </c>
      <c r="C68" s="436">
        <f t="shared" si="6"/>
        <v>0.90715048025613654</v>
      </c>
      <c r="E68" s="434">
        <v>11</v>
      </c>
      <c r="F68" s="436">
        <f t="shared" si="0"/>
        <v>64.705882352941174</v>
      </c>
      <c r="H68" s="434">
        <v>1</v>
      </c>
      <c r="I68" s="436">
        <f t="shared" si="1"/>
        <v>5.8823529411764701</v>
      </c>
      <c r="J68" s="434"/>
      <c r="K68" s="434">
        <v>2</v>
      </c>
      <c r="L68" s="436">
        <f t="shared" si="2"/>
        <v>11.76470588235294</v>
      </c>
      <c r="N68" s="434">
        <v>2</v>
      </c>
      <c r="O68" s="436">
        <f t="shared" si="3"/>
        <v>11.76470588235294</v>
      </c>
      <c r="Q68" s="434">
        <v>1</v>
      </c>
      <c r="R68" s="436">
        <f t="shared" si="4"/>
        <v>5.8823529411764701</v>
      </c>
      <c r="S68" s="442"/>
    </row>
    <row r="69" spans="1:19" ht="12" customHeight="1">
      <c r="A69" s="434" t="s">
        <v>63</v>
      </c>
      <c r="B69" s="544">
        <f t="shared" si="5"/>
        <v>12</v>
      </c>
      <c r="C69" s="436">
        <f t="shared" si="6"/>
        <v>0.64034151547491991</v>
      </c>
      <c r="E69" s="434">
        <v>5</v>
      </c>
      <c r="F69" s="436">
        <f t="shared" si="0"/>
        <v>41.666666666666671</v>
      </c>
      <c r="H69" s="434">
        <v>2</v>
      </c>
      <c r="I69" s="436">
        <f t="shared" si="1"/>
        <v>16.666666666666664</v>
      </c>
      <c r="J69" s="434"/>
      <c r="K69" s="434">
        <v>3</v>
      </c>
      <c r="L69" s="436">
        <f t="shared" si="2"/>
        <v>25</v>
      </c>
      <c r="N69" s="434">
        <v>2</v>
      </c>
      <c r="O69" s="436">
        <f t="shared" si="3"/>
        <v>16.666666666666664</v>
      </c>
      <c r="Q69" s="434">
        <v>0</v>
      </c>
      <c r="R69" s="436">
        <f t="shared" si="4"/>
        <v>0</v>
      </c>
      <c r="S69" s="442"/>
    </row>
    <row r="70" spans="1:19" ht="13.15" customHeight="1">
      <c r="A70" s="434" t="s">
        <v>65</v>
      </c>
      <c r="B70" s="544">
        <f t="shared" si="5"/>
        <v>11</v>
      </c>
      <c r="C70" s="436">
        <f t="shared" si="6"/>
        <v>0.58697972251867658</v>
      </c>
      <c r="E70" s="434">
        <v>1</v>
      </c>
      <c r="F70" s="436">
        <f t="shared" si="0"/>
        <v>9.0909090909090917</v>
      </c>
      <c r="H70" s="434">
        <v>0</v>
      </c>
      <c r="I70" s="436">
        <f t="shared" si="1"/>
        <v>0</v>
      </c>
      <c r="J70" s="434"/>
      <c r="K70" s="434">
        <v>2</v>
      </c>
      <c r="L70" s="436">
        <f t="shared" si="2"/>
        <v>18.181818181818183</v>
      </c>
      <c r="N70" s="434">
        <v>8</v>
      </c>
      <c r="O70" s="436">
        <f t="shared" si="3"/>
        <v>72.727272727272734</v>
      </c>
      <c r="Q70" s="434">
        <v>0</v>
      </c>
      <c r="R70" s="436">
        <f t="shared" si="4"/>
        <v>0</v>
      </c>
      <c r="S70" s="442"/>
    </row>
    <row r="71" spans="1:19" ht="9.9499999999999993" customHeight="1">
      <c r="B71" s="544" t="str">
        <f t="shared" si="5"/>
        <v/>
      </c>
      <c r="C71" s="436" t="str">
        <f t="shared" si="6"/>
        <v/>
      </c>
      <c r="E71" s="434"/>
      <c r="F71" s="436" t="str">
        <f t="shared" si="0"/>
        <v/>
      </c>
      <c r="H71" s="434"/>
      <c r="I71" s="436" t="str">
        <f t="shared" si="1"/>
        <v/>
      </c>
      <c r="J71" s="434"/>
      <c r="K71" s="434"/>
      <c r="L71" s="436" t="str">
        <f t="shared" si="2"/>
        <v/>
      </c>
      <c r="N71" s="434"/>
      <c r="O71" s="436" t="str">
        <f t="shared" si="3"/>
        <v/>
      </c>
      <c r="R71" s="436" t="str">
        <f t="shared" si="4"/>
        <v/>
      </c>
      <c r="S71" s="442"/>
    </row>
    <row r="72" spans="1:19" ht="13.15" customHeight="1">
      <c r="A72" s="434" t="s">
        <v>66</v>
      </c>
      <c r="B72" s="544">
        <f t="shared" si="5"/>
        <v>26</v>
      </c>
      <c r="C72" s="436">
        <f t="shared" si="6"/>
        <v>1.3874066168623265</v>
      </c>
      <c r="E72" s="434">
        <v>22</v>
      </c>
      <c r="F72" s="436">
        <f t="shared" si="0"/>
        <v>84.615384615384613</v>
      </c>
      <c r="H72" s="434">
        <v>0</v>
      </c>
      <c r="I72" s="436">
        <f t="shared" si="1"/>
        <v>0</v>
      </c>
      <c r="J72" s="434"/>
      <c r="K72" s="434">
        <v>3</v>
      </c>
      <c r="L72" s="436">
        <f t="shared" si="2"/>
        <v>11.538461538461538</v>
      </c>
      <c r="N72" s="434">
        <v>0</v>
      </c>
      <c r="O72" s="436">
        <f t="shared" si="3"/>
        <v>0</v>
      </c>
      <c r="Q72" s="434">
        <v>1</v>
      </c>
      <c r="R72" s="436">
        <f t="shared" si="4"/>
        <v>3.8461538461538463</v>
      </c>
      <c r="S72" s="442"/>
    </row>
    <row r="73" spans="1:19" ht="9" customHeight="1">
      <c r="B73" s="544" t="str">
        <f t="shared" si="5"/>
        <v/>
      </c>
      <c r="C73" s="436" t="str">
        <f t="shared" si="6"/>
        <v/>
      </c>
      <c r="E73" s="434"/>
      <c r="F73" s="436" t="str">
        <f t="shared" si="0"/>
        <v/>
      </c>
      <c r="H73" s="434"/>
      <c r="I73" s="436" t="str">
        <f t="shared" si="1"/>
        <v/>
      </c>
      <c r="J73" s="434"/>
      <c r="K73" s="434"/>
      <c r="L73" s="436" t="str">
        <f t="shared" si="2"/>
        <v/>
      </c>
      <c r="N73" s="434"/>
      <c r="O73" s="436" t="str">
        <f t="shared" si="3"/>
        <v/>
      </c>
      <c r="R73" s="436" t="str">
        <f t="shared" si="4"/>
        <v/>
      </c>
      <c r="S73" s="442"/>
    </row>
    <row r="74" spans="1:19" ht="13.15" customHeight="1">
      <c r="A74" s="434" t="s">
        <v>67</v>
      </c>
      <c r="B74" s="544">
        <f t="shared" si="5"/>
        <v>85</v>
      </c>
      <c r="C74" s="436">
        <f t="shared" si="6"/>
        <v>4.5357524012806829</v>
      </c>
      <c r="E74" s="434">
        <v>19</v>
      </c>
      <c r="F74" s="436">
        <f t="shared" si="0"/>
        <v>22.352941176470591</v>
      </c>
      <c r="H74" s="434">
        <v>2</v>
      </c>
      <c r="I74" s="436">
        <f t="shared" si="1"/>
        <v>2.3529411764705883</v>
      </c>
      <c r="J74" s="434"/>
      <c r="K74" s="434">
        <v>21</v>
      </c>
      <c r="L74" s="436">
        <f t="shared" si="2"/>
        <v>24.705882352941178</v>
      </c>
      <c r="N74" s="434">
        <v>30</v>
      </c>
      <c r="O74" s="436">
        <f t="shared" si="3"/>
        <v>35.294117647058826</v>
      </c>
      <c r="Q74" s="434">
        <v>13</v>
      </c>
      <c r="R74" s="436">
        <f t="shared" si="4"/>
        <v>15.294117647058824</v>
      </c>
      <c r="S74" s="442"/>
    </row>
    <row r="75" spans="1:19" ht="9.9499999999999993" customHeight="1">
      <c r="B75" s="544" t="str">
        <f t="shared" si="5"/>
        <v/>
      </c>
      <c r="C75" s="436" t="str">
        <f t="shared" si="6"/>
        <v/>
      </c>
      <c r="F75" s="436" t="str">
        <f t="shared" si="0"/>
        <v/>
      </c>
      <c r="I75" s="436" t="str">
        <f t="shared" ref="I75:I114" si="7">IF($A75&lt;&gt;0,H75/$B75*100,"")</f>
        <v/>
      </c>
      <c r="L75" s="436" t="str">
        <f t="shared" ref="L75:L114" si="8">IF($A75&lt;&gt;0,K75/$B75*100,"")</f>
        <v/>
      </c>
      <c r="M75" s="440"/>
      <c r="O75" s="436" t="str">
        <f t="shared" ref="O75:O114" si="9">IF($A75&lt;&gt;0,N75/$B75*100,"")</f>
        <v/>
      </c>
      <c r="P75" s="442"/>
      <c r="Q75" s="435"/>
      <c r="R75" s="436" t="str">
        <f t="shared" si="4"/>
        <v/>
      </c>
      <c r="S75" s="442"/>
    </row>
    <row r="76" spans="1:19" ht="13.15" customHeight="1">
      <c r="A76" s="63" t="s">
        <v>336</v>
      </c>
      <c r="B76" s="544">
        <f t="shared" si="5"/>
        <v>59</v>
      </c>
      <c r="C76" s="436">
        <f t="shared" si="6"/>
        <v>3.1483457844183564</v>
      </c>
      <c r="E76" s="435">
        <f>E77</f>
        <v>40</v>
      </c>
      <c r="F76" s="436">
        <f t="shared" ref="F76:F114" si="10">IF($A76&lt;&gt;0,E76/$B76*100,"")</f>
        <v>67.796610169491515</v>
      </c>
      <c r="H76" s="435">
        <f>H77</f>
        <v>0</v>
      </c>
      <c r="I76" s="436">
        <f t="shared" si="7"/>
        <v>0</v>
      </c>
      <c r="K76" s="435">
        <f>K77</f>
        <v>10</v>
      </c>
      <c r="L76" s="436">
        <f t="shared" si="8"/>
        <v>16.949152542372879</v>
      </c>
      <c r="M76" s="440"/>
      <c r="N76" s="435">
        <f>N77</f>
        <v>5</v>
      </c>
      <c r="O76" s="436">
        <f t="shared" si="9"/>
        <v>8.4745762711864394</v>
      </c>
      <c r="P76" s="442"/>
      <c r="Q76" s="435">
        <f>Q77</f>
        <v>4</v>
      </c>
      <c r="R76" s="436">
        <f t="shared" si="4"/>
        <v>6.7796610169491522</v>
      </c>
      <c r="S76" s="442"/>
    </row>
    <row r="77" spans="1:19" ht="13.15" customHeight="1">
      <c r="A77" s="434" t="s">
        <v>337</v>
      </c>
      <c r="B77" s="544">
        <f t="shared" si="5"/>
        <v>59</v>
      </c>
      <c r="C77" s="436">
        <f t="shared" si="6"/>
        <v>3.1483457844183564</v>
      </c>
      <c r="E77" s="435">
        <f>SUM(E78:E81)</f>
        <v>40</v>
      </c>
      <c r="F77" s="436">
        <f t="shared" si="10"/>
        <v>67.796610169491515</v>
      </c>
      <c r="H77" s="435">
        <f>SUM(H78:H81)</f>
        <v>0</v>
      </c>
      <c r="I77" s="436">
        <f t="shared" si="7"/>
        <v>0</v>
      </c>
      <c r="K77" s="435">
        <f>SUM(K78:K81)</f>
        <v>10</v>
      </c>
      <c r="L77" s="436">
        <f t="shared" si="8"/>
        <v>16.949152542372879</v>
      </c>
      <c r="M77" s="440"/>
      <c r="N77" s="435">
        <f>SUM(N78:N81)</f>
        <v>5</v>
      </c>
      <c r="O77" s="436">
        <f t="shared" si="9"/>
        <v>8.4745762711864394</v>
      </c>
      <c r="P77" s="442"/>
      <c r="Q77" s="435">
        <f>SUM(Q78:Q81)</f>
        <v>4</v>
      </c>
      <c r="R77" s="436">
        <f t="shared" si="4"/>
        <v>6.7796610169491522</v>
      </c>
      <c r="S77" s="442"/>
    </row>
    <row r="78" spans="1:19" ht="13.15" customHeight="1">
      <c r="A78" s="434" t="s">
        <v>70</v>
      </c>
      <c r="B78" s="544">
        <f t="shared" si="5"/>
        <v>13</v>
      </c>
      <c r="C78" s="436">
        <f t="shared" si="6"/>
        <v>0.69370330843116323</v>
      </c>
      <c r="E78" s="434">
        <v>9</v>
      </c>
      <c r="F78" s="436">
        <f t="shared" si="10"/>
        <v>69.230769230769226</v>
      </c>
      <c r="H78" s="434">
        <v>0</v>
      </c>
      <c r="I78" s="436">
        <f t="shared" si="7"/>
        <v>0</v>
      </c>
      <c r="J78" s="434"/>
      <c r="K78" s="434">
        <v>2</v>
      </c>
      <c r="L78" s="436">
        <f t="shared" si="8"/>
        <v>15.384615384615385</v>
      </c>
      <c r="N78" s="434">
        <v>0</v>
      </c>
      <c r="O78" s="436">
        <f t="shared" si="9"/>
        <v>0</v>
      </c>
      <c r="Q78" s="434">
        <v>2</v>
      </c>
      <c r="R78" s="436">
        <f t="shared" si="4"/>
        <v>15.384615384615385</v>
      </c>
      <c r="S78" s="442"/>
    </row>
    <row r="79" spans="1:19" ht="13.15" customHeight="1">
      <c r="A79" s="434" t="s">
        <v>71</v>
      </c>
      <c r="B79" s="544">
        <f t="shared" si="5"/>
        <v>27</v>
      </c>
      <c r="C79" s="436">
        <f t="shared" si="6"/>
        <v>1.44076840981857</v>
      </c>
      <c r="E79" s="434">
        <v>17</v>
      </c>
      <c r="F79" s="436">
        <f t="shared" si="10"/>
        <v>62.962962962962962</v>
      </c>
      <c r="H79" s="434">
        <v>0</v>
      </c>
      <c r="I79" s="436">
        <f t="shared" si="7"/>
        <v>0</v>
      </c>
      <c r="J79" s="434"/>
      <c r="K79" s="434">
        <v>5</v>
      </c>
      <c r="L79" s="436">
        <f t="shared" si="8"/>
        <v>18.518518518518519</v>
      </c>
      <c r="N79" s="434">
        <v>3</v>
      </c>
      <c r="O79" s="436">
        <f t="shared" si="9"/>
        <v>11.111111111111111</v>
      </c>
      <c r="Q79" s="434">
        <v>2</v>
      </c>
      <c r="R79" s="436">
        <f t="shared" ref="R79:R114" si="11">IF($A79&lt;&gt;0,Q79/$B79*100,"")</f>
        <v>7.4074074074074066</v>
      </c>
      <c r="S79" s="442"/>
    </row>
    <row r="80" spans="1:19" ht="12" customHeight="1">
      <c r="A80" s="434" t="s">
        <v>72</v>
      </c>
      <c r="B80" s="544">
        <f t="shared" ref="B80:B99" si="12">IF($A80&lt;&gt;"",E80+H80+K80+N80+Q80,"")</f>
        <v>7</v>
      </c>
      <c r="C80" s="436">
        <f t="shared" si="6"/>
        <v>0.37353255069370328</v>
      </c>
      <c r="E80" s="434">
        <v>5</v>
      </c>
      <c r="F80" s="436">
        <f t="shared" si="10"/>
        <v>71.428571428571431</v>
      </c>
      <c r="H80" s="434">
        <v>0</v>
      </c>
      <c r="I80" s="436">
        <f t="shared" si="7"/>
        <v>0</v>
      </c>
      <c r="J80" s="434"/>
      <c r="K80" s="434">
        <v>2</v>
      </c>
      <c r="L80" s="436">
        <f t="shared" si="8"/>
        <v>28.571428571428569</v>
      </c>
      <c r="N80" s="434">
        <v>0</v>
      </c>
      <c r="O80" s="436">
        <f t="shared" si="9"/>
        <v>0</v>
      </c>
      <c r="Q80" s="434">
        <v>0</v>
      </c>
      <c r="R80" s="436">
        <f t="shared" si="11"/>
        <v>0</v>
      </c>
      <c r="S80" s="442"/>
    </row>
    <row r="81" spans="1:19" ht="13.15" customHeight="1">
      <c r="A81" s="434" t="s">
        <v>73</v>
      </c>
      <c r="B81" s="544">
        <f t="shared" si="12"/>
        <v>12</v>
      </c>
      <c r="C81" s="436">
        <f t="shared" si="6"/>
        <v>0.64034151547491991</v>
      </c>
      <c r="E81" s="434">
        <v>9</v>
      </c>
      <c r="F81" s="436">
        <f t="shared" si="10"/>
        <v>75</v>
      </c>
      <c r="H81" s="434">
        <v>0</v>
      </c>
      <c r="I81" s="436">
        <f t="shared" si="7"/>
        <v>0</v>
      </c>
      <c r="J81" s="434"/>
      <c r="K81" s="434">
        <v>1</v>
      </c>
      <c r="L81" s="436">
        <f t="shared" si="8"/>
        <v>8.3333333333333321</v>
      </c>
      <c r="N81" s="434">
        <v>2</v>
      </c>
      <c r="O81" s="436">
        <f t="shared" si="9"/>
        <v>16.666666666666664</v>
      </c>
      <c r="Q81" s="434">
        <v>0</v>
      </c>
      <c r="R81" s="436">
        <f t="shared" si="11"/>
        <v>0</v>
      </c>
      <c r="S81" s="442"/>
    </row>
    <row r="82" spans="1:19" ht="9.75" customHeight="1">
      <c r="B82" s="544" t="str">
        <f t="shared" si="12"/>
        <v/>
      </c>
      <c r="C82" s="436" t="str">
        <f t="shared" ref="C82:C107" si="13">IF(A82&lt;&gt;0,B82/$B$11*100,"")</f>
        <v/>
      </c>
      <c r="F82" s="436" t="str">
        <f t="shared" si="10"/>
        <v/>
      </c>
      <c r="I82" s="436" t="str">
        <f t="shared" si="7"/>
        <v/>
      </c>
      <c r="L82" s="436" t="str">
        <f t="shared" si="8"/>
        <v/>
      </c>
      <c r="M82" s="440"/>
      <c r="O82" s="436" t="str">
        <f t="shared" si="9"/>
        <v/>
      </c>
      <c r="P82" s="442"/>
      <c r="Q82" s="435"/>
      <c r="R82" s="436" t="str">
        <f t="shared" si="11"/>
        <v/>
      </c>
      <c r="S82" s="442"/>
    </row>
    <row r="83" spans="1:19" s="63" customFormat="1" ht="12.75" customHeight="1">
      <c r="A83" s="63" t="s">
        <v>396</v>
      </c>
      <c r="B83" s="544">
        <f t="shared" si="12"/>
        <v>154</v>
      </c>
      <c r="C83" s="436">
        <f t="shared" si="13"/>
        <v>8.2177161152614726</v>
      </c>
      <c r="E83" s="93">
        <f>SUM(E84)</f>
        <v>60</v>
      </c>
      <c r="F83" s="436">
        <f t="shared" si="10"/>
        <v>38.961038961038966</v>
      </c>
      <c r="G83" s="42"/>
      <c r="H83" s="93">
        <f>SUM(H84)</f>
        <v>6</v>
      </c>
      <c r="I83" s="436">
        <f t="shared" si="7"/>
        <v>3.8961038961038961</v>
      </c>
      <c r="J83" s="94"/>
      <c r="K83" s="93">
        <f>SUM(K84)</f>
        <v>32</v>
      </c>
      <c r="L83" s="436">
        <f t="shared" si="8"/>
        <v>20.779220779220779</v>
      </c>
      <c r="M83" s="95"/>
      <c r="N83" s="93">
        <f>SUM(N84)</f>
        <v>52</v>
      </c>
      <c r="O83" s="436">
        <f t="shared" si="9"/>
        <v>33.766233766233768</v>
      </c>
      <c r="P83" s="96"/>
      <c r="Q83" s="93">
        <f>SUM(Q84)</f>
        <v>4</v>
      </c>
      <c r="R83" s="436">
        <f t="shared" si="11"/>
        <v>2.5974025974025974</v>
      </c>
      <c r="S83" s="96"/>
    </row>
    <row r="84" spans="1:19" ht="13.15" customHeight="1">
      <c r="A84" s="434" t="s">
        <v>75</v>
      </c>
      <c r="B84" s="544">
        <f t="shared" si="12"/>
        <v>154</v>
      </c>
      <c r="C84" s="436">
        <f t="shared" si="13"/>
        <v>8.2177161152614726</v>
      </c>
      <c r="E84" s="435">
        <f>SUM(E85:E93)</f>
        <v>60</v>
      </c>
      <c r="F84" s="436">
        <f t="shared" si="10"/>
        <v>38.961038961038966</v>
      </c>
      <c r="H84" s="435">
        <f>SUM(H85:H93)</f>
        <v>6</v>
      </c>
      <c r="I84" s="436">
        <f t="shared" si="7"/>
        <v>3.8961038961038961</v>
      </c>
      <c r="K84" s="435">
        <f>SUM(K85:K93)</f>
        <v>32</v>
      </c>
      <c r="L84" s="436">
        <f t="shared" si="8"/>
        <v>20.779220779220779</v>
      </c>
      <c r="M84" s="440"/>
      <c r="N84" s="435">
        <f>SUM(N85:N93)</f>
        <v>52</v>
      </c>
      <c r="O84" s="436">
        <f t="shared" si="9"/>
        <v>33.766233766233768</v>
      </c>
      <c r="P84" s="442"/>
      <c r="Q84" s="435">
        <f>SUM(Q85:Q93)</f>
        <v>4</v>
      </c>
      <c r="R84" s="436">
        <f t="shared" si="11"/>
        <v>2.5974025974025974</v>
      </c>
      <c r="S84" s="442"/>
    </row>
    <row r="85" spans="1:19" ht="13.15" customHeight="1">
      <c r="A85" s="434" t="s">
        <v>338</v>
      </c>
      <c r="B85" s="544">
        <f t="shared" si="12"/>
        <v>8</v>
      </c>
      <c r="C85" s="436">
        <f t="shared" si="13"/>
        <v>0.42689434364994666</v>
      </c>
      <c r="E85" s="434">
        <v>5</v>
      </c>
      <c r="F85" s="436">
        <f t="shared" si="10"/>
        <v>62.5</v>
      </c>
      <c r="H85" s="434">
        <v>0</v>
      </c>
      <c r="I85" s="436">
        <f t="shared" si="7"/>
        <v>0</v>
      </c>
      <c r="J85" s="434"/>
      <c r="K85" s="434">
        <v>1</v>
      </c>
      <c r="L85" s="436">
        <f t="shared" si="8"/>
        <v>12.5</v>
      </c>
      <c r="N85" s="434">
        <v>2</v>
      </c>
      <c r="O85" s="436">
        <f t="shared" si="9"/>
        <v>25</v>
      </c>
      <c r="Q85" s="434">
        <v>0</v>
      </c>
      <c r="R85" s="436">
        <f t="shared" si="11"/>
        <v>0</v>
      </c>
      <c r="S85" s="442"/>
    </row>
    <row r="86" spans="1:19" ht="13.15" customHeight="1">
      <c r="A86" s="434" t="s">
        <v>76</v>
      </c>
      <c r="B86" s="544">
        <f t="shared" si="12"/>
        <v>22</v>
      </c>
      <c r="C86" s="436">
        <f t="shared" si="13"/>
        <v>1.1739594450373532</v>
      </c>
      <c r="E86" s="434">
        <v>10</v>
      </c>
      <c r="F86" s="436">
        <f t="shared" si="10"/>
        <v>45.454545454545453</v>
      </c>
      <c r="H86" s="434">
        <v>1</v>
      </c>
      <c r="I86" s="436">
        <f t="shared" si="7"/>
        <v>4.5454545454545459</v>
      </c>
      <c r="J86" s="434"/>
      <c r="K86" s="434">
        <v>5</v>
      </c>
      <c r="L86" s="436">
        <f t="shared" si="8"/>
        <v>22.727272727272727</v>
      </c>
      <c r="N86" s="434">
        <v>6</v>
      </c>
      <c r="O86" s="436">
        <f t="shared" si="9"/>
        <v>27.27272727272727</v>
      </c>
      <c r="Q86" s="434">
        <v>0</v>
      </c>
      <c r="R86" s="436">
        <f t="shared" si="11"/>
        <v>0</v>
      </c>
      <c r="S86" s="442"/>
    </row>
    <row r="87" spans="1:19" ht="13.15" customHeight="1">
      <c r="A87" s="434" t="s">
        <v>78</v>
      </c>
      <c r="B87" s="544">
        <f t="shared" si="12"/>
        <v>16</v>
      </c>
      <c r="C87" s="436">
        <f t="shared" si="13"/>
        <v>0.85378868729989332</v>
      </c>
      <c r="E87" s="434">
        <v>10</v>
      </c>
      <c r="F87" s="436">
        <f t="shared" si="10"/>
        <v>62.5</v>
      </c>
      <c r="H87" s="434">
        <v>0</v>
      </c>
      <c r="I87" s="436">
        <f t="shared" si="7"/>
        <v>0</v>
      </c>
      <c r="J87" s="434"/>
      <c r="K87" s="434">
        <v>1</v>
      </c>
      <c r="L87" s="436">
        <f t="shared" si="8"/>
        <v>6.25</v>
      </c>
      <c r="N87" s="434">
        <v>4</v>
      </c>
      <c r="O87" s="436">
        <f t="shared" si="9"/>
        <v>25</v>
      </c>
      <c r="Q87" s="434">
        <v>1</v>
      </c>
      <c r="R87" s="436">
        <f t="shared" si="11"/>
        <v>6.25</v>
      </c>
      <c r="S87" s="442"/>
    </row>
    <row r="88" spans="1:19" ht="13.15" customHeight="1">
      <c r="A88" s="434" t="s">
        <v>80</v>
      </c>
      <c r="B88" s="544">
        <f t="shared" si="12"/>
        <v>18</v>
      </c>
      <c r="C88" s="436">
        <f t="shared" si="13"/>
        <v>0.96051227321237997</v>
      </c>
      <c r="E88" s="434">
        <v>4</v>
      </c>
      <c r="F88" s="436">
        <f t="shared" si="10"/>
        <v>22.222222222222221</v>
      </c>
      <c r="H88" s="434">
        <v>0</v>
      </c>
      <c r="I88" s="436">
        <f t="shared" si="7"/>
        <v>0</v>
      </c>
      <c r="J88" s="434"/>
      <c r="K88" s="434">
        <v>4</v>
      </c>
      <c r="L88" s="436">
        <f t="shared" si="8"/>
        <v>22.222222222222221</v>
      </c>
      <c r="N88" s="434">
        <v>10</v>
      </c>
      <c r="O88" s="436">
        <f t="shared" si="9"/>
        <v>55.555555555555557</v>
      </c>
      <c r="Q88" s="434">
        <v>0</v>
      </c>
      <c r="R88" s="436">
        <f t="shared" si="11"/>
        <v>0</v>
      </c>
      <c r="S88" s="442"/>
    </row>
    <row r="89" spans="1:19" ht="13.15" customHeight="1">
      <c r="A89" s="434" t="s">
        <v>79</v>
      </c>
      <c r="B89" s="544">
        <f t="shared" si="12"/>
        <v>13</v>
      </c>
      <c r="C89" s="436">
        <f t="shared" si="13"/>
        <v>0.69370330843116323</v>
      </c>
      <c r="E89" s="434">
        <v>5</v>
      </c>
      <c r="F89" s="436">
        <f t="shared" si="10"/>
        <v>38.461538461538467</v>
      </c>
      <c r="H89" s="434">
        <v>1</v>
      </c>
      <c r="I89" s="436">
        <f t="shared" si="7"/>
        <v>7.6923076923076925</v>
      </c>
      <c r="J89" s="434"/>
      <c r="K89" s="434">
        <v>0</v>
      </c>
      <c r="L89" s="436">
        <f t="shared" si="8"/>
        <v>0</v>
      </c>
      <c r="N89" s="434">
        <v>6</v>
      </c>
      <c r="O89" s="436">
        <f t="shared" si="9"/>
        <v>46.153846153846153</v>
      </c>
      <c r="Q89" s="434">
        <v>1</v>
      </c>
      <c r="R89" s="436">
        <f t="shared" si="11"/>
        <v>7.6923076923076925</v>
      </c>
      <c r="S89" s="442"/>
    </row>
    <row r="90" spans="1:19" ht="13.15" customHeight="1">
      <c r="A90" s="434" t="s">
        <v>77</v>
      </c>
      <c r="B90" s="544">
        <f t="shared" si="12"/>
        <v>11</v>
      </c>
      <c r="C90" s="436">
        <f t="shared" si="13"/>
        <v>0.58697972251867658</v>
      </c>
      <c r="E90" s="434">
        <v>3</v>
      </c>
      <c r="F90" s="436">
        <f t="shared" si="10"/>
        <v>27.27272727272727</v>
      </c>
      <c r="H90" s="434">
        <v>1</v>
      </c>
      <c r="I90" s="436">
        <f t="shared" si="7"/>
        <v>9.0909090909090917</v>
      </c>
      <c r="J90" s="434"/>
      <c r="K90" s="434">
        <v>0</v>
      </c>
      <c r="L90" s="436">
        <f t="shared" si="8"/>
        <v>0</v>
      </c>
      <c r="N90" s="434">
        <v>7</v>
      </c>
      <c r="O90" s="436">
        <f t="shared" si="9"/>
        <v>63.636363636363633</v>
      </c>
      <c r="Q90" s="434">
        <v>0</v>
      </c>
      <c r="R90" s="436">
        <f t="shared" si="11"/>
        <v>0</v>
      </c>
      <c r="S90" s="442"/>
    </row>
    <row r="91" spans="1:19" ht="13.15" customHeight="1">
      <c r="A91" s="434" t="s">
        <v>81</v>
      </c>
      <c r="B91" s="544">
        <f t="shared" si="12"/>
        <v>36</v>
      </c>
      <c r="C91" s="436">
        <f t="shared" si="13"/>
        <v>1.9210245464247599</v>
      </c>
      <c r="E91" s="434">
        <v>3</v>
      </c>
      <c r="F91" s="436">
        <f t="shared" si="10"/>
        <v>8.3333333333333321</v>
      </c>
      <c r="H91" s="434">
        <v>3</v>
      </c>
      <c r="I91" s="436">
        <f t="shared" si="7"/>
        <v>8.3333333333333321</v>
      </c>
      <c r="J91" s="434"/>
      <c r="K91" s="434">
        <v>18</v>
      </c>
      <c r="L91" s="436">
        <f t="shared" si="8"/>
        <v>50</v>
      </c>
      <c r="N91" s="434">
        <v>12</v>
      </c>
      <c r="O91" s="436">
        <f t="shared" si="9"/>
        <v>33.333333333333329</v>
      </c>
      <c r="Q91" s="434">
        <v>0</v>
      </c>
      <c r="R91" s="436">
        <f t="shared" si="11"/>
        <v>0</v>
      </c>
      <c r="S91" s="442"/>
    </row>
    <row r="92" spans="1:19" ht="12" customHeight="1">
      <c r="A92" s="434" t="s">
        <v>84</v>
      </c>
      <c r="B92" s="544">
        <f t="shared" si="12"/>
        <v>8</v>
      </c>
      <c r="C92" s="436">
        <f t="shared" si="13"/>
        <v>0.42689434364994666</v>
      </c>
      <c r="E92" s="434">
        <v>0</v>
      </c>
      <c r="F92" s="436">
        <f t="shared" si="10"/>
        <v>0</v>
      </c>
      <c r="H92" s="434">
        <v>0</v>
      </c>
      <c r="I92" s="436">
        <f t="shared" si="7"/>
        <v>0</v>
      </c>
      <c r="J92" s="434"/>
      <c r="K92" s="434">
        <v>1</v>
      </c>
      <c r="L92" s="436">
        <f t="shared" si="8"/>
        <v>12.5</v>
      </c>
      <c r="N92" s="434">
        <v>5</v>
      </c>
      <c r="O92" s="436">
        <f t="shared" si="9"/>
        <v>62.5</v>
      </c>
      <c r="Q92" s="434">
        <v>2</v>
      </c>
      <c r="R92" s="436">
        <f t="shared" si="11"/>
        <v>25</v>
      </c>
      <c r="S92" s="442"/>
    </row>
    <row r="93" spans="1:19" ht="13.15" customHeight="1">
      <c r="A93" s="434" t="s">
        <v>339</v>
      </c>
      <c r="B93" s="544">
        <f t="shared" si="12"/>
        <v>22</v>
      </c>
      <c r="C93" s="436">
        <f t="shared" si="13"/>
        <v>1.1739594450373532</v>
      </c>
      <c r="E93" s="434">
        <v>20</v>
      </c>
      <c r="F93" s="436">
        <f t="shared" si="10"/>
        <v>90.909090909090907</v>
      </c>
      <c r="H93" s="434">
        <v>0</v>
      </c>
      <c r="I93" s="436">
        <f t="shared" si="7"/>
        <v>0</v>
      </c>
      <c r="J93" s="434"/>
      <c r="K93" s="434">
        <v>2</v>
      </c>
      <c r="L93" s="436">
        <f t="shared" si="8"/>
        <v>9.0909090909090917</v>
      </c>
      <c r="N93" s="434">
        <v>0</v>
      </c>
      <c r="O93" s="436">
        <f t="shared" si="9"/>
        <v>0</v>
      </c>
      <c r="Q93" s="434">
        <v>0</v>
      </c>
      <c r="R93" s="436">
        <f t="shared" si="11"/>
        <v>0</v>
      </c>
      <c r="S93" s="442"/>
    </row>
    <row r="94" spans="1:19" ht="9.9499999999999993" customHeight="1">
      <c r="B94" s="544" t="str">
        <f t="shared" si="12"/>
        <v/>
      </c>
      <c r="C94" s="436" t="str">
        <f t="shared" si="13"/>
        <v/>
      </c>
      <c r="E94" s="434"/>
      <c r="F94" s="436" t="str">
        <f t="shared" si="10"/>
        <v/>
      </c>
      <c r="H94" s="434"/>
      <c r="I94" s="436" t="str">
        <f t="shared" si="7"/>
        <v/>
      </c>
      <c r="J94" s="434"/>
      <c r="K94" s="434"/>
      <c r="L94" s="436" t="str">
        <f t="shared" si="8"/>
        <v/>
      </c>
      <c r="N94" s="434"/>
      <c r="O94" s="436" t="str">
        <f t="shared" si="9"/>
        <v/>
      </c>
      <c r="R94" s="436" t="str">
        <f t="shared" si="11"/>
        <v/>
      </c>
      <c r="S94" s="442"/>
    </row>
    <row r="95" spans="1:19" ht="12" customHeight="1">
      <c r="A95" s="434" t="s">
        <v>85</v>
      </c>
      <c r="B95" s="544">
        <f t="shared" si="12"/>
        <v>101</v>
      </c>
      <c r="C95" s="436">
        <f t="shared" si="13"/>
        <v>5.3895410885805761</v>
      </c>
      <c r="E95" s="434">
        <v>43</v>
      </c>
      <c r="F95" s="436">
        <f t="shared" si="10"/>
        <v>42.574257425742573</v>
      </c>
      <c r="H95" s="434">
        <v>8</v>
      </c>
      <c r="I95" s="436">
        <f t="shared" si="7"/>
        <v>7.9207920792079207</v>
      </c>
      <c r="J95" s="434"/>
      <c r="K95" s="434">
        <v>35</v>
      </c>
      <c r="L95" s="436">
        <f t="shared" si="8"/>
        <v>34.653465346534652</v>
      </c>
      <c r="N95" s="434">
        <v>15</v>
      </c>
      <c r="O95" s="436">
        <f t="shared" si="9"/>
        <v>14.85148514851485</v>
      </c>
      <c r="Q95" s="434">
        <v>0</v>
      </c>
      <c r="R95" s="436">
        <f t="shared" si="11"/>
        <v>0</v>
      </c>
      <c r="S95" s="442"/>
    </row>
    <row r="96" spans="1:19" ht="12" hidden="1" customHeight="1">
      <c r="A96" s="434" t="s">
        <v>340</v>
      </c>
      <c r="B96" s="544">
        <f t="shared" si="12"/>
        <v>0</v>
      </c>
      <c r="C96" s="436">
        <f t="shared" si="13"/>
        <v>0</v>
      </c>
      <c r="E96" s="434"/>
      <c r="F96" s="436" t="e">
        <f t="shared" si="10"/>
        <v>#DIV/0!</v>
      </c>
      <c r="H96" s="434"/>
      <c r="I96" s="436" t="e">
        <f t="shared" si="7"/>
        <v>#DIV/0!</v>
      </c>
      <c r="J96" s="434"/>
      <c r="K96" s="434"/>
      <c r="L96" s="436" t="e">
        <f t="shared" si="8"/>
        <v>#DIV/0!</v>
      </c>
      <c r="N96" s="434"/>
      <c r="O96" s="436" t="e">
        <f t="shared" si="9"/>
        <v>#DIV/0!</v>
      </c>
      <c r="R96" s="436" t="e">
        <f t="shared" si="11"/>
        <v>#DIV/0!</v>
      </c>
      <c r="S96" s="442"/>
    </row>
    <row r="97" spans="1:19" ht="12" customHeight="1">
      <c r="A97" s="434" t="s">
        <v>430</v>
      </c>
      <c r="B97" s="544">
        <f t="shared" si="12"/>
        <v>4</v>
      </c>
      <c r="C97" s="436">
        <f t="shared" si="13"/>
        <v>0.21344717182497333</v>
      </c>
      <c r="E97" s="434">
        <v>0</v>
      </c>
      <c r="F97" s="436">
        <f t="shared" si="10"/>
        <v>0</v>
      </c>
      <c r="H97" s="434">
        <v>0</v>
      </c>
      <c r="I97" s="436">
        <f t="shared" si="7"/>
        <v>0</v>
      </c>
      <c r="J97" s="434"/>
      <c r="K97" s="434">
        <v>1</v>
      </c>
      <c r="L97" s="436">
        <f t="shared" si="8"/>
        <v>25</v>
      </c>
      <c r="N97" s="434">
        <v>3</v>
      </c>
      <c r="O97" s="436">
        <f t="shared" si="9"/>
        <v>75</v>
      </c>
      <c r="Q97" s="434">
        <v>0</v>
      </c>
      <c r="R97" s="436">
        <f t="shared" si="11"/>
        <v>0</v>
      </c>
      <c r="S97" s="442"/>
    </row>
    <row r="98" spans="1:19" ht="7.5" hidden="1" customHeight="1">
      <c r="B98" s="544" t="str">
        <f t="shared" si="12"/>
        <v/>
      </c>
      <c r="C98" s="436" t="str">
        <f t="shared" si="13"/>
        <v/>
      </c>
      <c r="F98" s="436" t="str">
        <f t="shared" si="10"/>
        <v/>
      </c>
      <c r="I98" s="436" t="str">
        <f t="shared" si="7"/>
        <v/>
      </c>
      <c r="L98" s="436" t="str">
        <f t="shared" si="8"/>
        <v/>
      </c>
      <c r="M98" s="440"/>
      <c r="O98" s="436" t="str">
        <f t="shared" si="9"/>
        <v/>
      </c>
      <c r="P98" s="442"/>
      <c r="Q98" s="435"/>
      <c r="R98" s="436" t="str">
        <f t="shared" si="11"/>
        <v/>
      </c>
      <c r="S98" s="442"/>
    </row>
    <row r="99" spans="1:19" ht="12" hidden="1" customHeight="1">
      <c r="A99" s="434" t="s">
        <v>15</v>
      </c>
      <c r="B99" s="544">
        <f t="shared" si="12"/>
        <v>0</v>
      </c>
      <c r="C99" s="436">
        <f t="shared" si="13"/>
        <v>0</v>
      </c>
      <c r="F99" s="436" t="e">
        <f t="shared" si="10"/>
        <v>#DIV/0!</v>
      </c>
      <c r="I99" s="436" t="e">
        <f t="shared" si="7"/>
        <v>#DIV/0!</v>
      </c>
      <c r="L99" s="436" t="e">
        <f t="shared" si="8"/>
        <v>#DIV/0!</v>
      </c>
      <c r="M99" s="440"/>
      <c r="O99" s="436" t="e">
        <f t="shared" si="9"/>
        <v>#DIV/0!</v>
      </c>
      <c r="P99" s="442"/>
      <c r="Q99" s="435"/>
      <c r="R99" s="436" t="e">
        <f t="shared" si="11"/>
        <v>#DIV/0!</v>
      </c>
      <c r="S99" s="442"/>
    </row>
    <row r="100" spans="1:19" ht="12" customHeight="1">
      <c r="B100" s="544" t="str">
        <f>IF($A100&lt;&gt;"",E100+H100+K100+N100+Q100+#REF!,"")</f>
        <v/>
      </c>
      <c r="C100" s="436" t="str">
        <f t="shared" si="13"/>
        <v/>
      </c>
      <c r="F100" s="436" t="str">
        <f t="shared" si="10"/>
        <v/>
      </c>
      <c r="I100" s="436" t="str">
        <f t="shared" si="7"/>
        <v/>
      </c>
      <c r="L100" s="436" t="str">
        <f t="shared" si="8"/>
        <v/>
      </c>
      <c r="M100" s="440"/>
      <c r="O100" s="436" t="str">
        <f t="shared" si="9"/>
        <v/>
      </c>
      <c r="P100" s="442"/>
      <c r="Q100" s="435"/>
      <c r="R100" s="436" t="str">
        <f t="shared" si="11"/>
        <v/>
      </c>
      <c r="S100" s="442"/>
    </row>
    <row r="101" spans="1:19" ht="12" customHeight="1">
      <c r="A101" s="63" t="s">
        <v>86</v>
      </c>
      <c r="B101" s="544">
        <f t="shared" ref="B101:B106" si="14">IF($A101&lt;&gt;"",E101+H101+K101+N101+Q101,"")</f>
        <v>138</v>
      </c>
      <c r="C101" s="436">
        <f t="shared" si="13"/>
        <v>7.3639274279615794</v>
      </c>
      <c r="E101" s="449">
        <f>SUM(E103+E104+E105+E107)</f>
        <v>62</v>
      </c>
      <c r="F101" s="436">
        <f t="shared" si="10"/>
        <v>44.927536231884055</v>
      </c>
      <c r="G101" s="455"/>
      <c r="H101" s="449">
        <f>SUM(H103+H104+H105+H107)</f>
        <v>7</v>
      </c>
      <c r="I101" s="436">
        <f t="shared" si="7"/>
        <v>5.0724637681159424</v>
      </c>
      <c r="J101" s="454"/>
      <c r="K101" s="449">
        <f>SUM(K103+K104+K105+K107)</f>
        <v>45</v>
      </c>
      <c r="L101" s="436">
        <f t="shared" si="8"/>
        <v>32.608695652173914</v>
      </c>
      <c r="M101" s="453"/>
      <c r="N101" s="449">
        <f>SUM(N103+N104+N105+N107)</f>
        <v>21</v>
      </c>
      <c r="O101" s="436">
        <f t="shared" si="9"/>
        <v>15.217391304347828</v>
      </c>
      <c r="P101" s="450"/>
      <c r="Q101" s="449">
        <f>SUM(Q103+Q104+Q105+Q107)</f>
        <v>3</v>
      </c>
      <c r="R101" s="436">
        <f t="shared" si="11"/>
        <v>2.1739130434782608</v>
      </c>
      <c r="S101" s="442"/>
    </row>
    <row r="102" spans="1:19" ht="8.25" customHeight="1">
      <c r="B102" s="544" t="str">
        <f t="shared" si="14"/>
        <v/>
      </c>
      <c r="C102" s="436" t="str">
        <f t="shared" si="13"/>
        <v/>
      </c>
      <c r="E102" s="449"/>
      <c r="F102" s="436" t="str">
        <f t="shared" si="10"/>
        <v/>
      </c>
      <c r="G102" s="455"/>
      <c r="H102" s="449"/>
      <c r="I102" s="436" t="str">
        <f t="shared" si="7"/>
        <v/>
      </c>
      <c r="J102" s="454"/>
      <c r="K102" s="449"/>
      <c r="L102" s="436" t="str">
        <f t="shared" si="8"/>
        <v/>
      </c>
      <c r="M102" s="453"/>
      <c r="N102" s="449"/>
      <c r="O102" s="436" t="str">
        <f t="shared" si="9"/>
        <v/>
      </c>
      <c r="P102" s="450"/>
      <c r="Q102" s="449"/>
      <c r="R102" s="436" t="str">
        <f t="shared" si="11"/>
        <v/>
      </c>
      <c r="S102" s="442"/>
    </row>
    <row r="103" spans="1:19" ht="12" customHeight="1">
      <c r="A103" s="434" t="s">
        <v>398</v>
      </c>
      <c r="B103" s="544">
        <f t="shared" si="14"/>
        <v>53</v>
      </c>
      <c r="C103" s="436">
        <f t="shared" si="13"/>
        <v>2.8281750266808965</v>
      </c>
      <c r="E103" s="434">
        <v>21</v>
      </c>
      <c r="F103" s="436">
        <f t="shared" si="10"/>
        <v>39.622641509433961</v>
      </c>
      <c r="H103" s="434">
        <v>4</v>
      </c>
      <c r="I103" s="436">
        <f t="shared" si="7"/>
        <v>7.5471698113207548</v>
      </c>
      <c r="J103" s="434"/>
      <c r="K103" s="434">
        <v>17</v>
      </c>
      <c r="L103" s="436">
        <f t="shared" si="8"/>
        <v>32.075471698113205</v>
      </c>
      <c r="N103" s="434">
        <v>9</v>
      </c>
      <c r="O103" s="436">
        <f t="shared" si="9"/>
        <v>16.981132075471699</v>
      </c>
      <c r="Q103" s="434">
        <v>2</v>
      </c>
      <c r="R103" s="436">
        <f t="shared" si="11"/>
        <v>3.7735849056603774</v>
      </c>
      <c r="S103" s="442"/>
    </row>
    <row r="104" spans="1:19" ht="12" customHeight="1">
      <c r="A104" s="434" t="s">
        <v>399</v>
      </c>
      <c r="B104" s="544">
        <f t="shared" si="14"/>
        <v>71</v>
      </c>
      <c r="C104" s="436">
        <f t="shared" si="13"/>
        <v>3.7886872998932764</v>
      </c>
      <c r="E104" s="434">
        <v>31</v>
      </c>
      <c r="F104" s="436">
        <f t="shared" si="10"/>
        <v>43.661971830985912</v>
      </c>
      <c r="H104" s="434">
        <v>2</v>
      </c>
      <c r="I104" s="436">
        <f t="shared" si="7"/>
        <v>2.8169014084507045</v>
      </c>
      <c r="J104" s="434"/>
      <c r="K104" s="434">
        <v>27</v>
      </c>
      <c r="L104" s="436">
        <f t="shared" si="8"/>
        <v>38.028169014084504</v>
      </c>
      <c r="N104" s="434">
        <v>11</v>
      </c>
      <c r="O104" s="436">
        <f t="shared" si="9"/>
        <v>15.492957746478872</v>
      </c>
      <c r="Q104" s="434">
        <v>0</v>
      </c>
      <c r="R104" s="436">
        <f t="shared" si="11"/>
        <v>0</v>
      </c>
      <c r="S104" s="442"/>
    </row>
    <row r="105" spans="1:19" ht="12" customHeight="1">
      <c r="A105" s="434" t="s">
        <v>400</v>
      </c>
      <c r="B105" s="544">
        <f t="shared" si="14"/>
        <v>12</v>
      </c>
      <c r="C105" s="436">
        <f t="shared" si="13"/>
        <v>0.64034151547491991</v>
      </c>
      <c r="E105" s="434">
        <v>10</v>
      </c>
      <c r="F105" s="436">
        <f t="shared" si="10"/>
        <v>83.333333333333343</v>
      </c>
      <c r="H105" s="434">
        <v>1</v>
      </c>
      <c r="I105" s="436">
        <f t="shared" si="7"/>
        <v>8.3333333333333321</v>
      </c>
      <c r="J105" s="434"/>
      <c r="K105" s="434">
        <v>1</v>
      </c>
      <c r="L105" s="436">
        <f t="shared" si="8"/>
        <v>8.3333333333333321</v>
      </c>
      <c r="N105" s="434">
        <v>0</v>
      </c>
      <c r="O105" s="436">
        <f t="shared" si="9"/>
        <v>0</v>
      </c>
      <c r="Q105" s="434">
        <v>0</v>
      </c>
      <c r="R105" s="436">
        <f t="shared" si="11"/>
        <v>0</v>
      </c>
      <c r="S105" s="442"/>
    </row>
    <row r="106" spans="1:19" ht="12" customHeight="1">
      <c r="B106" s="544" t="str">
        <f t="shared" si="14"/>
        <v/>
      </c>
      <c r="C106" s="436" t="str">
        <f t="shared" si="13"/>
        <v/>
      </c>
      <c r="E106" s="434"/>
      <c r="F106" s="436" t="str">
        <f t="shared" si="10"/>
        <v/>
      </c>
      <c r="H106" s="434"/>
      <c r="I106" s="436" t="str">
        <f t="shared" si="7"/>
        <v/>
      </c>
      <c r="J106" s="434"/>
      <c r="K106" s="434"/>
      <c r="L106" s="436" t="str">
        <f t="shared" si="8"/>
        <v/>
      </c>
      <c r="N106" s="434"/>
      <c r="O106" s="436" t="str">
        <f t="shared" si="9"/>
        <v/>
      </c>
      <c r="R106" s="436" t="str">
        <f t="shared" si="11"/>
        <v/>
      </c>
      <c r="S106" s="442"/>
    </row>
    <row r="107" spans="1:19" ht="12" hidden="1" customHeight="1">
      <c r="A107" s="434" t="s">
        <v>410</v>
      </c>
      <c r="B107" s="544">
        <f>IF($A107&lt;&gt;"",E107+H107+K107+N107+Q107,"")</f>
        <v>2</v>
      </c>
      <c r="C107" s="436">
        <f t="shared" si="13"/>
        <v>0.10672358591248667</v>
      </c>
      <c r="E107" s="434">
        <v>0</v>
      </c>
      <c r="F107" s="436">
        <f t="shared" si="10"/>
        <v>0</v>
      </c>
      <c r="H107" s="434">
        <v>0</v>
      </c>
      <c r="I107" s="436">
        <f t="shared" si="7"/>
        <v>0</v>
      </c>
      <c r="J107" s="434"/>
      <c r="K107" s="434">
        <v>0</v>
      </c>
      <c r="L107" s="436">
        <f t="shared" si="8"/>
        <v>0</v>
      </c>
      <c r="N107" s="434">
        <v>1</v>
      </c>
      <c r="O107" s="436">
        <f t="shared" si="9"/>
        <v>50</v>
      </c>
      <c r="Q107" s="434">
        <v>1</v>
      </c>
      <c r="R107" s="436">
        <f t="shared" si="11"/>
        <v>50</v>
      </c>
      <c r="S107" s="442"/>
    </row>
    <row r="108" spans="1:19" ht="9" hidden="1" customHeight="1">
      <c r="F108" s="436" t="str">
        <f t="shared" si="10"/>
        <v/>
      </c>
      <c r="I108" s="436" t="str">
        <f t="shared" si="7"/>
        <v/>
      </c>
      <c r="L108" s="436" t="str">
        <f t="shared" si="8"/>
        <v/>
      </c>
      <c r="M108" s="440"/>
      <c r="O108" s="436" t="str">
        <f t="shared" si="9"/>
        <v/>
      </c>
      <c r="P108" s="442"/>
      <c r="Q108" s="435"/>
      <c r="R108" s="436" t="str">
        <f t="shared" si="11"/>
        <v/>
      </c>
      <c r="S108" s="442"/>
    </row>
    <row r="109" spans="1:19" ht="12" customHeight="1">
      <c r="A109" s="63" t="s">
        <v>346</v>
      </c>
      <c r="B109" s="544">
        <f t="shared" ref="B109:B114" si="15">IF($A109&lt;&gt;"",E109+H109+K109+N109+Q109,"")</f>
        <v>203</v>
      </c>
      <c r="C109" s="436">
        <f t="shared" ref="C109:C114" si="16">IF(A109&lt;&gt;0,B109/$B$11*100,"")</f>
        <v>10.832443970117396</v>
      </c>
      <c r="E109" s="435">
        <f>SUM(E110:E114)</f>
        <v>127</v>
      </c>
      <c r="F109" s="436">
        <f t="shared" si="10"/>
        <v>62.561576354679801</v>
      </c>
      <c r="H109" s="435">
        <f>SUM(H110:H114)</f>
        <v>3</v>
      </c>
      <c r="I109" s="436">
        <f t="shared" si="7"/>
        <v>1.4778325123152709</v>
      </c>
      <c r="K109" s="435">
        <f>SUM(K110:K114)</f>
        <v>57</v>
      </c>
      <c r="L109" s="436">
        <f t="shared" si="8"/>
        <v>28.078817733990146</v>
      </c>
      <c r="M109" s="440"/>
      <c r="N109" s="435">
        <f>SUM(N110:N114)</f>
        <v>15</v>
      </c>
      <c r="O109" s="436">
        <f t="shared" si="9"/>
        <v>7.389162561576355</v>
      </c>
      <c r="P109" s="442"/>
      <c r="Q109" s="435">
        <f>SUM(Q110:Q114)</f>
        <v>1</v>
      </c>
      <c r="R109" s="436">
        <f t="shared" si="11"/>
        <v>0.49261083743842365</v>
      </c>
      <c r="S109" s="442"/>
    </row>
    <row r="110" spans="1:19" ht="12" customHeight="1">
      <c r="A110" s="434" t="s">
        <v>347</v>
      </c>
      <c r="B110" s="544">
        <f t="shared" si="15"/>
        <v>88</v>
      </c>
      <c r="C110" s="436">
        <f t="shared" si="16"/>
        <v>4.6958377801494127</v>
      </c>
      <c r="E110" s="434">
        <v>67</v>
      </c>
      <c r="F110" s="436">
        <f t="shared" si="10"/>
        <v>76.13636363636364</v>
      </c>
      <c r="H110" s="434">
        <v>2</v>
      </c>
      <c r="I110" s="436">
        <f t="shared" si="7"/>
        <v>2.2727272727272729</v>
      </c>
      <c r="J110" s="434"/>
      <c r="K110" s="434">
        <v>12</v>
      </c>
      <c r="L110" s="436">
        <f t="shared" si="8"/>
        <v>13.636363636363635</v>
      </c>
      <c r="N110" s="434">
        <v>6</v>
      </c>
      <c r="O110" s="436">
        <f t="shared" si="9"/>
        <v>6.8181818181818175</v>
      </c>
      <c r="Q110" s="434">
        <v>1</v>
      </c>
      <c r="R110" s="436">
        <f t="shared" si="11"/>
        <v>1.1363636363636365</v>
      </c>
      <c r="S110" s="442"/>
    </row>
    <row r="111" spans="1:19" ht="12" customHeight="1">
      <c r="A111" s="434" t="s">
        <v>348</v>
      </c>
      <c r="B111" s="544">
        <f t="shared" si="15"/>
        <v>33</v>
      </c>
      <c r="C111" s="436">
        <f t="shared" si="16"/>
        <v>1.7609391675560297</v>
      </c>
      <c r="E111" s="434">
        <v>18</v>
      </c>
      <c r="F111" s="436">
        <f t="shared" si="10"/>
        <v>54.54545454545454</v>
      </c>
      <c r="H111" s="434">
        <v>0</v>
      </c>
      <c r="I111" s="436">
        <f t="shared" si="7"/>
        <v>0</v>
      </c>
      <c r="J111" s="434"/>
      <c r="K111" s="434">
        <v>12</v>
      </c>
      <c r="L111" s="436">
        <f t="shared" si="8"/>
        <v>36.363636363636367</v>
      </c>
      <c r="N111" s="434">
        <v>3</v>
      </c>
      <c r="O111" s="436">
        <f t="shared" si="9"/>
        <v>9.0909090909090917</v>
      </c>
      <c r="Q111" s="434">
        <v>0</v>
      </c>
      <c r="R111" s="436">
        <f t="shared" si="11"/>
        <v>0</v>
      </c>
      <c r="S111" s="442"/>
    </row>
    <row r="112" spans="1:19" ht="12" customHeight="1">
      <c r="A112" s="434" t="s">
        <v>349</v>
      </c>
      <c r="B112" s="544">
        <f t="shared" si="15"/>
        <v>32</v>
      </c>
      <c r="C112" s="436">
        <f t="shared" si="16"/>
        <v>1.7075773745997866</v>
      </c>
      <c r="E112" s="434">
        <v>18</v>
      </c>
      <c r="F112" s="436">
        <f t="shared" si="10"/>
        <v>56.25</v>
      </c>
      <c r="H112" s="434">
        <v>0</v>
      </c>
      <c r="I112" s="436">
        <f t="shared" si="7"/>
        <v>0</v>
      </c>
      <c r="J112" s="434"/>
      <c r="K112" s="434">
        <v>14</v>
      </c>
      <c r="L112" s="436">
        <f t="shared" si="8"/>
        <v>43.75</v>
      </c>
      <c r="N112" s="434">
        <v>0</v>
      </c>
      <c r="O112" s="436">
        <f t="shared" si="9"/>
        <v>0</v>
      </c>
      <c r="Q112" s="434">
        <v>0</v>
      </c>
      <c r="R112" s="436">
        <f t="shared" si="11"/>
        <v>0</v>
      </c>
      <c r="S112" s="442"/>
    </row>
    <row r="113" spans="1:19" ht="12" customHeight="1">
      <c r="A113" s="42" t="s">
        <v>378</v>
      </c>
      <c r="B113" s="544">
        <f t="shared" si="15"/>
        <v>24</v>
      </c>
      <c r="C113" s="436">
        <f t="shared" si="16"/>
        <v>1.2806830309498398</v>
      </c>
      <c r="E113" s="434">
        <v>10</v>
      </c>
      <c r="F113" s="436">
        <f t="shared" si="10"/>
        <v>41.666666666666671</v>
      </c>
      <c r="H113" s="434">
        <v>0</v>
      </c>
      <c r="I113" s="436">
        <f t="shared" si="7"/>
        <v>0</v>
      </c>
      <c r="J113" s="434"/>
      <c r="K113" s="434">
        <v>10</v>
      </c>
      <c r="L113" s="436">
        <f t="shared" si="8"/>
        <v>41.666666666666671</v>
      </c>
      <c r="N113" s="434">
        <v>4</v>
      </c>
      <c r="O113" s="436">
        <f t="shared" si="9"/>
        <v>16.666666666666664</v>
      </c>
      <c r="Q113" s="434">
        <v>0</v>
      </c>
      <c r="R113" s="436">
        <f t="shared" si="11"/>
        <v>0</v>
      </c>
      <c r="S113" s="442"/>
    </row>
    <row r="114" spans="1:19" ht="12" customHeight="1">
      <c r="A114" s="434" t="s">
        <v>351</v>
      </c>
      <c r="B114" s="544">
        <f t="shared" si="15"/>
        <v>26</v>
      </c>
      <c r="C114" s="436">
        <f t="shared" si="16"/>
        <v>1.3874066168623265</v>
      </c>
      <c r="E114" s="434">
        <v>14</v>
      </c>
      <c r="F114" s="436">
        <f t="shared" si="10"/>
        <v>53.846153846153847</v>
      </c>
      <c r="H114" s="434">
        <v>1</v>
      </c>
      <c r="I114" s="436">
        <f t="shared" si="7"/>
        <v>3.8461538461538463</v>
      </c>
      <c r="J114" s="434"/>
      <c r="K114" s="434">
        <v>9</v>
      </c>
      <c r="L114" s="436">
        <f t="shared" si="8"/>
        <v>34.615384615384613</v>
      </c>
      <c r="N114" s="434">
        <v>2</v>
      </c>
      <c r="O114" s="436">
        <f t="shared" si="9"/>
        <v>7.6923076923076925</v>
      </c>
      <c r="Q114" s="434">
        <v>0</v>
      </c>
      <c r="R114" s="436">
        <f t="shared" si="11"/>
        <v>0</v>
      </c>
      <c r="S114" s="442"/>
    </row>
    <row r="115" spans="1:19" ht="9.9499999999999993" customHeight="1" thickBot="1">
      <c r="O115" s="436"/>
      <c r="P115" s="436"/>
      <c r="Q115" s="435"/>
      <c r="R115" s="436"/>
      <c r="S115" s="436"/>
    </row>
    <row r="116" spans="1:19" ht="9.9499999999999993" customHeight="1">
      <c r="A116" s="437"/>
      <c r="B116" s="805"/>
      <c r="C116" s="439"/>
      <c r="D116" s="437"/>
      <c r="E116" s="438"/>
      <c r="F116" s="439"/>
      <c r="G116" s="437"/>
      <c r="H116" s="438"/>
      <c r="I116" s="439"/>
      <c r="J116" s="439"/>
      <c r="K116" s="438"/>
      <c r="L116" s="439"/>
      <c r="M116" s="437"/>
      <c r="N116" s="438"/>
      <c r="O116" s="439"/>
      <c r="P116" s="439"/>
      <c r="Q116" s="438"/>
      <c r="R116" s="439"/>
      <c r="S116" s="439"/>
    </row>
    <row r="117" spans="1:19">
      <c r="A117" s="453" t="s">
        <v>427</v>
      </c>
      <c r="B117" s="451"/>
      <c r="C117" s="442"/>
      <c r="D117" s="440"/>
      <c r="E117" s="441"/>
      <c r="F117" s="442"/>
      <c r="G117" s="440"/>
      <c r="H117" s="441"/>
      <c r="I117" s="442"/>
      <c r="J117" s="442"/>
      <c r="K117" s="441"/>
      <c r="L117" s="442"/>
      <c r="M117" s="440"/>
      <c r="N117" s="441"/>
      <c r="O117" s="442"/>
      <c r="P117" s="442"/>
      <c r="Q117" s="441"/>
      <c r="R117" s="442"/>
      <c r="S117" s="442"/>
    </row>
    <row r="118" spans="1:19" ht="12" customHeight="1">
      <c r="A118" s="453" t="s">
        <v>428</v>
      </c>
      <c r="B118" s="451"/>
      <c r="C118" s="442"/>
      <c r="D118" s="440"/>
      <c r="E118" s="441"/>
      <c r="F118" s="442"/>
      <c r="G118" s="440"/>
      <c r="H118" s="441"/>
      <c r="I118" s="442"/>
      <c r="J118" s="442"/>
      <c r="K118" s="441"/>
      <c r="L118" s="442"/>
      <c r="M118" s="440"/>
      <c r="N118" s="441"/>
      <c r="O118" s="442"/>
      <c r="P118" s="442"/>
      <c r="Q118" s="441"/>
      <c r="R118" s="442"/>
      <c r="S118" s="442"/>
    </row>
    <row r="119" spans="1:19" ht="7.5" customHeight="1">
      <c r="A119" s="453"/>
    </row>
    <row r="120" spans="1:19">
      <c r="A120" s="97" t="s">
        <v>2110</v>
      </c>
    </row>
    <row r="121" spans="1:19" ht="8.25" customHeight="1">
      <c r="A121" s="453"/>
    </row>
    <row r="122" spans="1:19">
      <c r="A122" s="455" t="s">
        <v>404</v>
      </c>
    </row>
    <row r="123" spans="1:19">
      <c r="A123" s="455" t="s">
        <v>385</v>
      </c>
    </row>
  </sheetData>
  <mergeCells count="4">
    <mergeCell ref="H7:I7"/>
    <mergeCell ref="K7:L7"/>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2.xml><?xml version="1.0" encoding="utf-8"?>
<worksheet xmlns="http://schemas.openxmlformats.org/spreadsheetml/2006/main" xmlns:r="http://schemas.openxmlformats.org/officeDocument/2006/relationships">
  <sheetPr>
    <tabColor theme="6"/>
  </sheetPr>
  <dimension ref="A1:C56"/>
  <sheetViews>
    <sheetView topLeftCell="A22" zoomScale="90" zoomScaleNormal="90" workbookViewId="0">
      <selection activeCell="A31" sqref="A31:C31"/>
    </sheetView>
  </sheetViews>
  <sheetFormatPr baseColWidth="10" defaultRowHeight="15.75"/>
  <cols>
    <col min="1" max="1" width="11.7109375" style="782" customWidth="1"/>
    <col min="2" max="2" width="4.140625" style="782" customWidth="1"/>
    <col min="3" max="3" width="68" style="782" customWidth="1"/>
    <col min="4" max="16384" width="11.42578125" style="782"/>
  </cols>
  <sheetData>
    <row r="1" spans="1:3">
      <c r="A1" s="28" t="s">
        <v>2034</v>
      </c>
    </row>
    <row r="2" spans="1:3">
      <c r="A2" s="28"/>
    </row>
    <row r="3" spans="1:3">
      <c r="A3" s="782" t="s">
        <v>2035</v>
      </c>
      <c r="C3" s="782" t="s">
        <v>150</v>
      </c>
    </row>
    <row r="4" spans="1:3">
      <c r="A4" s="782" t="s">
        <v>2036</v>
      </c>
      <c r="C4" s="782" t="s">
        <v>169</v>
      </c>
    </row>
    <row r="5" spans="1:3">
      <c r="A5" s="1256" t="s">
        <v>2037</v>
      </c>
      <c r="C5" s="782" t="s">
        <v>137</v>
      </c>
    </row>
    <row r="6" spans="1:3">
      <c r="A6" s="1256" t="s">
        <v>2038</v>
      </c>
      <c r="C6" s="782" t="s">
        <v>2039</v>
      </c>
    </row>
    <row r="7" spans="1:3">
      <c r="A7" s="1256" t="s">
        <v>2040</v>
      </c>
      <c r="C7" s="782" t="s">
        <v>2041</v>
      </c>
    </row>
    <row r="8" spans="1:3">
      <c r="A8" s="1256" t="s">
        <v>2042</v>
      </c>
      <c r="C8" s="782" t="s">
        <v>2164</v>
      </c>
    </row>
    <row r="9" spans="1:3">
      <c r="A9" s="1256" t="s">
        <v>2043</v>
      </c>
      <c r="C9" s="782" t="s">
        <v>2170</v>
      </c>
    </row>
    <row r="10" spans="1:3">
      <c r="A10" s="1256" t="s">
        <v>2190</v>
      </c>
      <c r="C10" s="782" t="s">
        <v>2165</v>
      </c>
    </row>
    <row r="11" spans="1:3">
      <c r="A11" s="1256" t="s">
        <v>2044</v>
      </c>
      <c r="C11" s="782" t="s">
        <v>2163</v>
      </c>
    </row>
    <row r="12" spans="1:3">
      <c r="A12" s="1256" t="s">
        <v>2045</v>
      </c>
      <c r="C12" s="782" t="s">
        <v>2166</v>
      </c>
    </row>
    <row r="13" spans="1:3">
      <c r="A13" s="1256" t="s">
        <v>2046</v>
      </c>
      <c r="C13" s="782" t="s">
        <v>2172</v>
      </c>
    </row>
    <row r="14" spans="1:3">
      <c r="A14" s="1256" t="s">
        <v>2047</v>
      </c>
      <c r="C14" s="782" t="s">
        <v>2171</v>
      </c>
    </row>
    <row r="15" spans="1:3">
      <c r="A15" s="1256" t="s">
        <v>2048</v>
      </c>
      <c r="C15" s="782" t="s">
        <v>2175</v>
      </c>
    </row>
    <row r="16" spans="1:3">
      <c r="A16" s="1256" t="s">
        <v>2049</v>
      </c>
      <c r="C16" s="782" t="s">
        <v>2174</v>
      </c>
    </row>
    <row r="17" spans="1:3">
      <c r="A17" s="1256" t="s">
        <v>2051</v>
      </c>
      <c r="C17" s="782" t="s">
        <v>2173</v>
      </c>
    </row>
    <row r="18" spans="1:3">
      <c r="A18" s="1256" t="s">
        <v>2052</v>
      </c>
      <c r="C18" s="782" t="s">
        <v>2053</v>
      </c>
    </row>
    <row r="19" spans="1:3">
      <c r="A19" s="1256" t="s">
        <v>2054</v>
      </c>
      <c r="C19" s="782" t="s">
        <v>2176</v>
      </c>
    </row>
    <row r="20" spans="1:3">
      <c r="A20" s="1256" t="s">
        <v>2055</v>
      </c>
      <c r="C20" s="782" t="s">
        <v>2056</v>
      </c>
    </row>
    <row r="21" spans="1:3">
      <c r="A21" s="1256" t="s">
        <v>2057</v>
      </c>
      <c r="C21" s="782" t="s">
        <v>2177</v>
      </c>
    </row>
    <row r="22" spans="1:3">
      <c r="A22" s="1256" t="s">
        <v>2168</v>
      </c>
      <c r="C22" s="782" t="s">
        <v>2178</v>
      </c>
    </row>
    <row r="23" spans="1:3">
      <c r="A23" s="1256" t="s">
        <v>2058</v>
      </c>
      <c r="C23" s="782" t="s">
        <v>2179</v>
      </c>
    </row>
    <row r="24" spans="1:3">
      <c r="A24" s="1256" t="s">
        <v>2059</v>
      </c>
      <c r="C24" s="782" t="s">
        <v>2180</v>
      </c>
    </row>
    <row r="25" spans="1:3">
      <c r="A25" s="1256" t="s">
        <v>2060</v>
      </c>
      <c r="C25" s="782" t="s">
        <v>2167</v>
      </c>
    </row>
    <row r="26" spans="1:3">
      <c r="A26" s="1256" t="s">
        <v>2061</v>
      </c>
      <c r="C26" s="782" t="s">
        <v>2169</v>
      </c>
    </row>
    <row r="27" spans="1:3">
      <c r="A27" s="1256" t="s">
        <v>2062</v>
      </c>
      <c r="C27" s="782" t="s">
        <v>2181</v>
      </c>
    </row>
    <row r="28" spans="1:3">
      <c r="A28" s="1256" t="s">
        <v>2063</v>
      </c>
      <c r="C28" s="782" t="s">
        <v>2183</v>
      </c>
    </row>
    <row r="29" spans="1:3">
      <c r="A29" s="1256" t="s">
        <v>2064</v>
      </c>
      <c r="C29" s="782" t="s">
        <v>2182</v>
      </c>
    </row>
    <row r="30" spans="1:3">
      <c r="A30" s="1256" t="s">
        <v>2065</v>
      </c>
      <c r="C30" s="782" t="s">
        <v>2184</v>
      </c>
    </row>
    <row r="31" spans="1:3">
      <c r="A31" s="1256" t="s">
        <v>2189</v>
      </c>
      <c r="C31" s="782" t="s">
        <v>2266</v>
      </c>
    </row>
    <row r="32" spans="1:3">
      <c r="A32" s="1256" t="s">
        <v>2191</v>
      </c>
      <c r="C32" s="782" t="s">
        <v>2050</v>
      </c>
    </row>
    <row r="33" spans="1:3">
      <c r="A33" s="782" t="s">
        <v>2066</v>
      </c>
      <c r="C33" s="782" t="s">
        <v>12</v>
      </c>
    </row>
    <row r="34" spans="1:3">
      <c r="A34" s="782" t="s">
        <v>2067</v>
      </c>
      <c r="C34" s="782" t="s">
        <v>183</v>
      </c>
    </row>
    <row r="35" spans="1:3">
      <c r="A35" s="782" t="s">
        <v>2068</v>
      </c>
      <c r="C35" s="782" t="s">
        <v>86</v>
      </c>
    </row>
    <row r="36" spans="1:3">
      <c r="A36" s="1256" t="s">
        <v>2069</v>
      </c>
      <c r="C36" s="782" t="s">
        <v>2070</v>
      </c>
    </row>
    <row r="37" spans="1:3">
      <c r="A37" s="1256" t="s">
        <v>2071</v>
      </c>
      <c r="C37" s="782" t="s">
        <v>2072</v>
      </c>
    </row>
    <row r="38" spans="1:3">
      <c r="A38" s="1256" t="s">
        <v>2073</v>
      </c>
      <c r="C38" s="782" t="s">
        <v>2074</v>
      </c>
    </row>
    <row r="39" spans="1:3">
      <c r="A39" s="1256" t="s">
        <v>2076</v>
      </c>
      <c r="C39" s="782" t="s">
        <v>2077</v>
      </c>
    </row>
    <row r="40" spans="1:3">
      <c r="A40" s="1256" t="s">
        <v>2078</v>
      </c>
      <c r="C40" s="782" t="s">
        <v>2079</v>
      </c>
    </row>
    <row r="41" spans="1:3">
      <c r="A41" s="1256" t="s">
        <v>2080</v>
      </c>
      <c r="C41" s="782" t="s">
        <v>2081</v>
      </c>
    </row>
    <row r="42" spans="1:3">
      <c r="A42" s="1256" t="s">
        <v>2186</v>
      </c>
      <c r="C42" s="782" t="s">
        <v>2187</v>
      </c>
    </row>
    <row r="43" spans="1:3">
      <c r="A43" s="1256" t="s">
        <v>2185</v>
      </c>
      <c r="C43" s="782" t="s">
        <v>2075</v>
      </c>
    </row>
    <row r="44" spans="1:3">
      <c r="A44" s="1256" t="s">
        <v>2082</v>
      </c>
      <c r="C44" s="782" t="s">
        <v>2083</v>
      </c>
    </row>
    <row r="45" spans="1:3">
      <c r="A45" s="1256" t="s">
        <v>2084</v>
      </c>
      <c r="C45" s="782" t="s">
        <v>2085</v>
      </c>
    </row>
    <row r="46" spans="1:3">
      <c r="A46" s="1256" t="s">
        <v>2086</v>
      </c>
      <c r="C46" s="782" t="s">
        <v>2087</v>
      </c>
    </row>
    <row r="47" spans="1:3">
      <c r="A47" s="1256" t="s">
        <v>2088</v>
      </c>
      <c r="C47" s="782" t="s">
        <v>2089</v>
      </c>
    </row>
    <row r="48" spans="1:3">
      <c r="A48" s="782" t="s">
        <v>2090</v>
      </c>
      <c r="C48" s="782" t="s">
        <v>2091</v>
      </c>
    </row>
    <row r="49" spans="1:3">
      <c r="A49" s="782" t="s">
        <v>2092</v>
      </c>
      <c r="C49" s="782" t="s">
        <v>2093</v>
      </c>
    </row>
    <row r="50" spans="1:3">
      <c r="A50" s="782" t="s">
        <v>2094</v>
      </c>
      <c r="C50" s="782" t="s">
        <v>2095</v>
      </c>
    </row>
    <row r="51" spans="1:3">
      <c r="A51" s="782" t="s">
        <v>2096</v>
      </c>
      <c r="C51" s="782" t="s">
        <v>2097</v>
      </c>
    </row>
    <row r="52" spans="1:3">
      <c r="A52" s="782" t="s">
        <v>2098</v>
      </c>
      <c r="C52" s="782" t="s">
        <v>2099</v>
      </c>
    </row>
    <row r="53" spans="1:3">
      <c r="A53" s="782" t="s">
        <v>2100</v>
      </c>
      <c r="C53" s="782" t="s">
        <v>2188</v>
      </c>
    </row>
    <row r="54" spans="1:3">
      <c r="A54" s="782" t="s">
        <v>2101</v>
      </c>
      <c r="C54" s="782" t="s">
        <v>163</v>
      </c>
    </row>
    <row r="55" spans="1:3">
      <c r="A55" s="782" t="s">
        <v>2260</v>
      </c>
      <c r="C55" s="782" t="s">
        <v>2263</v>
      </c>
    </row>
    <row r="56" spans="1:3">
      <c r="A56" s="782" t="s">
        <v>2261</v>
      </c>
      <c r="C56" s="782" t="s">
        <v>2262</v>
      </c>
    </row>
  </sheetData>
  <sortState ref="A3:C54">
    <sortCondition ref="A3"/>
  </sortState>
  <pageMargins left="0.98425196850393704" right="0" top="0" bottom="0" header="0.31496062992125984" footer="0.31496062992125984"/>
  <pageSetup paperSize="9" scale="90" orientation="portrait" r:id="rId1"/>
</worksheet>
</file>

<file path=xl/worksheets/sheet20.xml><?xml version="1.0" encoding="utf-8"?>
<worksheet xmlns="http://schemas.openxmlformats.org/spreadsheetml/2006/main" xmlns:r="http://schemas.openxmlformats.org/officeDocument/2006/relationships">
  <sheetPr>
    <tabColor theme="5" tint="0.59999389629810485"/>
  </sheetPr>
  <dimension ref="B3:L35"/>
  <sheetViews>
    <sheetView workbookViewId="0">
      <selection activeCell="B36" sqref="B36"/>
    </sheetView>
  </sheetViews>
  <sheetFormatPr baseColWidth="10" defaultRowHeight="15"/>
  <cols>
    <col min="1" max="1" width="6.5703125" customWidth="1"/>
    <col min="257" max="257" width="6.5703125" customWidth="1"/>
    <col min="513" max="513" width="6.5703125" customWidth="1"/>
    <col min="769" max="769" width="6.5703125" customWidth="1"/>
    <col min="1025" max="1025" width="6.5703125" customWidth="1"/>
    <col min="1281" max="1281" width="6.5703125" customWidth="1"/>
    <col min="1537" max="1537" width="6.5703125" customWidth="1"/>
    <col min="1793" max="1793" width="6.5703125" customWidth="1"/>
    <col min="2049" max="2049" width="6.5703125" customWidth="1"/>
    <col min="2305" max="2305" width="6.5703125" customWidth="1"/>
    <col min="2561" max="2561" width="6.5703125" customWidth="1"/>
    <col min="2817" max="2817" width="6.5703125" customWidth="1"/>
    <col min="3073" max="3073" width="6.5703125" customWidth="1"/>
    <col min="3329" max="3329" width="6.5703125" customWidth="1"/>
    <col min="3585" max="3585" width="6.5703125" customWidth="1"/>
    <col min="3841" max="3841" width="6.5703125" customWidth="1"/>
    <col min="4097" max="4097" width="6.5703125" customWidth="1"/>
    <col min="4353" max="4353" width="6.5703125" customWidth="1"/>
    <col min="4609" max="4609" width="6.5703125" customWidth="1"/>
    <col min="4865" max="4865" width="6.5703125" customWidth="1"/>
    <col min="5121" max="5121" width="6.5703125" customWidth="1"/>
    <col min="5377" max="5377" width="6.5703125" customWidth="1"/>
    <col min="5633" max="5633" width="6.5703125" customWidth="1"/>
    <col min="5889" max="5889" width="6.5703125" customWidth="1"/>
    <col min="6145" max="6145" width="6.5703125" customWidth="1"/>
    <col min="6401" max="6401" width="6.5703125" customWidth="1"/>
    <col min="6657" max="6657" width="6.5703125" customWidth="1"/>
    <col min="6913" max="6913" width="6.5703125" customWidth="1"/>
    <col min="7169" max="7169" width="6.5703125" customWidth="1"/>
    <col min="7425" max="7425" width="6.5703125" customWidth="1"/>
    <col min="7681" max="7681" width="6.5703125" customWidth="1"/>
    <col min="7937" max="7937" width="6.5703125" customWidth="1"/>
    <col min="8193" max="8193" width="6.5703125" customWidth="1"/>
    <col min="8449" max="8449" width="6.5703125" customWidth="1"/>
    <col min="8705" max="8705" width="6.5703125" customWidth="1"/>
    <col min="8961" max="8961" width="6.5703125" customWidth="1"/>
    <col min="9217" max="9217" width="6.5703125" customWidth="1"/>
    <col min="9473" max="9473" width="6.5703125" customWidth="1"/>
    <col min="9729" max="9729" width="6.5703125" customWidth="1"/>
    <col min="9985" max="9985" width="6.5703125" customWidth="1"/>
    <col min="10241" max="10241" width="6.5703125" customWidth="1"/>
    <col min="10497" max="10497" width="6.5703125" customWidth="1"/>
    <col min="10753" max="10753" width="6.5703125" customWidth="1"/>
    <col min="11009" max="11009" width="6.5703125" customWidth="1"/>
    <col min="11265" max="11265" width="6.5703125" customWidth="1"/>
    <col min="11521" max="11521" width="6.5703125" customWidth="1"/>
    <col min="11777" max="11777" width="6.5703125" customWidth="1"/>
    <col min="12033" max="12033" width="6.5703125" customWidth="1"/>
    <col min="12289" max="12289" width="6.5703125" customWidth="1"/>
    <col min="12545" max="12545" width="6.5703125" customWidth="1"/>
    <col min="12801" max="12801" width="6.5703125" customWidth="1"/>
    <col min="13057" max="13057" width="6.5703125" customWidth="1"/>
    <col min="13313" max="13313" width="6.5703125" customWidth="1"/>
    <col min="13569" max="13569" width="6.5703125" customWidth="1"/>
    <col min="13825" max="13825" width="6.5703125" customWidth="1"/>
    <col min="14081" max="14081" width="6.5703125" customWidth="1"/>
    <col min="14337" max="14337" width="6.5703125" customWidth="1"/>
    <col min="14593" max="14593" width="6.5703125" customWidth="1"/>
    <col min="14849" max="14849" width="6.5703125" customWidth="1"/>
    <col min="15105" max="15105" width="6.5703125" customWidth="1"/>
    <col min="15361" max="15361" width="6.5703125" customWidth="1"/>
    <col min="15617" max="15617" width="6.5703125" customWidth="1"/>
    <col min="15873" max="15873" width="6.5703125" customWidth="1"/>
    <col min="16129" max="16129" width="6.5703125" customWidth="1"/>
  </cols>
  <sheetData>
    <row r="3" spans="2:12">
      <c r="C3" t="s">
        <v>293</v>
      </c>
      <c r="D3" t="s">
        <v>294</v>
      </c>
      <c r="G3" s="42"/>
      <c r="H3" s="48"/>
    </row>
    <row r="4" spans="2:12">
      <c r="B4" t="s">
        <v>305</v>
      </c>
      <c r="C4" s="17">
        <v>11.58</v>
      </c>
      <c r="D4" s="17">
        <v>11.58</v>
      </c>
      <c r="F4" s="17"/>
      <c r="G4" s="17"/>
      <c r="L4" s="43"/>
    </row>
    <row r="5" spans="2:12">
      <c r="B5" t="s">
        <v>306</v>
      </c>
      <c r="C5" s="17">
        <v>21.72</v>
      </c>
      <c r="D5" s="17">
        <v>21.72</v>
      </c>
      <c r="F5" s="17"/>
      <c r="G5" s="17"/>
      <c r="H5" s="43"/>
      <c r="I5" s="43"/>
      <c r="J5" s="43"/>
    </row>
    <row r="6" spans="2:12">
      <c r="B6" t="s">
        <v>307</v>
      </c>
      <c r="C6" s="17">
        <v>20.92</v>
      </c>
      <c r="D6" s="17">
        <v>20.92</v>
      </c>
      <c r="E6" s="31"/>
      <c r="F6" s="17"/>
      <c r="G6" s="17"/>
      <c r="H6" s="43"/>
      <c r="I6" s="43"/>
      <c r="J6" s="43"/>
    </row>
    <row r="7" spans="2:12">
      <c r="B7" t="s">
        <v>308</v>
      </c>
      <c r="C7" s="17">
        <v>3.31</v>
      </c>
      <c r="D7" s="17">
        <v>3.31</v>
      </c>
      <c r="F7" s="17"/>
      <c r="G7" s="17"/>
    </row>
    <row r="8" spans="2:12">
      <c r="B8" t="s">
        <v>309</v>
      </c>
      <c r="C8" s="17">
        <v>42.48</v>
      </c>
      <c r="D8" s="17">
        <v>42.48</v>
      </c>
      <c r="F8" s="17"/>
      <c r="G8" s="17"/>
    </row>
    <row r="9" spans="2:12">
      <c r="B9" s="31"/>
      <c r="C9" s="31"/>
      <c r="D9" s="31"/>
      <c r="E9" s="31"/>
      <c r="F9" s="31"/>
    </row>
    <row r="35" spans="2:6">
      <c r="B35" s="43"/>
      <c r="C35" s="43"/>
      <c r="D35" s="43"/>
      <c r="E35" s="43"/>
      <c r="F35" s="43"/>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dimension ref="A1:S121"/>
  <sheetViews>
    <sheetView workbookViewId="0">
      <selection activeCell="A18" sqref="A18"/>
    </sheetView>
  </sheetViews>
  <sheetFormatPr baseColWidth="10" defaultColWidth="9.140625" defaultRowHeight="12.75"/>
  <cols>
    <col min="1" max="1" width="36" style="434" customWidth="1"/>
    <col min="2" max="2" width="8" style="544" customWidth="1"/>
    <col min="3" max="3" width="8.28515625" style="436" customWidth="1"/>
    <col min="4" max="4" width="2.5703125" style="434" customWidth="1"/>
    <col min="5" max="5" width="7.5703125" style="435" customWidth="1"/>
    <col min="6" max="6" width="7.7109375" style="436" customWidth="1"/>
    <col min="7" max="7" width="2.5703125" style="434" customWidth="1"/>
    <col min="8" max="8" width="8.28515625" style="435" customWidth="1"/>
    <col min="9" max="9" width="8.42578125" style="436" customWidth="1"/>
    <col min="10" max="10" width="2.5703125" style="436" customWidth="1"/>
    <col min="11" max="11" width="7.7109375" style="435" customWidth="1"/>
    <col min="12" max="12" width="7.5703125" style="436" customWidth="1"/>
    <col min="13" max="13" width="2.5703125" style="434" customWidth="1"/>
    <col min="14" max="14" width="7.85546875" style="435" customWidth="1"/>
    <col min="15" max="15" width="7.85546875" style="434" customWidth="1"/>
    <col min="16" max="16" width="2.7109375" style="434" customWidth="1"/>
    <col min="17" max="18" width="7.7109375" style="434" customWidth="1"/>
    <col min="19" max="19" width="2.5703125" style="434" customWidth="1"/>
    <col min="20" max="256" width="9.140625" style="434"/>
    <col min="257" max="257" width="36" style="434" customWidth="1"/>
    <col min="258" max="258" width="8" style="434" customWidth="1"/>
    <col min="259" max="259" width="8.28515625" style="434" customWidth="1"/>
    <col min="260" max="260" width="2.5703125" style="434" customWidth="1"/>
    <col min="261" max="261" width="7.5703125" style="434" customWidth="1"/>
    <col min="262" max="262" width="7.7109375" style="434" customWidth="1"/>
    <col min="263" max="263" width="2.5703125" style="434" customWidth="1"/>
    <col min="264" max="264" width="8.28515625" style="434" customWidth="1"/>
    <col min="265" max="265" width="8.42578125" style="434" customWidth="1"/>
    <col min="266" max="266" width="2.5703125" style="434" customWidth="1"/>
    <col min="267" max="267" width="7.7109375" style="434" customWidth="1"/>
    <col min="268" max="268" width="7.5703125" style="434" customWidth="1"/>
    <col min="269" max="269" width="2.5703125" style="434" customWidth="1"/>
    <col min="270" max="271" width="7.85546875" style="434" customWidth="1"/>
    <col min="272" max="272" width="2.7109375" style="434" customWidth="1"/>
    <col min="273" max="274" width="7.7109375" style="434" customWidth="1"/>
    <col min="275" max="275" width="2.5703125" style="434" customWidth="1"/>
    <col min="276" max="512" width="9.140625" style="434"/>
    <col min="513" max="513" width="36" style="434" customWidth="1"/>
    <col min="514" max="514" width="8" style="434" customWidth="1"/>
    <col min="515" max="515" width="8.28515625" style="434" customWidth="1"/>
    <col min="516" max="516" width="2.5703125" style="434" customWidth="1"/>
    <col min="517" max="517" width="7.5703125" style="434" customWidth="1"/>
    <col min="518" max="518" width="7.7109375" style="434" customWidth="1"/>
    <col min="519" max="519" width="2.5703125" style="434" customWidth="1"/>
    <col min="520" max="520" width="8.28515625" style="434" customWidth="1"/>
    <col min="521" max="521" width="8.42578125" style="434" customWidth="1"/>
    <col min="522" max="522" width="2.5703125" style="434" customWidth="1"/>
    <col min="523" max="523" width="7.7109375" style="434" customWidth="1"/>
    <col min="524" max="524" width="7.5703125" style="434" customWidth="1"/>
    <col min="525" max="525" width="2.5703125" style="434" customWidth="1"/>
    <col min="526" max="527" width="7.85546875" style="434" customWidth="1"/>
    <col min="528" max="528" width="2.7109375" style="434" customWidth="1"/>
    <col min="529" max="530" width="7.7109375" style="434" customWidth="1"/>
    <col min="531" max="531" width="2.5703125" style="434" customWidth="1"/>
    <col min="532" max="768" width="9.140625" style="434"/>
    <col min="769" max="769" width="36" style="434" customWidth="1"/>
    <col min="770" max="770" width="8" style="434" customWidth="1"/>
    <col min="771" max="771" width="8.28515625" style="434" customWidth="1"/>
    <col min="772" max="772" width="2.5703125" style="434" customWidth="1"/>
    <col min="773" max="773" width="7.5703125" style="434" customWidth="1"/>
    <col min="774" max="774" width="7.7109375" style="434" customWidth="1"/>
    <col min="775" max="775" width="2.5703125" style="434" customWidth="1"/>
    <col min="776" max="776" width="8.28515625" style="434" customWidth="1"/>
    <col min="777" max="777" width="8.42578125" style="434" customWidth="1"/>
    <col min="778" max="778" width="2.5703125" style="434" customWidth="1"/>
    <col min="779" max="779" width="7.7109375" style="434" customWidth="1"/>
    <col min="780" max="780" width="7.5703125" style="434" customWidth="1"/>
    <col min="781" max="781" width="2.5703125" style="434" customWidth="1"/>
    <col min="782" max="783" width="7.85546875" style="434" customWidth="1"/>
    <col min="784" max="784" width="2.7109375" style="434" customWidth="1"/>
    <col min="785" max="786" width="7.7109375" style="434" customWidth="1"/>
    <col min="787" max="787" width="2.5703125" style="434" customWidth="1"/>
    <col min="788" max="1024" width="9.140625" style="434"/>
    <col min="1025" max="1025" width="36" style="434" customWidth="1"/>
    <col min="1026" max="1026" width="8" style="434" customWidth="1"/>
    <col min="1027" max="1027" width="8.28515625" style="434" customWidth="1"/>
    <col min="1028" max="1028" width="2.5703125" style="434" customWidth="1"/>
    <col min="1029" max="1029" width="7.5703125" style="434" customWidth="1"/>
    <col min="1030" max="1030" width="7.7109375" style="434" customWidth="1"/>
    <col min="1031" max="1031" width="2.5703125" style="434" customWidth="1"/>
    <col min="1032" max="1032" width="8.28515625" style="434" customWidth="1"/>
    <col min="1033" max="1033" width="8.42578125" style="434" customWidth="1"/>
    <col min="1034" max="1034" width="2.5703125" style="434" customWidth="1"/>
    <col min="1035" max="1035" width="7.7109375" style="434" customWidth="1"/>
    <col min="1036" max="1036" width="7.5703125" style="434" customWidth="1"/>
    <col min="1037" max="1037" width="2.5703125" style="434" customWidth="1"/>
    <col min="1038" max="1039" width="7.85546875" style="434" customWidth="1"/>
    <col min="1040" max="1040" width="2.7109375" style="434" customWidth="1"/>
    <col min="1041" max="1042" width="7.7109375" style="434" customWidth="1"/>
    <col min="1043" max="1043" width="2.5703125" style="434" customWidth="1"/>
    <col min="1044" max="1280" width="9.140625" style="434"/>
    <col min="1281" max="1281" width="36" style="434" customWidth="1"/>
    <col min="1282" max="1282" width="8" style="434" customWidth="1"/>
    <col min="1283" max="1283" width="8.28515625" style="434" customWidth="1"/>
    <col min="1284" max="1284" width="2.5703125" style="434" customWidth="1"/>
    <col min="1285" max="1285" width="7.5703125" style="434" customWidth="1"/>
    <col min="1286" max="1286" width="7.7109375" style="434" customWidth="1"/>
    <col min="1287" max="1287" width="2.5703125" style="434" customWidth="1"/>
    <col min="1288" max="1288" width="8.28515625" style="434" customWidth="1"/>
    <col min="1289" max="1289" width="8.42578125" style="434" customWidth="1"/>
    <col min="1290" max="1290" width="2.5703125" style="434" customWidth="1"/>
    <col min="1291" max="1291" width="7.7109375" style="434" customWidth="1"/>
    <col min="1292" max="1292" width="7.5703125" style="434" customWidth="1"/>
    <col min="1293" max="1293" width="2.5703125" style="434" customWidth="1"/>
    <col min="1294" max="1295" width="7.85546875" style="434" customWidth="1"/>
    <col min="1296" max="1296" width="2.7109375" style="434" customWidth="1"/>
    <col min="1297" max="1298" width="7.7109375" style="434" customWidth="1"/>
    <col min="1299" max="1299" width="2.5703125" style="434" customWidth="1"/>
    <col min="1300" max="1536" width="9.140625" style="434"/>
    <col min="1537" max="1537" width="36" style="434" customWidth="1"/>
    <col min="1538" max="1538" width="8" style="434" customWidth="1"/>
    <col min="1539" max="1539" width="8.28515625" style="434" customWidth="1"/>
    <col min="1540" max="1540" width="2.5703125" style="434" customWidth="1"/>
    <col min="1541" max="1541" width="7.5703125" style="434" customWidth="1"/>
    <col min="1542" max="1542" width="7.7109375" style="434" customWidth="1"/>
    <col min="1543" max="1543" width="2.5703125" style="434" customWidth="1"/>
    <col min="1544" max="1544" width="8.28515625" style="434" customWidth="1"/>
    <col min="1545" max="1545" width="8.42578125" style="434" customWidth="1"/>
    <col min="1546" max="1546" width="2.5703125" style="434" customWidth="1"/>
    <col min="1547" max="1547" width="7.7109375" style="434" customWidth="1"/>
    <col min="1548" max="1548" width="7.5703125" style="434" customWidth="1"/>
    <col min="1549" max="1549" width="2.5703125" style="434" customWidth="1"/>
    <col min="1550" max="1551" width="7.85546875" style="434" customWidth="1"/>
    <col min="1552" max="1552" width="2.7109375" style="434" customWidth="1"/>
    <col min="1553" max="1554" width="7.7109375" style="434" customWidth="1"/>
    <col min="1555" max="1555" width="2.5703125" style="434" customWidth="1"/>
    <col min="1556" max="1792" width="9.140625" style="434"/>
    <col min="1793" max="1793" width="36" style="434" customWidth="1"/>
    <col min="1794" max="1794" width="8" style="434" customWidth="1"/>
    <col min="1795" max="1795" width="8.28515625" style="434" customWidth="1"/>
    <col min="1796" max="1796" width="2.5703125" style="434" customWidth="1"/>
    <col min="1797" max="1797" width="7.5703125" style="434" customWidth="1"/>
    <col min="1798" max="1798" width="7.7109375" style="434" customWidth="1"/>
    <col min="1799" max="1799" width="2.5703125" style="434" customWidth="1"/>
    <col min="1800" max="1800" width="8.28515625" style="434" customWidth="1"/>
    <col min="1801" max="1801" width="8.42578125" style="434" customWidth="1"/>
    <col min="1802" max="1802" width="2.5703125" style="434" customWidth="1"/>
    <col min="1803" max="1803" width="7.7109375" style="434" customWidth="1"/>
    <col min="1804" max="1804" width="7.5703125" style="434" customWidth="1"/>
    <col min="1805" max="1805" width="2.5703125" style="434" customWidth="1"/>
    <col min="1806" max="1807" width="7.85546875" style="434" customWidth="1"/>
    <col min="1808" max="1808" width="2.7109375" style="434" customWidth="1"/>
    <col min="1809" max="1810" width="7.7109375" style="434" customWidth="1"/>
    <col min="1811" max="1811" width="2.5703125" style="434" customWidth="1"/>
    <col min="1812" max="2048" width="9.140625" style="434"/>
    <col min="2049" max="2049" width="36" style="434" customWidth="1"/>
    <col min="2050" max="2050" width="8" style="434" customWidth="1"/>
    <col min="2051" max="2051" width="8.28515625" style="434" customWidth="1"/>
    <col min="2052" max="2052" width="2.5703125" style="434" customWidth="1"/>
    <col min="2053" max="2053" width="7.5703125" style="434" customWidth="1"/>
    <col min="2054" max="2054" width="7.7109375" style="434" customWidth="1"/>
    <col min="2055" max="2055" width="2.5703125" style="434" customWidth="1"/>
    <col min="2056" max="2056" width="8.28515625" style="434" customWidth="1"/>
    <col min="2057" max="2057" width="8.42578125" style="434" customWidth="1"/>
    <col min="2058" max="2058" width="2.5703125" style="434" customWidth="1"/>
    <col min="2059" max="2059" width="7.7109375" style="434" customWidth="1"/>
    <col min="2060" max="2060" width="7.5703125" style="434" customWidth="1"/>
    <col min="2061" max="2061" width="2.5703125" style="434" customWidth="1"/>
    <col min="2062" max="2063" width="7.85546875" style="434" customWidth="1"/>
    <col min="2064" max="2064" width="2.7109375" style="434" customWidth="1"/>
    <col min="2065" max="2066" width="7.7109375" style="434" customWidth="1"/>
    <col min="2067" max="2067" width="2.5703125" style="434" customWidth="1"/>
    <col min="2068" max="2304" width="9.140625" style="434"/>
    <col min="2305" max="2305" width="36" style="434" customWidth="1"/>
    <col min="2306" max="2306" width="8" style="434" customWidth="1"/>
    <col min="2307" max="2307" width="8.28515625" style="434" customWidth="1"/>
    <col min="2308" max="2308" width="2.5703125" style="434" customWidth="1"/>
    <col min="2309" max="2309" width="7.5703125" style="434" customWidth="1"/>
    <col min="2310" max="2310" width="7.7109375" style="434" customWidth="1"/>
    <col min="2311" max="2311" width="2.5703125" style="434" customWidth="1"/>
    <col min="2312" max="2312" width="8.28515625" style="434" customWidth="1"/>
    <col min="2313" max="2313" width="8.42578125" style="434" customWidth="1"/>
    <col min="2314" max="2314" width="2.5703125" style="434" customWidth="1"/>
    <col min="2315" max="2315" width="7.7109375" style="434" customWidth="1"/>
    <col min="2316" max="2316" width="7.5703125" style="434" customWidth="1"/>
    <col min="2317" max="2317" width="2.5703125" style="434" customWidth="1"/>
    <col min="2318" max="2319" width="7.85546875" style="434" customWidth="1"/>
    <col min="2320" max="2320" width="2.7109375" style="434" customWidth="1"/>
    <col min="2321" max="2322" width="7.7109375" style="434" customWidth="1"/>
    <col min="2323" max="2323" width="2.5703125" style="434" customWidth="1"/>
    <col min="2324" max="2560" width="9.140625" style="434"/>
    <col min="2561" max="2561" width="36" style="434" customWidth="1"/>
    <col min="2562" max="2562" width="8" style="434" customWidth="1"/>
    <col min="2563" max="2563" width="8.28515625" style="434" customWidth="1"/>
    <col min="2564" max="2564" width="2.5703125" style="434" customWidth="1"/>
    <col min="2565" max="2565" width="7.5703125" style="434" customWidth="1"/>
    <col min="2566" max="2566" width="7.7109375" style="434" customWidth="1"/>
    <col min="2567" max="2567" width="2.5703125" style="434" customWidth="1"/>
    <col min="2568" max="2568" width="8.28515625" style="434" customWidth="1"/>
    <col min="2569" max="2569" width="8.42578125" style="434" customWidth="1"/>
    <col min="2570" max="2570" width="2.5703125" style="434" customWidth="1"/>
    <col min="2571" max="2571" width="7.7109375" style="434" customWidth="1"/>
    <col min="2572" max="2572" width="7.5703125" style="434" customWidth="1"/>
    <col min="2573" max="2573" width="2.5703125" style="434" customWidth="1"/>
    <col min="2574" max="2575" width="7.85546875" style="434" customWidth="1"/>
    <col min="2576" max="2576" width="2.7109375" style="434" customWidth="1"/>
    <col min="2577" max="2578" width="7.7109375" style="434" customWidth="1"/>
    <col min="2579" max="2579" width="2.5703125" style="434" customWidth="1"/>
    <col min="2580" max="2816" width="9.140625" style="434"/>
    <col min="2817" max="2817" width="36" style="434" customWidth="1"/>
    <col min="2818" max="2818" width="8" style="434" customWidth="1"/>
    <col min="2819" max="2819" width="8.28515625" style="434" customWidth="1"/>
    <col min="2820" max="2820" width="2.5703125" style="434" customWidth="1"/>
    <col min="2821" max="2821" width="7.5703125" style="434" customWidth="1"/>
    <col min="2822" max="2822" width="7.7109375" style="434" customWidth="1"/>
    <col min="2823" max="2823" width="2.5703125" style="434" customWidth="1"/>
    <col min="2824" max="2824" width="8.28515625" style="434" customWidth="1"/>
    <col min="2825" max="2825" width="8.42578125" style="434" customWidth="1"/>
    <col min="2826" max="2826" width="2.5703125" style="434" customWidth="1"/>
    <col min="2827" max="2827" width="7.7109375" style="434" customWidth="1"/>
    <col min="2828" max="2828" width="7.5703125" style="434" customWidth="1"/>
    <col min="2829" max="2829" width="2.5703125" style="434" customWidth="1"/>
    <col min="2830" max="2831" width="7.85546875" style="434" customWidth="1"/>
    <col min="2832" max="2832" width="2.7109375" style="434" customWidth="1"/>
    <col min="2833" max="2834" width="7.7109375" style="434" customWidth="1"/>
    <col min="2835" max="2835" width="2.5703125" style="434" customWidth="1"/>
    <col min="2836" max="3072" width="9.140625" style="434"/>
    <col min="3073" max="3073" width="36" style="434" customWidth="1"/>
    <col min="3074" max="3074" width="8" style="434" customWidth="1"/>
    <col min="3075" max="3075" width="8.28515625" style="434" customWidth="1"/>
    <col min="3076" max="3076" width="2.5703125" style="434" customWidth="1"/>
    <col min="3077" max="3077" width="7.5703125" style="434" customWidth="1"/>
    <col min="3078" max="3078" width="7.7109375" style="434" customWidth="1"/>
    <col min="3079" max="3079" width="2.5703125" style="434" customWidth="1"/>
    <col min="3080" max="3080" width="8.28515625" style="434" customWidth="1"/>
    <col min="3081" max="3081" width="8.42578125" style="434" customWidth="1"/>
    <col min="3082" max="3082" width="2.5703125" style="434" customWidth="1"/>
    <col min="3083" max="3083" width="7.7109375" style="434" customWidth="1"/>
    <col min="3084" max="3084" width="7.5703125" style="434" customWidth="1"/>
    <col min="3085" max="3085" width="2.5703125" style="434" customWidth="1"/>
    <col min="3086" max="3087" width="7.85546875" style="434" customWidth="1"/>
    <col min="3088" max="3088" width="2.7109375" style="434" customWidth="1"/>
    <col min="3089" max="3090" width="7.7109375" style="434" customWidth="1"/>
    <col min="3091" max="3091" width="2.5703125" style="434" customWidth="1"/>
    <col min="3092" max="3328" width="9.140625" style="434"/>
    <col min="3329" max="3329" width="36" style="434" customWidth="1"/>
    <col min="3330" max="3330" width="8" style="434" customWidth="1"/>
    <col min="3331" max="3331" width="8.28515625" style="434" customWidth="1"/>
    <col min="3332" max="3332" width="2.5703125" style="434" customWidth="1"/>
    <col min="3333" max="3333" width="7.5703125" style="434" customWidth="1"/>
    <col min="3334" max="3334" width="7.7109375" style="434" customWidth="1"/>
    <col min="3335" max="3335" width="2.5703125" style="434" customWidth="1"/>
    <col min="3336" max="3336" width="8.28515625" style="434" customWidth="1"/>
    <col min="3337" max="3337" width="8.42578125" style="434" customWidth="1"/>
    <col min="3338" max="3338" width="2.5703125" style="434" customWidth="1"/>
    <col min="3339" max="3339" width="7.7109375" style="434" customWidth="1"/>
    <col min="3340" max="3340" width="7.5703125" style="434" customWidth="1"/>
    <col min="3341" max="3341" width="2.5703125" style="434" customWidth="1"/>
    <col min="3342" max="3343" width="7.85546875" style="434" customWidth="1"/>
    <col min="3344" max="3344" width="2.7109375" style="434" customWidth="1"/>
    <col min="3345" max="3346" width="7.7109375" style="434" customWidth="1"/>
    <col min="3347" max="3347" width="2.5703125" style="434" customWidth="1"/>
    <col min="3348" max="3584" width="9.140625" style="434"/>
    <col min="3585" max="3585" width="36" style="434" customWidth="1"/>
    <col min="3586" max="3586" width="8" style="434" customWidth="1"/>
    <col min="3587" max="3587" width="8.28515625" style="434" customWidth="1"/>
    <col min="3588" max="3588" width="2.5703125" style="434" customWidth="1"/>
    <col min="3589" max="3589" width="7.5703125" style="434" customWidth="1"/>
    <col min="3590" max="3590" width="7.7109375" style="434" customWidth="1"/>
    <col min="3591" max="3591" width="2.5703125" style="434" customWidth="1"/>
    <col min="3592" max="3592" width="8.28515625" style="434" customWidth="1"/>
    <col min="3593" max="3593" width="8.42578125" style="434" customWidth="1"/>
    <col min="3594" max="3594" width="2.5703125" style="434" customWidth="1"/>
    <col min="3595" max="3595" width="7.7109375" style="434" customWidth="1"/>
    <col min="3596" max="3596" width="7.5703125" style="434" customWidth="1"/>
    <col min="3597" max="3597" width="2.5703125" style="434" customWidth="1"/>
    <col min="3598" max="3599" width="7.85546875" style="434" customWidth="1"/>
    <col min="3600" max="3600" width="2.7109375" style="434" customWidth="1"/>
    <col min="3601" max="3602" width="7.7109375" style="434" customWidth="1"/>
    <col min="3603" max="3603" width="2.5703125" style="434" customWidth="1"/>
    <col min="3604" max="3840" width="9.140625" style="434"/>
    <col min="3841" max="3841" width="36" style="434" customWidth="1"/>
    <col min="3842" max="3842" width="8" style="434" customWidth="1"/>
    <col min="3843" max="3843" width="8.28515625" style="434" customWidth="1"/>
    <col min="3844" max="3844" width="2.5703125" style="434" customWidth="1"/>
    <col min="3845" max="3845" width="7.5703125" style="434" customWidth="1"/>
    <col min="3846" max="3846" width="7.7109375" style="434" customWidth="1"/>
    <col min="3847" max="3847" width="2.5703125" style="434" customWidth="1"/>
    <col min="3848" max="3848" width="8.28515625" style="434" customWidth="1"/>
    <col min="3849" max="3849" width="8.42578125" style="434" customWidth="1"/>
    <col min="3850" max="3850" width="2.5703125" style="434" customWidth="1"/>
    <col min="3851" max="3851" width="7.7109375" style="434" customWidth="1"/>
    <col min="3852" max="3852" width="7.5703125" style="434" customWidth="1"/>
    <col min="3853" max="3853" width="2.5703125" style="434" customWidth="1"/>
    <col min="3854" max="3855" width="7.85546875" style="434" customWidth="1"/>
    <col min="3856" max="3856" width="2.7109375" style="434" customWidth="1"/>
    <col min="3857" max="3858" width="7.7109375" style="434" customWidth="1"/>
    <col min="3859" max="3859" width="2.5703125" style="434" customWidth="1"/>
    <col min="3860" max="4096" width="9.140625" style="434"/>
    <col min="4097" max="4097" width="36" style="434" customWidth="1"/>
    <col min="4098" max="4098" width="8" style="434" customWidth="1"/>
    <col min="4099" max="4099" width="8.28515625" style="434" customWidth="1"/>
    <col min="4100" max="4100" width="2.5703125" style="434" customWidth="1"/>
    <col min="4101" max="4101" width="7.5703125" style="434" customWidth="1"/>
    <col min="4102" max="4102" width="7.7109375" style="434" customWidth="1"/>
    <col min="4103" max="4103" width="2.5703125" style="434" customWidth="1"/>
    <col min="4104" max="4104" width="8.28515625" style="434" customWidth="1"/>
    <col min="4105" max="4105" width="8.42578125" style="434" customWidth="1"/>
    <col min="4106" max="4106" width="2.5703125" style="434" customWidth="1"/>
    <col min="4107" max="4107" width="7.7109375" style="434" customWidth="1"/>
    <col min="4108" max="4108" width="7.5703125" style="434" customWidth="1"/>
    <col min="4109" max="4109" width="2.5703125" style="434" customWidth="1"/>
    <col min="4110" max="4111" width="7.85546875" style="434" customWidth="1"/>
    <col min="4112" max="4112" width="2.7109375" style="434" customWidth="1"/>
    <col min="4113" max="4114" width="7.7109375" style="434" customWidth="1"/>
    <col min="4115" max="4115" width="2.5703125" style="434" customWidth="1"/>
    <col min="4116" max="4352" width="9.140625" style="434"/>
    <col min="4353" max="4353" width="36" style="434" customWidth="1"/>
    <col min="4354" max="4354" width="8" style="434" customWidth="1"/>
    <col min="4355" max="4355" width="8.28515625" style="434" customWidth="1"/>
    <col min="4356" max="4356" width="2.5703125" style="434" customWidth="1"/>
    <col min="4357" max="4357" width="7.5703125" style="434" customWidth="1"/>
    <col min="4358" max="4358" width="7.7109375" style="434" customWidth="1"/>
    <col min="4359" max="4359" width="2.5703125" style="434" customWidth="1"/>
    <col min="4360" max="4360" width="8.28515625" style="434" customWidth="1"/>
    <col min="4361" max="4361" width="8.42578125" style="434" customWidth="1"/>
    <col min="4362" max="4362" width="2.5703125" style="434" customWidth="1"/>
    <col min="4363" max="4363" width="7.7109375" style="434" customWidth="1"/>
    <col min="4364" max="4364" width="7.5703125" style="434" customWidth="1"/>
    <col min="4365" max="4365" width="2.5703125" style="434" customWidth="1"/>
    <col min="4366" max="4367" width="7.85546875" style="434" customWidth="1"/>
    <col min="4368" max="4368" width="2.7109375" style="434" customWidth="1"/>
    <col min="4369" max="4370" width="7.7109375" style="434" customWidth="1"/>
    <col min="4371" max="4371" width="2.5703125" style="434" customWidth="1"/>
    <col min="4372" max="4608" width="9.140625" style="434"/>
    <col min="4609" max="4609" width="36" style="434" customWidth="1"/>
    <col min="4610" max="4610" width="8" style="434" customWidth="1"/>
    <col min="4611" max="4611" width="8.28515625" style="434" customWidth="1"/>
    <col min="4612" max="4612" width="2.5703125" style="434" customWidth="1"/>
    <col min="4613" max="4613" width="7.5703125" style="434" customWidth="1"/>
    <col min="4614" max="4614" width="7.7109375" style="434" customWidth="1"/>
    <col min="4615" max="4615" width="2.5703125" style="434" customWidth="1"/>
    <col min="4616" max="4616" width="8.28515625" style="434" customWidth="1"/>
    <col min="4617" max="4617" width="8.42578125" style="434" customWidth="1"/>
    <col min="4618" max="4618" width="2.5703125" style="434" customWidth="1"/>
    <col min="4619" max="4619" width="7.7109375" style="434" customWidth="1"/>
    <col min="4620" max="4620" width="7.5703125" style="434" customWidth="1"/>
    <col min="4621" max="4621" width="2.5703125" style="434" customWidth="1"/>
    <col min="4622" max="4623" width="7.85546875" style="434" customWidth="1"/>
    <col min="4624" max="4624" width="2.7109375" style="434" customWidth="1"/>
    <col min="4625" max="4626" width="7.7109375" style="434" customWidth="1"/>
    <col min="4627" max="4627" width="2.5703125" style="434" customWidth="1"/>
    <col min="4628" max="4864" width="9.140625" style="434"/>
    <col min="4865" max="4865" width="36" style="434" customWidth="1"/>
    <col min="4866" max="4866" width="8" style="434" customWidth="1"/>
    <col min="4867" max="4867" width="8.28515625" style="434" customWidth="1"/>
    <col min="4868" max="4868" width="2.5703125" style="434" customWidth="1"/>
    <col min="4869" max="4869" width="7.5703125" style="434" customWidth="1"/>
    <col min="4870" max="4870" width="7.7109375" style="434" customWidth="1"/>
    <col min="4871" max="4871" width="2.5703125" style="434" customWidth="1"/>
    <col min="4872" max="4872" width="8.28515625" style="434" customWidth="1"/>
    <col min="4873" max="4873" width="8.42578125" style="434" customWidth="1"/>
    <col min="4874" max="4874" width="2.5703125" style="434" customWidth="1"/>
    <col min="4875" max="4875" width="7.7109375" style="434" customWidth="1"/>
    <col min="4876" max="4876" width="7.5703125" style="434" customWidth="1"/>
    <col min="4877" max="4877" width="2.5703125" style="434" customWidth="1"/>
    <col min="4878" max="4879" width="7.85546875" style="434" customWidth="1"/>
    <col min="4880" max="4880" width="2.7109375" style="434" customWidth="1"/>
    <col min="4881" max="4882" width="7.7109375" style="434" customWidth="1"/>
    <col min="4883" max="4883" width="2.5703125" style="434" customWidth="1"/>
    <col min="4884" max="5120" width="9.140625" style="434"/>
    <col min="5121" max="5121" width="36" style="434" customWidth="1"/>
    <col min="5122" max="5122" width="8" style="434" customWidth="1"/>
    <col min="5123" max="5123" width="8.28515625" style="434" customWidth="1"/>
    <col min="5124" max="5124" width="2.5703125" style="434" customWidth="1"/>
    <col min="5125" max="5125" width="7.5703125" style="434" customWidth="1"/>
    <col min="5126" max="5126" width="7.7109375" style="434" customWidth="1"/>
    <col min="5127" max="5127" width="2.5703125" style="434" customWidth="1"/>
    <col min="5128" max="5128" width="8.28515625" style="434" customWidth="1"/>
    <col min="5129" max="5129" width="8.42578125" style="434" customWidth="1"/>
    <col min="5130" max="5130" width="2.5703125" style="434" customWidth="1"/>
    <col min="5131" max="5131" width="7.7109375" style="434" customWidth="1"/>
    <col min="5132" max="5132" width="7.5703125" style="434" customWidth="1"/>
    <col min="5133" max="5133" width="2.5703125" style="434" customWidth="1"/>
    <col min="5134" max="5135" width="7.85546875" style="434" customWidth="1"/>
    <col min="5136" max="5136" width="2.7109375" style="434" customWidth="1"/>
    <col min="5137" max="5138" width="7.7109375" style="434" customWidth="1"/>
    <col min="5139" max="5139" width="2.5703125" style="434" customWidth="1"/>
    <col min="5140" max="5376" width="9.140625" style="434"/>
    <col min="5377" max="5377" width="36" style="434" customWidth="1"/>
    <col min="5378" max="5378" width="8" style="434" customWidth="1"/>
    <col min="5379" max="5379" width="8.28515625" style="434" customWidth="1"/>
    <col min="5380" max="5380" width="2.5703125" style="434" customWidth="1"/>
    <col min="5381" max="5381" width="7.5703125" style="434" customWidth="1"/>
    <col min="5382" max="5382" width="7.7109375" style="434" customWidth="1"/>
    <col min="5383" max="5383" width="2.5703125" style="434" customWidth="1"/>
    <col min="5384" max="5384" width="8.28515625" style="434" customWidth="1"/>
    <col min="5385" max="5385" width="8.42578125" style="434" customWidth="1"/>
    <col min="5386" max="5386" width="2.5703125" style="434" customWidth="1"/>
    <col min="5387" max="5387" width="7.7109375" style="434" customWidth="1"/>
    <col min="5388" max="5388" width="7.5703125" style="434" customWidth="1"/>
    <col min="5389" max="5389" width="2.5703125" style="434" customWidth="1"/>
    <col min="5390" max="5391" width="7.85546875" style="434" customWidth="1"/>
    <col min="5392" max="5392" width="2.7109375" style="434" customWidth="1"/>
    <col min="5393" max="5394" width="7.7109375" style="434" customWidth="1"/>
    <col min="5395" max="5395" width="2.5703125" style="434" customWidth="1"/>
    <col min="5396" max="5632" width="9.140625" style="434"/>
    <col min="5633" max="5633" width="36" style="434" customWidth="1"/>
    <col min="5634" max="5634" width="8" style="434" customWidth="1"/>
    <col min="5635" max="5635" width="8.28515625" style="434" customWidth="1"/>
    <col min="5636" max="5636" width="2.5703125" style="434" customWidth="1"/>
    <col min="5637" max="5637" width="7.5703125" style="434" customWidth="1"/>
    <col min="5638" max="5638" width="7.7109375" style="434" customWidth="1"/>
    <col min="5639" max="5639" width="2.5703125" style="434" customWidth="1"/>
    <col min="5640" max="5640" width="8.28515625" style="434" customWidth="1"/>
    <col min="5641" max="5641" width="8.42578125" style="434" customWidth="1"/>
    <col min="5642" max="5642" width="2.5703125" style="434" customWidth="1"/>
    <col min="5643" max="5643" width="7.7109375" style="434" customWidth="1"/>
    <col min="5644" max="5644" width="7.5703125" style="434" customWidth="1"/>
    <col min="5645" max="5645" width="2.5703125" style="434" customWidth="1"/>
    <col min="5646" max="5647" width="7.85546875" style="434" customWidth="1"/>
    <col min="5648" max="5648" width="2.7109375" style="434" customWidth="1"/>
    <col min="5649" max="5650" width="7.7109375" style="434" customWidth="1"/>
    <col min="5651" max="5651" width="2.5703125" style="434" customWidth="1"/>
    <col min="5652" max="5888" width="9.140625" style="434"/>
    <col min="5889" max="5889" width="36" style="434" customWidth="1"/>
    <col min="5890" max="5890" width="8" style="434" customWidth="1"/>
    <col min="5891" max="5891" width="8.28515625" style="434" customWidth="1"/>
    <col min="5892" max="5892" width="2.5703125" style="434" customWidth="1"/>
    <col min="5893" max="5893" width="7.5703125" style="434" customWidth="1"/>
    <col min="5894" max="5894" width="7.7109375" style="434" customWidth="1"/>
    <col min="5895" max="5895" width="2.5703125" style="434" customWidth="1"/>
    <col min="5896" max="5896" width="8.28515625" style="434" customWidth="1"/>
    <col min="5897" max="5897" width="8.42578125" style="434" customWidth="1"/>
    <col min="5898" max="5898" width="2.5703125" style="434" customWidth="1"/>
    <col min="5899" max="5899" width="7.7109375" style="434" customWidth="1"/>
    <col min="5900" max="5900" width="7.5703125" style="434" customWidth="1"/>
    <col min="5901" max="5901" width="2.5703125" style="434" customWidth="1"/>
    <col min="5902" max="5903" width="7.85546875" style="434" customWidth="1"/>
    <col min="5904" max="5904" width="2.7109375" style="434" customWidth="1"/>
    <col min="5905" max="5906" width="7.7109375" style="434" customWidth="1"/>
    <col min="5907" max="5907" width="2.5703125" style="434" customWidth="1"/>
    <col min="5908" max="6144" width="9.140625" style="434"/>
    <col min="6145" max="6145" width="36" style="434" customWidth="1"/>
    <col min="6146" max="6146" width="8" style="434" customWidth="1"/>
    <col min="6147" max="6147" width="8.28515625" style="434" customWidth="1"/>
    <col min="6148" max="6148" width="2.5703125" style="434" customWidth="1"/>
    <col min="6149" max="6149" width="7.5703125" style="434" customWidth="1"/>
    <col min="6150" max="6150" width="7.7109375" style="434" customWidth="1"/>
    <col min="6151" max="6151" width="2.5703125" style="434" customWidth="1"/>
    <col min="6152" max="6152" width="8.28515625" style="434" customWidth="1"/>
    <col min="6153" max="6153" width="8.42578125" style="434" customWidth="1"/>
    <col min="6154" max="6154" width="2.5703125" style="434" customWidth="1"/>
    <col min="6155" max="6155" width="7.7109375" style="434" customWidth="1"/>
    <col min="6156" max="6156" width="7.5703125" style="434" customWidth="1"/>
    <col min="6157" max="6157" width="2.5703125" style="434" customWidth="1"/>
    <col min="6158" max="6159" width="7.85546875" style="434" customWidth="1"/>
    <col min="6160" max="6160" width="2.7109375" style="434" customWidth="1"/>
    <col min="6161" max="6162" width="7.7109375" style="434" customWidth="1"/>
    <col min="6163" max="6163" width="2.5703125" style="434" customWidth="1"/>
    <col min="6164" max="6400" width="9.140625" style="434"/>
    <col min="6401" max="6401" width="36" style="434" customWidth="1"/>
    <col min="6402" max="6402" width="8" style="434" customWidth="1"/>
    <col min="6403" max="6403" width="8.28515625" style="434" customWidth="1"/>
    <col min="6404" max="6404" width="2.5703125" style="434" customWidth="1"/>
    <col min="6405" max="6405" width="7.5703125" style="434" customWidth="1"/>
    <col min="6406" max="6406" width="7.7109375" style="434" customWidth="1"/>
    <col min="6407" max="6407" width="2.5703125" style="434" customWidth="1"/>
    <col min="6408" max="6408" width="8.28515625" style="434" customWidth="1"/>
    <col min="6409" max="6409" width="8.42578125" style="434" customWidth="1"/>
    <col min="6410" max="6410" width="2.5703125" style="434" customWidth="1"/>
    <col min="6411" max="6411" width="7.7109375" style="434" customWidth="1"/>
    <col min="6412" max="6412" width="7.5703125" style="434" customWidth="1"/>
    <col min="6413" max="6413" width="2.5703125" style="434" customWidth="1"/>
    <col min="6414" max="6415" width="7.85546875" style="434" customWidth="1"/>
    <col min="6416" max="6416" width="2.7109375" style="434" customWidth="1"/>
    <col min="6417" max="6418" width="7.7109375" style="434" customWidth="1"/>
    <col min="6419" max="6419" width="2.5703125" style="434" customWidth="1"/>
    <col min="6420" max="6656" width="9.140625" style="434"/>
    <col min="6657" max="6657" width="36" style="434" customWidth="1"/>
    <col min="6658" max="6658" width="8" style="434" customWidth="1"/>
    <col min="6659" max="6659" width="8.28515625" style="434" customWidth="1"/>
    <col min="6660" max="6660" width="2.5703125" style="434" customWidth="1"/>
    <col min="6661" max="6661" width="7.5703125" style="434" customWidth="1"/>
    <col min="6662" max="6662" width="7.7109375" style="434" customWidth="1"/>
    <col min="6663" max="6663" width="2.5703125" style="434" customWidth="1"/>
    <col min="6664" max="6664" width="8.28515625" style="434" customWidth="1"/>
    <col min="6665" max="6665" width="8.42578125" style="434" customWidth="1"/>
    <col min="6666" max="6666" width="2.5703125" style="434" customWidth="1"/>
    <col min="6667" max="6667" width="7.7109375" style="434" customWidth="1"/>
    <col min="6668" max="6668" width="7.5703125" style="434" customWidth="1"/>
    <col min="6669" max="6669" width="2.5703125" style="434" customWidth="1"/>
    <col min="6670" max="6671" width="7.85546875" style="434" customWidth="1"/>
    <col min="6672" max="6672" width="2.7109375" style="434" customWidth="1"/>
    <col min="6673" max="6674" width="7.7109375" style="434" customWidth="1"/>
    <col min="6675" max="6675" width="2.5703125" style="434" customWidth="1"/>
    <col min="6676" max="6912" width="9.140625" style="434"/>
    <col min="6913" max="6913" width="36" style="434" customWidth="1"/>
    <col min="6914" max="6914" width="8" style="434" customWidth="1"/>
    <col min="6915" max="6915" width="8.28515625" style="434" customWidth="1"/>
    <col min="6916" max="6916" width="2.5703125" style="434" customWidth="1"/>
    <col min="6917" max="6917" width="7.5703125" style="434" customWidth="1"/>
    <col min="6918" max="6918" width="7.7109375" style="434" customWidth="1"/>
    <col min="6919" max="6919" width="2.5703125" style="434" customWidth="1"/>
    <col min="6920" max="6920" width="8.28515625" style="434" customWidth="1"/>
    <col min="6921" max="6921" width="8.42578125" style="434" customWidth="1"/>
    <col min="6922" max="6922" width="2.5703125" style="434" customWidth="1"/>
    <col min="6923" max="6923" width="7.7109375" style="434" customWidth="1"/>
    <col min="6924" max="6924" width="7.5703125" style="434" customWidth="1"/>
    <col min="6925" max="6925" width="2.5703125" style="434" customWidth="1"/>
    <col min="6926" max="6927" width="7.85546875" style="434" customWidth="1"/>
    <col min="6928" max="6928" width="2.7109375" style="434" customWidth="1"/>
    <col min="6929" max="6930" width="7.7109375" style="434" customWidth="1"/>
    <col min="6931" max="6931" width="2.5703125" style="434" customWidth="1"/>
    <col min="6932" max="7168" width="9.140625" style="434"/>
    <col min="7169" max="7169" width="36" style="434" customWidth="1"/>
    <col min="7170" max="7170" width="8" style="434" customWidth="1"/>
    <col min="7171" max="7171" width="8.28515625" style="434" customWidth="1"/>
    <col min="7172" max="7172" width="2.5703125" style="434" customWidth="1"/>
    <col min="7173" max="7173" width="7.5703125" style="434" customWidth="1"/>
    <col min="7174" max="7174" width="7.7109375" style="434" customWidth="1"/>
    <col min="7175" max="7175" width="2.5703125" style="434" customWidth="1"/>
    <col min="7176" max="7176" width="8.28515625" style="434" customWidth="1"/>
    <col min="7177" max="7177" width="8.42578125" style="434" customWidth="1"/>
    <col min="7178" max="7178" width="2.5703125" style="434" customWidth="1"/>
    <col min="7179" max="7179" width="7.7109375" style="434" customWidth="1"/>
    <col min="7180" max="7180" width="7.5703125" style="434" customWidth="1"/>
    <col min="7181" max="7181" width="2.5703125" style="434" customWidth="1"/>
    <col min="7182" max="7183" width="7.85546875" style="434" customWidth="1"/>
    <col min="7184" max="7184" width="2.7109375" style="434" customWidth="1"/>
    <col min="7185" max="7186" width="7.7109375" style="434" customWidth="1"/>
    <col min="7187" max="7187" width="2.5703125" style="434" customWidth="1"/>
    <col min="7188" max="7424" width="9.140625" style="434"/>
    <col min="7425" max="7425" width="36" style="434" customWidth="1"/>
    <col min="7426" max="7426" width="8" style="434" customWidth="1"/>
    <col min="7427" max="7427" width="8.28515625" style="434" customWidth="1"/>
    <col min="7428" max="7428" width="2.5703125" style="434" customWidth="1"/>
    <col min="7429" max="7429" width="7.5703125" style="434" customWidth="1"/>
    <col min="7430" max="7430" width="7.7109375" style="434" customWidth="1"/>
    <col min="7431" max="7431" width="2.5703125" style="434" customWidth="1"/>
    <col min="7432" max="7432" width="8.28515625" style="434" customWidth="1"/>
    <col min="7433" max="7433" width="8.42578125" style="434" customWidth="1"/>
    <col min="7434" max="7434" width="2.5703125" style="434" customWidth="1"/>
    <col min="7435" max="7435" width="7.7109375" style="434" customWidth="1"/>
    <col min="7436" max="7436" width="7.5703125" style="434" customWidth="1"/>
    <col min="7437" max="7437" width="2.5703125" style="434" customWidth="1"/>
    <col min="7438" max="7439" width="7.85546875" style="434" customWidth="1"/>
    <col min="7440" max="7440" width="2.7109375" style="434" customWidth="1"/>
    <col min="7441" max="7442" width="7.7109375" style="434" customWidth="1"/>
    <col min="7443" max="7443" width="2.5703125" style="434" customWidth="1"/>
    <col min="7444" max="7680" width="9.140625" style="434"/>
    <col min="7681" max="7681" width="36" style="434" customWidth="1"/>
    <col min="7682" max="7682" width="8" style="434" customWidth="1"/>
    <col min="7683" max="7683" width="8.28515625" style="434" customWidth="1"/>
    <col min="7684" max="7684" width="2.5703125" style="434" customWidth="1"/>
    <col min="7685" max="7685" width="7.5703125" style="434" customWidth="1"/>
    <col min="7686" max="7686" width="7.7109375" style="434" customWidth="1"/>
    <col min="7687" max="7687" width="2.5703125" style="434" customWidth="1"/>
    <col min="7688" max="7688" width="8.28515625" style="434" customWidth="1"/>
    <col min="7689" max="7689" width="8.42578125" style="434" customWidth="1"/>
    <col min="7690" max="7690" width="2.5703125" style="434" customWidth="1"/>
    <col min="7691" max="7691" width="7.7109375" style="434" customWidth="1"/>
    <col min="7692" max="7692" width="7.5703125" style="434" customWidth="1"/>
    <col min="7693" max="7693" width="2.5703125" style="434" customWidth="1"/>
    <col min="7694" max="7695" width="7.85546875" style="434" customWidth="1"/>
    <col min="7696" max="7696" width="2.7109375" style="434" customWidth="1"/>
    <col min="7697" max="7698" width="7.7109375" style="434" customWidth="1"/>
    <col min="7699" max="7699" width="2.5703125" style="434" customWidth="1"/>
    <col min="7700" max="7936" width="9.140625" style="434"/>
    <col min="7937" max="7937" width="36" style="434" customWidth="1"/>
    <col min="7938" max="7938" width="8" style="434" customWidth="1"/>
    <col min="7939" max="7939" width="8.28515625" style="434" customWidth="1"/>
    <col min="7940" max="7940" width="2.5703125" style="434" customWidth="1"/>
    <col min="7941" max="7941" width="7.5703125" style="434" customWidth="1"/>
    <col min="7942" max="7942" width="7.7109375" style="434" customWidth="1"/>
    <col min="7943" max="7943" width="2.5703125" style="434" customWidth="1"/>
    <col min="7944" max="7944" width="8.28515625" style="434" customWidth="1"/>
    <col min="7945" max="7945" width="8.42578125" style="434" customWidth="1"/>
    <col min="7946" max="7946" width="2.5703125" style="434" customWidth="1"/>
    <col min="7947" max="7947" width="7.7109375" style="434" customWidth="1"/>
    <col min="7948" max="7948" width="7.5703125" style="434" customWidth="1"/>
    <col min="7949" max="7949" width="2.5703125" style="434" customWidth="1"/>
    <col min="7950" max="7951" width="7.85546875" style="434" customWidth="1"/>
    <col min="7952" max="7952" width="2.7109375" style="434" customWidth="1"/>
    <col min="7953" max="7954" width="7.7109375" style="434" customWidth="1"/>
    <col min="7955" max="7955" width="2.5703125" style="434" customWidth="1"/>
    <col min="7956" max="8192" width="9.140625" style="434"/>
    <col min="8193" max="8193" width="36" style="434" customWidth="1"/>
    <col min="8194" max="8194" width="8" style="434" customWidth="1"/>
    <col min="8195" max="8195" width="8.28515625" style="434" customWidth="1"/>
    <col min="8196" max="8196" width="2.5703125" style="434" customWidth="1"/>
    <col min="8197" max="8197" width="7.5703125" style="434" customWidth="1"/>
    <col min="8198" max="8198" width="7.7109375" style="434" customWidth="1"/>
    <col min="8199" max="8199" width="2.5703125" style="434" customWidth="1"/>
    <col min="8200" max="8200" width="8.28515625" style="434" customWidth="1"/>
    <col min="8201" max="8201" width="8.42578125" style="434" customWidth="1"/>
    <col min="8202" max="8202" width="2.5703125" style="434" customWidth="1"/>
    <col min="8203" max="8203" width="7.7109375" style="434" customWidth="1"/>
    <col min="8204" max="8204" width="7.5703125" style="434" customWidth="1"/>
    <col min="8205" max="8205" width="2.5703125" style="434" customWidth="1"/>
    <col min="8206" max="8207" width="7.85546875" style="434" customWidth="1"/>
    <col min="8208" max="8208" width="2.7109375" style="434" customWidth="1"/>
    <col min="8209" max="8210" width="7.7109375" style="434" customWidth="1"/>
    <col min="8211" max="8211" width="2.5703125" style="434" customWidth="1"/>
    <col min="8212" max="8448" width="9.140625" style="434"/>
    <col min="8449" max="8449" width="36" style="434" customWidth="1"/>
    <col min="8450" max="8450" width="8" style="434" customWidth="1"/>
    <col min="8451" max="8451" width="8.28515625" style="434" customWidth="1"/>
    <col min="8452" max="8452" width="2.5703125" style="434" customWidth="1"/>
    <col min="8453" max="8453" width="7.5703125" style="434" customWidth="1"/>
    <col min="8454" max="8454" width="7.7109375" style="434" customWidth="1"/>
    <col min="8455" max="8455" width="2.5703125" style="434" customWidth="1"/>
    <col min="8456" max="8456" width="8.28515625" style="434" customWidth="1"/>
    <col min="8457" max="8457" width="8.42578125" style="434" customWidth="1"/>
    <col min="8458" max="8458" width="2.5703125" style="434" customWidth="1"/>
    <col min="8459" max="8459" width="7.7109375" style="434" customWidth="1"/>
    <col min="8460" max="8460" width="7.5703125" style="434" customWidth="1"/>
    <col min="8461" max="8461" width="2.5703125" style="434" customWidth="1"/>
    <col min="8462" max="8463" width="7.85546875" style="434" customWidth="1"/>
    <col min="8464" max="8464" width="2.7109375" style="434" customWidth="1"/>
    <col min="8465" max="8466" width="7.7109375" style="434" customWidth="1"/>
    <col min="8467" max="8467" width="2.5703125" style="434" customWidth="1"/>
    <col min="8468" max="8704" width="9.140625" style="434"/>
    <col min="8705" max="8705" width="36" style="434" customWidth="1"/>
    <col min="8706" max="8706" width="8" style="434" customWidth="1"/>
    <col min="8707" max="8707" width="8.28515625" style="434" customWidth="1"/>
    <col min="8708" max="8708" width="2.5703125" style="434" customWidth="1"/>
    <col min="8709" max="8709" width="7.5703125" style="434" customWidth="1"/>
    <col min="8710" max="8710" width="7.7109375" style="434" customWidth="1"/>
    <col min="8711" max="8711" width="2.5703125" style="434" customWidth="1"/>
    <col min="8712" max="8712" width="8.28515625" style="434" customWidth="1"/>
    <col min="8713" max="8713" width="8.42578125" style="434" customWidth="1"/>
    <col min="8714" max="8714" width="2.5703125" style="434" customWidth="1"/>
    <col min="8715" max="8715" width="7.7109375" style="434" customWidth="1"/>
    <col min="8716" max="8716" width="7.5703125" style="434" customWidth="1"/>
    <col min="8717" max="8717" width="2.5703125" style="434" customWidth="1"/>
    <col min="8718" max="8719" width="7.85546875" style="434" customWidth="1"/>
    <col min="8720" max="8720" width="2.7109375" style="434" customWidth="1"/>
    <col min="8721" max="8722" width="7.7109375" style="434" customWidth="1"/>
    <col min="8723" max="8723" width="2.5703125" style="434" customWidth="1"/>
    <col min="8724" max="8960" width="9.140625" style="434"/>
    <col min="8961" max="8961" width="36" style="434" customWidth="1"/>
    <col min="8962" max="8962" width="8" style="434" customWidth="1"/>
    <col min="8963" max="8963" width="8.28515625" style="434" customWidth="1"/>
    <col min="8964" max="8964" width="2.5703125" style="434" customWidth="1"/>
    <col min="8965" max="8965" width="7.5703125" style="434" customWidth="1"/>
    <col min="8966" max="8966" width="7.7109375" style="434" customWidth="1"/>
    <col min="8967" max="8967" width="2.5703125" style="434" customWidth="1"/>
    <col min="8968" max="8968" width="8.28515625" style="434" customWidth="1"/>
    <col min="8969" max="8969" width="8.42578125" style="434" customWidth="1"/>
    <col min="8970" max="8970" width="2.5703125" style="434" customWidth="1"/>
    <col min="8971" max="8971" width="7.7109375" style="434" customWidth="1"/>
    <col min="8972" max="8972" width="7.5703125" style="434" customWidth="1"/>
    <col min="8973" max="8973" width="2.5703125" style="434" customWidth="1"/>
    <col min="8974" max="8975" width="7.85546875" style="434" customWidth="1"/>
    <col min="8976" max="8976" width="2.7109375" style="434" customWidth="1"/>
    <col min="8977" max="8978" width="7.7109375" style="434" customWidth="1"/>
    <col min="8979" max="8979" width="2.5703125" style="434" customWidth="1"/>
    <col min="8980" max="9216" width="9.140625" style="434"/>
    <col min="9217" max="9217" width="36" style="434" customWidth="1"/>
    <col min="9218" max="9218" width="8" style="434" customWidth="1"/>
    <col min="9219" max="9219" width="8.28515625" style="434" customWidth="1"/>
    <col min="9220" max="9220" width="2.5703125" style="434" customWidth="1"/>
    <col min="9221" max="9221" width="7.5703125" style="434" customWidth="1"/>
    <col min="9222" max="9222" width="7.7109375" style="434" customWidth="1"/>
    <col min="9223" max="9223" width="2.5703125" style="434" customWidth="1"/>
    <col min="9224" max="9224" width="8.28515625" style="434" customWidth="1"/>
    <col min="9225" max="9225" width="8.42578125" style="434" customWidth="1"/>
    <col min="9226" max="9226" width="2.5703125" style="434" customWidth="1"/>
    <col min="9227" max="9227" width="7.7109375" style="434" customWidth="1"/>
    <col min="9228" max="9228" width="7.5703125" style="434" customWidth="1"/>
    <col min="9229" max="9229" width="2.5703125" style="434" customWidth="1"/>
    <col min="9230" max="9231" width="7.85546875" style="434" customWidth="1"/>
    <col min="9232" max="9232" width="2.7109375" style="434" customWidth="1"/>
    <col min="9233" max="9234" width="7.7109375" style="434" customWidth="1"/>
    <col min="9235" max="9235" width="2.5703125" style="434" customWidth="1"/>
    <col min="9236" max="9472" width="9.140625" style="434"/>
    <col min="9473" max="9473" width="36" style="434" customWidth="1"/>
    <col min="9474" max="9474" width="8" style="434" customWidth="1"/>
    <col min="9475" max="9475" width="8.28515625" style="434" customWidth="1"/>
    <col min="9476" max="9476" width="2.5703125" style="434" customWidth="1"/>
    <col min="9477" max="9477" width="7.5703125" style="434" customWidth="1"/>
    <col min="9478" max="9478" width="7.7109375" style="434" customWidth="1"/>
    <col min="9479" max="9479" width="2.5703125" style="434" customWidth="1"/>
    <col min="9480" max="9480" width="8.28515625" style="434" customWidth="1"/>
    <col min="9481" max="9481" width="8.42578125" style="434" customWidth="1"/>
    <col min="9482" max="9482" width="2.5703125" style="434" customWidth="1"/>
    <col min="9483" max="9483" width="7.7109375" style="434" customWidth="1"/>
    <col min="9484" max="9484" width="7.5703125" style="434" customWidth="1"/>
    <col min="9485" max="9485" width="2.5703125" style="434" customWidth="1"/>
    <col min="9486" max="9487" width="7.85546875" style="434" customWidth="1"/>
    <col min="9488" max="9488" width="2.7109375" style="434" customWidth="1"/>
    <col min="9489" max="9490" width="7.7109375" style="434" customWidth="1"/>
    <col min="9491" max="9491" width="2.5703125" style="434" customWidth="1"/>
    <col min="9492" max="9728" width="9.140625" style="434"/>
    <col min="9729" max="9729" width="36" style="434" customWidth="1"/>
    <col min="9730" max="9730" width="8" style="434" customWidth="1"/>
    <col min="9731" max="9731" width="8.28515625" style="434" customWidth="1"/>
    <col min="9732" max="9732" width="2.5703125" style="434" customWidth="1"/>
    <col min="9733" max="9733" width="7.5703125" style="434" customWidth="1"/>
    <col min="9734" max="9734" width="7.7109375" style="434" customWidth="1"/>
    <col min="9735" max="9735" width="2.5703125" style="434" customWidth="1"/>
    <col min="9736" max="9736" width="8.28515625" style="434" customWidth="1"/>
    <col min="9737" max="9737" width="8.42578125" style="434" customWidth="1"/>
    <col min="9738" max="9738" width="2.5703125" style="434" customWidth="1"/>
    <col min="9739" max="9739" width="7.7109375" style="434" customWidth="1"/>
    <col min="9740" max="9740" width="7.5703125" style="434" customWidth="1"/>
    <col min="9741" max="9741" width="2.5703125" style="434" customWidth="1"/>
    <col min="9742" max="9743" width="7.85546875" style="434" customWidth="1"/>
    <col min="9744" max="9744" width="2.7109375" style="434" customWidth="1"/>
    <col min="9745" max="9746" width="7.7109375" style="434" customWidth="1"/>
    <col min="9747" max="9747" width="2.5703125" style="434" customWidth="1"/>
    <col min="9748" max="9984" width="9.140625" style="434"/>
    <col min="9985" max="9985" width="36" style="434" customWidth="1"/>
    <col min="9986" max="9986" width="8" style="434" customWidth="1"/>
    <col min="9987" max="9987" width="8.28515625" style="434" customWidth="1"/>
    <col min="9988" max="9988" width="2.5703125" style="434" customWidth="1"/>
    <col min="9989" max="9989" width="7.5703125" style="434" customWidth="1"/>
    <col min="9990" max="9990" width="7.7109375" style="434" customWidth="1"/>
    <col min="9991" max="9991" width="2.5703125" style="434" customWidth="1"/>
    <col min="9992" max="9992" width="8.28515625" style="434" customWidth="1"/>
    <col min="9993" max="9993" width="8.42578125" style="434" customWidth="1"/>
    <col min="9994" max="9994" width="2.5703125" style="434" customWidth="1"/>
    <col min="9995" max="9995" width="7.7109375" style="434" customWidth="1"/>
    <col min="9996" max="9996" width="7.5703125" style="434" customWidth="1"/>
    <col min="9997" max="9997" width="2.5703125" style="434" customWidth="1"/>
    <col min="9998" max="9999" width="7.85546875" style="434" customWidth="1"/>
    <col min="10000" max="10000" width="2.7109375" style="434" customWidth="1"/>
    <col min="10001" max="10002" width="7.7109375" style="434" customWidth="1"/>
    <col min="10003" max="10003" width="2.5703125" style="434" customWidth="1"/>
    <col min="10004" max="10240" width="9.140625" style="434"/>
    <col min="10241" max="10241" width="36" style="434" customWidth="1"/>
    <col min="10242" max="10242" width="8" style="434" customWidth="1"/>
    <col min="10243" max="10243" width="8.28515625" style="434" customWidth="1"/>
    <col min="10244" max="10244" width="2.5703125" style="434" customWidth="1"/>
    <col min="10245" max="10245" width="7.5703125" style="434" customWidth="1"/>
    <col min="10246" max="10246" width="7.7109375" style="434" customWidth="1"/>
    <col min="10247" max="10247" width="2.5703125" style="434" customWidth="1"/>
    <col min="10248" max="10248" width="8.28515625" style="434" customWidth="1"/>
    <col min="10249" max="10249" width="8.42578125" style="434" customWidth="1"/>
    <col min="10250" max="10250" width="2.5703125" style="434" customWidth="1"/>
    <col min="10251" max="10251" width="7.7109375" style="434" customWidth="1"/>
    <col min="10252" max="10252" width="7.5703125" style="434" customWidth="1"/>
    <col min="10253" max="10253" width="2.5703125" style="434" customWidth="1"/>
    <col min="10254" max="10255" width="7.85546875" style="434" customWidth="1"/>
    <col min="10256" max="10256" width="2.7109375" style="434" customWidth="1"/>
    <col min="10257" max="10258" width="7.7109375" style="434" customWidth="1"/>
    <col min="10259" max="10259" width="2.5703125" style="434" customWidth="1"/>
    <col min="10260" max="10496" width="9.140625" style="434"/>
    <col min="10497" max="10497" width="36" style="434" customWidth="1"/>
    <col min="10498" max="10498" width="8" style="434" customWidth="1"/>
    <col min="10499" max="10499" width="8.28515625" style="434" customWidth="1"/>
    <col min="10500" max="10500" width="2.5703125" style="434" customWidth="1"/>
    <col min="10501" max="10501" width="7.5703125" style="434" customWidth="1"/>
    <col min="10502" max="10502" width="7.7109375" style="434" customWidth="1"/>
    <col min="10503" max="10503" width="2.5703125" style="434" customWidth="1"/>
    <col min="10504" max="10504" width="8.28515625" style="434" customWidth="1"/>
    <col min="10505" max="10505" width="8.42578125" style="434" customWidth="1"/>
    <col min="10506" max="10506" width="2.5703125" style="434" customWidth="1"/>
    <col min="10507" max="10507" width="7.7109375" style="434" customWidth="1"/>
    <col min="10508" max="10508" width="7.5703125" style="434" customWidth="1"/>
    <col min="10509" max="10509" width="2.5703125" style="434" customWidth="1"/>
    <col min="10510" max="10511" width="7.85546875" style="434" customWidth="1"/>
    <col min="10512" max="10512" width="2.7109375" style="434" customWidth="1"/>
    <col min="10513" max="10514" width="7.7109375" style="434" customWidth="1"/>
    <col min="10515" max="10515" width="2.5703125" style="434" customWidth="1"/>
    <col min="10516" max="10752" width="9.140625" style="434"/>
    <col min="10753" max="10753" width="36" style="434" customWidth="1"/>
    <col min="10754" max="10754" width="8" style="434" customWidth="1"/>
    <col min="10755" max="10755" width="8.28515625" style="434" customWidth="1"/>
    <col min="10756" max="10756" width="2.5703125" style="434" customWidth="1"/>
    <col min="10757" max="10757" width="7.5703125" style="434" customWidth="1"/>
    <col min="10758" max="10758" width="7.7109375" style="434" customWidth="1"/>
    <col min="10759" max="10759" width="2.5703125" style="434" customWidth="1"/>
    <col min="10760" max="10760" width="8.28515625" style="434" customWidth="1"/>
    <col min="10761" max="10761" width="8.42578125" style="434" customWidth="1"/>
    <col min="10762" max="10762" width="2.5703125" style="434" customWidth="1"/>
    <col min="10763" max="10763" width="7.7109375" style="434" customWidth="1"/>
    <col min="10764" max="10764" width="7.5703125" style="434" customWidth="1"/>
    <col min="10765" max="10765" width="2.5703125" style="434" customWidth="1"/>
    <col min="10766" max="10767" width="7.85546875" style="434" customWidth="1"/>
    <col min="10768" max="10768" width="2.7109375" style="434" customWidth="1"/>
    <col min="10769" max="10770" width="7.7109375" style="434" customWidth="1"/>
    <col min="10771" max="10771" width="2.5703125" style="434" customWidth="1"/>
    <col min="10772" max="11008" width="9.140625" style="434"/>
    <col min="11009" max="11009" width="36" style="434" customWidth="1"/>
    <col min="11010" max="11010" width="8" style="434" customWidth="1"/>
    <col min="11011" max="11011" width="8.28515625" style="434" customWidth="1"/>
    <col min="11012" max="11012" width="2.5703125" style="434" customWidth="1"/>
    <col min="11013" max="11013" width="7.5703125" style="434" customWidth="1"/>
    <col min="11014" max="11014" width="7.7109375" style="434" customWidth="1"/>
    <col min="11015" max="11015" width="2.5703125" style="434" customWidth="1"/>
    <col min="11016" max="11016" width="8.28515625" style="434" customWidth="1"/>
    <col min="11017" max="11017" width="8.42578125" style="434" customWidth="1"/>
    <col min="11018" max="11018" width="2.5703125" style="434" customWidth="1"/>
    <col min="11019" max="11019" width="7.7109375" style="434" customWidth="1"/>
    <col min="11020" max="11020" width="7.5703125" style="434" customWidth="1"/>
    <col min="11021" max="11021" width="2.5703125" style="434" customWidth="1"/>
    <col min="11022" max="11023" width="7.85546875" style="434" customWidth="1"/>
    <col min="11024" max="11024" width="2.7109375" style="434" customWidth="1"/>
    <col min="11025" max="11026" width="7.7109375" style="434" customWidth="1"/>
    <col min="11027" max="11027" width="2.5703125" style="434" customWidth="1"/>
    <col min="11028" max="11264" width="9.140625" style="434"/>
    <col min="11265" max="11265" width="36" style="434" customWidth="1"/>
    <col min="11266" max="11266" width="8" style="434" customWidth="1"/>
    <col min="11267" max="11267" width="8.28515625" style="434" customWidth="1"/>
    <col min="11268" max="11268" width="2.5703125" style="434" customWidth="1"/>
    <col min="11269" max="11269" width="7.5703125" style="434" customWidth="1"/>
    <col min="11270" max="11270" width="7.7109375" style="434" customWidth="1"/>
    <col min="11271" max="11271" width="2.5703125" style="434" customWidth="1"/>
    <col min="11272" max="11272" width="8.28515625" style="434" customWidth="1"/>
    <col min="11273" max="11273" width="8.42578125" style="434" customWidth="1"/>
    <col min="11274" max="11274" width="2.5703125" style="434" customWidth="1"/>
    <col min="11275" max="11275" width="7.7109375" style="434" customWidth="1"/>
    <col min="11276" max="11276" width="7.5703125" style="434" customWidth="1"/>
    <col min="11277" max="11277" width="2.5703125" style="434" customWidth="1"/>
    <col min="11278" max="11279" width="7.85546875" style="434" customWidth="1"/>
    <col min="11280" max="11280" width="2.7109375" style="434" customWidth="1"/>
    <col min="11281" max="11282" width="7.7109375" style="434" customWidth="1"/>
    <col min="11283" max="11283" width="2.5703125" style="434" customWidth="1"/>
    <col min="11284" max="11520" width="9.140625" style="434"/>
    <col min="11521" max="11521" width="36" style="434" customWidth="1"/>
    <col min="11522" max="11522" width="8" style="434" customWidth="1"/>
    <col min="11523" max="11523" width="8.28515625" style="434" customWidth="1"/>
    <col min="11524" max="11524" width="2.5703125" style="434" customWidth="1"/>
    <col min="11525" max="11525" width="7.5703125" style="434" customWidth="1"/>
    <col min="11526" max="11526" width="7.7109375" style="434" customWidth="1"/>
    <col min="11527" max="11527" width="2.5703125" style="434" customWidth="1"/>
    <col min="11528" max="11528" width="8.28515625" style="434" customWidth="1"/>
    <col min="11529" max="11529" width="8.42578125" style="434" customWidth="1"/>
    <col min="11530" max="11530" width="2.5703125" style="434" customWidth="1"/>
    <col min="11531" max="11531" width="7.7109375" style="434" customWidth="1"/>
    <col min="11532" max="11532" width="7.5703125" style="434" customWidth="1"/>
    <col min="11533" max="11533" width="2.5703125" style="434" customWidth="1"/>
    <col min="11534" max="11535" width="7.85546875" style="434" customWidth="1"/>
    <col min="11536" max="11536" width="2.7109375" style="434" customWidth="1"/>
    <col min="11537" max="11538" width="7.7109375" style="434" customWidth="1"/>
    <col min="11539" max="11539" width="2.5703125" style="434" customWidth="1"/>
    <col min="11540" max="11776" width="9.140625" style="434"/>
    <col min="11777" max="11777" width="36" style="434" customWidth="1"/>
    <col min="11778" max="11778" width="8" style="434" customWidth="1"/>
    <col min="11779" max="11779" width="8.28515625" style="434" customWidth="1"/>
    <col min="11780" max="11780" width="2.5703125" style="434" customWidth="1"/>
    <col min="11781" max="11781" width="7.5703125" style="434" customWidth="1"/>
    <col min="11782" max="11782" width="7.7109375" style="434" customWidth="1"/>
    <col min="11783" max="11783" width="2.5703125" style="434" customWidth="1"/>
    <col min="11784" max="11784" width="8.28515625" style="434" customWidth="1"/>
    <col min="11785" max="11785" width="8.42578125" style="434" customWidth="1"/>
    <col min="11786" max="11786" width="2.5703125" style="434" customWidth="1"/>
    <col min="11787" max="11787" width="7.7109375" style="434" customWidth="1"/>
    <col min="11788" max="11788" width="7.5703125" style="434" customWidth="1"/>
    <col min="11789" max="11789" width="2.5703125" style="434" customWidth="1"/>
    <col min="11790" max="11791" width="7.85546875" style="434" customWidth="1"/>
    <col min="11792" max="11792" width="2.7109375" style="434" customWidth="1"/>
    <col min="11793" max="11794" width="7.7109375" style="434" customWidth="1"/>
    <col min="11795" max="11795" width="2.5703125" style="434" customWidth="1"/>
    <col min="11796" max="12032" width="9.140625" style="434"/>
    <col min="12033" max="12033" width="36" style="434" customWidth="1"/>
    <col min="12034" max="12034" width="8" style="434" customWidth="1"/>
    <col min="12035" max="12035" width="8.28515625" style="434" customWidth="1"/>
    <col min="12036" max="12036" width="2.5703125" style="434" customWidth="1"/>
    <col min="12037" max="12037" width="7.5703125" style="434" customWidth="1"/>
    <col min="12038" max="12038" width="7.7109375" style="434" customWidth="1"/>
    <col min="12039" max="12039" width="2.5703125" style="434" customWidth="1"/>
    <col min="12040" max="12040" width="8.28515625" style="434" customWidth="1"/>
    <col min="12041" max="12041" width="8.42578125" style="434" customWidth="1"/>
    <col min="12042" max="12042" width="2.5703125" style="434" customWidth="1"/>
    <col min="12043" max="12043" width="7.7109375" style="434" customWidth="1"/>
    <col min="12044" max="12044" width="7.5703125" style="434" customWidth="1"/>
    <col min="12045" max="12045" width="2.5703125" style="434" customWidth="1"/>
    <col min="12046" max="12047" width="7.85546875" style="434" customWidth="1"/>
    <col min="12048" max="12048" width="2.7109375" style="434" customWidth="1"/>
    <col min="12049" max="12050" width="7.7109375" style="434" customWidth="1"/>
    <col min="12051" max="12051" width="2.5703125" style="434" customWidth="1"/>
    <col min="12052" max="12288" width="9.140625" style="434"/>
    <col min="12289" max="12289" width="36" style="434" customWidth="1"/>
    <col min="12290" max="12290" width="8" style="434" customWidth="1"/>
    <col min="12291" max="12291" width="8.28515625" style="434" customWidth="1"/>
    <col min="12292" max="12292" width="2.5703125" style="434" customWidth="1"/>
    <col min="12293" max="12293" width="7.5703125" style="434" customWidth="1"/>
    <col min="12294" max="12294" width="7.7109375" style="434" customWidth="1"/>
    <col min="12295" max="12295" width="2.5703125" style="434" customWidth="1"/>
    <col min="12296" max="12296" width="8.28515625" style="434" customWidth="1"/>
    <col min="12297" max="12297" width="8.42578125" style="434" customWidth="1"/>
    <col min="12298" max="12298" width="2.5703125" style="434" customWidth="1"/>
    <col min="12299" max="12299" width="7.7109375" style="434" customWidth="1"/>
    <col min="12300" max="12300" width="7.5703125" style="434" customWidth="1"/>
    <col min="12301" max="12301" width="2.5703125" style="434" customWidth="1"/>
    <col min="12302" max="12303" width="7.85546875" style="434" customWidth="1"/>
    <col min="12304" max="12304" width="2.7109375" style="434" customWidth="1"/>
    <col min="12305" max="12306" width="7.7109375" style="434" customWidth="1"/>
    <col min="12307" max="12307" width="2.5703125" style="434" customWidth="1"/>
    <col min="12308" max="12544" width="9.140625" style="434"/>
    <col min="12545" max="12545" width="36" style="434" customWidth="1"/>
    <col min="12546" max="12546" width="8" style="434" customWidth="1"/>
    <col min="12547" max="12547" width="8.28515625" style="434" customWidth="1"/>
    <col min="12548" max="12548" width="2.5703125" style="434" customWidth="1"/>
    <col min="12549" max="12549" width="7.5703125" style="434" customWidth="1"/>
    <col min="12550" max="12550" width="7.7109375" style="434" customWidth="1"/>
    <col min="12551" max="12551" width="2.5703125" style="434" customWidth="1"/>
    <col min="12552" max="12552" width="8.28515625" style="434" customWidth="1"/>
    <col min="12553" max="12553" width="8.42578125" style="434" customWidth="1"/>
    <col min="12554" max="12554" width="2.5703125" style="434" customWidth="1"/>
    <col min="12555" max="12555" width="7.7109375" style="434" customWidth="1"/>
    <col min="12556" max="12556" width="7.5703125" style="434" customWidth="1"/>
    <col min="12557" max="12557" width="2.5703125" style="434" customWidth="1"/>
    <col min="12558" max="12559" width="7.85546875" style="434" customWidth="1"/>
    <col min="12560" max="12560" width="2.7109375" style="434" customWidth="1"/>
    <col min="12561" max="12562" width="7.7109375" style="434" customWidth="1"/>
    <col min="12563" max="12563" width="2.5703125" style="434" customWidth="1"/>
    <col min="12564" max="12800" width="9.140625" style="434"/>
    <col min="12801" max="12801" width="36" style="434" customWidth="1"/>
    <col min="12802" max="12802" width="8" style="434" customWidth="1"/>
    <col min="12803" max="12803" width="8.28515625" style="434" customWidth="1"/>
    <col min="12804" max="12804" width="2.5703125" style="434" customWidth="1"/>
    <col min="12805" max="12805" width="7.5703125" style="434" customWidth="1"/>
    <col min="12806" max="12806" width="7.7109375" style="434" customWidth="1"/>
    <col min="12807" max="12807" width="2.5703125" style="434" customWidth="1"/>
    <col min="12808" max="12808" width="8.28515625" style="434" customWidth="1"/>
    <col min="12809" max="12809" width="8.42578125" style="434" customWidth="1"/>
    <col min="12810" max="12810" width="2.5703125" style="434" customWidth="1"/>
    <col min="12811" max="12811" width="7.7109375" style="434" customWidth="1"/>
    <col min="12812" max="12812" width="7.5703125" style="434" customWidth="1"/>
    <col min="12813" max="12813" width="2.5703125" style="434" customWidth="1"/>
    <col min="12814" max="12815" width="7.85546875" style="434" customWidth="1"/>
    <col min="12816" max="12816" width="2.7109375" style="434" customWidth="1"/>
    <col min="12817" max="12818" width="7.7109375" style="434" customWidth="1"/>
    <col min="12819" max="12819" width="2.5703125" style="434" customWidth="1"/>
    <col min="12820" max="13056" width="9.140625" style="434"/>
    <col min="13057" max="13057" width="36" style="434" customWidth="1"/>
    <col min="13058" max="13058" width="8" style="434" customWidth="1"/>
    <col min="13059" max="13059" width="8.28515625" style="434" customWidth="1"/>
    <col min="13060" max="13060" width="2.5703125" style="434" customWidth="1"/>
    <col min="13061" max="13061" width="7.5703125" style="434" customWidth="1"/>
    <col min="13062" max="13062" width="7.7109375" style="434" customWidth="1"/>
    <col min="13063" max="13063" width="2.5703125" style="434" customWidth="1"/>
    <col min="13064" max="13064" width="8.28515625" style="434" customWidth="1"/>
    <col min="13065" max="13065" width="8.42578125" style="434" customWidth="1"/>
    <col min="13066" max="13066" width="2.5703125" style="434" customWidth="1"/>
    <col min="13067" max="13067" width="7.7109375" style="434" customWidth="1"/>
    <col min="13068" max="13068" width="7.5703125" style="434" customWidth="1"/>
    <col min="13069" max="13069" width="2.5703125" style="434" customWidth="1"/>
    <col min="13070" max="13071" width="7.85546875" style="434" customWidth="1"/>
    <col min="13072" max="13072" width="2.7109375" style="434" customWidth="1"/>
    <col min="13073" max="13074" width="7.7109375" style="434" customWidth="1"/>
    <col min="13075" max="13075" width="2.5703125" style="434" customWidth="1"/>
    <col min="13076" max="13312" width="9.140625" style="434"/>
    <col min="13313" max="13313" width="36" style="434" customWidth="1"/>
    <col min="13314" max="13314" width="8" style="434" customWidth="1"/>
    <col min="13315" max="13315" width="8.28515625" style="434" customWidth="1"/>
    <col min="13316" max="13316" width="2.5703125" style="434" customWidth="1"/>
    <col min="13317" max="13317" width="7.5703125" style="434" customWidth="1"/>
    <col min="13318" max="13318" width="7.7109375" style="434" customWidth="1"/>
    <col min="13319" max="13319" width="2.5703125" style="434" customWidth="1"/>
    <col min="13320" max="13320" width="8.28515625" style="434" customWidth="1"/>
    <col min="13321" max="13321" width="8.42578125" style="434" customWidth="1"/>
    <col min="13322" max="13322" width="2.5703125" style="434" customWidth="1"/>
    <col min="13323" max="13323" width="7.7109375" style="434" customWidth="1"/>
    <col min="13324" max="13324" width="7.5703125" style="434" customWidth="1"/>
    <col min="13325" max="13325" width="2.5703125" style="434" customWidth="1"/>
    <col min="13326" max="13327" width="7.85546875" style="434" customWidth="1"/>
    <col min="13328" max="13328" width="2.7109375" style="434" customWidth="1"/>
    <col min="13329" max="13330" width="7.7109375" style="434" customWidth="1"/>
    <col min="13331" max="13331" width="2.5703125" style="434" customWidth="1"/>
    <col min="13332" max="13568" width="9.140625" style="434"/>
    <col min="13569" max="13569" width="36" style="434" customWidth="1"/>
    <col min="13570" max="13570" width="8" style="434" customWidth="1"/>
    <col min="13571" max="13571" width="8.28515625" style="434" customWidth="1"/>
    <col min="13572" max="13572" width="2.5703125" style="434" customWidth="1"/>
    <col min="13573" max="13573" width="7.5703125" style="434" customWidth="1"/>
    <col min="13574" max="13574" width="7.7109375" style="434" customWidth="1"/>
    <col min="13575" max="13575" width="2.5703125" style="434" customWidth="1"/>
    <col min="13576" max="13576" width="8.28515625" style="434" customWidth="1"/>
    <col min="13577" max="13577" width="8.42578125" style="434" customWidth="1"/>
    <col min="13578" max="13578" width="2.5703125" style="434" customWidth="1"/>
    <col min="13579" max="13579" width="7.7109375" style="434" customWidth="1"/>
    <col min="13580" max="13580" width="7.5703125" style="434" customWidth="1"/>
    <col min="13581" max="13581" width="2.5703125" style="434" customWidth="1"/>
    <col min="13582" max="13583" width="7.85546875" style="434" customWidth="1"/>
    <col min="13584" max="13584" width="2.7109375" style="434" customWidth="1"/>
    <col min="13585" max="13586" width="7.7109375" style="434" customWidth="1"/>
    <col min="13587" max="13587" width="2.5703125" style="434" customWidth="1"/>
    <col min="13588" max="13824" width="9.140625" style="434"/>
    <col min="13825" max="13825" width="36" style="434" customWidth="1"/>
    <col min="13826" max="13826" width="8" style="434" customWidth="1"/>
    <col min="13827" max="13827" width="8.28515625" style="434" customWidth="1"/>
    <col min="13828" max="13828" width="2.5703125" style="434" customWidth="1"/>
    <col min="13829" max="13829" width="7.5703125" style="434" customWidth="1"/>
    <col min="13830" max="13830" width="7.7109375" style="434" customWidth="1"/>
    <col min="13831" max="13831" width="2.5703125" style="434" customWidth="1"/>
    <col min="13832" max="13832" width="8.28515625" style="434" customWidth="1"/>
    <col min="13833" max="13833" width="8.42578125" style="434" customWidth="1"/>
    <col min="13834" max="13834" width="2.5703125" style="434" customWidth="1"/>
    <col min="13835" max="13835" width="7.7109375" style="434" customWidth="1"/>
    <col min="13836" max="13836" width="7.5703125" style="434" customWidth="1"/>
    <col min="13837" max="13837" width="2.5703125" style="434" customWidth="1"/>
    <col min="13838" max="13839" width="7.85546875" style="434" customWidth="1"/>
    <col min="13840" max="13840" width="2.7109375" style="434" customWidth="1"/>
    <col min="13841" max="13842" width="7.7109375" style="434" customWidth="1"/>
    <col min="13843" max="13843" width="2.5703125" style="434" customWidth="1"/>
    <col min="13844" max="14080" width="9.140625" style="434"/>
    <col min="14081" max="14081" width="36" style="434" customWidth="1"/>
    <col min="14082" max="14082" width="8" style="434" customWidth="1"/>
    <col min="14083" max="14083" width="8.28515625" style="434" customWidth="1"/>
    <col min="14084" max="14084" width="2.5703125" style="434" customWidth="1"/>
    <col min="14085" max="14085" width="7.5703125" style="434" customWidth="1"/>
    <col min="14086" max="14086" width="7.7109375" style="434" customWidth="1"/>
    <col min="14087" max="14087" width="2.5703125" style="434" customWidth="1"/>
    <col min="14088" max="14088" width="8.28515625" style="434" customWidth="1"/>
    <col min="14089" max="14089" width="8.42578125" style="434" customWidth="1"/>
    <col min="14090" max="14090" width="2.5703125" style="434" customWidth="1"/>
    <col min="14091" max="14091" width="7.7109375" style="434" customWidth="1"/>
    <col min="14092" max="14092" width="7.5703125" style="434" customWidth="1"/>
    <col min="14093" max="14093" width="2.5703125" style="434" customWidth="1"/>
    <col min="14094" max="14095" width="7.85546875" style="434" customWidth="1"/>
    <col min="14096" max="14096" width="2.7109375" style="434" customWidth="1"/>
    <col min="14097" max="14098" width="7.7109375" style="434" customWidth="1"/>
    <col min="14099" max="14099" width="2.5703125" style="434" customWidth="1"/>
    <col min="14100" max="14336" width="9.140625" style="434"/>
    <col min="14337" max="14337" width="36" style="434" customWidth="1"/>
    <col min="14338" max="14338" width="8" style="434" customWidth="1"/>
    <col min="14339" max="14339" width="8.28515625" style="434" customWidth="1"/>
    <col min="14340" max="14340" width="2.5703125" style="434" customWidth="1"/>
    <col min="14341" max="14341" width="7.5703125" style="434" customWidth="1"/>
    <col min="14342" max="14342" width="7.7109375" style="434" customWidth="1"/>
    <col min="14343" max="14343" width="2.5703125" style="434" customWidth="1"/>
    <col min="14344" max="14344" width="8.28515625" style="434" customWidth="1"/>
    <col min="14345" max="14345" width="8.42578125" style="434" customWidth="1"/>
    <col min="14346" max="14346" width="2.5703125" style="434" customWidth="1"/>
    <col min="14347" max="14347" width="7.7109375" style="434" customWidth="1"/>
    <col min="14348" max="14348" width="7.5703125" style="434" customWidth="1"/>
    <col min="14349" max="14349" width="2.5703125" style="434" customWidth="1"/>
    <col min="14350" max="14351" width="7.85546875" style="434" customWidth="1"/>
    <col min="14352" max="14352" width="2.7109375" style="434" customWidth="1"/>
    <col min="14353" max="14354" width="7.7109375" style="434" customWidth="1"/>
    <col min="14355" max="14355" width="2.5703125" style="434" customWidth="1"/>
    <col min="14356" max="14592" width="9.140625" style="434"/>
    <col min="14593" max="14593" width="36" style="434" customWidth="1"/>
    <col min="14594" max="14594" width="8" style="434" customWidth="1"/>
    <col min="14595" max="14595" width="8.28515625" style="434" customWidth="1"/>
    <col min="14596" max="14596" width="2.5703125" style="434" customWidth="1"/>
    <col min="14597" max="14597" width="7.5703125" style="434" customWidth="1"/>
    <col min="14598" max="14598" width="7.7109375" style="434" customWidth="1"/>
    <col min="14599" max="14599" width="2.5703125" style="434" customWidth="1"/>
    <col min="14600" max="14600" width="8.28515625" style="434" customWidth="1"/>
    <col min="14601" max="14601" width="8.42578125" style="434" customWidth="1"/>
    <col min="14602" max="14602" width="2.5703125" style="434" customWidth="1"/>
    <col min="14603" max="14603" width="7.7109375" style="434" customWidth="1"/>
    <col min="14604" max="14604" width="7.5703125" style="434" customWidth="1"/>
    <col min="14605" max="14605" width="2.5703125" style="434" customWidth="1"/>
    <col min="14606" max="14607" width="7.85546875" style="434" customWidth="1"/>
    <col min="14608" max="14608" width="2.7109375" style="434" customWidth="1"/>
    <col min="14609" max="14610" width="7.7109375" style="434" customWidth="1"/>
    <col min="14611" max="14611" width="2.5703125" style="434" customWidth="1"/>
    <col min="14612" max="14848" width="9.140625" style="434"/>
    <col min="14849" max="14849" width="36" style="434" customWidth="1"/>
    <col min="14850" max="14850" width="8" style="434" customWidth="1"/>
    <col min="14851" max="14851" width="8.28515625" style="434" customWidth="1"/>
    <col min="14852" max="14852" width="2.5703125" style="434" customWidth="1"/>
    <col min="14853" max="14853" width="7.5703125" style="434" customWidth="1"/>
    <col min="14854" max="14854" width="7.7109375" style="434" customWidth="1"/>
    <col min="14855" max="14855" width="2.5703125" style="434" customWidth="1"/>
    <col min="14856" max="14856" width="8.28515625" style="434" customWidth="1"/>
    <col min="14857" max="14857" width="8.42578125" style="434" customWidth="1"/>
    <col min="14858" max="14858" width="2.5703125" style="434" customWidth="1"/>
    <col min="14859" max="14859" width="7.7109375" style="434" customWidth="1"/>
    <col min="14860" max="14860" width="7.5703125" style="434" customWidth="1"/>
    <col min="14861" max="14861" width="2.5703125" style="434" customWidth="1"/>
    <col min="14862" max="14863" width="7.85546875" style="434" customWidth="1"/>
    <col min="14864" max="14864" width="2.7109375" style="434" customWidth="1"/>
    <col min="14865" max="14866" width="7.7109375" style="434" customWidth="1"/>
    <col min="14867" max="14867" width="2.5703125" style="434" customWidth="1"/>
    <col min="14868" max="15104" width="9.140625" style="434"/>
    <col min="15105" max="15105" width="36" style="434" customWidth="1"/>
    <col min="15106" max="15106" width="8" style="434" customWidth="1"/>
    <col min="15107" max="15107" width="8.28515625" style="434" customWidth="1"/>
    <col min="15108" max="15108" width="2.5703125" style="434" customWidth="1"/>
    <col min="15109" max="15109" width="7.5703125" style="434" customWidth="1"/>
    <col min="15110" max="15110" width="7.7109375" style="434" customWidth="1"/>
    <col min="15111" max="15111" width="2.5703125" style="434" customWidth="1"/>
    <col min="15112" max="15112" width="8.28515625" style="434" customWidth="1"/>
    <col min="15113" max="15113" width="8.42578125" style="434" customWidth="1"/>
    <col min="15114" max="15114" width="2.5703125" style="434" customWidth="1"/>
    <col min="15115" max="15115" width="7.7109375" style="434" customWidth="1"/>
    <col min="15116" max="15116" width="7.5703125" style="434" customWidth="1"/>
    <col min="15117" max="15117" width="2.5703125" style="434" customWidth="1"/>
    <col min="15118" max="15119" width="7.85546875" style="434" customWidth="1"/>
    <col min="15120" max="15120" width="2.7109375" style="434" customWidth="1"/>
    <col min="15121" max="15122" width="7.7109375" style="434" customWidth="1"/>
    <col min="15123" max="15123" width="2.5703125" style="434" customWidth="1"/>
    <col min="15124" max="15360" width="9.140625" style="434"/>
    <col min="15361" max="15361" width="36" style="434" customWidth="1"/>
    <col min="15362" max="15362" width="8" style="434" customWidth="1"/>
    <col min="15363" max="15363" width="8.28515625" style="434" customWidth="1"/>
    <col min="15364" max="15364" width="2.5703125" style="434" customWidth="1"/>
    <col min="15365" max="15365" width="7.5703125" style="434" customWidth="1"/>
    <col min="15366" max="15366" width="7.7109375" style="434" customWidth="1"/>
    <col min="15367" max="15367" width="2.5703125" style="434" customWidth="1"/>
    <col min="15368" max="15368" width="8.28515625" style="434" customWidth="1"/>
    <col min="15369" max="15369" width="8.42578125" style="434" customWidth="1"/>
    <col min="15370" max="15370" width="2.5703125" style="434" customWidth="1"/>
    <col min="15371" max="15371" width="7.7109375" style="434" customWidth="1"/>
    <col min="15372" max="15372" width="7.5703125" style="434" customWidth="1"/>
    <col min="15373" max="15373" width="2.5703125" style="434" customWidth="1"/>
    <col min="15374" max="15375" width="7.85546875" style="434" customWidth="1"/>
    <col min="15376" max="15376" width="2.7109375" style="434" customWidth="1"/>
    <col min="15377" max="15378" width="7.7109375" style="434" customWidth="1"/>
    <col min="15379" max="15379" width="2.5703125" style="434" customWidth="1"/>
    <col min="15380" max="15616" width="9.140625" style="434"/>
    <col min="15617" max="15617" width="36" style="434" customWidth="1"/>
    <col min="15618" max="15618" width="8" style="434" customWidth="1"/>
    <col min="15619" max="15619" width="8.28515625" style="434" customWidth="1"/>
    <col min="15620" max="15620" width="2.5703125" style="434" customWidth="1"/>
    <col min="15621" max="15621" width="7.5703125" style="434" customWidth="1"/>
    <col min="15622" max="15622" width="7.7109375" style="434" customWidth="1"/>
    <col min="15623" max="15623" width="2.5703125" style="434" customWidth="1"/>
    <col min="15624" max="15624" width="8.28515625" style="434" customWidth="1"/>
    <col min="15625" max="15625" width="8.42578125" style="434" customWidth="1"/>
    <col min="15626" max="15626" width="2.5703125" style="434" customWidth="1"/>
    <col min="15627" max="15627" width="7.7109375" style="434" customWidth="1"/>
    <col min="15628" max="15628" width="7.5703125" style="434" customWidth="1"/>
    <col min="15629" max="15629" width="2.5703125" style="434" customWidth="1"/>
    <col min="15630" max="15631" width="7.85546875" style="434" customWidth="1"/>
    <col min="15632" max="15632" width="2.7109375" style="434" customWidth="1"/>
    <col min="15633" max="15634" width="7.7109375" style="434" customWidth="1"/>
    <col min="15635" max="15635" width="2.5703125" style="434" customWidth="1"/>
    <col min="15636" max="15872" width="9.140625" style="434"/>
    <col min="15873" max="15873" width="36" style="434" customWidth="1"/>
    <col min="15874" max="15874" width="8" style="434" customWidth="1"/>
    <col min="15875" max="15875" width="8.28515625" style="434" customWidth="1"/>
    <col min="15876" max="15876" width="2.5703125" style="434" customWidth="1"/>
    <col min="15877" max="15877" width="7.5703125" style="434" customWidth="1"/>
    <col min="15878" max="15878" width="7.7109375" style="434" customWidth="1"/>
    <col min="15879" max="15879" width="2.5703125" style="434" customWidth="1"/>
    <col min="15880" max="15880" width="8.28515625" style="434" customWidth="1"/>
    <col min="15881" max="15881" width="8.42578125" style="434" customWidth="1"/>
    <col min="15882" max="15882" width="2.5703125" style="434" customWidth="1"/>
    <col min="15883" max="15883" width="7.7109375" style="434" customWidth="1"/>
    <col min="15884" max="15884" width="7.5703125" style="434" customWidth="1"/>
    <col min="15885" max="15885" width="2.5703125" style="434" customWidth="1"/>
    <col min="15886" max="15887" width="7.85546875" style="434" customWidth="1"/>
    <col min="15888" max="15888" width="2.7109375" style="434" customWidth="1"/>
    <col min="15889" max="15890" width="7.7109375" style="434" customWidth="1"/>
    <col min="15891" max="15891" width="2.5703125" style="434" customWidth="1"/>
    <col min="15892" max="16128" width="9.140625" style="434"/>
    <col min="16129" max="16129" width="36" style="434" customWidth="1"/>
    <col min="16130" max="16130" width="8" style="434" customWidth="1"/>
    <col min="16131" max="16131" width="8.28515625" style="434" customWidth="1"/>
    <col min="16132" max="16132" width="2.5703125" style="434" customWidth="1"/>
    <col min="16133" max="16133" width="7.5703125" style="434" customWidth="1"/>
    <col min="16134" max="16134" width="7.7109375" style="434" customWidth="1"/>
    <col min="16135" max="16135" width="2.5703125" style="434" customWidth="1"/>
    <col min="16136" max="16136" width="8.28515625" style="434" customWidth="1"/>
    <col min="16137" max="16137" width="8.42578125" style="434" customWidth="1"/>
    <col min="16138" max="16138" width="2.5703125" style="434" customWidth="1"/>
    <col min="16139" max="16139" width="7.7109375" style="434" customWidth="1"/>
    <col min="16140" max="16140" width="7.5703125" style="434" customWidth="1"/>
    <col min="16141" max="16141" width="2.5703125" style="434" customWidth="1"/>
    <col min="16142" max="16143" width="7.85546875" style="434" customWidth="1"/>
    <col min="16144" max="16144" width="2.7109375" style="434" customWidth="1"/>
    <col min="16145" max="16146" width="7.7109375" style="434" customWidth="1"/>
    <col min="16147" max="16147" width="2.5703125" style="434" customWidth="1"/>
    <col min="16148" max="16384" width="9.140625" style="434"/>
  </cols>
  <sheetData>
    <row r="1" spans="1:19">
      <c r="A1" s="434" t="s">
        <v>431</v>
      </c>
      <c r="Q1" s="435"/>
    </row>
    <row r="2" spans="1:19">
      <c r="A2" s="434" t="s">
        <v>367</v>
      </c>
      <c r="Q2" s="435"/>
    </row>
    <row r="3" spans="1:19" ht="9.9499999999999993" customHeight="1">
      <c r="Q3" s="435"/>
    </row>
    <row r="4" spans="1:19">
      <c r="A4" s="42" t="s">
        <v>432</v>
      </c>
      <c r="L4" s="810"/>
      <c r="O4" s="810"/>
      <c r="Q4" s="435"/>
    </row>
    <row r="5" spans="1:19" ht="9.9499999999999993" customHeight="1" thickBot="1">
      <c r="O5" s="436"/>
      <c r="Q5" s="435"/>
      <c r="R5" s="436"/>
    </row>
    <row r="6" spans="1:19" ht="9.9499999999999993" customHeight="1">
      <c r="A6" s="437" t="s">
        <v>386</v>
      </c>
      <c r="B6" s="805"/>
      <c r="C6" s="439"/>
      <c r="D6" s="437"/>
      <c r="E6" s="438"/>
      <c r="F6" s="439"/>
      <c r="G6" s="437"/>
      <c r="H6" s="438"/>
      <c r="I6" s="439"/>
      <c r="J6" s="439"/>
      <c r="K6" s="438"/>
      <c r="L6" s="439"/>
      <c r="M6" s="437"/>
      <c r="N6" s="438"/>
      <c r="O6" s="439"/>
      <c r="P6" s="439"/>
      <c r="Q6" s="438"/>
      <c r="R6" s="439"/>
      <c r="S6" s="439"/>
    </row>
    <row r="7" spans="1:19" ht="15" customHeight="1">
      <c r="A7" s="440" t="s">
        <v>423</v>
      </c>
      <c r="B7" s="451" t="s">
        <v>371</v>
      </c>
      <c r="C7" s="442"/>
      <c r="D7" s="440"/>
      <c r="E7" s="812" t="s">
        <v>424</v>
      </c>
      <c r="F7" s="442"/>
      <c r="G7" s="440"/>
      <c r="H7" s="1266" t="s">
        <v>308</v>
      </c>
      <c r="I7" s="1266"/>
      <c r="J7" s="442"/>
      <c r="K7" s="1266" t="s">
        <v>425</v>
      </c>
      <c r="L7" s="1266"/>
      <c r="M7" s="440"/>
      <c r="N7" s="1266" t="s">
        <v>306</v>
      </c>
      <c r="O7" s="1266"/>
      <c r="Q7" s="1266" t="s">
        <v>305</v>
      </c>
      <c r="R7" s="1266"/>
    </row>
    <row r="8" spans="1:19" ht="15" customHeight="1">
      <c r="A8" s="434" t="s">
        <v>426</v>
      </c>
      <c r="B8" s="806"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19" ht="6" customHeight="1" thickBot="1">
      <c r="A9" s="445" t="s">
        <v>393</v>
      </c>
      <c r="B9" s="807"/>
      <c r="C9" s="447"/>
      <c r="D9" s="445"/>
      <c r="E9" s="446"/>
      <c r="F9" s="447"/>
      <c r="G9" s="445"/>
      <c r="H9" s="446"/>
      <c r="I9" s="447"/>
      <c r="J9" s="447"/>
      <c r="K9" s="446"/>
      <c r="L9" s="447"/>
      <c r="M9" s="445"/>
      <c r="N9" s="446"/>
      <c r="O9" s="447"/>
      <c r="P9" s="447"/>
      <c r="Q9" s="446"/>
      <c r="R9" s="447"/>
      <c r="S9" s="447"/>
    </row>
    <row r="10" spans="1:19" ht="9.9499999999999993" customHeight="1">
      <c r="Q10" s="435"/>
    </row>
    <row r="11" spans="1:19" ht="14.1" customHeight="1">
      <c r="A11" s="90" t="s">
        <v>325</v>
      </c>
      <c r="B11" s="544">
        <f>IF($A11&lt;&gt;"",E11+H11+K11+N11+Q11,"")</f>
        <v>4270</v>
      </c>
      <c r="C11" s="436">
        <f>SUM(C13+C107)</f>
        <v>100</v>
      </c>
      <c r="E11" s="435">
        <f>E13+E107</f>
        <v>661</v>
      </c>
      <c r="F11" s="436">
        <f t="shared" ref="F11:F75" si="0">IF($A11&lt;&gt;0,E11/$B11*100,"")</f>
        <v>15.480093676814988</v>
      </c>
      <c r="H11" s="435">
        <f>H13+H107</f>
        <v>211</v>
      </c>
      <c r="I11" s="436">
        <f t="shared" ref="I11:I77" si="1">IF($A11&lt;&gt;0,H11/$B11*100,"")</f>
        <v>4.9414519906323191</v>
      </c>
      <c r="K11" s="435">
        <f>K13+K107</f>
        <v>730</v>
      </c>
      <c r="L11" s="436">
        <f t="shared" ref="L11:L77" si="2">IF($A11&lt;&gt;0,K11/$B11*100,"")</f>
        <v>17.096018735362996</v>
      </c>
      <c r="M11" s="440"/>
      <c r="N11" s="435">
        <f>N13+N107</f>
        <v>1444</v>
      </c>
      <c r="O11" s="436">
        <f t="shared" ref="O11:O75" si="3">IF($A11&lt;&gt;0,N11/$B11*100,"")</f>
        <v>33.81733021077283</v>
      </c>
      <c r="P11" s="442"/>
      <c r="Q11" s="435">
        <f>Q13+Q107</f>
        <v>1224</v>
      </c>
      <c r="R11" s="436">
        <f t="shared" ref="R11:R78" si="4">IF($A11&lt;&gt;0,Q11/$B11*100,"")</f>
        <v>28.665105386416862</v>
      </c>
      <c r="S11" s="442"/>
    </row>
    <row r="12" spans="1:19" ht="9.9499999999999993" customHeight="1">
      <c r="B12" s="544" t="str">
        <f t="shared" ref="B12:B79" si="5">IF($A12&lt;&gt;"",E12+H12+K12+N12+Q12,"")</f>
        <v/>
      </c>
      <c r="C12" s="436" t="str">
        <f>IF(A12&lt;&gt;0,B12/$B$10*100,"")</f>
        <v/>
      </c>
      <c r="F12" s="436" t="str">
        <f t="shared" si="0"/>
        <v/>
      </c>
      <c r="I12" s="436" t="str">
        <f t="shared" si="1"/>
        <v/>
      </c>
      <c r="L12" s="436" t="str">
        <f t="shared" si="2"/>
        <v/>
      </c>
      <c r="M12" s="440"/>
      <c r="O12" s="436" t="str">
        <f t="shared" si="3"/>
        <v/>
      </c>
      <c r="P12" s="442"/>
      <c r="Q12" s="435"/>
      <c r="R12" s="436" t="str">
        <f t="shared" si="4"/>
        <v/>
      </c>
      <c r="S12" s="442"/>
    </row>
    <row r="13" spans="1:19" ht="14.1" customHeight="1">
      <c r="A13" s="63" t="s">
        <v>326</v>
      </c>
      <c r="B13" s="544">
        <f t="shared" si="5"/>
        <v>3317</v>
      </c>
      <c r="C13" s="436">
        <f>IF(A13&lt;&gt;0,B13/$B$11*100,"")</f>
        <v>77.681498829039811</v>
      </c>
      <c r="E13" s="435">
        <f>E15+E99</f>
        <v>486</v>
      </c>
      <c r="F13" s="436">
        <f t="shared" si="0"/>
        <v>14.651793789568886</v>
      </c>
      <c r="H13" s="435">
        <f>H15+H99</f>
        <v>150</v>
      </c>
      <c r="I13" s="436">
        <f t="shared" si="1"/>
        <v>4.5221585770274348</v>
      </c>
      <c r="K13" s="435">
        <f>K15+K99</f>
        <v>519</v>
      </c>
      <c r="L13" s="436">
        <f t="shared" si="2"/>
        <v>15.646668676514924</v>
      </c>
      <c r="M13" s="440"/>
      <c r="N13" s="435">
        <f>N15+N99</f>
        <v>1119</v>
      </c>
      <c r="O13" s="436">
        <f t="shared" si="3"/>
        <v>33.73530298462466</v>
      </c>
      <c r="P13" s="442"/>
      <c r="Q13" s="435">
        <f>Q15+Q99</f>
        <v>1043</v>
      </c>
      <c r="R13" s="436">
        <f t="shared" si="4"/>
        <v>31.444075972264095</v>
      </c>
      <c r="S13" s="442"/>
    </row>
    <row r="14" spans="1:19" ht="10.5" customHeight="1">
      <c r="A14" s="63"/>
      <c r="B14" s="544" t="str">
        <f t="shared" si="5"/>
        <v/>
      </c>
      <c r="C14" s="436" t="str">
        <f>IF(A14&lt;&gt;0,B14/$B$11*100,"")</f>
        <v/>
      </c>
      <c r="F14" s="436" t="str">
        <f t="shared" si="0"/>
        <v/>
      </c>
      <c r="I14" s="436" t="str">
        <f t="shared" si="1"/>
        <v/>
      </c>
      <c r="L14" s="436" t="str">
        <f t="shared" si="2"/>
        <v/>
      </c>
      <c r="M14" s="440"/>
      <c r="O14" s="436" t="str">
        <f t="shared" si="3"/>
        <v/>
      </c>
      <c r="P14" s="442"/>
      <c r="Q14" s="435"/>
      <c r="R14" s="436" t="str">
        <f t="shared" si="4"/>
        <v/>
      </c>
      <c r="S14" s="442"/>
    </row>
    <row r="15" spans="1:19" ht="14.1" customHeight="1">
      <c r="A15" s="63" t="s">
        <v>12</v>
      </c>
      <c r="B15" s="544">
        <f t="shared" si="5"/>
        <v>2816</v>
      </c>
      <c r="C15" s="436">
        <f>IF(A15&lt;&gt;0,B15/$B$11*100,"")</f>
        <v>65.948477751756442</v>
      </c>
      <c r="E15" s="435">
        <f>E17+E28+E36+E62+E76+E83+E95+E96+E97</f>
        <v>436</v>
      </c>
      <c r="F15" s="436">
        <f t="shared" si="0"/>
        <v>15.482954545454545</v>
      </c>
      <c r="H15" s="435">
        <f>H17+H28+H36+H62+H76+H83+H95+H96+H97</f>
        <v>129</v>
      </c>
      <c r="I15" s="436">
        <f t="shared" si="1"/>
        <v>4.5809659090909092</v>
      </c>
      <c r="K15" s="435">
        <f>K17+K28+K36+K62+K76+K83+K95+K96+K97</f>
        <v>411</v>
      </c>
      <c r="L15" s="436">
        <f t="shared" si="2"/>
        <v>14.595170454545455</v>
      </c>
      <c r="M15" s="440"/>
      <c r="N15" s="435">
        <f>N17+N28+N36+N62+N76+N83+N95+N96+N97</f>
        <v>886</v>
      </c>
      <c r="O15" s="436">
        <f t="shared" si="3"/>
        <v>31.463068181818183</v>
      </c>
      <c r="P15" s="442"/>
      <c r="Q15" s="435">
        <f>Q17+Q28+Q36+Q62+Q76+Q83+Q95+Q96+Q97</f>
        <v>954</v>
      </c>
      <c r="R15" s="436">
        <f t="shared" si="4"/>
        <v>33.877840909090914</v>
      </c>
      <c r="S15" s="442"/>
    </row>
    <row r="16" spans="1:19" ht="9.9499999999999993" customHeight="1">
      <c r="B16" s="544" t="str">
        <f t="shared" si="5"/>
        <v/>
      </c>
      <c r="C16" s="436" t="str">
        <f>IF(A16&lt;&gt;0,B16/$B$11*100,"")</f>
        <v/>
      </c>
      <c r="F16" s="436" t="str">
        <f t="shared" si="0"/>
        <v/>
      </c>
      <c r="I16" s="436" t="str">
        <f t="shared" si="1"/>
        <v/>
      </c>
      <c r="L16" s="436" t="str">
        <f t="shared" si="2"/>
        <v/>
      </c>
      <c r="M16" s="440"/>
      <c r="O16" s="436" t="str">
        <f t="shared" si="3"/>
        <v/>
      </c>
      <c r="P16" s="442"/>
      <c r="Q16" s="435"/>
      <c r="R16" s="436" t="str">
        <f t="shared" si="4"/>
        <v/>
      </c>
      <c r="S16" s="442"/>
    </row>
    <row r="17" spans="1:19" ht="13.15" customHeight="1">
      <c r="A17" s="63" t="s">
        <v>327</v>
      </c>
      <c r="B17" s="544">
        <f t="shared" si="5"/>
        <v>194</v>
      </c>
      <c r="C17" s="436">
        <f>IF(A17&lt;&gt;0,B17/$B$11*100,"")</f>
        <v>4.543325526932084</v>
      </c>
      <c r="E17" s="435">
        <f>E18+E23</f>
        <v>38</v>
      </c>
      <c r="F17" s="436">
        <f t="shared" si="0"/>
        <v>19.587628865979383</v>
      </c>
      <c r="H17" s="435">
        <f>H18+H23</f>
        <v>20</v>
      </c>
      <c r="I17" s="436">
        <f t="shared" si="1"/>
        <v>10.309278350515463</v>
      </c>
      <c r="K17" s="435">
        <f>K18+K23</f>
        <v>50</v>
      </c>
      <c r="L17" s="436">
        <f t="shared" si="2"/>
        <v>25.773195876288657</v>
      </c>
      <c r="M17" s="440"/>
      <c r="N17" s="435">
        <f>N18+N23</f>
        <v>54</v>
      </c>
      <c r="O17" s="436">
        <f t="shared" si="3"/>
        <v>27.835051546391753</v>
      </c>
      <c r="P17" s="442"/>
      <c r="Q17" s="435">
        <f>Q18+Q23</f>
        <v>32</v>
      </c>
      <c r="R17" s="436">
        <f t="shared" si="4"/>
        <v>16.494845360824741</v>
      </c>
      <c r="S17" s="442"/>
    </row>
    <row r="18" spans="1:19" ht="13.15" customHeight="1">
      <c r="A18" s="434" t="s">
        <v>20</v>
      </c>
      <c r="B18" s="544">
        <f t="shared" si="5"/>
        <v>95</v>
      </c>
      <c r="C18" s="436">
        <f t="shared" ref="C18:C81" si="6">IF(A18&lt;&gt;0,B18/$B$11*100,"")</f>
        <v>2.2248243559718972</v>
      </c>
      <c r="E18" s="435">
        <f>SUM(E19:E21)</f>
        <v>21</v>
      </c>
      <c r="F18" s="436">
        <f t="shared" si="0"/>
        <v>22.105263157894736</v>
      </c>
      <c r="H18" s="435">
        <f>SUM(H19:H21)</f>
        <v>5</v>
      </c>
      <c r="I18" s="436">
        <f t="shared" si="1"/>
        <v>5.2631578947368416</v>
      </c>
      <c r="K18" s="435">
        <f>SUM(K19:K21)</f>
        <v>31</v>
      </c>
      <c r="L18" s="436">
        <f t="shared" si="2"/>
        <v>32.631578947368425</v>
      </c>
      <c r="M18" s="440"/>
      <c r="N18" s="435">
        <f>SUM(N19:N21)</f>
        <v>26</v>
      </c>
      <c r="O18" s="436">
        <f t="shared" si="3"/>
        <v>27.368421052631582</v>
      </c>
      <c r="P18" s="442"/>
      <c r="Q18" s="435">
        <f>SUM(Q19:Q21)</f>
        <v>12</v>
      </c>
      <c r="R18" s="436">
        <f t="shared" si="4"/>
        <v>12.631578947368421</v>
      </c>
      <c r="S18" s="442"/>
    </row>
    <row r="19" spans="1:19" ht="13.15" customHeight="1">
      <c r="A19" s="434" t="s">
        <v>21</v>
      </c>
      <c r="B19" s="544">
        <f>IF($A19&lt;&gt;"",E19+H19+K19+N19+Q19,"")</f>
        <v>19</v>
      </c>
      <c r="C19" s="436">
        <f t="shared" si="6"/>
        <v>0.44496487119437944</v>
      </c>
      <c r="E19" s="434">
        <v>2</v>
      </c>
      <c r="F19" s="436">
        <f t="shared" si="0"/>
        <v>10.526315789473683</v>
      </c>
      <c r="H19" s="434">
        <v>0</v>
      </c>
      <c r="I19" s="436">
        <f t="shared" si="1"/>
        <v>0</v>
      </c>
      <c r="J19" s="434"/>
      <c r="K19" s="434">
        <v>6</v>
      </c>
      <c r="L19" s="436">
        <f t="shared" si="2"/>
        <v>31.578947368421051</v>
      </c>
      <c r="N19" s="434">
        <v>6</v>
      </c>
      <c r="O19" s="436">
        <f t="shared" si="3"/>
        <v>31.578947368421051</v>
      </c>
      <c r="Q19" s="434">
        <v>5</v>
      </c>
      <c r="R19" s="436">
        <f>IF($A19&lt;&gt;0,Q19/$B19*100,"")</f>
        <v>26.315789473684209</v>
      </c>
      <c r="S19" s="442"/>
    </row>
    <row r="20" spans="1:19" ht="13.15" customHeight="1">
      <c r="A20" s="434" t="s">
        <v>22</v>
      </c>
      <c r="B20" s="544">
        <f>IF($A20&lt;&gt;"",E20+H20+K20+N20+Q20,"")</f>
        <v>36</v>
      </c>
      <c r="C20" s="436">
        <f t="shared" si="6"/>
        <v>0.84309133489461363</v>
      </c>
      <c r="E20" s="434">
        <v>7</v>
      </c>
      <c r="F20" s="436">
        <f t="shared" si="0"/>
        <v>19.444444444444446</v>
      </c>
      <c r="H20" s="434">
        <v>3</v>
      </c>
      <c r="I20" s="436">
        <f t="shared" si="1"/>
        <v>8.3333333333333321</v>
      </c>
      <c r="J20" s="434"/>
      <c r="K20" s="434">
        <v>13</v>
      </c>
      <c r="L20" s="436">
        <f t="shared" si="2"/>
        <v>36.111111111111107</v>
      </c>
      <c r="N20" s="434">
        <v>8</v>
      </c>
      <c r="O20" s="436">
        <f t="shared" si="3"/>
        <v>22.222222222222221</v>
      </c>
      <c r="Q20" s="434">
        <v>5</v>
      </c>
      <c r="R20" s="436">
        <f>IF($A20&lt;&gt;0,Q20/$B20*100,"")</f>
        <v>13.888888888888889</v>
      </c>
      <c r="S20" s="442"/>
    </row>
    <row r="21" spans="1:19" ht="12" customHeight="1">
      <c r="A21" s="434" t="s">
        <v>23</v>
      </c>
      <c r="B21" s="544">
        <f>IF($A21&lt;&gt;"",E21+H21+K21+N21+Q21,"")</f>
        <v>40</v>
      </c>
      <c r="C21" s="436">
        <f t="shared" si="6"/>
        <v>0.93676814988290402</v>
      </c>
      <c r="E21" s="434">
        <v>12</v>
      </c>
      <c r="F21" s="436">
        <f t="shared" si="0"/>
        <v>30</v>
      </c>
      <c r="H21" s="434">
        <v>2</v>
      </c>
      <c r="I21" s="436">
        <f t="shared" si="1"/>
        <v>5</v>
      </c>
      <c r="J21" s="434"/>
      <c r="K21" s="434">
        <v>12</v>
      </c>
      <c r="L21" s="436">
        <f t="shared" si="2"/>
        <v>30</v>
      </c>
      <c r="N21" s="434">
        <v>12</v>
      </c>
      <c r="O21" s="436">
        <f t="shared" si="3"/>
        <v>30</v>
      </c>
      <c r="Q21" s="434">
        <v>2</v>
      </c>
      <c r="R21" s="436">
        <f>IF($A21&lt;&gt;0,Q21/$B21*100,"")</f>
        <v>5</v>
      </c>
      <c r="S21" s="442"/>
    </row>
    <row r="22" spans="1:19" ht="9.9499999999999993" customHeight="1">
      <c r="B22" s="544" t="str">
        <f t="shared" si="5"/>
        <v/>
      </c>
      <c r="C22" s="436" t="str">
        <f t="shared" si="6"/>
        <v/>
      </c>
      <c r="F22" s="436" t="str">
        <f t="shared" si="0"/>
        <v/>
      </c>
      <c r="I22" s="436" t="str">
        <f t="shared" si="1"/>
        <v/>
      </c>
      <c r="L22" s="436" t="str">
        <f t="shared" si="2"/>
        <v/>
      </c>
      <c r="M22" s="440"/>
      <c r="O22" s="436" t="str">
        <f t="shared" si="3"/>
        <v/>
      </c>
      <c r="P22" s="442"/>
      <c r="Q22" s="435"/>
      <c r="R22" s="436" t="str">
        <f t="shared" si="4"/>
        <v/>
      </c>
      <c r="S22" s="442"/>
    </row>
    <row r="23" spans="1:19" ht="13.15" customHeight="1">
      <c r="A23" s="434" t="s">
        <v>24</v>
      </c>
      <c r="B23" s="544">
        <f t="shared" si="5"/>
        <v>99</v>
      </c>
      <c r="C23" s="436">
        <f t="shared" si="6"/>
        <v>2.3185011709601873</v>
      </c>
      <c r="E23" s="435">
        <f>SUM(E24:E26)</f>
        <v>17</v>
      </c>
      <c r="F23" s="436">
        <f t="shared" si="0"/>
        <v>17.171717171717169</v>
      </c>
      <c r="H23" s="435">
        <f>SUM(H24:H26)</f>
        <v>15</v>
      </c>
      <c r="I23" s="436">
        <f t="shared" si="1"/>
        <v>15.151515151515152</v>
      </c>
      <c r="K23" s="435">
        <f>SUM(K24:K26)</f>
        <v>19</v>
      </c>
      <c r="L23" s="436">
        <f t="shared" si="2"/>
        <v>19.19191919191919</v>
      </c>
      <c r="M23" s="440"/>
      <c r="N23" s="435">
        <f>SUM(N24:N26)</f>
        <v>28</v>
      </c>
      <c r="O23" s="436">
        <f t="shared" si="3"/>
        <v>28.28282828282828</v>
      </c>
      <c r="P23" s="442"/>
      <c r="Q23" s="435">
        <f>SUM(Q24:Q26)</f>
        <v>20</v>
      </c>
      <c r="R23" s="436">
        <f t="shared" si="4"/>
        <v>20.202020202020201</v>
      </c>
      <c r="S23" s="442"/>
    </row>
    <row r="24" spans="1:19" ht="13.15" customHeight="1">
      <c r="A24" s="434" t="s">
        <v>25</v>
      </c>
      <c r="B24" s="544">
        <f t="shared" si="5"/>
        <v>24</v>
      </c>
      <c r="C24" s="436">
        <f t="shared" si="6"/>
        <v>0.56206088992974235</v>
      </c>
      <c r="E24" s="435">
        <v>5</v>
      </c>
      <c r="F24" s="436">
        <f t="shared" si="0"/>
        <v>20.833333333333336</v>
      </c>
      <c r="G24" s="435"/>
      <c r="H24" s="435">
        <v>4</v>
      </c>
      <c r="I24" s="436">
        <f t="shared" si="1"/>
        <v>16.666666666666664</v>
      </c>
      <c r="J24" s="435"/>
      <c r="K24" s="435">
        <v>7</v>
      </c>
      <c r="L24" s="436">
        <f t="shared" si="2"/>
        <v>29.166666666666668</v>
      </c>
      <c r="M24" s="435"/>
      <c r="N24" s="435">
        <v>7</v>
      </c>
      <c r="O24" s="436">
        <f t="shared" si="3"/>
        <v>29.166666666666668</v>
      </c>
      <c r="P24" s="435"/>
      <c r="Q24" s="435">
        <v>1</v>
      </c>
      <c r="R24" s="436">
        <f t="shared" si="4"/>
        <v>4.1666666666666661</v>
      </c>
      <c r="S24" s="442"/>
    </row>
    <row r="25" spans="1:19" ht="13.15" customHeight="1">
      <c r="A25" s="434" t="s">
        <v>26</v>
      </c>
      <c r="B25" s="544">
        <f t="shared" si="5"/>
        <v>19</v>
      </c>
      <c r="C25" s="436">
        <f t="shared" si="6"/>
        <v>0.44496487119437944</v>
      </c>
      <c r="E25" s="435">
        <v>1</v>
      </c>
      <c r="F25" s="436">
        <f t="shared" si="0"/>
        <v>5.2631578947368416</v>
      </c>
      <c r="G25" s="435"/>
      <c r="H25" s="435">
        <v>5</v>
      </c>
      <c r="I25" s="436">
        <f t="shared" si="1"/>
        <v>26.315789473684209</v>
      </c>
      <c r="J25" s="435"/>
      <c r="K25" s="435">
        <v>2</v>
      </c>
      <c r="L25" s="436">
        <f t="shared" si="2"/>
        <v>10.526315789473683</v>
      </c>
      <c r="M25" s="435"/>
      <c r="N25" s="435">
        <v>11</v>
      </c>
      <c r="O25" s="436">
        <f t="shared" si="3"/>
        <v>57.894736842105267</v>
      </c>
      <c r="P25" s="435"/>
      <c r="Q25" s="435">
        <v>0</v>
      </c>
      <c r="R25" s="436">
        <f t="shared" si="4"/>
        <v>0</v>
      </c>
      <c r="S25" s="442"/>
    </row>
    <row r="26" spans="1:19" ht="12" customHeight="1">
      <c r="A26" s="434" t="s">
        <v>27</v>
      </c>
      <c r="B26" s="544">
        <f t="shared" si="5"/>
        <v>56</v>
      </c>
      <c r="C26" s="436">
        <f t="shared" si="6"/>
        <v>1.3114754098360655</v>
      </c>
      <c r="E26" s="435">
        <v>11</v>
      </c>
      <c r="F26" s="436">
        <f t="shared" si="0"/>
        <v>19.642857142857142</v>
      </c>
      <c r="G26" s="435"/>
      <c r="H26" s="435">
        <v>6</v>
      </c>
      <c r="I26" s="436">
        <f t="shared" si="1"/>
        <v>10.714285714285714</v>
      </c>
      <c r="J26" s="435"/>
      <c r="K26" s="435">
        <v>10</v>
      </c>
      <c r="L26" s="436">
        <f t="shared" si="2"/>
        <v>17.857142857142858</v>
      </c>
      <c r="M26" s="435"/>
      <c r="N26" s="435">
        <v>10</v>
      </c>
      <c r="O26" s="436">
        <f t="shared" si="3"/>
        <v>17.857142857142858</v>
      </c>
      <c r="P26" s="435"/>
      <c r="Q26" s="435">
        <v>19</v>
      </c>
      <c r="R26" s="436">
        <f t="shared" si="4"/>
        <v>33.928571428571431</v>
      </c>
      <c r="S26" s="442"/>
    </row>
    <row r="27" spans="1:19" ht="9.9499999999999993" customHeight="1">
      <c r="B27" s="544" t="str">
        <f t="shared" si="5"/>
        <v/>
      </c>
      <c r="C27" s="436" t="str">
        <f t="shared" si="6"/>
        <v/>
      </c>
      <c r="F27" s="436" t="str">
        <f t="shared" si="0"/>
        <v/>
      </c>
      <c r="I27" s="436" t="str">
        <f t="shared" si="1"/>
        <v/>
      </c>
      <c r="L27" s="436" t="str">
        <f t="shared" si="2"/>
        <v/>
      </c>
      <c r="M27" s="440"/>
      <c r="O27" s="436" t="str">
        <f t="shared" si="3"/>
        <v/>
      </c>
      <c r="P27" s="442"/>
      <c r="Q27" s="435"/>
      <c r="R27" s="436" t="str">
        <f t="shared" si="4"/>
        <v/>
      </c>
      <c r="S27" s="442"/>
    </row>
    <row r="28" spans="1:19" ht="13.15" customHeight="1">
      <c r="A28" s="63" t="s">
        <v>375</v>
      </c>
      <c r="B28" s="544">
        <f t="shared" si="5"/>
        <v>254</v>
      </c>
      <c r="C28" s="436">
        <f t="shared" si="6"/>
        <v>5.9484777517564407</v>
      </c>
      <c r="E28" s="435">
        <f>SUM(E30:E34)</f>
        <v>86</v>
      </c>
      <c r="F28" s="436">
        <f t="shared" si="0"/>
        <v>33.858267716535437</v>
      </c>
      <c r="H28" s="435">
        <f>SUM(H30:H34)</f>
        <v>8</v>
      </c>
      <c r="I28" s="436">
        <f t="shared" si="1"/>
        <v>3.1496062992125982</v>
      </c>
      <c r="K28" s="435">
        <f>SUM(K30:K34)</f>
        <v>27</v>
      </c>
      <c r="L28" s="436">
        <f t="shared" si="2"/>
        <v>10.62992125984252</v>
      </c>
      <c r="M28" s="440"/>
      <c r="N28" s="435">
        <f>SUM(N30:N34)</f>
        <v>66</v>
      </c>
      <c r="O28" s="436">
        <f t="shared" si="3"/>
        <v>25.984251968503933</v>
      </c>
      <c r="P28" s="442"/>
      <c r="Q28" s="435">
        <f>SUM(Q29)</f>
        <v>67</v>
      </c>
      <c r="R28" s="436">
        <f t="shared" si="4"/>
        <v>26.377952755905511</v>
      </c>
      <c r="S28" s="442"/>
    </row>
    <row r="29" spans="1:19" ht="13.15" customHeight="1">
      <c r="A29" s="434" t="s">
        <v>29</v>
      </c>
      <c r="B29" s="544">
        <f t="shared" si="5"/>
        <v>254</v>
      </c>
      <c r="C29" s="436">
        <f t="shared" si="6"/>
        <v>5.9484777517564407</v>
      </c>
      <c r="E29" s="435">
        <f>SUM(E30:E34)</f>
        <v>86</v>
      </c>
      <c r="F29" s="436">
        <f t="shared" si="0"/>
        <v>33.858267716535437</v>
      </c>
      <c r="H29" s="435">
        <f>SUM(H30:H34)</f>
        <v>8</v>
      </c>
      <c r="I29" s="436">
        <f t="shared" si="1"/>
        <v>3.1496062992125982</v>
      </c>
      <c r="K29" s="435">
        <f>SUM(K30:K34)</f>
        <v>27</v>
      </c>
      <c r="L29" s="436">
        <f t="shared" si="2"/>
        <v>10.62992125984252</v>
      </c>
      <c r="M29" s="440"/>
      <c r="N29" s="435">
        <f>SUM(N30:N34)</f>
        <v>66</v>
      </c>
      <c r="O29" s="436">
        <f t="shared" si="3"/>
        <v>25.984251968503933</v>
      </c>
      <c r="P29" s="442"/>
      <c r="Q29" s="435">
        <f>SUM(Q30:Q34)</f>
        <v>67</v>
      </c>
      <c r="R29" s="436">
        <f t="shared" si="4"/>
        <v>26.377952755905511</v>
      </c>
      <c r="S29" s="442"/>
    </row>
    <row r="30" spans="1:19" ht="13.15" customHeight="1">
      <c r="A30" s="434" t="s">
        <v>30</v>
      </c>
      <c r="B30" s="544">
        <f t="shared" si="5"/>
        <v>26</v>
      </c>
      <c r="C30" s="436">
        <f t="shared" si="6"/>
        <v>0.6088992974238876</v>
      </c>
      <c r="E30" s="435">
        <v>3</v>
      </c>
      <c r="F30" s="436">
        <f t="shared" si="0"/>
        <v>11.538461538461538</v>
      </c>
      <c r="G30" s="435"/>
      <c r="H30" s="435">
        <v>1</v>
      </c>
      <c r="I30" s="436">
        <f t="shared" si="1"/>
        <v>3.8461538461538463</v>
      </c>
      <c r="J30" s="435"/>
      <c r="K30" s="435">
        <v>7</v>
      </c>
      <c r="L30" s="436">
        <f t="shared" si="2"/>
        <v>26.923076923076923</v>
      </c>
      <c r="M30" s="435"/>
      <c r="N30" s="435">
        <v>5</v>
      </c>
      <c r="O30" s="436">
        <f t="shared" si="3"/>
        <v>19.230769230769234</v>
      </c>
      <c r="P30" s="435"/>
      <c r="Q30" s="435">
        <v>10</v>
      </c>
      <c r="R30" s="436">
        <f t="shared" si="4"/>
        <v>38.461538461538467</v>
      </c>
      <c r="S30" s="442"/>
    </row>
    <row r="31" spans="1:19" ht="13.15" customHeight="1">
      <c r="A31" s="434" t="s">
        <v>31</v>
      </c>
      <c r="B31" s="544">
        <f t="shared" si="5"/>
        <v>70</v>
      </c>
      <c r="C31" s="436">
        <f t="shared" si="6"/>
        <v>1.639344262295082</v>
      </c>
      <c r="E31" s="435">
        <v>12</v>
      </c>
      <c r="F31" s="436">
        <f t="shared" si="0"/>
        <v>17.142857142857142</v>
      </c>
      <c r="G31" s="435"/>
      <c r="H31" s="435">
        <v>3</v>
      </c>
      <c r="I31" s="436">
        <f t="shared" si="1"/>
        <v>4.2857142857142856</v>
      </c>
      <c r="J31" s="435"/>
      <c r="K31" s="435">
        <v>7</v>
      </c>
      <c r="L31" s="436">
        <f t="shared" si="2"/>
        <v>10</v>
      </c>
      <c r="M31" s="435"/>
      <c r="N31" s="435">
        <v>23</v>
      </c>
      <c r="O31" s="436">
        <f t="shared" si="3"/>
        <v>32.857142857142854</v>
      </c>
      <c r="P31" s="435"/>
      <c r="Q31" s="435">
        <v>25</v>
      </c>
      <c r="R31" s="436">
        <f t="shared" si="4"/>
        <v>35.714285714285715</v>
      </c>
      <c r="S31" s="442"/>
    </row>
    <row r="32" spans="1:19" ht="13.15" customHeight="1">
      <c r="A32" s="434" t="s">
        <v>32</v>
      </c>
      <c r="B32" s="544">
        <f t="shared" si="5"/>
        <v>16</v>
      </c>
      <c r="C32" s="436">
        <f t="shared" si="6"/>
        <v>0.37470725995316156</v>
      </c>
      <c r="E32" s="435">
        <v>5</v>
      </c>
      <c r="F32" s="436">
        <f t="shared" si="0"/>
        <v>31.25</v>
      </c>
      <c r="G32" s="435"/>
      <c r="H32" s="435">
        <v>2</v>
      </c>
      <c r="I32" s="436">
        <f t="shared" si="1"/>
        <v>12.5</v>
      </c>
      <c r="J32" s="435"/>
      <c r="K32" s="435">
        <v>2</v>
      </c>
      <c r="L32" s="436">
        <f t="shared" si="2"/>
        <v>12.5</v>
      </c>
      <c r="M32" s="435"/>
      <c r="N32" s="435">
        <v>4</v>
      </c>
      <c r="O32" s="436">
        <f t="shared" si="3"/>
        <v>25</v>
      </c>
      <c r="P32" s="435"/>
      <c r="Q32" s="435">
        <v>3</v>
      </c>
      <c r="R32" s="436">
        <f t="shared" si="4"/>
        <v>18.75</v>
      </c>
      <c r="S32" s="442"/>
    </row>
    <row r="33" spans="1:19" ht="13.15" customHeight="1">
      <c r="A33" s="434" t="s">
        <v>33</v>
      </c>
      <c r="B33" s="544">
        <f t="shared" si="5"/>
        <v>101</v>
      </c>
      <c r="C33" s="436">
        <f t="shared" si="6"/>
        <v>2.3653395784543325</v>
      </c>
      <c r="E33" s="435">
        <v>47</v>
      </c>
      <c r="F33" s="436">
        <f t="shared" si="0"/>
        <v>46.534653465346537</v>
      </c>
      <c r="G33" s="435"/>
      <c r="H33" s="435">
        <v>2</v>
      </c>
      <c r="I33" s="436">
        <f t="shared" si="1"/>
        <v>1.9801980198019802</v>
      </c>
      <c r="J33" s="435"/>
      <c r="K33" s="435">
        <v>5</v>
      </c>
      <c r="L33" s="436">
        <f t="shared" si="2"/>
        <v>4.9504950495049505</v>
      </c>
      <c r="M33" s="435"/>
      <c r="N33" s="435">
        <v>27</v>
      </c>
      <c r="O33" s="436">
        <f t="shared" si="3"/>
        <v>26.732673267326735</v>
      </c>
      <c r="P33" s="435"/>
      <c r="Q33" s="435">
        <v>20</v>
      </c>
      <c r="R33" s="436">
        <f t="shared" si="4"/>
        <v>19.801980198019802</v>
      </c>
      <c r="S33" s="442"/>
    </row>
    <row r="34" spans="1:19" ht="12" customHeight="1">
      <c r="A34" s="434" t="s">
        <v>34</v>
      </c>
      <c r="B34" s="544">
        <f t="shared" si="5"/>
        <v>41</v>
      </c>
      <c r="C34" s="436">
        <f t="shared" si="6"/>
        <v>0.96018735362997654</v>
      </c>
      <c r="E34" s="435">
        <v>19</v>
      </c>
      <c r="F34" s="436">
        <f t="shared" si="0"/>
        <v>46.341463414634148</v>
      </c>
      <c r="G34" s="435"/>
      <c r="H34" s="435">
        <v>0</v>
      </c>
      <c r="I34" s="436">
        <f t="shared" si="1"/>
        <v>0</v>
      </c>
      <c r="J34" s="435"/>
      <c r="K34" s="435">
        <v>6</v>
      </c>
      <c r="L34" s="436">
        <f t="shared" si="2"/>
        <v>14.634146341463413</v>
      </c>
      <c r="M34" s="435"/>
      <c r="N34" s="435">
        <v>7</v>
      </c>
      <c r="O34" s="436">
        <f t="shared" si="3"/>
        <v>17.073170731707318</v>
      </c>
      <c r="P34" s="435"/>
      <c r="Q34" s="435">
        <v>9</v>
      </c>
      <c r="R34" s="436">
        <f t="shared" si="4"/>
        <v>21.951219512195124</v>
      </c>
      <c r="S34" s="442"/>
    </row>
    <row r="35" spans="1:19" ht="9.9499999999999993" customHeight="1">
      <c r="B35" s="544" t="str">
        <f t="shared" si="5"/>
        <v/>
      </c>
      <c r="C35" s="436" t="str">
        <f t="shared" si="6"/>
        <v/>
      </c>
      <c r="F35" s="436" t="str">
        <f t="shared" si="0"/>
        <v/>
      </c>
      <c r="I35" s="436" t="str">
        <f t="shared" si="1"/>
        <v/>
      </c>
      <c r="L35" s="436" t="str">
        <f t="shared" si="2"/>
        <v/>
      </c>
      <c r="M35" s="440"/>
      <c r="O35" s="436" t="str">
        <f t="shared" si="3"/>
        <v/>
      </c>
      <c r="P35" s="442"/>
      <c r="Q35" s="435"/>
      <c r="R35" s="436" t="str">
        <f t="shared" si="4"/>
        <v/>
      </c>
      <c r="S35" s="442"/>
    </row>
    <row r="36" spans="1:19" ht="13.15" customHeight="1">
      <c r="A36" s="63" t="s">
        <v>329</v>
      </c>
      <c r="B36" s="544">
        <f t="shared" si="5"/>
        <v>859</v>
      </c>
      <c r="C36" s="436">
        <f t="shared" si="6"/>
        <v>20.117096018735364</v>
      </c>
      <c r="E36" s="435">
        <f>E37+E43+E53+E55</f>
        <v>82</v>
      </c>
      <c r="F36" s="436">
        <f t="shared" si="0"/>
        <v>9.5459837019790452</v>
      </c>
      <c r="H36" s="435">
        <f>H37+H43+H53+H55</f>
        <v>43</v>
      </c>
      <c r="I36" s="436">
        <f t="shared" si="1"/>
        <v>5.0058207217694992</v>
      </c>
      <c r="K36" s="435">
        <f>K37+K43+K53+K55</f>
        <v>151</v>
      </c>
      <c r="L36" s="436">
        <f t="shared" si="2"/>
        <v>17.578579743888241</v>
      </c>
      <c r="M36" s="440"/>
      <c r="N36" s="435">
        <f>N37+N43+N53+N55</f>
        <v>362</v>
      </c>
      <c r="O36" s="436">
        <f t="shared" si="3"/>
        <v>42.142025611175789</v>
      </c>
      <c r="P36" s="442"/>
      <c r="Q36" s="435">
        <f>Q37+Q43+Q53+Q55</f>
        <v>221</v>
      </c>
      <c r="R36" s="436">
        <f t="shared" si="4"/>
        <v>25.72759022118743</v>
      </c>
      <c r="S36" s="442"/>
    </row>
    <row r="37" spans="1:19" ht="13.15" customHeight="1">
      <c r="A37" s="434" t="s">
        <v>36</v>
      </c>
      <c r="B37" s="544">
        <f t="shared" si="5"/>
        <v>226</v>
      </c>
      <c r="C37" s="436">
        <f t="shared" si="6"/>
        <v>5.2927400468384072</v>
      </c>
      <c r="E37" s="435">
        <f>SUM(E38:E41)</f>
        <v>11</v>
      </c>
      <c r="F37" s="436">
        <f t="shared" si="0"/>
        <v>4.8672566371681416</v>
      </c>
      <c r="H37" s="435">
        <f>SUM(H38:H41)</f>
        <v>13</v>
      </c>
      <c r="I37" s="436">
        <f t="shared" si="1"/>
        <v>5.7522123893805306</v>
      </c>
      <c r="K37" s="435">
        <f>SUM(K38:K41)</f>
        <v>36</v>
      </c>
      <c r="L37" s="436">
        <f t="shared" si="2"/>
        <v>15.929203539823009</v>
      </c>
      <c r="M37" s="440"/>
      <c r="N37" s="435">
        <f>SUM(N38:N41)</f>
        <v>120</v>
      </c>
      <c r="O37" s="436">
        <f t="shared" si="3"/>
        <v>53.097345132743371</v>
      </c>
      <c r="P37" s="442"/>
      <c r="Q37" s="435">
        <f>SUM(Q38:Q41)</f>
        <v>46</v>
      </c>
      <c r="R37" s="436">
        <f t="shared" si="4"/>
        <v>20.353982300884958</v>
      </c>
      <c r="S37" s="442"/>
    </row>
    <row r="38" spans="1:19" ht="13.15" customHeight="1">
      <c r="A38" s="434" t="s">
        <v>37</v>
      </c>
      <c r="B38" s="544">
        <f t="shared" si="5"/>
        <v>101</v>
      </c>
      <c r="C38" s="436">
        <f t="shared" si="6"/>
        <v>2.3653395784543325</v>
      </c>
      <c r="E38" s="435">
        <v>4</v>
      </c>
      <c r="F38" s="436">
        <f t="shared" si="0"/>
        <v>3.9603960396039604</v>
      </c>
      <c r="G38" s="435"/>
      <c r="H38" s="435">
        <v>6</v>
      </c>
      <c r="I38" s="436">
        <f t="shared" si="1"/>
        <v>5.9405940594059405</v>
      </c>
      <c r="J38" s="435"/>
      <c r="K38" s="435">
        <v>11</v>
      </c>
      <c r="L38" s="436">
        <f t="shared" si="2"/>
        <v>10.891089108910892</v>
      </c>
      <c r="M38" s="435"/>
      <c r="N38" s="435">
        <v>50</v>
      </c>
      <c r="O38" s="436">
        <f t="shared" si="3"/>
        <v>49.504950495049506</v>
      </c>
      <c r="P38" s="435"/>
      <c r="Q38" s="435">
        <v>30</v>
      </c>
      <c r="R38" s="436">
        <f t="shared" si="4"/>
        <v>29.702970297029701</v>
      </c>
    </row>
    <row r="39" spans="1:19" ht="13.15" customHeight="1">
      <c r="A39" s="434" t="s">
        <v>38</v>
      </c>
      <c r="B39" s="544">
        <f t="shared" si="5"/>
        <v>68</v>
      </c>
      <c r="C39" s="436">
        <f t="shared" si="6"/>
        <v>1.592505854800937</v>
      </c>
      <c r="E39" s="435">
        <v>2</v>
      </c>
      <c r="F39" s="436">
        <f t="shared" si="0"/>
        <v>2.9411764705882351</v>
      </c>
      <c r="G39" s="435"/>
      <c r="H39" s="435">
        <v>4</v>
      </c>
      <c r="I39" s="436">
        <f t="shared" si="1"/>
        <v>5.8823529411764701</v>
      </c>
      <c r="J39" s="435"/>
      <c r="K39" s="435">
        <v>12</v>
      </c>
      <c r="L39" s="436">
        <f t="shared" si="2"/>
        <v>17.647058823529413</v>
      </c>
      <c r="M39" s="435"/>
      <c r="N39" s="435">
        <v>40</v>
      </c>
      <c r="O39" s="436">
        <f t="shared" si="3"/>
        <v>58.82352941176471</v>
      </c>
      <c r="P39" s="435"/>
      <c r="Q39" s="435">
        <v>10</v>
      </c>
      <c r="R39" s="436">
        <f t="shared" si="4"/>
        <v>14.705882352941178</v>
      </c>
    </row>
    <row r="40" spans="1:19" ht="13.15" customHeight="1">
      <c r="A40" s="434" t="s">
        <v>39</v>
      </c>
      <c r="B40" s="544">
        <f t="shared" si="5"/>
        <v>29</v>
      </c>
      <c r="C40" s="436">
        <f t="shared" si="6"/>
        <v>0.67915690866510547</v>
      </c>
      <c r="E40" s="435">
        <v>3</v>
      </c>
      <c r="F40" s="436">
        <f t="shared" si="0"/>
        <v>10.344827586206897</v>
      </c>
      <c r="G40" s="435"/>
      <c r="H40" s="435">
        <v>2</v>
      </c>
      <c r="I40" s="436">
        <f t="shared" si="1"/>
        <v>6.8965517241379306</v>
      </c>
      <c r="J40" s="435"/>
      <c r="K40" s="435">
        <v>6</v>
      </c>
      <c r="L40" s="436">
        <f t="shared" si="2"/>
        <v>20.689655172413794</v>
      </c>
      <c r="M40" s="435"/>
      <c r="N40" s="435">
        <v>14</v>
      </c>
      <c r="O40" s="436">
        <f t="shared" si="3"/>
        <v>48.275862068965516</v>
      </c>
      <c r="P40" s="435"/>
      <c r="Q40" s="435">
        <v>4</v>
      </c>
      <c r="R40" s="436">
        <f t="shared" si="4"/>
        <v>13.793103448275861</v>
      </c>
    </row>
    <row r="41" spans="1:19" ht="12" customHeight="1">
      <c r="A41" s="434" t="s">
        <v>40</v>
      </c>
      <c r="B41" s="544">
        <f t="shared" si="5"/>
        <v>28</v>
      </c>
      <c r="C41" s="436">
        <f t="shared" si="6"/>
        <v>0.65573770491803274</v>
      </c>
      <c r="E41" s="435">
        <v>2</v>
      </c>
      <c r="F41" s="436">
        <f t="shared" si="0"/>
        <v>7.1428571428571423</v>
      </c>
      <c r="G41" s="435"/>
      <c r="H41" s="435">
        <v>1</v>
      </c>
      <c r="I41" s="436">
        <f t="shared" si="1"/>
        <v>3.5714285714285712</v>
      </c>
      <c r="J41" s="435"/>
      <c r="K41" s="435">
        <v>7</v>
      </c>
      <c r="L41" s="436">
        <f t="shared" si="2"/>
        <v>25</v>
      </c>
      <c r="M41" s="435"/>
      <c r="N41" s="435">
        <v>16</v>
      </c>
      <c r="O41" s="436">
        <f t="shared" si="3"/>
        <v>57.142857142857139</v>
      </c>
      <c r="P41" s="435"/>
      <c r="Q41" s="435">
        <v>2</v>
      </c>
      <c r="R41" s="436">
        <f t="shared" si="4"/>
        <v>7.1428571428571423</v>
      </c>
    </row>
    <row r="42" spans="1:19" ht="9.9499999999999993" customHeight="1">
      <c r="B42" s="544" t="str">
        <f t="shared" si="5"/>
        <v/>
      </c>
      <c r="C42" s="436" t="str">
        <f t="shared" si="6"/>
        <v/>
      </c>
      <c r="F42" s="436" t="str">
        <f t="shared" si="0"/>
        <v/>
      </c>
      <c r="I42" s="436" t="str">
        <f t="shared" si="1"/>
        <v/>
      </c>
      <c r="L42" s="436" t="str">
        <f t="shared" si="2"/>
        <v/>
      </c>
      <c r="M42" s="440"/>
      <c r="O42" s="436" t="str">
        <f t="shared" si="3"/>
        <v/>
      </c>
      <c r="P42" s="442"/>
      <c r="Q42" s="435"/>
      <c r="R42" s="436" t="str">
        <f t="shared" si="4"/>
        <v/>
      </c>
      <c r="S42" s="442"/>
    </row>
    <row r="43" spans="1:19" ht="13.15" customHeight="1">
      <c r="A43" s="434" t="s">
        <v>41</v>
      </c>
      <c r="B43" s="544">
        <f t="shared" si="5"/>
        <v>319</v>
      </c>
      <c r="C43" s="436">
        <f t="shared" si="6"/>
        <v>7.4707259953161591</v>
      </c>
      <c r="E43" s="435">
        <f>SUM(E44:E51)</f>
        <v>34</v>
      </c>
      <c r="F43" s="436">
        <f t="shared" si="0"/>
        <v>10.658307210031348</v>
      </c>
      <c r="H43" s="435">
        <f>SUM(H44:H51)</f>
        <v>21</v>
      </c>
      <c r="I43" s="436">
        <f t="shared" si="1"/>
        <v>6.5830721003134789</v>
      </c>
      <c r="K43" s="435">
        <f>SUM(K44:K51)</f>
        <v>59</v>
      </c>
      <c r="L43" s="436">
        <f t="shared" si="2"/>
        <v>18.495297805642632</v>
      </c>
      <c r="M43" s="440"/>
      <c r="N43" s="435">
        <f>SUM(N44:N51)</f>
        <v>116</v>
      </c>
      <c r="O43" s="436">
        <f t="shared" si="3"/>
        <v>36.363636363636367</v>
      </c>
      <c r="P43" s="442"/>
      <c r="Q43" s="435">
        <f>SUM(Q44:Q51)</f>
        <v>89</v>
      </c>
      <c r="R43" s="436">
        <f t="shared" si="4"/>
        <v>27.899686520376179</v>
      </c>
      <c r="S43" s="442"/>
    </row>
    <row r="44" spans="1:19" ht="13.15" customHeight="1">
      <c r="A44" s="434" t="s">
        <v>43</v>
      </c>
      <c r="B44" s="544">
        <f t="shared" si="5"/>
        <v>49</v>
      </c>
      <c r="C44" s="436">
        <f t="shared" si="6"/>
        <v>1.1475409836065573</v>
      </c>
      <c r="E44" s="435">
        <v>1</v>
      </c>
      <c r="F44" s="436">
        <f t="shared" si="0"/>
        <v>2.0408163265306123</v>
      </c>
      <c r="G44" s="435"/>
      <c r="H44" s="435">
        <v>9</v>
      </c>
      <c r="I44" s="436">
        <f t="shared" si="1"/>
        <v>18.367346938775512</v>
      </c>
      <c r="J44" s="435"/>
      <c r="K44" s="435">
        <v>17</v>
      </c>
      <c r="L44" s="436">
        <f t="shared" si="2"/>
        <v>34.693877551020407</v>
      </c>
      <c r="M44" s="435"/>
      <c r="N44" s="435">
        <v>18</v>
      </c>
      <c r="O44" s="436">
        <f t="shared" si="3"/>
        <v>36.734693877551024</v>
      </c>
      <c r="P44" s="435"/>
      <c r="Q44" s="435">
        <v>4</v>
      </c>
      <c r="R44" s="436">
        <f t="shared" si="4"/>
        <v>8.1632653061224492</v>
      </c>
      <c r="S44" s="442"/>
    </row>
    <row r="45" spans="1:19" ht="13.15" customHeight="1">
      <c r="A45" s="434" t="s">
        <v>49</v>
      </c>
      <c r="B45" s="544">
        <f>IF($A45&lt;&gt;"",E45+H45+K45+N45+Q45,"")</f>
        <v>14</v>
      </c>
      <c r="C45" s="436">
        <f>IF(A45&lt;&gt;0,B45/$B$11*100,"")</f>
        <v>0.32786885245901637</v>
      </c>
      <c r="E45" s="435">
        <v>1</v>
      </c>
      <c r="F45" s="436">
        <f t="shared" si="0"/>
        <v>7.1428571428571423</v>
      </c>
      <c r="G45" s="435"/>
      <c r="H45" s="435">
        <v>1</v>
      </c>
      <c r="I45" s="436">
        <f t="shared" si="1"/>
        <v>7.1428571428571423</v>
      </c>
      <c r="J45" s="435"/>
      <c r="K45" s="435">
        <v>5</v>
      </c>
      <c r="L45" s="436">
        <f t="shared" si="2"/>
        <v>35.714285714285715</v>
      </c>
      <c r="M45" s="435"/>
      <c r="N45" s="435">
        <v>6</v>
      </c>
      <c r="O45" s="436">
        <f t="shared" si="3"/>
        <v>42.857142857142854</v>
      </c>
      <c r="P45" s="435"/>
      <c r="Q45" s="435">
        <v>1</v>
      </c>
      <c r="R45" s="436">
        <f t="shared" si="4"/>
        <v>7.1428571428571423</v>
      </c>
      <c r="S45" s="442"/>
    </row>
    <row r="46" spans="1:19" ht="13.15" customHeight="1">
      <c r="A46" s="434" t="s">
        <v>42</v>
      </c>
      <c r="B46" s="544">
        <f>IF($A46&lt;&gt;"",E46+H46+K46+N46+Q46,"")</f>
        <v>25</v>
      </c>
      <c r="C46" s="436">
        <f>IF(A46&lt;&gt;0,B46/$B$11*100,"")</f>
        <v>0.58548009367681508</v>
      </c>
      <c r="E46" s="435">
        <v>2</v>
      </c>
      <c r="F46" s="436">
        <f t="shared" si="0"/>
        <v>8</v>
      </c>
      <c r="G46" s="435"/>
      <c r="H46" s="435">
        <v>1</v>
      </c>
      <c r="I46" s="436">
        <f t="shared" si="1"/>
        <v>4</v>
      </c>
      <c r="J46" s="435"/>
      <c r="K46" s="435">
        <v>3</v>
      </c>
      <c r="L46" s="436">
        <f t="shared" si="2"/>
        <v>12</v>
      </c>
      <c r="M46" s="435"/>
      <c r="N46" s="435">
        <v>13</v>
      </c>
      <c r="O46" s="436">
        <f t="shared" si="3"/>
        <v>52</v>
      </c>
      <c r="P46" s="435"/>
      <c r="Q46" s="435">
        <v>6</v>
      </c>
      <c r="R46" s="436">
        <f t="shared" si="4"/>
        <v>24</v>
      </c>
      <c r="S46" s="442"/>
    </row>
    <row r="47" spans="1:19" ht="13.15" customHeight="1">
      <c r="A47" s="434" t="s">
        <v>44</v>
      </c>
      <c r="B47" s="544">
        <f t="shared" si="5"/>
        <v>31</v>
      </c>
      <c r="C47" s="436">
        <f t="shared" si="6"/>
        <v>0.72599531615925061</v>
      </c>
      <c r="E47" s="435">
        <v>7</v>
      </c>
      <c r="F47" s="436">
        <f t="shared" si="0"/>
        <v>22.58064516129032</v>
      </c>
      <c r="G47" s="435"/>
      <c r="H47" s="435">
        <v>0</v>
      </c>
      <c r="I47" s="436">
        <f t="shared" si="1"/>
        <v>0</v>
      </c>
      <c r="J47" s="435"/>
      <c r="K47" s="435">
        <v>6</v>
      </c>
      <c r="L47" s="436">
        <f t="shared" si="2"/>
        <v>19.35483870967742</v>
      </c>
      <c r="M47" s="435"/>
      <c r="N47" s="435">
        <v>15</v>
      </c>
      <c r="O47" s="436">
        <f t="shared" si="3"/>
        <v>48.387096774193552</v>
      </c>
      <c r="P47" s="435"/>
      <c r="Q47" s="435">
        <v>3</v>
      </c>
      <c r="R47" s="436">
        <f t="shared" si="4"/>
        <v>9.67741935483871</v>
      </c>
      <c r="S47" s="442"/>
    </row>
    <row r="48" spans="1:19" ht="13.15" customHeight="1">
      <c r="A48" s="434" t="s">
        <v>331</v>
      </c>
      <c r="B48" s="544">
        <f t="shared" si="5"/>
        <v>36</v>
      </c>
      <c r="C48" s="436">
        <f t="shared" si="6"/>
        <v>0.84309133489461363</v>
      </c>
      <c r="E48" s="435">
        <v>2</v>
      </c>
      <c r="F48" s="436">
        <f t="shared" si="0"/>
        <v>5.5555555555555554</v>
      </c>
      <c r="G48" s="435"/>
      <c r="H48" s="435">
        <v>4</v>
      </c>
      <c r="I48" s="436">
        <f t="shared" si="1"/>
        <v>11.111111111111111</v>
      </c>
      <c r="J48" s="435"/>
      <c r="K48" s="435">
        <v>4</v>
      </c>
      <c r="L48" s="436">
        <f t="shared" si="2"/>
        <v>11.111111111111111</v>
      </c>
      <c r="M48" s="435"/>
      <c r="N48" s="435">
        <v>24</v>
      </c>
      <c r="O48" s="436">
        <f t="shared" si="3"/>
        <v>66.666666666666657</v>
      </c>
      <c r="P48" s="435"/>
      <c r="Q48" s="435">
        <v>2</v>
      </c>
      <c r="R48" s="436">
        <f t="shared" si="4"/>
        <v>5.5555555555555554</v>
      </c>
      <c r="S48" s="442"/>
    </row>
    <row r="49" spans="1:19" ht="13.15" customHeight="1">
      <c r="A49" s="434" t="s">
        <v>48</v>
      </c>
      <c r="B49" s="544">
        <f t="shared" si="5"/>
        <v>18</v>
      </c>
      <c r="C49" s="436">
        <f t="shared" si="6"/>
        <v>0.42154566744730682</v>
      </c>
      <c r="E49" s="435">
        <v>8</v>
      </c>
      <c r="F49" s="436">
        <f t="shared" si="0"/>
        <v>44.444444444444443</v>
      </c>
      <c r="G49" s="435"/>
      <c r="H49" s="435">
        <v>1</v>
      </c>
      <c r="I49" s="436">
        <f t="shared" si="1"/>
        <v>5.5555555555555554</v>
      </c>
      <c r="J49" s="435"/>
      <c r="K49" s="435">
        <v>5</v>
      </c>
      <c r="L49" s="436">
        <f t="shared" si="2"/>
        <v>27.777777777777779</v>
      </c>
      <c r="M49" s="435"/>
      <c r="N49" s="435">
        <v>4</v>
      </c>
      <c r="O49" s="436">
        <f t="shared" si="3"/>
        <v>22.222222222222221</v>
      </c>
      <c r="P49" s="435"/>
      <c r="Q49" s="435">
        <v>0</v>
      </c>
      <c r="R49" s="436">
        <f t="shared" si="4"/>
        <v>0</v>
      </c>
      <c r="S49" s="442"/>
    </row>
    <row r="50" spans="1:19" ht="13.15" customHeight="1">
      <c r="A50" s="434" t="s">
        <v>47</v>
      </c>
      <c r="B50" s="544">
        <f t="shared" si="5"/>
        <v>108</v>
      </c>
      <c r="C50" s="436">
        <f t="shared" si="6"/>
        <v>2.5292740046838409</v>
      </c>
      <c r="E50" s="435">
        <v>1</v>
      </c>
      <c r="F50" s="436">
        <f t="shared" si="0"/>
        <v>0.92592592592592582</v>
      </c>
      <c r="G50" s="435"/>
      <c r="H50" s="435">
        <v>4</v>
      </c>
      <c r="I50" s="436">
        <f t="shared" si="1"/>
        <v>3.7037037037037033</v>
      </c>
      <c r="J50" s="435"/>
      <c r="K50" s="435">
        <v>11</v>
      </c>
      <c r="L50" s="436">
        <f t="shared" si="2"/>
        <v>10.185185185185185</v>
      </c>
      <c r="M50" s="435"/>
      <c r="N50" s="435">
        <v>24</v>
      </c>
      <c r="O50" s="436">
        <f t="shared" si="3"/>
        <v>22.222222222222221</v>
      </c>
      <c r="P50" s="435"/>
      <c r="Q50" s="435">
        <v>68</v>
      </c>
      <c r="R50" s="436">
        <f t="shared" si="4"/>
        <v>62.962962962962962</v>
      </c>
      <c r="S50" s="442"/>
    </row>
    <row r="51" spans="1:19" ht="12" customHeight="1">
      <c r="A51" s="434" t="s">
        <v>46</v>
      </c>
      <c r="B51" s="544">
        <f>IF($A51&lt;&gt;"",E51+H51+K51+N51+Q51,"")</f>
        <v>38</v>
      </c>
      <c r="C51" s="436">
        <f t="shared" si="6"/>
        <v>0.88992974238875888</v>
      </c>
      <c r="E51" s="435">
        <v>12</v>
      </c>
      <c r="F51" s="436">
        <f t="shared" si="0"/>
        <v>31.578947368421051</v>
      </c>
      <c r="G51" s="435"/>
      <c r="H51" s="435">
        <v>1</v>
      </c>
      <c r="I51" s="436">
        <f t="shared" si="1"/>
        <v>2.6315789473684208</v>
      </c>
      <c r="J51" s="435"/>
      <c r="K51" s="435">
        <v>8</v>
      </c>
      <c r="L51" s="436">
        <f t="shared" si="2"/>
        <v>21.052631578947366</v>
      </c>
      <c r="M51" s="435"/>
      <c r="N51" s="435">
        <v>12</v>
      </c>
      <c r="O51" s="436">
        <f t="shared" si="3"/>
        <v>31.578947368421051</v>
      </c>
      <c r="P51" s="435"/>
      <c r="Q51" s="435">
        <v>5</v>
      </c>
      <c r="R51" s="436">
        <f>IF($A51&lt;&gt;0,Q51/$B51*100,"")</f>
        <v>13.157894736842104</v>
      </c>
      <c r="S51" s="442"/>
    </row>
    <row r="52" spans="1:19" ht="9.9499999999999993" customHeight="1">
      <c r="B52" s="544" t="str">
        <f t="shared" si="5"/>
        <v/>
      </c>
      <c r="C52" s="436" t="str">
        <f t="shared" si="6"/>
        <v/>
      </c>
      <c r="F52" s="436" t="str">
        <f t="shared" si="0"/>
        <v/>
      </c>
      <c r="G52" s="435"/>
      <c r="I52" s="436" t="str">
        <f t="shared" si="1"/>
        <v/>
      </c>
      <c r="J52" s="435"/>
      <c r="L52" s="436" t="str">
        <f t="shared" si="2"/>
        <v/>
      </c>
      <c r="M52" s="435"/>
      <c r="O52" s="436" t="str">
        <f t="shared" si="3"/>
        <v/>
      </c>
      <c r="P52" s="435"/>
      <c r="Q52" s="435"/>
      <c r="R52" s="436" t="str">
        <f t="shared" si="4"/>
        <v/>
      </c>
      <c r="S52" s="442"/>
    </row>
    <row r="53" spans="1:19" ht="12" customHeight="1">
      <c r="A53" s="434" t="s">
        <v>50</v>
      </c>
      <c r="B53" s="544">
        <f t="shared" si="5"/>
        <v>109</v>
      </c>
      <c r="C53" s="436">
        <f t="shared" si="6"/>
        <v>2.5526932084309135</v>
      </c>
      <c r="E53" s="435">
        <v>10</v>
      </c>
      <c r="F53" s="436">
        <f t="shared" si="0"/>
        <v>9.1743119266055047</v>
      </c>
      <c r="G53" s="435"/>
      <c r="H53" s="435">
        <v>1</v>
      </c>
      <c r="I53" s="436">
        <f t="shared" si="1"/>
        <v>0.91743119266055051</v>
      </c>
      <c r="J53" s="435"/>
      <c r="K53" s="435">
        <v>19</v>
      </c>
      <c r="L53" s="436">
        <f t="shared" si="2"/>
        <v>17.431192660550458</v>
      </c>
      <c r="M53" s="435"/>
      <c r="N53" s="435">
        <v>54</v>
      </c>
      <c r="O53" s="436">
        <f t="shared" si="3"/>
        <v>49.541284403669728</v>
      </c>
      <c r="P53" s="435"/>
      <c r="Q53" s="435">
        <v>25</v>
      </c>
      <c r="R53" s="436">
        <f t="shared" si="4"/>
        <v>22.935779816513762</v>
      </c>
      <c r="S53" s="442"/>
    </row>
    <row r="54" spans="1:19" ht="9.9499999999999993" customHeight="1">
      <c r="B54" s="544" t="str">
        <f t="shared" si="5"/>
        <v/>
      </c>
      <c r="C54" s="436" t="str">
        <f t="shared" si="6"/>
        <v/>
      </c>
      <c r="F54" s="436" t="str">
        <f t="shared" si="0"/>
        <v/>
      </c>
      <c r="I54" s="436" t="str">
        <f t="shared" si="1"/>
        <v/>
      </c>
      <c r="L54" s="436" t="str">
        <f t="shared" si="2"/>
        <v/>
      </c>
      <c r="M54" s="440"/>
      <c r="O54" s="436" t="str">
        <f t="shared" si="3"/>
        <v/>
      </c>
      <c r="P54" s="442"/>
      <c r="Q54" s="435"/>
      <c r="R54" s="436" t="str">
        <f t="shared" si="4"/>
        <v/>
      </c>
      <c r="S54" s="442"/>
    </row>
    <row r="55" spans="1:19" ht="13.15" customHeight="1">
      <c r="A55" s="434" t="s">
        <v>51</v>
      </c>
      <c r="B55" s="544">
        <f t="shared" si="5"/>
        <v>205</v>
      </c>
      <c r="C55" s="436">
        <f t="shared" si="6"/>
        <v>4.8009367681498825</v>
      </c>
      <c r="E55" s="435">
        <f>SUM(E56:E60)</f>
        <v>27</v>
      </c>
      <c r="F55" s="436">
        <f t="shared" si="0"/>
        <v>13.170731707317074</v>
      </c>
      <c r="H55" s="435">
        <f>SUM(H56:H60)</f>
        <v>8</v>
      </c>
      <c r="I55" s="436">
        <f t="shared" si="1"/>
        <v>3.9024390243902438</v>
      </c>
      <c r="K55" s="435">
        <f>SUM(K56:K60)</f>
        <v>37</v>
      </c>
      <c r="L55" s="436">
        <f t="shared" si="2"/>
        <v>18.048780487804876</v>
      </c>
      <c r="M55" s="440"/>
      <c r="N55" s="435">
        <f>SUM(N56:N60)</f>
        <v>72</v>
      </c>
      <c r="O55" s="436">
        <f t="shared" si="3"/>
        <v>35.121951219512191</v>
      </c>
      <c r="P55" s="442"/>
      <c r="Q55" s="435">
        <f>SUM(Q56:Q60)</f>
        <v>61</v>
      </c>
      <c r="R55" s="436">
        <f t="shared" si="4"/>
        <v>29.756097560975608</v>
      </c>
      <c r="S55" s="442"/>
    </row>
    <row r="56" spans="1:19" ht="13.15" customHeight="1">
      <c r="A56" s="434" t="s">
        <v>52</v>
      </c>
      <c r="B56" s="544">
        <f t="shared" si="5"/>
        <v>31</v>
      </c>
      <c r="C56" s="436">
        <f t="shared" si="6"/>
        <v>0.72599531615925061</v>
      </c>
      <c r="E56" s="435">
        <v>1</v>
      </c>
      <c r="F56" s="436">
        <f t="shared" si="0"/>
        <v>3.225806451612903</v>
      </c>
      <c r="G56" s="435"/>
      <c r="H56" s="435">
        <v>1</v>
      </c>
      <c r="I56" s="436">
        <f t="shared" si="1"/>
        <v>3.225806451612903</v>
      </c>
      <c r="J56" s="435"/>
      <c r="K56" s="435">
        <v>4</v>
      </c>
      <c r="L56" s="436">
        <f t="shared" si="2"/>
        <v>12.903225806451612</v>
      </c>
      <c r="M56" s="435"/>
      <c r="N56" s="435">
        <v>15</v>
      </c>
      <c r="O56" s="436">
        <f t="shared" si="3"/>
        <v>48.387096774193552</v>
      </c>
      <c r="P56" s="435"/>
      <c r="Q56" s="435">
        <v>10</v>
      </c>
      <c r="R56" s="436">
        <f t="shared" si="4"/>
        <v>32.258064516129032</v>
      </c>
      <c r="S56" s="442"/>
    </row>
    <row r="57" spans="1:19" ht="13.15" customHeight="1">
      <c r="A57" s="434" t="s">
        <v>53</v>
      </c>
      <c r="B57" s="544">
        <f t="shared" si="5"/>
        <v>65</v>
      </c>
      <c r="C57" s="436">
        <f t="shared" si="6"/>
        <v>1.5222482435597189</v>
      </c>
      <c r="E57" s="435">
        <v>9</v>
      </c>
      <c r="F57" s="436">
        <f t="shared" si="0"/>
        <v>13.846153846153847</v>
      </c>
      <c r="G57" s="435"/>
      <c r="H57" s="435">
        <v>3</v>
      </c>
      <c r="I57" s="436">
        <f t="shared" si="1"/>
        <v>4.6153846153846159</v>
      </c>
      <c r="J57" s="435"/>
      <c r="K57" s="435">
        <v>21</v>
      </c>
      <c r="L57" s="436">
        <f t="shared" si="2"/>
        <v>32.307692307692307</v>
      </c>
      <c r="M57" s="435"/>
      <c r="N57" s="435">
        <v>25</v>
      </c>
      <c r="O57" s="436">
        <f t="shared" si="3"/>
        <v>38.461538461538467</v>
      </c>
      <c r="P57" s="435"/>
      <c r="Q57" s="435">
        <v>7</v>
      </c>
      <c r="R57" s="436">
        <f t="shared" si="4"/>
        <v>10.76923076923077</v>
      </c>
      <c r="S57" s="442"/>
    </row>
    <row r="58" spans="1:19" ht="13.15" customHeight="1">
      <c r="A58" s="434" t="s">
        <v>54</v>
      </c>
      <c r="B58" s="544">
        <f t="shared" si="5"/>
        <v>48</v>
      </c>
      <c r="C58" s="436">
        <f t="shared" si="6"/>
        <v>1.1241217798594847</v>
      </c>
      <c r="E58" s="435">
        <v>3</v>
      </c>
      <c r="F58" s="436">
        <f t="shared" si="0"/>
        <v>6.25</v>
      </c>
      <c r="G58" s="435"/>
      <c r="H58" s="435">
        <v>0</v>
      </c>
      <c r="I58" s="436">
        <f t="shared" si="1"/>
        <v>0</v>
      </c>
      <c r="J58" s="435"/>
      <c r="K58" s="435">
        <v>6</v>
      </c>
      <c r="L58" s="436">
        <f t="shared" si="2"/>
        <v>12.5</v>
      </c>
      <c r="M58" s="435"/>
      <c r="N58" s="435">
        <v>13</v>
      </c>
      <c r="O58" s="436">
        <f t="shared" si="3"/>
        <v>27.083333333333332</v>
      </c>
      <c r="P58" s="435"/>
      <c r="Q58" s="435">
        <v>26</v>
      </c>
      <c r="R58" s="436">
        <f t="shared" si="4"/>
        <v>54.166666666666664</v>
      </c>
      <c r="S58" s="442"/>
    </row>
    <row r="59" spans="1:19" ht="13.15" customHeight="1">
      <c r="A59" s="434" t="s">
        <v>332</v>
      </c>
      <c r="B59" s="544">
        <f t="shared" si="5"/>
        <v>29</v>
      </c>
      <c r="C59" s="436">
        <f t="shared" si="6"/>
        <v>0.67915690866510547</v>
      </c>
      <c r="E59" s="435">
        <v>5</v>
      </c>
      <c r="F59" s="436">
        <f t="shared" si="0"/>
        <v>17.241379310344829</v>
      </c>
      <c r="G59" s="435"/>
      <c r="H59" s="435">
        <v>0</v>
      </c>
      <c r="I59" s="436">
        <f t="shared" si="1"/>
        <v>0</v>
      </c>
      <c r="J59" s="435"/>
      <c r="K59" s="435">
        <v>3</v>
      </c>
      <c r="L59" s="436">
        <f t="shared" si="2"/>
        <v>10.344827586206897</v>
      </c>
      <c r="M59" s="435"/>
      <c r="N59" s="435">
        <v>15</v>
      </c>
      <c r="O59" s="436">
        <f t="shared" si="3"/>
        <v>51.724137931034484</v>
      </c>
      <c r="P59" s="435"/>
      <c r="Q59" s="435">
        <v>6</v>
      </c>
      <c r="R59" s="436">
        <f t="shared" si="4"/>
        <v>20.689655172413794</v>
      </c>
      <c r="S59" s="442"/>
    </row>
    <row r="60" spans="1:19" ht="12" customHeight="1">
      <c r="A60" s="434" t="s">
        <v>56</v>
      </c>
      <c r="B60" s="544">
        <f t="shared" si="5"/>
        <v>32</v>
      </c>
      <c r="C60" s="436">
        <f t="shared" si="6"/>
        <v>0.74941451990632313</v>
      </c>
      <c r="E60" s="435">
        <v>9</v>
      </c>
      <c r="F60" s="436">
        <f t="shared" si="0"/>
        <v>28.125</v>
      </c>
      <c r="G60" s="435"/>
      <c r="H60" s="435">
        <v>4</v>
      </c>
      <c r="I60" s="436">
        <f t="shared" si="1"/>
        <v>12.5</v>
      </c>
      <c r="J60" s="435"/>
      <c r="K60" s="435">
        <v>3</v>
      </c>
      <c r="L60" s="436">
        <f t="shared" si="2"/>
        <v>9.375</v>
      </c>
      <c r="M60" s="435"/>
      <c r="N60" s="435">
        <v>4</v>
      </c>
      <c r="O60" s="436">
        <f t="shared" si="3"/>
        <v>12.5</v>
      </c>
      <c r="P60" s="435"/>
      <c r="Q60" s="435">
        <v>12</v>
      </c>
      <c r="R60" s="436">
        <f t="shared" si="4"/>
        <v>37.5</v>
      </c>
      <c r="S60" s="442"/>
    </row>
    <row r="61" spans="1:19" ht="9.9499999999999993" customHeight="1">
      <c r="B61" s="544" t="str">
        <f t="shared" si="5"/>
        <v/>
      </c>
      <c r="C61" s="436" t="str">
        <f t="shared" si="6"/>
        <v/>
      </c>
      <c r="F61" s="436" t="str">
        <f t="shared" si="0"/>
        <v/>
      </c>
      <c r="I61" s="436" t="str">
        <f t="shared" si="1"/>
        <v/>
      </c>
      <c r="L61" s="436" t="str">
        <f t="shared" si="2"/>
        <v/>
      </c>
      <c r="M61" s="440"/>
      <c r="O61" s="436" t="str">
        <f t="shared" si="3"/>
        <v/>
      </c>
      <c r="P61" s="442"/>
      <c r="Q61" s="435"/>
      <c r="R61" s="436" t="str">
        <f t="shared" si="4"/>
        <v/>
      </c>
      <c r="S61" s="442"/>
    </row>
    <row r="62" spans="1:19" ht="13.15" customHeight="1">
      <c r="A62" s="63" t="s">
        <v>333</v>
      </c>
      <c r="B62" s="544">
        <f t="shared" si="5"/>
        <v>840</v>
      </c>
      <c r="C62" s="436">
        <f t="shared" si="6"/>
        <v>19.672131147540984</v>
      </c>
      <c r="E62" s="435">
        <f>E63+E65+E72+E74</f>
        <v>94</v>
      </c>
      <c r="F62" s="436">
        <f t="shared" si="0"/>
        <v>11.190476190476192</v>
      </c>
      <c r="H62" s="435">
        <f>H63+H65+H72+H74</f>
        <v>29</v>
      </c>
      <c r="I62" s="436">
        <f t="shared" si="1"/>
        <v>3.4523809523809526</v>
      </c>
      <c r="K62" s="435">
        <f>K63+K65+K72+K74</f>
        <v>55</v>
      </c>
      <c r="L62" s="436">
        <f t="shared" si="2"/>
        <v>6.5476190476190483</v>
      </c>
      <c r="M62" s="440"/>
      <c r="N62" s="435">
        <f>N63+N65+N72+N74</f>
        <v>138</v>
      </c>
      <c r="O62" s="436">
        <f t="shared" si="3"/>
        <v>16.428571428571427</v>
      </c>
      <c r="P62" s="442"/>
      <c r="Q62" s="435">
        <f>Q63+Q65+Q72+Q74</f>
        <v>524</v>
      </c>
      <c r="R62" s="436">
        <f t="shared" si="4"/>
        <v>62.38095238095238</v>
      </c>
      <c r="S62" s="442"/>
    </row>
    <row r="63" spans="1:19" ht="12" customHeight="1">
      <c r="A63" s="434" t="s">
        <v>334</v>
      </c>
      <c r="B63" s="544">
        <f t="shared" si="5"/>
        <v>99</v>
      </c>
      <c r="C63" s="436">
        <f t="shared" si="6"/>
        <v>2.3185011709601873</v>
      </c>
      <c r="E63" s="435">
        <v>11</v>
      </c>
      <c r="F63" s="436">
        <f t="shared" si="0"/>
        <v>11.111111111111111</v>
      </c>
      <c r="G63" s="435"/>
      <c r="H63" s="435">
        <v>5</v>
      </c>
      <c r="I63" s="436">
        <f t="shared" si="1"/>
        <v>5.0505050505050502</v>
      </c>
      <c r="J63" s="435"/>
      <c r="K63" s="435">
        <v>2</v>
      </c>
      <c r="L63" s="436">
        <f t="shared" si="2"/>
        <v>2.0202020202020203</v>
      </c>
      <c r="M63" s="435"/>
      <c r="N63" s="435">
        <v>3</v>
      </c>
      <c r="O63" s="436">
        <f t="shared" si="3"/>
        <v>3.0303030303030303</v>
      </c>
      <c r="P63" s="435"/>
      <c r="Q63" s="435">
        <v>78</v>
      </c>
      <c r="R63" s="436">
        <f t="shared" si="4"/>
        <v>78.787878787878782</v>
      </c>
      <c r="S63" s="442"/>
    </row>
    <row r="64" spans="1:19" ht="9.9499999999999993" customHeight="1">
      <c r="B64" s="544" t="str">
        <f t="shared" si="5"/>
        <v/>
      </c>
      <c r="C64" s="436" t="str">
        <f t="shared" si="6"/>
        <v/>
      </c>
      <c r="F64" s="436" t="str">
        <f t="shared" si="0"/>
        <v/>
      </c>
      <c r="I64" s="436" t="str">
        <f t="shared" si="1"/>
        <v/>
      </c>
      <c r="L64" s="436" t="str">
        <f t="shared" si="2"/>
        <v/>
      </c>
      <c r="M64" s="440"/>
      <c r="O64" s="436" t="str">
        <f t="shared" si="3"/>
        <v/>
      </c>
      <c r="P64" s="442"/>
      <c r="Q64" s="435"/>
      <c r="R64" s="436" t="str">
        <f t="shared" si="4"/>
        <v/>
      </c>
      <c r="S64" s="442"/>
    </row>
    <row r="65" spans="1:19" ht="13.15" customHeight="1">
      <c r="A65" s="434" t="s">
        <v>60</v>
      </c>
      <c r="B65" s="544">
        <f t="shared" si="5"/>
        <v>583</v>
      </c>
      <c r="C65" s="436">
        <f t="shared" si="6"/>
        <v>13.653395784543326</v>
      </c>
      <c r="E65" s="435">
        <f>SUM(E66:E70)</f>
        <v>56</v>
      </c>
      <c r="F65" s="436">
        <f t="shared" si="0"/>
        <v>9.6054888507718683</v>
      </c>
      <c r="H65" s="435">
        <f>SUM(H66:H70)</f>
        <v>17</v>
      </c>
      <c r="I65" s="436">
        <f t="shared" si="1"/>
        <v>2.9159519725557463</v>
      </c>
      <c r="K65" s="435">
        <f>SUM(K66:K70)</f>
        <v>36</v>
      </c>
      <c r="L65" s="436">
        <f t="shared" si="2"/>
        <v>6.1749571183533449</v>
      </c>
      <c r="M65" s="440"/>
      <c r="N65" s="435">
        <f>SUM(N66:N70)</f>
        <v>117</v>
      </c>
      <c r="O65" s="436">
        <f t="shared" si="3"/>
        <v>20.068610634648369</v>
      </c>
      <c r="P65" s="442"/>
      <c r="Q65" s="435">
        <f>SUM(Q66:Q70)</f>
        <v>357</v>
      </c>
      <c r="R65" s="436">
        <f t="shared" si="4"/>
        <v>61.234991423670671</v>
      </c>
      <c r="S65" s="442"/>
    </row>
    <row r="66" spans="1:19" ht="13.15" customHeight="1">
      <c r="A66" s="434" t="s">
        <v>395</v>
      </c>
      <c r="B66" s="544">
        <f t="shared" si="5"/>
        <v>347</v>
      </c>
      <c r="C66" s="436">
        <f t="shared" si="6"/>
        <v>8.1264637002341917</v>
      </c>
      <c r="E66" s="435">
        <v>16</v>
      </c>
      <c r="F66" s="436">
        <f t="shared" si="0"/>
        <v>4.6109510086455332</v>
      </c>
      <c r="G66" s="435"/>
      <c r="H66" s="435">
        <v>8</v>
      </c>
      <c r="I66" s="436">
        <f t="shared" si="1"/>
        <v>2.3054755043227666</v>
      </c>
      <c r="J66" s="435"/>
      <c r="K66" s="435">
        <v>11</v>
      </c>
      <c r="L66" s="436">
        <f t="shared" si="2"/>
        <v>3.1700288184438041</v>
      </c>
      <c r="M66" s="435"/>
      <c r="N66" s="435">
        <v>39</v>
      </c>
      <c r="O66" s="436">
        <f t="shared" si="3"/>
        <v>11.239193083573488</v>
      </c>
      <c r="P66" s="435"/>
      <c r="Q66" s="435">
        <v>273</v>
      </c>
      <c r="R66" s="436">
        <f t="shared" si="4"/>
        <v>78.674351585014406</v>
      </c>
      <c r="S66" s="442"/>
    </row>
    <row r="67" spans="1:19" ht="13.15" customHeight="1">
      <c r="A67" s="434" t="s">
        <v>62</v>
      </c>
      <c r="B67" s="544">
        <f t="shared" si="5"/>
        <v>36</v>
      </c>
      <c r="C67" s="436">
        <f t="shared" si="6"/>
        <v>0.84309133489461363</v>
      </c>
      <c r="E67" s="435">
        <v>19</v>
      </c>
      <c r="F67" s="436">
        <f t="shared" si="0"/>
        <v>52.777777777777779</v>
      </c>
      <c r="G67" s="435"/>
      <c r="H67" s="435">
        <v>3</v>
      </c>
      <c r="I67" s="436">
        <f t="shared" si="1"/>
        <v>8.3333333333333321</v>
      </c>
      <c r="J67" s="435"/>
      <c r="K67" s="435">
        <v>8</v>
      </c>
      <c r="L67" s="436">
        <f t="shared" si="2"/>
        <v>22.222222222222221</v>
      </c>
      <c r="M67" s="435"/>
      <c r="N67" s="435">
        <v>3</v>
      </c>
      <c r="O67" s="436">
        <f t="shared" si="3"/>
        <v>8.3333333333333321</v>
      </c>
      <c r="P67" s="435"/>
      <c r="Q67" s="435">
        <v>3</v>
      </c>
      <c r="R67" s="436">
        <f t="shared" si="4"/>
        <v>8.3333333333333321</v>
      </c>
      <c r="S67" s="442"/>
    </row>
    <row r="68" spans="1:19" ht="13.15" customHeight="1">
      <c r="A68" s="434" t="s">
        <v>64</v>
      </c>
      <c r="B68" s="544">
        <f t="shared" si="5"/>
        <v>42</v>
      </c>
      <c r="C68" s="436">
        <f t="shared" si="6"/>
        <v>0.98360655737704927</v>
      </c>
      <c r="E68" s="435">
        <v>9</v>
      </c>
      <c r="F68" s="436">
        <f t="shared" si="0"/>
        <v>21.428571428571427</v>
      </c>
      <c r="G68" s="435"/>
      <c r="H68" s="435">
        <v>2</v>
      </c>
      <c r="I68" s="436">
        <f t="shared" si="1"/>
        <v>4.7619047619047619</v>
      </c>
      <c r="J68" s="435"/>
      <c r="K68" s="435">
        <v>1</v>
      </c>
      <c r="L68" s="436">
        <f t="shared" si="2"/>
        <v>2.3809523809523809</v>
      </c>
      <c r="M68" s="435"/>
      <c r="N68" s="435">
        <v>8</v>
      </c>
      <c r="O68" s="436">
        <f t="shared" si="3"/>
        <v>19.047619047619047</v>
      </c>
      <c r="P68" s="435"/>
      <c r="Q68" s="435">
        <v>22</v>
      </c>
      <c r="R68" s="436">
        <f t="shared" si="4"/>
        <v>52.380952380952387</v>
      </c>
      <c r="S68" s="442"/>
    </row>
    <row r="69" spans="1:19" ht="12" customHeight="1">
      <c r="A69" s="434" t="s">
        <v>63</v>
      </c>
      <c r="B69" s="544">
        <f t="shared" si="5"/>
        <v>24</v>
      </c>
      <c r="C69" s="436">
        <f t="shared" si="6"/>
        <v>0.56206088992974235</v>
      </c>
      <c r="E69" s="435">
        <v>5</v>
      </c>
      <c r="F69" s="436">
        <f t="shared" si="0"/>
        <v>20.833333333333336</v>
      </c>
      <c r="G69" s="435"/>
      <c r="H69" s="435">
        <v>1</v>
      </c>
      <c r="I69" s="436">
        <f t="shared" si="1"/>
        <v>4.1666666666666661</v>
      </c>
      <c r="J69" s="435"/>
      <c r="K69" s="435">
        <v>2</v>
      </c>
      <c r="L69" s="436">
        <f t="shared" si="2"/>
        <v>8.3333333333333321</v>
      </c>
      <c r="M69" s="435"/>
      <c r="N69" s="435">
        <v>12</v>
      </c>
      <c r="O69" s="436">
        <f t="shared" si="3"/>
        <v>50</v>
      </c>
      <c r="P69" s="435"/>
      <c r="Q69" s="435">
        <v>4</v>
      </c>
      <c r="R69" s="436">
        <f t="shared" si="4"/>
        <v>16.666666666666664</v>
      </c>
    </row>
    <row r="70" spans="1:19" ht="13.15" customHeight="1">
      <c r="A70" s="434" t="s">
        <v>65</v>
      </c>
      <c r="B70" s="544">
        <f t="shared" si="5"/>
        <v>134</v>
      </c>
      <c r="C70" s="436">
        <f t="shared" si="6"/>
        <v>3.1381733021077283</v>
      </c>
      <c r="E70" s="435">
        <v>7</v>
      </c>
      <c r="F70" s="436">
        <f t="shared" si="0"/>
        <v>5.2238805970149249</v>
      </c>
      <c r="G70" s="435"/>
      <c r="H70" s="435">
        <v>3</v>
      </c>
      <c r="I70" s="436">
        <f t="shared" si="1"/>
        <v>2.2388059701492535</v>
      </c>
      <c r="J70" s="435"/>
      <c r="K70" s="435">
        <v>14</v>
      </c>
      <c r="L70" s="436">
        <f t="shared" si="2"/>
        <v>10.44776119402985</v>
      </c>
      <c r="M70" s="435"/>
      <c r="N70" s="435">
        <v>55</v>
      </c>
      <c r="O70" s="436">
        <f t="shared" si="3"/>
        <v>41.044776119402989</v>
      </c>
      <c r="P70" s="435"/>
      <c r="Q70" s="435">
        <v>55</v>
      </c>
      <c r="R70" s="436">
        <f t="shared" si="4"/>
        <v>41.044776119402989</v>
      </c>
      <c r="S70" s="442"/>
    </row>
    <row r="71" spans="1:19" ht="9.9499999999999993" customHeight="1">
      <c r="B71" s="544" t="str">
        <f t="shared" si="5"/>
        <v/>
      </c>
      <c r="C71" s="436" t="str">
        <f t="shared" si="6"/>
        <v/>
      </c>
      <c r="F71" s="436" t="str">
        <f t="shared" si="0"/>
        <v/>
      </c>
      <c r="G71" s="435"/>
      <c r="I71" s="436" t="str">
        <f t="shared" si="1"/>
        <v/>
      </c>
      <c r="J71" s="435"/>
      <c r="L71" s="436" t="str">
        <f t="shared" si="2"/>
        <v/>
      </c>
      <c r="M71" s="435"/>
      <c r="O71" s="436" t="str">
        <f t="shared" si="3"/>
        <v/>
      </c>
      <c r="P71" s="435"/>
      <c r="Q71" s="435"/>
      <c r="R71" s="436" t="str">
        <f t="shared" si="4"/>
        <v/>
      </c>
      <c r="S71" s="442"/>
    </row>
    <row r="72" spans="1:19" ht="13.15" customHeight="1">
      <c r="A72" s="434" t="s">
        <v>66</v>
      </c>
      <c r="B72" s="544">
        <f t="shared" si="5"/>
        <v>54</v>
      </c>
      <c r="C72" s="436">
        <f t="shared" si="6"/>
        <v>1.2646370023419204</v>
      </c>
      <c r="E72" s="435">
        <v>18</v>
      </c>
      <c r="F72" s="436">
        <f t="shared" si="0"/>
        <v>33.333333333333329</v>
      </c>
      <c r="G72" s="435"/>
      <c r="H72" s="435">
        <v>1</v>
      </c>
      <c r="I72" s="436">
        <f t="shared" si="1"/>
        <v>1.8518518518518516</v>
      </c>
      <c r="J72" s="435"/>
      <c r="K72" s="435">
        <v>2</v>
      </c>
      <c r="L72" s="436">
        <f t="shared" si="2"/>
        <v>3.7037037037037033</v>
      </c>
      <c r="M72" s="435"/>
      <c r="N72" s="435">
        <v>2</v>
      </c>
      <c r="O72" s="436">
        <f t="shared" si="3"/>
        <v>3.7037037037037033</v>
      </c>
      <c r="P72" s="435"/>
      <c r="Q72" s="435">
        <v>31</v>
      </c>
      <c r="R72" s="436">
        <f t="shared" si="4"/>
        <v>57.407407407407405</v>
      </c>
      <c r="S72" s="442"/>
    </row>
    <row r="73" spans="1:19" ht="9.9499999999999993" customHeight="1">
      <c r="B73" s="544" t="str">
        <f t="shared" si="5"/>
        <v/>
      </c>
      <c r="C73" s="436" t="str">
        <f t="shared" si="6"/>
        <v/>
      </c>
      <c r="F73" s="436" t="str">
        <f t="shared" si="0"/>
        <v/>
      </c>
      <c r="G73" s="435"/>
      <c r="I73" s="436" t="str">
        <f t="shared" si="1"/>
        <v/>
      </c>
      <c r="J73" s="435"/>
      <c r="L73" s="436" t="str">
        <f t="shared" si="2"/>
        <v/>
      </c>
      <c r="M73" s="435"/>
      <c r="O73" s="436" t="str">
        <f t="shared" si="3"/>
        <v/>
      </c>
      <c r="P73" s="435"/>
      <c r="Q73" s="435"/>
      <c r="R73" s="436" t="str">
        <f t="shared" si="4"/>
        <v/>
      </c>
      <c r="S73" s="442"/>
    </row>
    <row r="74" spans="1:19" ht="13.15" customHeight="1">
      <c r="A74" s="434" t="s">
        <v>67</v>
      </c>
      <c r="B74" s="544">
        <f t="shared" si="5"/>
        <v>104</v>
      </c>
      <c r="C74" s="436">
        <f t="shared" si="6"/>
        <v>2.4355971896955504</v>
      </c>
      <c r="E74" s="435">
        <v>9</v>
      </c>
      <c r="F74" s="436">
        <f t="shared" si="0"/>
        <v>8.6538461538461533</v>
      </c>
      <c r="G74" s="435"/>
      <c r="H74" s="435">
        <v>6</v>
      </c>
      <c r="I74" s="436">
        <f t="shared" si="1"/>
        <v>5.7692307692307692</v>
      </c>
      <c r="J74" s="435"/>
      <c r="K74" s="435">
        <v>15</v>
      </c>
      <c r="L74" s="436">
        <f t="shared" si="2"/>
        <v>14.423076923076922</v>
      </c>
      <c r="M74" s="435"/>
      <c r="N74" s="435">
        <v>16</v>
      </c>
      <c r="O74" s="436">
        <f t="shared" si="3"/>
        <v>15.384615384615385</v>
      </c>
      <c r="P74" s="435"/>
      <c r="Q74" s="435">
        <v>58</v>
      </c>
      <c r="R74" s="436">
        <f t="shared" si="4"/>
        <v>55.769230769230774</v>
      </c>
      <c r="S74" s="442"/>
    </row>
    <row r="75" spans="1:19" ht="9.9499999999999993" customHeight="1">
      <c r="B75" s="544" t="str">
        <f t="shared" si="5"/>
        <v/>
      </c>
      <c r="C75" s="436" t="str">
        <f t="shared" si="6"/>
        <v/>
      </c>
      <c r="F75" s="436" t="str">
        <f t="shared" si="0"/>
        <v/>
      </c>
      <c r="I75" s="436" t="str">
        <f t="shared" si="1"/>
        <v/>
      </c>
      <c r="L75" s="436" t="str">
        <f t="shared" si="2"/>
        <v/>
      </c>
      <c r="M75" s="440"/>
      <c r="O75" s="436" t="str">
        <f t="shared" si="3"/>
        <v/>
      </c>
      <c r="P75" s="442"/>
      <c r="Q75" s="435"/>
      <c r="R75" s="436" t="str">
        <f t="shared" si="4"/>
        <v/>
      </c>
      <c r="S75" s="442"/>
    </row>
    <row r="76" spans="1:19" ht="13.15" customHeight="1">
      <c r="A76" s="63" t="s">
        <v>336</v>
      </c>
      <c r="B76" s="544">
        <f t="shared" si="5"/>
        <v>55</v>
      </c>
      <c r="C76" s="436">
        <f t="shared" si="6"/>
        <v>1.2880562060889931</v>
      </c>
      <c r="E76" s="435">
        <f>E77</f>
        <v>21</v>
      </c>
      <c r="F76" s="436">
        <f t="shared" ref="F76:F112" si="7">IF($A76&lt;&gt;0,E76/$B76*100,"")</f>
        <v>38.181818181818187</v>
      </c>
      <c r="H76" s="435">
        <f>H77</f>
        <v>2</v>
      </c>
      <c r="I76" s="436">
        <f t="shared" si="1"/>
        <v>3.6363636363636362</v>
      </c>
      <c r="K76" s="435">
        <f>K77</f>
        <v>10</v>
      </c>
      <c r="L76" s="436">
        <f t="shared" si="2"/>
        <v>18.181818181818183</v>
      </c>
      <c r="M76" s="440"/>
      <c r="N76" s="435">
        <f>N77</f>
        <v>16</v>
      </c>
      <c r="O76" s="436">
        <f t="shared" ref="O76:O112" si="8">IF($A76&lt;&gt;0,N76/$B76*100,"")</f>
        <v>29.09090909090909</v>
      </c>
      <c r="P76" s="442"/>
      <c r="Q76" s="435">
        <f>Q77</f>
        <v>6</v>
      </c>
      <c r="R76" s="436">
        <f t="shared" si="4"/>
        <v>10.909090909090908</v>
      </c>
      <c r="S76" s="442"/>
    </row>
    <row r="77" spans="1:19" ht="13.15" customHeight="1">
      <c r="A77" s="434" t="s">
        <v>337</v>
      </c>
      <c r="B77" s="544">
        <f t="shared" si="5"/>
        <v>55</v>
      </c>
      <c r="C77" s="436">
        <f t="shared" si="6"/>
        <v>1.2880562060889931</v>
      </c>
      <c r="E77" s="435">
        <f>SUM(E78:E81)</f>
        <v>21</v>
      </c>
      <c r="F77" s="436">
        <f t="shared" si="7"/>
        <v>38.181818181818187</v>
      </c>
      <c r="H77" s="435">
        <f>SUM(H78:H81)</f>
        <v>2</v>
      </c>
      <c r="I77" s="436">
        <f t="shared" si="1"/>
        <v>3.6363636363636362</v>
      </c>
      <c r="K77" s="435">
        <f>SUM(K78:K81)</f>
        <v>10</v>
      </c>
      <c r="L77" s="436">
        <f t="shared" si="2"/>
        <v>18.181818181818183</v>
      </c>
      <c r="M77" s="440"/>
      <c r="N77" s="435">
        <f>SUM(N78:N81)</f>
        <v>16</v>
      </c>
      <c r="O77" s="436">
        <f t="shared" si="8"/>
        <v>29.09090909090909</v>
      </c>
      <c r="P77" s="442"/>
      <c r="Q77" s="435">
        <f>SUM(Q78:Q81)</f>
        <v>6</v>
      </c>
      <c r="R77" s="436">
        <f t="shared" si="4"/>
        <v>10.909090909090908</v>
      </c>
      <c r="S77" s="442"/>
    </row>
    <row r="78" spans="1:19" ht="13.15" customHeight="1">
      <c r="A78" s="434" t="s">
        <v>70</v>
      </c>
      <c r="B78" s="544">
        <f t="shared" si="5"/>
        <v>18</v>
      </c>
      <c r="C78" s="436">
        <f t="shared" si="6"/>
        <v>0.42154566744730682</v>
      </c>
      <c r="E78" s="435">
        <v>2</v>
      </c>
      <c r="F78" s="436">
        <f t="shared" si="7"/>
        <v>11.111111111111111</v>
      </c>
      <c r="G78" s="435"/>
      <c r="H78" s="435">
        <v>2</v>
      </c>
      <c r="I78" s="436">
        <f t="shared" ref="I78:I112" si="9">IF($A78&lt;&gt;0,H78/$B78*100,"")</f>
        <v>11.111111111111111</v>
      </c>
      <c r="J78" s="435"/>
      <c r="K78" s="435">
        <v>2</v>
      </c>
      <c r="L78" s="436">
        <f t="shared" ref="L78:L112" si="10">IF($A78&lt;&gt;0,K78/$B78*100,"")</f>
        <v>11.111111111111111</v>
      </c>
      <c r="M78" s="435"/>
      <c r="N78" s="435">
        <v>7</v>
      </c>
      <c r="O78" s="436">
        <f t="shared" si="8"/>
        <v>38.888888888888893</v>
      </c>
      <c r="P78" s="435"/>
      <c r="Q78" s="435">
        <v>5</v>
      </c>
      <c r="R78" s="436">
        <f t="shared" si="4"/>
        <v>27.777777777777779</v>
      </c>
      <c r="S78" s="442"/>
    </row>
    <row r="79" spans="1:19" ht="13.15" customHeight="1">
      <c r="A79" s="434" t="s">
        <v>71</v>
      </c>
      <c r="B79" s="544">
        <f t="shared" si="5"/>
        <v>16</v>
      </c>
      <c r="C79" s="436">
        <f t="shared" si="6"/>
        <v>0.37470725995316156</v>
      </c>
      <c r="E79" s="435">
        <v>7</v>
      </c>
      <c r="F79" s="436">
        <f t="shared" si="7"/>
        <v>43.75</v>
      </c>
      <c r="G79" s="435"/>
      <c r="H79" s="435">
        <v>0</v>
      </c>
      <c r="I79" s="436">
        <f t="shared" si="9"/>
        <v>0</v>
      </c>
      <c r="J79" s="435"/>
      <c r="K79" s="435">
        <v>4</v>
      </c>
      <c r="L79" s="436">
        <f t="shared" si="10"/>
        <v>25</v>
      </c>
      <c r="M79" s="435"/>
      <c r="N79" s="435">
        <v>4</v>
      </c>
      <c r="O79" s="436">
        <f t="shared" si="8"/>
        <v>25</v>
      </c>
      <c r="P79" s="435"/>
      <c r="Q79" s="435">
        <v>1</v>
      </c>
      <c r="R79" s="436">
        <f t="shared" ref="R79:R112" si="11">IF($A79&lt;&gt;0,Q79/$B79*100,"")</f>
        <v>6.25</v>
      </c>
      <c r="S79" s="442"/>
    </row>
    <row r="80" spans="1:19" ht="12" customHeight="1">
      <c r="A80" s="434" t="s">
        <v>72</v>
      </c>
      <c r="B80" s="544">
        <f t="shared" ref="B80:B101" si="12">IF($A80&lt;&gt;"",E80+H80+K80+N80+Q80,"")</f>
        <v>12</v>
      </c>
      <c r="C80" s="436">
        <f t="shared" si="6"/>
        <v>0.28103044496487117</v>
      </c>
      <c r="E80" s="435">
        <v>9</v>
      </c>
      <c r="F80" s="436">
        <f t="shared" si="7"/>
        <v>75</v>
      </c>
      <c r="G80" s="435"/>
      <c r="H80" s="435">
        <v>0</v>
      </c>
      <c r="I80" s="436">
        <f t="shared" si="9"/>
        <v>0</v>
      </c>
      <c r="J80" s="435"/>
      <c r="K80" s="435">
        <v>1</v>
      </c>
      <c r="L80" s="436">
        <f t="shared" si="10"/>
        <v>8.3333333333333321</v>
      </c>
      <c r="M80" s="435"/>
      <c r="N80" s="435">
        <v>2</v>
      </c>
      <c r="O80" s="436">
        <f t="shared" si="8"/>
        <v>16.666666666666664</v>
      </c>
      <c r="P80" s="435"/>
      <c r="Q80" s="435">
        <v>0</v>
      </c>
      <c r="R80" s="436">
        <f t="shared" si="11"/>
        <v>0</v>
      </c>
      <c r="S80" s="442"/>
    </row>
    <row r="81" spans="1:19" ht="13.15" customHeight="1">
      <c r="A81" s="434" t="s">
        <v>73</v>
      </c>
      <c r="B81" s="544">
        <f t="shared" si="12"/>
        <v>9</v>
      </c>
      <c r="C81" s="436">
        <f t="shared" si="6"/>
        <v>0.21077283372365341</v>
      </c>
      <c r="E81" s="435">
        <v>3</v>
      </c>
      <c r="F81" s="436">
        <f t="shared" si="7"/>
        <v>33.333333333333329</v>
      </c>
      <c r="G81" s="435"/>
      <c r="H81" s="435">
        <v>0</v>
      </c>
      <c r="I81" s="436">
        <f t="shared" si="9"/>
        <v>0</v>
      </c>
      <c r="J81" s="435"/>
      <c r="K81" s="435">
        <v>3</v>
      </c>
      <c r="L81" s="436">
        <f t="shared" si="10"/>
        <v>33.333333333333329</v>
      </c>
      <c r="M81" s="435"/>
      <c r="N81" s="435">
        <v>3</v>
      </c>
      <c r="O81" s="436">
        <f t="shared" si="8"/>
        <v>33.333333333333329</v>
      </c>
      <c r="P81" s="435"/>
      <c r="Q81" s="435">
        <v>0</v>
      </c>
      <c r="R81" s="436">
        <f t="shared" si="11"/>
        <v>0</v>
      </c>
      <c r="S81" s="442"/>
    </row>
    <row r="82" spans="1:19" ht="12.75" customHeight="1">
      <c r="B82" s="544" t="str">
        <f t="shared" si="12"/>
        <v/>
      </c>
      <c r="C82" s="436" t="str">
        <f t="shared" ref="C82:C105" si="13">IF(A82&lt;&gt;0,B82/$B$11*100,"")</f>
        <v/>
      </c>
      <c r="F82" s="436" t="str">
        <f t="shared" si="7"/>
        <v/>
      </c>
      <c r="I82" s="436" t="str">
        <f t="shared" si="9"/>
        <v/>
      </c>
      <c r="L82" s="436" t="str">
        <f t="shared" si="10"/>
        <v/>
      </c>
      <c r="M82" s="440"/>
      <c r="O82" s="436" t="str">
        <f t="shared" si="8"/>
        <v/>
      </c>
      <c r="P82" s="442"/>
      <c r="Q82" s="435"/>
      <c r="R82" s="436" t="str">
        <f t="shared" si="11"/>
        <v/>
      </c>
      <c r="S82" s="442"/>
    </row>
    <row r="83" spans="1:19" s="63" customFormat="1" ht="12.75" customHeight="1">
      <c r="A83" s="63" t="s">
        <v>396</v>
      </c>
      <c r="B83" s="544">
        <f t="shared" si="12"/>
        <v>343</v>
      </c>
      <c r="C83" s="436">
        <f t="shared" si="13"/>
        <v>8.0327868852459012</v>
      </c>
      <c r="E83" s="93">
        <f>SUM(E84)</f>
        <v>56</v>
      </c>
      <c r="F83" s="436">
        <f t="shared" si="7"/>
        <v>16.326530612244898</v>
      </c>
      <c r="G83" s="42"/>
      <c r="H83" s="93">
        <f>SUM(H84)</f>
        <v>16</v>
      </c>
      <c r="I83" s="436">
        <f t="shared" si="9"/>
        <v>4.6647230320699711</v>
      </c>
      <c r="J83" s="94"/>
      <c r="K83" s="93">
        <f>SUM(K84)</f>
        <v>52</v>
      </c>
      <c r="L83" s="436">
        <f t="shared" si="10"/>
        <v>15.160349854227405</v>
      </c>
      <c r="M83" s="95"/>
      <c r="N83" s="93">
        <f>SUM(N84)</f>
        <v>153</v>
      </c>
      <c r="O83" s="436">
        <f t="shared" si="8"/>
        <v>44.606413994169095</v>
      </c>
      <c r="P83" s="96"/>
      <c r="Q83" s="93">
        <f>SUM(Q84)</f>
        <v>66</v>
      </c>
      <c r="R83" s="436">
        <f t="shared" si="11"/>
        <v>19.241982507288629</v>
      </c>
      <c r="S83" s="96"/>
    </row>
    <row r="84" spans="1:19" ht="13.15" customHeight="1">
      <c r="A84" s="434" t="s">
        <v>75</v>
      </c>
      <c r="B84" s="544">
        <f t="shared" si="12"/>
        <v>343</v>
      </c>
      <c r="C84" s="436">
        <f t="shared" si="13"/>
        <v>8.0327868852459012</v>
      </c>
      <c r="E84" s="435">
        <f>SUM(E85:E93)</f>
        <v>56</v>
      </c>
      <c r="F84" s="436">
        <f t="shared" si="7"/>
        <v>16.326530612244898</v>
      </c>
      <c r="H84" s="435">
        <f>SUM(H85:H93)</f>
        <v>16</v>
      </c>
      <c r="I84" s="436">
        <f t="shared" si="9"/>
        <v>4.6647230320699711</v>
      </c>
      <c r="K84" s="435">
        <f>SUM(K85:K93)</f>
        <v>52</v>
      </c>
      <c r="L84" s="436">
        <f t="shared" si="10"/>
        <v>15.160349854227405</v>
      </c>
      <c r="M84" s="440"/>
      <c r="N84" s="435">
        <f>SUM(N85:N93)</f>
        <v>153</v>
      </c>
      <c r="O84" s="436">
        <f t="shared" si="8"/>
        <v>44.606413994169095</v>
      </c>
      <c r="P84" s="442"/>
      <c r="Q84" s="435">
        <f>SUM(Q85:Q93)</f>
        <v>66</v>
      </c>
      <c r="R84" s="436">
        <f t="shared" si="11"/>
        <v>19.241982507288629</v>
      </c>
      <c r="S84" s="442"/>
    </row>
    <row r="85" spans="1:19" ht="13.15" customHeight="1">
      <c r="A85" s="434" t="s">
        <v>338</v>
      </c>
      <c r="B85" s="544">
        <f t="shared" si="12"/>
        <v>18</v>
      </c>
      <c r="C85" s="436">
        <f t="shared" si="13"/>
        <v>0.42154566744730682</v>
      </c>
      <c r="E85" s="435">
        <v>3</v>
      </c>
      <c r="F85" s="436">
        <f t="shared" si="7"/>
        <v>16.666666666666664</v>
      </c>
      <c r="G85" s="435"/>
      <c r="H85" s="435">
        <v>1</v>
      </c>
      <c r="I85" s="436">
        <f t="shared" si="9"/>
        <v>5.5555555555555554</v>
      </c>
      <c r="J85" s="435"/>
      <c r="K85" s="435">
        <v>0</v>
      </c>
      <c r="L85" s="436">
        <f t="shared" si="10"/>
        <v>0</v>
      </c>
      <c r="M85" s="435"/>
      <c r="N85" s="435">
        <v>6</v>
      </c>
      <c r="O85" s="436">
        <f t="shared" si="8"/>
        <v>33.333333333333329</v>
      </c>
      <c r="P85" s="435"/>
      <c r="Q85" s="435">
        <v>8</v>
      </c>
      <c r="R85" s="436">
        <f t="shared" si="11"/>
        <v>44.444444444444443</v>
      </c>
      <c r="S85" s="442"/>
    </row>
    <row r="86" spans="1:19" ht="13.15" customHeight="1">
      <c r="A86" s="434" t="s">
        <v>76</v>
      </c>
      <c r="B86" s="544">
        <f t="shared" si="12"/>
        <v>56</v>
      </c>
      <c r="C86" s="436">
        <f t="shared" si="13"/>
        <v>1.3114754098360655</v>
      </c>
      <c r="E86" s="435">
        <v>8</v>
      </c>
      <c r="F86" s="436">
        <f t="shared" si="7"/>
        <v>14.285714285714285</v>
      </c>
      <c r="G86" s="435"/>
      <c r="H86" s="435">
        <v>2</v>
      </c>
      <c r="I86" s="436">
        <f t="shared" si="9"/>
        <v>3.5714285714285712</v>
      </c>
      <c r="J86" s="435"/>
      <c r="K86" s="435">
        <v>5</v>
      </c>
      <c r="L86" s="436">
        <f t="shared" si="10"/>
        <v>8.9285714285714288</v>
      </c>
      <c r="M86" s="435"/>
      <c r="N86" s="435">
        <v>40</v>
      </c>
      <c r="O86" s="436">
        <f t="shared" si="8"/>
        <v>71.428571428571431</v>
      </c>
      <c r="P86" s="435"/>
      <c r="Q86" s="435">
        <v>1</v>
      </c>
      <c r="R86" s="436">
        <f t="shared" si="11"/>
        <v>1.7857142857142856</v>
      </c>
      <c r="S86" s="442"/>
    </row>
    <row r="87" spans="1:19" ht="13.15" customHeight="1">
      <c r="A87" s="434" t="s">
        <v>78</v>
      </c>
      <c r="B87" s="544">
        <f t="shared" si="12"/>
        <v>44</v>
      </c>
      <c r="C87" s="436">
        <f t="shared" si="13"/>
        <v>1.0304449648711944</v>
      </c>
      <c r="E87" s="435">
        <v>6</v>
      </c>
      <c r="F87" s="436">
        <f t="shared" si="7"/>
        <v>13.636363636363635</v>
      </c>
      <c r="G87" s="435"/>
      <c r="H87" s="435">
        <v>0</v>
      </c>
      <c r="I87" s="436">
        <f t="shared" si="9"/>
        <v>0</v>
      </c>
      <c r="J87" s="435"/>
      <c r="K87" s="435">
        <v>10</v>
      </c>
      <c r="L87" s="436">
        <f t="shared" si="10"/>
        <v>22.727272727272727</v>
      </c>
      <c r="M87" s="435"/>
      <c r="N87" s="435">
        <v>24</v>
      </c>
      <c r="O87" s="436">
        <f t="shared" si="8"/>
        <v>54.54545454545454</v>
      </c>
      <c r="P87" s="435"/>
      <c r="Q87" s="435">
        <v>4</v>
      </c>
      <c r="R87" s="436">
        <f t="shared" si="11"/>
        <v>9.0909090909090917</v>
      </c>
      <c r="S87" s="442"/>
    </row>
    <row r="88" spans="1:19" ht="13.15" customHeight="1">
      <c r="A88" s="434" t="s">
        <v>80</v>
      </c>
      <c r="B88" s="544">
        <f t="shared" si="12"/>
        <v>38</v>
      </c>
      <c r="C88" s="436">
        <f t="shared" si="13"/>
        <v>0.88992974238875888</v>
      </c>
      <c r="E88" s="435">
        <v>8</v>
      </c>
      <c r="F88" s="436">
        <f t="shared" si="7"/>
        <v>21.052631578947366</v>
      </c>
      <c r="G88" s="435"/>
      <c r="H88" s="435">
        <v>1</v>
      </c>
      <c r="I88" s="436">
        <f t="shared" si="9"/>
        <v>2.6315789473684208</v>
      </c>
      <c r="J88" s="435"/>
      <c r="K88" s="435">
        <v>6</v>
      </c>
      <c r="L88" s="436">
        <f t="shared" si="10"/>
        <v>15.789473684210526</v>
      </c>
      <c r="M88" s="435"/>
      <c r="N88" s="435">
        <v>19</v>
      </c>
      <c r="O88" s="436">
        <f t="shared" si="8"/>
        <v>50</v>
      </c>
      <c r="P88" s="435"/>
      <c r="Q88" s="435">
        <v>4</v>
      </c>
      <c r="R88" s="436">
        <f t="shared" si="11"/>
        <v>10.526315789473683</v>
      </c>
      <c r="S88" s="442"/>
    </row>
    <row r="89" spans="1:19" ht="13.15" customHeight="1">
      <c r="A89" s="434" t="s">
        <v>79</v>
      </c>
      <c r="B89" s="544">
        <f t="shared" si="12"/>
        <v>28</v>
      </c>
      <c r="C89" s="436">
        <f t="shared" si="13"/>
        <v>0.65573770491803274</v>
      </c>
      <c r="E89" s="435">
        <v>6</v>
      </c>
      <c r="F89" s="436">
        <f t="shared" si="7"/>
        <v>21.428571428571427</v>
      </c>
      <c r="G89" s="435"/>
      <c r="H89" s="435">
        <v>0</v>
      </c>
      <c r="I89" s="436">
        <f t="shared" si="9"/>
        <v>0</v>
      </c>
      <c r="J89" s="435"/>
      <c r="K89" s="435">
        <v>2</v>
      </c>
      <c r="L89" s="436">
        <f t="shared" si="10"/>
        <v>7.1428571428571423</v>
      </c>
      <c r="M89" s="435"/>
      <c r="N89" s="435">
        <v>15</v>
      </c>
      <c r="O89" s="436">
        <f t="shared" si="8"/>
        <v>53.571428571428569</v>
      </c>
      <c r="P89" s="435"/>
      <c r="Q89" s="435">
        <v>5</v>
      </c>
      <c r="R89" s="436">
        <f t="shared" si="11"/>
        <v>17.857142857142858</v>
      </c>
      <c r="S89" s="442"/>
    </row>
    <row r="90" spans="1:19" ht="13.15" customHeight="1">
      <c r="A90" s="434" t="s">
        <v>77</v>
      </c>
      <c r="B90" s="544">
        <f t="shared" si="12"/>
        <v>29</v>
      </c>
      <c r="C90" s="436">
        <f t="shared" si="13"/>
        <v>0.67915690866510547</v>
      </c>
      <c r="E90" s="435">
        <v>8</v>
      </c>
      <c r="F90" s="436">
        <f t="shared" si="7"/>
        <v>27.586206896551722</v>
      </c>
      <c r="G90" s="435"/>
      <c r="H90" s="435">
        <v>5</v>
      </c>
      <c r="I90" s="436">
        <f t="shared" si="9"/>
        <v>17.241379310344829</v>
      </c>
      <c r="J90" s="435"/>
      <c r="K90" s="435">
        <v>5</v>
      </c>
      <c r="L90" s="436">
        <f t="shared" si="10"/>
        <v>17.241379310344829</v>
      </c>
      <c r="M90" s="435"/>
      <c r="N90" s="435">
        <v>11</v>
      </c>
      <c r="O90" s="436">
        <f t="shared" si="8"/>
        <v>37.931034482758619</v>
      </c>
      <c r="P90" s="435"/>
      <c r="Q90" s="435">
        <v>0</v>
      </c>
      <c r="R90" s="436">
        <f t="shared" si="11"/>
        <v>0</v>
      </c>
      <c r="S90" s="442"/>
    </row>
    <row r="91" spans="1:19" ht="13.15" customHeight="1">
      <c r="A91" s="434" t="s">
        <v>81</v>
      </c>
      <c r="B91" s="544">
        <f t="shared" si="12"/>
        <v>69</v>
      </c>
      <c r="C91" s="436">
        <f t="shared" si="13"/>
        <v>1.6159250585480094</v>
      </c>
      <c r="E91" s="435">
        <v>6</v>
      </c>
      <c r="F91" s="436">
        <f t="shared" si="7"/>
        <v>8.695652173913043</v>
      </c>
      <c r="G91" s="435"/>
      <c r="H91" s="435">
        <v>4</v>
      </c>
      <c r="I91" s="436">
        <f t="shared" si="9"/>
        <v>5.7971014492753623</v>
      </c>
      <c r="J91" s="435"/>
      <c r="K91" s="435">
        <v>18</v>
      </c>
      <c r="L91" s="436">
        <f t="shared" si="10"/>
        <v>26.086956521739129</v>
      </c>
      <c r="M91" s="435"/>
      <c r="N91" s="435">
        <v>18</v>
      </c>
      <c r="O91" s="436">
        <f t="shared" si="8"/>
        <v>26.086956521739129</v>
      </c>
      <c r="P91" s="435"/>
      <c r="Q91" s="435">
        <v>23</v>
      </c>
      <c r="R91" s="436">
        <f t="shared" si="11"/>
        <v>33.333333333333329</v>
      </c>
      <c r="S91" s="442"/>
    </row>
    <row r="92" spans="1:19" ht="12" customHeight="1">
      <c r="A92" s="434" t="s">
        <v>84</v>
      </c>
      <c r="B92" s="544">
        <f t="shared" si="12"/>
        <v>33</v>
      </c>
      <c r="C92" s="436">
        <f t="shared" si="13"/>
        <v>0.77283372365339587</v>
      </c>
      <c r="E92" s="435">
        <v>3</v>
      </c>
      <c r="F92" s="436">
        <f t="shared" si="7"/>
        <v>9.0909090909090917</v>
      </c>
      <c r="G92" s="435"/>
      <c r="H92" s="435">
        <v>3</v>
      </c>
      <c r="I92" s="436">
        <f t="shared" si="9"/>
        <v>9.0909090909090917</v>
      </c>
      <c r="J92" s="435"/>
      <c r="K92" s="435">
        <v>3</v>
      </c>
      <c r="L92" s="436">
        <f t="shared" si="10"/>
        <v>9.0909090909090917</v>
      </c>
      <c r="M92" s="435"/>
      <c r="N92" s="435">
        <v>14</v>
      </c>
      <c r="O92" s="436">
        <f t="shared" si="8"/>
        <v>42.424242424242422</v>
      </c>
      <c r="P92" s="435"/>
      <c r="Q92" s="435">
        <v>10</v>
      </c>
      <c r="R92" s="436">
        <f t="shared" si="11"/>
        <v>30.303030303030305</v>
      </c>
      <c r="S92" s="442"/>
    </row>
    <row r="93" spans="1:19" ht="13.15" customHeight="1">
      <c r="A93" s="434" t="s">
        <v>339</v>
      </c>
      <c r="B93" s="544">
        <f t="shared" si="12"/>
        <v>28</v>
      </c>
      <c r="C93" s="436">
        <f t="shared" si="13"/>
        <v>0.65573770491803274</v>
      </c>
      <c r="E93" s="435">
        <v>8</v>
      </c>
      <c r="F93" s="436">
        <f t="shared" si="7"/>
        <v>28.571428571428569</v>
      </c>
      <c r="G93" s="435"/>
      <c r="H93" s="435">
        <v>0</v>
      </c>
      <c r="I93" s="436">
        <f t="shared" si="9"/>
        <v>0</v>
      </c>
      <c r="J93" s="435"/>
      <c r="K93" s="435">
        <v>3</v>
      </c>
      <c r="L93" s="436">
        <f t="shared" si="10"/>
        <v>10.714285714285714</v>
      </c>
      <c r="M93" s="435"/>
      <c r="N93" s="435">
        <v>6</v>
      </c>
      <c r="O93" s="436">
        <f t="shared" si="8"/>
        <v>21.428571428571427</v>
      </c>
      <c r="P93" s="435"/>
      <c r="Q93" s="435">
        <v>11</v>
      </c>
      <c r="R93" s="436">
        <f t="shared" si="11"/>
        <v>39.285714285714285</v>
      </c>
      <c r="S93" s="442"/>
    </row>
    <row r="94" spans="1:19" ht="9.9499999999999993" customHeight="1">
      <c r="B94" s="544" t="str">
        <f t="shared" si="12"/>
        <v/>
      </c>
      <c r="C94" s="436" t="str">
        <f t="shared" si="13"/>
        <v/>
      </c>
      <c r="F94" s="436" t="str">
        <f t="shared" si="7"/>
        <v/>
      </c>
      <c r="G94" s="435"/>
      <c r="I94" s="436" t="str">
        <f t="shared" si="9"/>
        <v/>
      </c>
      <c r="J94" s="435"/>
      <c r="L94" s="436" t="str">
        <f t="shared" si="10"/>
        <v/>
      </c>
      <c r="M94" s="435"/>
      <c r="O94" s="436" t="str">
        <f t="shared" si="8"/>
        <v/>
      </c>
      <c r="P94" s="435"/>
      <c r="Q94" s="435"/>
      <c r="R94" s="436" t="str">
        <f t="shared" si="11"/>
        <v/>
      </c>
      <c r="S94" s="442"/>
    </row>
    <row r="95" spans="1:19" ht="12" customHeight="1">
      <c r="A95" s="434" t="s">
        <v>85</v>
      </c>
      <c r="B95" s="544">
        <f t="shared" si="12"/>
        <v>105</v>
      </c>
      <c r="C95" s="436">
        <f t="shared" si="13"/>
        <v>2.459016393442623</v>
      </c>
      <c r="E95" s="435">
        <v>18</v>
      </c>
      <c r="F95" s="436">
        <f t="shared" si="7"/>
        <v>17.142857142857142</v>
      </c>
      <c r="G95" s="435"/>
      <c r="H95" s="435">
        <v>8</v>
      </c>
      <c r="I95" s="436">
        <f t="shared" si="9"/>
        <v>7.6190476190476195</v>
      </c>
      <c r="J95" s="435"/>
      <c r="K95" s="435">
        <v>39</v>
      </c>
      <c r="L95" s="436">
        <f t="shared" si="10"/>
        <v>37.142857142857146</v>
      </c>
      <c r="M95" s="435"/>
      <c r="N95" s="435">
        <v>38</v>
      </c>
      <c r="O95" s="436">
        <f t="shared" si="8"/>
        <v>36.19047619047619</v>
      </c>
      <c r="P95" s="435"/>
      <c r="Q95" s="435">
        <v>2</v>
      </c>
      <c r="R95" s="436">
        <f t="shared" si="11"/>
        <v>1.9047619047619049</v>
      </c>
      <c r="S95" s="442"/>
    </row>
    <row r="96" spans="1:19" ht="11.25" customHeight="1">
      <c r="A96" s="434" t="s">
        <v>340</v>
      </c>
      <c r="B96" s="544">
        <f t="shared" si="12"/>
        <v>46</v>
      </c>
      <c r="C96" s="436">
        <f t="shared" si="13"/>
        <v>1.0772833723653397</v>
      </c>
      <c r="E96" s="435">
        <v>21</v>
      </c>
      <c r="F96" s="436">
        <f t="shared" si="7"/>
        <v>45.652173913043477</v>
      </c>
      <c r="G96" s="435"/>
      <c r="H96" s="435">
        <v>1</v>
      </c>
      <c r="I96" s="436">
        <f t="shared" si="9"/>
        <v>2.1739130434782608</v>
      </c>
      <c r="J96" s="435"/>
      <c r="K96" s="435">
        <v>5</v>
      </c>
      <c r="L96" s="436">
        <f t="shared" si="10"/>
        <v>10.869565217391305</v>
      </c>
      <c r="M96" s="435"/>
      <c r="N96" s="435">
        <v>9</v>
      </c>
      <c r="O96" s="436">
        <f t="shared" si="8"/>
        <v>19.565217391304348</v>
      </c>
      <c r="P96" s="435"/>
      <c r="Q96" s="435">
        <v>10</v>
      </c>
      <c r="R96" s="436">
        <f t="shared" si="11"/>
        <v>21.739130434782609</v>
      </c>
      <c r="S96" s="442"/>
    </row>
    <row r="97" spans="1:19" ht="11.25" customHeight="1">
      <c r="A97" s="434" t="s">
        <v>409</v>
      </c>
      <c r="B97" s="544">
        <f t="shared" si="12"/>
        <v>120</v>
      </c>
      <c r="C97" s="436">
        <f t="shared" si="13"/>
        <v>2.810304449648712</v>
      </c>
      <c r="E97" s="435">
        <v>20</v>
      </c>
      <c r="F97" s="436">
        <f t="shared" si="7"/>
        <v>16.666666666666664</v>
      </c>
      <c r="G97" s="435"/>
      <c r="H97" s="435">
        <v>2</v>
      </c>
      <c r="I97" s="436">
        <f t="shared" si="9"/>
        <v>1.6666666666666667</v>
      </c>
      <c r="J97" s="435"/>
      <c r="K97" s="435">
        <v>22</v>
      </c>
      <c r="L97" s="436">
        <f t="shared" si="10"/>
        <v>18.333333333333332</v>
      </c>
      <c r="M97" s="435"/>
      <c r="N97" s="435">
        <v>50</v>
      </c>
      <c r="O97" s="436">
        <f t="shared" si="8"/>
        <v>41.666666666666671</v>
      </c>
      <c r="P97" s="435"/>
      <c r="Q97" s="435">
        <v>26</v>
      </c>
      <c r="R97" s="436">
        <f t="shared" si="11"/>
        <v>21.666666666666668</v>
      </c>
      <c r="S97" s="442"/>
    </row>
    <row r="98" spans="1:19" ht="12" customHeight="1">
      <c r="B98" s="544" t="str">
        <f t="shared" si="12"/>
        <v/>
      </c>
      <c r="C98" s="436" t="str">
        <f t="shared" si="13"/>
        <v/>
      </c>
      <c r="F98" s="436" t="str">
        <f t="shared" si="7"/>
        <v/>
      </c>
      <c r="I98" s="436" t="str">
        <f t="shared" si="9"/>
        <v/>
      </c>
      <c r="L98" s="436" t="str">
        <f t="shared" si="10"/>
        <v/>
      </c>
      <c r="M98" s="440"/>
      <c r="O98" s="436" t="str">
        <f t="shared" si="8"/>
        <v/>
      </c>
      <c r="P98" s="442"/>
      <c r="Q98" s="435"/>
      <c r="R98" s="436" t="str">
        <f t="shared" si="11"/>
        <v/>
      </c>
      <c r="S98" s="442"/>
    </row>
    <row r="99" spans="1:19" ht="12" customHeight="1">
      <c r="A99" s="63" t="s">
        <v>86</v>
      </c>
      <c r="B99" s="544">
        <f t="shared" si="12"/>
        <v>501</v>
      </c>
      <c r="C99" s="436">
        <f t="shared" si="13"/>
        <v>11.733021077283372</v>
      </c>
      <c r="E99" s="449">
        <f>SUM(E101+E102+E103+E105)</f>
        <v>50</v>
      </c>
      <c r="F99" s="436">
        <f t="shared" si="7"/>
        <v>9.9800399201596814</v>
      </c>
      <c r="G99" s="455"/>
      <c r="H99" s="449">
        <f>SUM(H101+H102+H103+H105)</f>
        <v>21</v>
      </c>
      <c r="I99" s="436">
        <f t="shared" si="9"/>
        <v>4.1916167664670656</v>
      </c>
      <c r="J99" s="454"/>
      <c r="K99" s="449">
        <f>SUM(K101+K102+K103+K105)</f>
        <v>108</v>
      </c>
      <c r="L99" s="436">
        <f t="shared" si="10"/>
        <v>21.556886227544911</v>
      </c>
      <c r="M99" s="453"/>
      <c r="N99" s="449">
        <f>SUM(N101+N102+N103+N105)</f>
        <v>233</v>
      </c>
      <c r="O99" s="436">
        <f t="shared" si="8"/>
        <v>46.506986027944116</v>
      </c>
      <c r="P99" s="450"/>
      <c r="Q99" s="449">
        <f>SUM(Q101+Q102+Q103+Q105)</f>
        <v>89</v>
      </c>
      <c r="R99" s="436">
        <f t="shared" si="11"/>
        <v>17.764471057884233</v>
      </c>
      <c r="S99" s="442"/>
    </row>
    <row r="100" spans="1:19" ht="9" customHeight="1">
      <c r="B100" s="544" t="str">
        <f t="shared" si="12"/>
        <v/>
      </c>
      <c r="C100" s="436" t="str">
        <f t="shared" si="13"/>
        <v/>
      </c>
      <c r="E100" s="449"/>
      <c r="F100" s="436" t="str">
        <f t="shared" si="7"/>
        <v/>
      </c>
      <c r="G100" s="455"/>
      <c r="H100" s="449"/>
      <c r="I100" s="436" t="str">
        <f t="shared" si="9"/>
        <v/>
      </c>
      <c r="J100" s="454"/>
      <c r="K100" s="449"/>
      <c r="L100" s="436" t="str">
        <f t="shared" si="10"/>
        <v/>
      </c>
      <c r="M100" s="453"/>
      <c r="N100" s="449"/>
      <c r="O100" s="436" t="str">
        <f t="shared" si="8"/>
        <v/>
      </c>
      <c r="P100" s="450"/>
      <c r="Q100" s="449"/>
      <c r="R100" s="436" t="str">
        <f t="shared" si="11"/>
        <v/>
      </c>
      <c r="S100" s="442"/>
    </row>
    <row r="101" spans="1:19" ht="12" customHeight="1">
      <c r="A101" s="434" t="s">
        <v>398</v>
      </c>
      <c r="B101" s="544">
        <f t="shared" si="12"/>
        <v>125</v>
      </c>
      <c r="C101" s="436">
        <f t="shared" si="13"/>
        <v>2.9274004683840751</v>
      </c>
      <c r="E101" s="435">
        <v>11</v>
      </c>
      <c r="F101" s="436">
        <f t="shared" si="7"/>
        <v>8.7999999999999989</v>
      </c>
      <c r="G101" s="435"/>
      <c r="H101" s="435">
        <v>8</v>
      </c>
      <c r="I101" s="436">
        <f t="shared" si="9"/>
        <v>6.4</v>
      </c>
      <c r="J101" s="435"/>
      <c r="K101" s="435">
        <v>40</v>
      </c>
      <c r="L101" s="436">
        <f t="shared" si="10"/>
        <v>32</v>
      </c>
      <c r="M101" s="435"/>
      <c r="N101" s="435">
        <v>50</v>
      </c>
      <c r="O101" s="436">
        <f t="shared" si="8"/>
        <v>40</v>
      </c>
      <c r="P101" s="435"/>
      <c r="Q101" s="435">
        <v>16</v>
      </c>
      <c r="R101" s="436">
        <f t="shared" si="11"/>
        <v>12.8</v>
      </c>
      <c r="S101" s="442"/>
    </row>
    <row r="102" spans="1:19" ht="12" customHeight="1">
      <c r="A102" s="434" t="s">
        <v>399</v>
      </c>
      <c r="B102" s="544">
        <f>IF($A102&lt;&gt;"",E102+H102+K102+N102+Q102,"")</f>
        <v>165</v>
      </c>
      <c r="C102" s="436">
        <f t="shared" si="13"/>
        <v>3.8641686182669792</v>
      </c>
      <c r="E102" s="435">
        <v>25</v>
      </c>
      <c r="F102" s="436">
        <f t="shared" si="7"/>
        <v>15.151515151515152</v>
      </c>
      <c r="G102" s="435"/>
      <c r="H102" s="435">
        <v>11</v>
      </c>
      <c r="I102" s="436">
        <f t="shared" si="9"/>
        <v>6.666666666666667</v>
      </c>
      <c r="J102" s="435"/>
      <c r="K102" s="435">
        <v>51</v>
      </c>
      <c r="L102" s="436">
        <f t="shared" si="10"/>
        <v>30.909090909090907</v>
      </c>
      <c r="M102" s="435"/>
      <c r="N102" s="435">
        <v>63</v>
      </c>
      <c r="O102" s="436">
        <f t="shared" si="8"/>
        <v>38.181818181818187</v>
      </c>
      <c r="P102" s="435"/>
      <c r="Q102" s="435">
        <v>15</v>
      </c>
      <c r="R102" s="436">
        <f t="shared" si="11"/>
        <v>9.0909090909090917</v>
      </c>
      <c r="S102" s="442"/>
    </row>
    <row r="103" spans="1:19" ht="12" customHeight="1">
      <c r="A103" s="434" t="s">
        <v>400</v>
      </c>
      <c r="B103" s="544">
        <f>IF($A103&lt;&gt;"",E103+H103+K103+N103+Q103,"")</f>
        <v>15</v>
      </c>
      <c r="C103" s="436">
        <f t="shared" si="13"/>
        <v>0.35128805620608899</v>
      </c>
      <c r="E103" s="435">
        <v>10</v>
      </c>
      <c r="F103" s="436">
        <f t="shared" si="7"/>
        <v>66.666666666666657</v>
      </c>
      <c r="G103" s="435"/>
      <c r="H103" s="435">
        <v>1</v>
      </c>
      <c r="I103" s="436">
        <f t="shared" si="9"/>
        <v>6.666666666666667</v>
      </c>
      <c r="J103" s="435"/>
      <c r="K103" s="435">
        <v>2</v>
      </c>
      <c r="L103" s="436">
        <f t="shared" si="10"/>
        <v>13.333333333333334</v>
      </c>
      <c r="M103" s="435"/>
      <c r="N103" s="435">
        <v>2</v>
      </c>
      <c r="O103" s="436">
        <f t="shared" si="8"/>
        <v>13.333333333333334</v>
      </c>
      <c r="P103" s="435"/>
      <c r="Q103" s="435">
        <v>0</v>
      </c>
      <c r="R103" s="436">
        <f t="shared" si="11"/>
        <v>0</v>
      </c>
      <c r="S103" s="442"/>
    </row>
    <row r="104" spans="1:19" ht="12" customHeight="1">
      <c r="B104" s="544" t="str">
        <f>IF($A104&lt;&gt;"",E104+H104+K104+N104+Q104,"")</f>
        <v/>
      </c>
      <c r="C104" s="436" t="str">
        <f t="shared" si="13"/>
        <v/>
      </c>
      <c r="F104" s="436" t="str">
        <f t="shared" si="7"/>
        <v/>
      </c>
      <c r="G104" s="435"/>
      <c r="I104" s="436" t="str">
        <f t="shared" si="9"/>
        <v/>
      </c>
      <c r="J104" s="435"/>
      <c r="L104" s="436" t="str">
        <f t="shared" si="10"/>
        <v/>
      </c>
      <c r="M104" s="435"/>
      <c r="O104" s="436" t="str">
        <f t="shared" si="8"/>
        <v/>
      </c>
      <c r="P104" s="435"/>
      <c r="Q104" s="435"/>
      <c r="R104" s="436" t="str">
        <f t="shared" si="11"/>
        <v/>
      </c>
      <c r="S104" s="442"/>
    </row>
    <row r="105" spans="1:19" ht="12" customHeight="1">
      <c r="A105" s="434" t="s">
        <v>410</v>
      </c>
      <c r="B105" s="544">
        <f>IF($A105&lt;&gt;"",E105+H105+K105+N105+Q105,"")</f>
        <v>196</v>
      </c>
      <c r="C105" s="436">
        <f t="shared" si="13"/>
        <v>4.5901639344262293</v>
      </c>
      <c r="E105" s="435">
        <v>4</v>
      </c>
      <c r="F105" s="436">
        <f t="shared" si="7"/>
        <v>2.0408163265306123</v>
      </c>
      <c r="G105" s="435"/>
      <c r="H105" s="435">
        <v>1</v>
      </c>
      <c r="I105" s="436">
        <f t="shared" si="9"/>
        <v>0.51020408163265307</v>
      </c>
      <c r="J105" s="435"/>
      <c r="K105" s="435">
        <v>15</v>
      </c>
      <c r="L105" s="436">
        <f t="shared" si="10"/>
        <v>7.6530612244897958</v>
      </c>
      <c r="M105" s="435"/>
      <c r="N105" s="435">
        <v>118</v>
      </c>
      <c r="O105" s="436">
        <f t="shared" si="8"/>
        <v>60.204081632653065</v>
      </c>
      <c r="P105" s="435"/>
      <c r="Q105" s="435">
        <v>58</v>
      </c>
      <c r="R105" s="436">
        <f t="shared" si="11"/>
        <v>29.591836734693878</v>
      </c>
      <c r="S105" s="442"/>
    </row>
    <row r="106" spans="1:19" ht="12" customHeight="1">
      <c r="B106" s="544" t="str">
        <f>IF($A106&lt;&gt;"",E106+H106+K106+N106+Q106,"")</f>
        <v/>
      </c>
      <c r="F106" s="436" t="str">
        <f t="shared" si="7"/>
        <v/>
      </c>
      <c r="I106" s="436" t="str">
        <f t="shared" si="9"/>
        <v/>
      </c>
      <c r="L106" s="436" t="str">
        <f t="shared" si="10"/>
        <v/>
      </c>
      <c r="M106" s="440"/>
      <c r="O106" s="436" t="str">
        <f t="shared" si="8"/>
        <v/>
      </c>
      <c r="P106" s="442"/>
      <c r="Q106" s="435"/>
      <c r="R106" s="436" t="str">
        <f t="shared" si="11"/>
        <v/>
      </c>
      <c r="S106" s="442"/>
    </row>
    <row r="107" spans="1:19" ht="12" customHeight="1">
      <c r="A107" s="63" t="s">
        <v>346</v>
      </c>
      <c r="B107" s="544">
        <f t="shared" ref="B107:B112" si="14">IF($A107&lt;&gt;"",E107+H107+K107+N107+Q107,"")</f>
        <v>953</v>
      </c>
      <c r="C107" s="436">
        <f t="shared" ref="C107:C112" si="15">IF(A107&lt;&gt;0,B107/$B$11*100,"")</f>
        <v>22.318501170960186</v>
      </c>
      <c r="E107" s="435">
        <f>SUM(E108:E112)</f>
        <v>175</v>
      </c>
      <c r="F107" s="436">
        <f t="shared" si="7"/>
        <v>18.363064008394545</v>
      </c>
      <c r="H107" s="435">
        <f>SUM(H108:H112)</f>
        <v>61</v>
      </c>
      <c r="I107" s="436">
        <f t="shared" si="9"/>
        <v>6.4008394543546689</v>
      </c>
      <c r="K107" s="435">
        <f>SUM(K108:K112)</f>
        <v>211</v>
      </c>
      <c r="L107" s="436">
        <f t="shared" si="10"/>
        <v>22.140608604407134</v>
      </c>
      <c r="M107" s="440"/>
      <c r="N107" s="435">
        <f>SUM(N108:N112)</f>
        <v>325</v>
      </c>
      <c r="O107" s="436">
        <f t="shared" si="8"/>
        <v>34.102833158447012</v>
      </c>
      <c r="P107" s="442"/>
      <c r="Q107" s="435">
        <f>SUM(Q108:Q112)</f>
        <v>181</v>
      </c>
      <c r="R107" s="436">
        <f t="shared" si="11"/>
        <v>18.992654774396641</v>
      </c>
      <c r="S107" s="442"/>
    </row>
    <row r="108" spans="1:19" ht="12" customHeight="1">
      <c r="A108" s="434" t="s">
        <v>347</v>
      </c>
      <c r="B108" s="544">
        <f t="shared" si="14"/>
        <v>254</v>
      </c>
      <c r="C108" s="436">
        <f t="shared" si="15"/>
        <v>5.9484777517564407</v>
      </c>
      <c r="E108" s="435">
        <v>79</v>
      </c>
      <c r="F108" s="436">
        <f t="shared" si="7"/>
        <v>31.102362204724411</v>
      </c>
      <c r="G108" s="435"/>
      <c r="H108" s="435">
        <v>20</v>
      </c>
      <c r="I108" s="436">
        <f t="shared" si="9"/>
        <v>7.8740157480314963</v>
      </c>
      <c r="J108" s="435"/>
      <c r="K108" s="435">
        <v>53</v>
      </c>
      <c r="L108" s="436">
        <f t="shared" si="10"/>
        <v>20.866141732283463</v>
      </c>
      <c r="M108" s="435"/>
      <c r="N108" s="435">
        <v>74</v>
      </c>
      <c r="O108" s="436">
        <f t="shared" si="8"/>
        <v>29.133858267716533</v>
      </c>
      <c r="P108" s="435"/>
      <c r="Q108" s="435">
        <v>28</v>
      </c>
      <c r="R108" s="436">
        <f t="shared" si="11"/>
        <v>11.023622047244094</v>
      </c>
      <c r="S108" s="442"/>
    </row>
    <row r="109" spans="1:19" ht="12" customHeight="1">
      <c r="A109" s="434" t="s">
        <v>348</v>
      </c>
      <c r="B109" s="544">
        <f t="shared" si="14"/>
        <v>255</v>
      </c>
      <c r="C109" s="436">
        <f t="shared" si="15"/>
        <v>5.9718969555035128</v>
      </c>
      <c r="E109" s="435">
        <v>29</v>
      </c>
      <c r="F109" s="436">
        <f t="shared" si="7"/>
        <v>11.372549019607844</v>
      </c>
      <c r="G109" s="435"/>
      <c r="H109" s="435">
        <v>15</v>
      </c>
      <c r="I109" s="436">
        <f t="shared" si="9"/>
        <v>5.8823529411764701</v>
      </c>
      <c r="J109" s="435"/>
      <c r="K109" s="435">
        <v>50</v>
      </c>
      <c r="L109" s="436">
        <f t="shared" si="10"/>
        <v>19.607843137254903</v>
      </c>
      <c r="M109" s="435"/>
      <c r="N109" s="435">
        <v>115</v>
      </c>
      <c r="O109" s="436">
        <f t="shared" si="8"/>
        <v>45.098039215686278</v>
      </c>
      <c r="P109" s="435"/>
      <c r="Q109" s="435">
        <v>46</v>
      </c>
      <c r="R109" s="436">
        <f t="shared" si="11"/>
        <v>18.03921568627451</v>
      </c>
      <c r="S109" s="442"/>
    </row>
    <row r="110" spans="1:19" ht="12" customHeight="1">
      <c r="A110" s="434" t="s">
        <v>349</v>
      </c>
      <c r="B110" s="544">
        <f t="shared" si="14"/>
        <v>199</v>
      </c>
      <c r="C110" s="436">
        <f t="shared" si="15"/>
        <v>4.6604215456674476</v>
      </c>
      <c r="E110" s="435">
        <v>25</v>
      </c>
      <c r="F110" s="436">
        <f t="shared" si="7"/>
        <v>12.562814070351758</v>
      </c>
      <c r="G110" s="435"/>
      <c r="H110" s="435">
        <v>6</v>
      </c>
      <c r="I110" s="436">
        <f t="shared" si="9"/>
        <v>3.0150753768844218</v>
      </c>
      <c r="J110" s="435"/>
      <c r="K110" s="435">
        <v>43</v>
      </c>
      <c r="L110" s="436">
        <f t="shared" si="10"/>
        <v>21.608040201005025</v>
      </c>
      <c r="M110" s="435"/>
      <c r="N110" s="435">
        <v>70</v>
      </c>
      <c r="O110" s="436">
        <f t="shared" si="8"/>
        <v>35.175879396984925</v>
      </c>
      <c r="P110" s="435"/>
      <c r="Q110" s="435">
        <v>55</v>
      </c>
      <c r="R110" s="436">
        <f t="shared" si="11"/>
        <v>27.638190954773869</v>
      </c>
      <c r="S110" s="442"/>
    </row>
    <row r="111" spans="1:19" ht="12" customHeight="1">
      <c r="A111" s="434" t="s">
        <v>350</v>
      </c>
      <c r="B111" s="544">
        <f t="shared" si="14"/>
        <v>143</v>
      </c>
      <c r="C111" s="436">
        <f t="shared" si="15"/>
        <v>3.3489461358313815</v>
      </c>
      <c r="E111" s="435">
        <v>14</v>
      </c>
      <c r="F111" s="436">
        <f t="shared" si="7"/>
        <v>9.79020979020979</v>
      </c>
      <c r="G111" s="435"/>
      <c r="H111" s="435">
        <v>12</v>
      </c>
      <c r="I111" s="436">
        <f t="shared" si="9"/>
        <v>8.3916083916083917</v>
      </c>
      <c r="J111" s="435"/>
      <c r="K111" s="435">
        <v>42</v>
      </c>
      <c r="L111" s="436">
        <f t="shared" si="10"/>
        <v>29.37062937062937</v>
      </c>
      <c r="M111" s="435"/>
      <c r="N111" s="435">
        <v>36</v>
      </c>
      <c r="O111" s="436">
        <f t="shared" si="8"/>
        <v>25.174825174825177</v>
      </c>
      <c r="P111" s="435"/>
      <c r="Q111" s="435">
        <v>39</v>
      </c>
      <c r="R111" s="436">
        <f t="shared" si="11"/>
        <v>27.27272727272727</v>
      </c>
      <c r="S111" s="442"/>
    </row>
    <row r="112" spans="1:19" ht="12" customHeight="1">
      <c r="A112" s="434" t="s">
        <v>351</v>
      </c>
      <c r="B112" s="544">
        <f t="shared" si="14"/>
        <v>102</v>
      </c>
      <c r="C112" s="436">
        <f t="shared" si="15"/>
        <v>2.3887587822014051</v>
      </c>
      <c r="E112" s="435">
        <v>28</v>
      </c>
      <c r="F112" s="436">
        <f t="shared" si="7"/>
        <v>27.450980392156865</v>
      </c>
      <c r="G112" s="435"/>
      <c r="H112" s="435">
        <v>8</v>
      </c>
      <c r="I112" s="436">
        <f t="shared" si="9"/>
        <v>7.8431372549019605</v>
      </c>
      <c r="J112" s="435"/>
      <c r="K112" s="435">
        <v>23</v>
      </c>
      <c r="L112" s="436">
        <f t="shared" si="10"/>
        <v>22.549019607843139</v>
      </c>
      <c r="M112" s="435"/>
      <c r="N112" s="435">
        <v>30</v>
      </c>
      <c r="O112" s="436">
        <f t="shared" si="8"/>
        <v>29.411764705882355</v>
      </c>
      <c r="P112" s="435"/>
      <c r="Q112" s="435">
        <v>13</v>
      </c>
      <c r="R112" s="436">
        <f t="shared" si="11"/>
        <v>12.745098039215685</v>
      </c>
      <c r="S112" s="442"/>
    </row>
    <row r="113" spans="1:19" ht="9.9499999999999993" customHeight="1" thickBot="1">
      <c r="O113" s="436"/>
      <c r="P113" s="436"/>
      <c r="Q113" s="435"/>
      <c r="R113" s="436"/>
      <c r="S113" s="436"/>
    </row>
    <row r="114" spans="1:19" ht="9.9499999999999993" customHeight="1">
      <c r="A114" s="437"/>
      <c r="B114" s="805"/>
      <c r="C114" s="439"/>
      <c r="D114" s="437"/>
      <c r="E114" s="438"/>
      <c r="F114" s="439"/>
      <c r="G114" s="437"/>
      <c r="H114" s="438"/>
      <c r="I114" s="439"/>
      <c r="J114" s="439"/>
      <c r="K114" s="438"/>
      <c r="L114" s="439"/>
      <c r="M114" s="437"/>
      <c r="N114" s="438"/>
      <c r="O114" s="439"/>
      <c r="P114" s="439"/>
      <c r="Q114" s="438"/>
      <c r="R114" s="439"/>
      <c r="S114" s="439"/>
    </row>
    <row r="115" spans="1:19" ht="12" customHeight="1">
      <c r="A115" s="453" t="s">
        <v>427</v>
      </c>
      <c r="B115" s="451"/>
      <c r="C115" s="442"/>
      <c r="D115" s="440"/>
      <c r="E115" s="441"/>
      <c r="F115" s="442"/>
      <c r="G115" s="440"/>
      <c r="H115" s="441"/>
      <c r="I115" s="442"/>
      <c r="J115" s="442"/>
      <c r="K115" s="441"/>
      <c r="L115" s="442"/>
      <c r="M115" s="440"/>
      <c r="N115" s="441"/>
      <c r="O115" s="442"/>
      <c r="P115" s="442"/>
      <c r="Q115" s="441"/>
      <c r="R115" s="442"/>
      <c r="S115" s="442"/>
    </row>
    <row r="116" spans="1:19" ht="12" customHeight="1">
      <c r="A116" s="453" t="s">
        <v>428</v>
      </c>
      <c r="B116" s="451"/>
      <c r="C116" s="442"/>
      <c r="D116" s="440"/>
      <c r="E116" s="441"/>
      <c r="F116" s="442"/>
      <c r="G116" s="440"/>
      <c r="H116" s="441"/>
      <c r="I116" s="442"/>
      <c r="J116" s="442"/>
      <c r="K116" s="441"/>
      <c r="L116" s="442"/>
      <c r="M116" s="440"/>
      <c r="N116" s="441"/>
      <c r="O116" s="442"/>
      <c r="P116" s="442"/>
      <c r="Q116" s="441"/>
      <c r="R116" s="442"/>
      <c r="S116" s="442"/>
    </row>
    <row r="117" spans="1:19" ht="12" customHeight="1">
      <c r="A117" s="440"/>
      <c r="B117" s="451"/>
      <c r="C117" s="442"/>
      <c r="D117" s="440"/>
      <c r="E117" s="441"/>
      <c r="F117" s="442"/>
      <c r="G117" s="440"/>
      <c r="H117" s="441"/>
      <c r="I117" s="442"/>
      <c r="J117" s="442"/>
      <c r="K117" s="441"/>
      <c r="L117" s="442"/>
      <c r="M117" s="440"/>
      <c r="N117" s="441"/>
      <c r="O117" s="442"/>
      <c r="P117" s="442"/>
      <c r="Q117" s="441"/>
      <c r="R117" s="442"/>
      <c r="S117" s="442"/>
    </row>
    <row r="118" spans="1:19" ht="14.25">
      <c r="A118" s="66" t="s">
        <v>2111</v>
      </c>
      <c r="B118" s="451"/>
      <c r="C118" s="442"/>
      <c r="D118" s="440"/>
      <c r="E118" s="441"/>
      <c r="F118" s="442"/>
      <c r="G118" s="440"/>
      <c r="H118" s="441"/>
      <c r="I118" s="442"/>
      <c r="J118" s="442"/>
      <c r="K118" s="441"/>
      <c r="L118" s="442"/>
      <c r="M118" s="440"/>
      <c r="N118" s="441"/>
      <c r="O118" s="442"/>
      <c r="P118" s="442"/>
      <c r="Q118" s="441"/>
      <c r="R118" s="442"/>
      <c r="S118" s="442"/>
    </row>
    <row r="119" spans="1:19" ht="9.9499999999999993" customHeight="1">
      <c r="A119" s="440"/>
      <c r="B119" s="451"/>
      <c r="C119" s="442"/>
      <c r="D119" s="440"/>
      <c r="E119" s="441"/>
      <c r="F119" s="442"/>
      <c r="G119" s="440"/>
      <c r="H119" s="441"/>
      <c r="I119" s="442"/>
      <c r="J119" s="442"/>
      <c r="K119" s="441"/>
      <c r="L119" s="442"/>
      <c r="M119" s="440"/>
      <c r="N119" s="441"/>
      <c r="O119" s="442"/>
      <c r="P119" s="442"/>
      <c r="Q119" s="441"/>
      <c r="R119" s="442"/>
      <c r="S119" s="442"/>
    </row>
    <row r="120" spans="1:19">
      <c r="A120" s="434" t="s">
        <v>404</v>
      </c>
      <c r="Q120" s="435"/>
    </row>
    <row r="121" spans="1:19">
      <c r="A121" s="434" t="s">
        <v>385</v>
      </c>
      <c r="Q121" s="435"/>
    </row>
  </sheetData>
  <mergeCells count="4">
    <mergeCell ref="H7:I7"/>
    <mergeCell ref="K7:L7"/>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22.xml><?xml version="1.0" encoding="utf-8"?>
<worksheet xmlns="http://schemas.openxmlformats.org/spreadsheetml/2006/main" xmlns:r="http://schemas.openxmlformats.org/officeDocument/2006/relationships">
  <dimension ref="A1:S123"/>
  <sheetViews>
    <sheetView topLeftCell="A79" workbookViewId="0">
      <selection activeCell="C19" sqref="C19"/>
    </sheetView>
  </sheetViews>
  <sheetFormatPr baseColWidth="10" defaultColWidth="9.140625" defaultRowHeight="12.75"/>
  <cols>
    <col min="1" max="1" width="36" style="434" customWidth="1"/>
    <col min="2" max="2" width="8.42578125" style="544" customWidth="1"/>
    <col min="3" max="3" width="8.28515625" style="436" customWidth="1"/>
    <col min="4" max="4" width="2.5703125" style="434" customWidth="1"/>
    <col min="5" max="5" width="7.5703125" style="435" customWidth="1"/>
    <col min="6" max="6" width="7.7109375" style="436" customWidth="1"/>
    <col min="7" max="7" width="2.28515625" style="434" customWidth="1"/>
    <col min="8" max="8" width="8.28515625" style="435" customWidth="1"/>
    <col min="9" max="9" width="8.42578125" style="436" customWidth="1"/>
    <col min="10" max="10" width="2.5703125" style="436" customWidth="1"/>
    <col min="11" max="11" width="7.7109375" style="435" customWidth="1"/>
    <col min="12" max="12" width="7.85546875" style="436" customWidth="1"/>
    <col min="13" max="13" width="2.5703125" style="434" customWidth="1"/>
    <col min="14" max="14" width="7.85546875" style="435" customWidth="1"/>
    <col min="15" max="15" width="7.85546875" style="434" customWidth="1"/>
    <col min="16" max="16" width="2.7109375" style="434" customWidth="1"/>
    <col min="17" max="18" width="7.7109375" style="434" customWidth="1"/>
    <col min="19" max="19" width="2.5703125" style="434" customWidth="1"/>
    <col min="20" max="256" width="9.140625" style="434"/>
    <col min="257" max="257" width="36" style="434" customWidth="1"/>
    <col min="258" max="258" width="8.42578125" style="434" customWidth="1"/>
    <col min="259" max="259" width="8.28515625" style="434" customWidth="1"/>
    <col min="260" max="260" width="2.5703125" style="434" customWidth="1"/>
    <col min="261" max="261" width="7.5703125" style="434" customWidth="1"/>
    <col min="262" max="262" width="7.7109375" style="434" customWidth="1"/>
    <col min="263" max="263" width="2.28515625" style="434" customWidth="1"/>
    <col min="264" max="264" width="8.28515625" style="434" customWidth="1"/>
    <col min="265" max="265" width="8.42578125" style="434" customWidth="1"/>
    <col min="266" max="266" width="2.5703125" style="434" customWidth="1"/>
    <col min="267" max="267" width="7.7109375" style="434" customWidth="1"/>
    <col min="268" max="268" width="7.85546875" style="434" customWidth="1"/>
    <col min="269" max="269" width="2.5703125" style="434" customWidth="1"/>
    <col min="270" max="271" width="7.85546875" style="434" customWidth="1"/>
    <col min="272" max="272" width="2.7109375" style="434" customWidth="1"/>
    <col min="273" max="274" width="7.7109375" style="434" customWidth="1"/>
    <col min="275" max="275" width="2.5703125" style="434" customWidth="1"/>
    <col min="276" max="512" width="9.140625" style="434"/>
    <col min="513" max="513" width="36" style="434" customWidth="1"/>
    <col min="514" max="514" width="8.42578125" style="434" customWidth="1"/>
    <col min="515" max="515" width="8.28515625" style="434" customWidth="1"/>
    <col min="516" max="516" width="2.5703125" style="434" customWidth="1"/>
    <col min="517" max="517" width="7.5703125" style="434" customWidth="1"/>
    <col min="518" max="518" width="7.7109375" style="434" customWidth="1"/>
    <col min="519" max="519" width="2.28515625" style="434" customWidth="1"/>
    <col min="520" max="520" width="8.28515625" style="434" customWidth="1"/>
    <col min="521" max="521" width="8.42578125" style="434" customWidth="1"/>
    <col min="522" max="522" width="2.5703125" style="434" customWidth="1"/>
    <col min="523" max="523" width="7.7109375" style="434" customWidth="1"/>
    <col min="524" max="524" width="7.85546875" style="434" customWidth="1"/>
    <col min="525" max="525" width="2.5703125" style="434" customWidth="1"/>
    <col min="526" max="527" width="7.85546875" style="434" customWidth="1"/>
    <col min="528" max="528" width="2.7109375" style="434" customWidth="1"/>
    <col min="529" max="530" width="7.7109375" style="434" customWidth="1"/>
    <col min="531" max="531" width="2.5703125" style="434" customWidth="1"/>
    <col min="532" max="768" width="9.140625" style="434"/>
    <col min="769" max="769" width="36" style="434" customWidth="1"/>
    <col min="770" max="770" width="8.42578125" style="434" customWidth="1"/>
    <col min="771" max="771" width="8.28515625" style="434" customWidth="1"/>
    <col min="772" max="772" width="2.5703125" style="434" customWidth="1"/>
    <col min="773" max="773" width="7.5703125" style="434" customWidth="1"/>
    <col min="774" max="774" width="7.7109375" style="434" customWidth="1"/>
    <col min="775" max="775" width="2.28515625" style="434" customWidth="1"/>
    <col min="776" max="776" width="8.28515625" style="434" customWidth="1"/>
    <col min="777" max="777" width="8.42578125" style="434" customWidth="1"/>
    <col min="778" max="778" width="2.5703125" style="434" customWidth="1"/>
    <col min="779" max="779" width="7.7109375" style="434" customWidth="1"/>
    <col min="780" max="780" width="7.85546875" style="434" customWidth="1"/>
    <col min="781" max="781" width="2.5703125" style="434" customWidth="1"/>
    <col min="782" max="783" width="7.85546875" style="434" customWidth="1"/>
    <col min="784" max="784" width="2.7109375" style="434" customWidth="1"/>
    <col min="785" max="786" width="7.7109375" style="434" customWidth="1"/>
    <col min="787" max="787" width="2.5703125" style="434" customWidth="1"/>
    <col min="788" max="1024" width="9.140625" style="434"/>
    <col min="1025" max="1025" width="36" style="434" customWidth="1"/>
    <col min="1026" max="1026" width="8.42578125" style="434" customWidth="1"/>
    <col min="1027" max="1027" width="8.28515625" style="434" customWidth="1"/>
    <col min="1028" max="1028" width="2.5703125" style="434" customWidth="1"/>
    <col min="1029" max="1029" width="7.5703125" style="434" customWidth="1"/>
    <col min="1030" max="1030" width="7.7109375" style="434" customWidth="1"/>
    <col min="1031" max="1031" width="2.28515625" style="434" customWidth="1"/>
    <col min="1032" max="1032" width="8.28515625" style="434" customWidth="1"/>
    <col min="1033" max="1033" width="8.42578125" style="434" customWidth="1"/>
    <col min="1034" max="1034" width="2.5703125" style="434" customWidth="1"/>
    <col min="1035" max="1035" width="7.7109375" style="434" customWidth="1"/>
    <col min="1036" max="1036" width="7.85546875" style="434" customWidth="1"/>
    <col min="1037" max="1037" width="2.5703125" style="434" customWidth="1"/>
    <col min="1038" max="1039" width="7.85546875" style="434" customWidth="1"/>
    <col min="1040" max="1040" width="2.7109375" style="434" customWidth="1"/>
    <col min="1041" max="1042" width="7.7109375" style="434" customWidth="1"/>
    <col min="1043" max="1043" width="2.5703125" style="434" customWidth="1"/>
    <col min="1044" max="1280" width="9.140625" style="434"/>
    <col min="1281" max="1281" width="36" style="434" customWidth="1"/>
    <col min="1282" max="1282" width="8.42578125" style="434" customWidth="1"/>
    <col min="1283" max="1283" width="8.28515625" style="434" customWidth="1"/>
    <col min="1284" max="1284" width="2.5703125" style="434" customWidth="1"/>
    <col min="1285" max="1285" width="7.5703125" style="434" customWidth="1"/>
    <col min="1286" max="1286" width="7.7109375" style="434" customWidth="1"/>
    <col min="1287" max="1287" width="2.28515625" style="434" customWidth="1"/>
    <col min="1288" max="1288" width="8.28515625" style="434" customWidth="1"/>
    <col min="1289" max="1289" width="8.42578125" style="434" customWidth="1"/>
    <col min="1290" max="1290" width="2.5703125" style="434" customWidth="1"/>
    <col min="1291" max="1291" width="7.7109375" style="434" customWidth="1"/>
    <col min="1292" max="1292" width="7.85546875" style="434" customWidth="1"/>
    <col min="1293" max="1293" width="2.5703125" style="434" customWidth="1"/>
    <col min="1294" max="1295" width="7.85546875" style="434" customWidth="1"/>
    <col min="1296" max="1296" width="2.7109375" style="434" customWidth="1"/>
    <col min="1297" max="1298" width="7.7109375" style="434" customWidth="1"/>
    <col min="1299" max="1299" width="2.5703125" style="434" customWidth="1"/>
    <col min="1300" max="1536" width="9.140625" style="434"/>
    <col min="1537" max="1537" width="36" style="434" customWidth="1"/>
    <col min="1538" max="1538" width="8.42578125" style="434" customWidth="1"/>
    <col min="1539" max="1539" width="8.28515625" style="434" customWidth="1"/>
    <col min="1540" max="1540" width="2.5703125" style="434" customWidth="1"/>
    <col min="1541" max="1541" width="7.5703125" style="434" customWidth="1"/>
    <col min="1542" max="1542" width="7.7109375" style="434" customWidth="1"/>
    <col min="1543" max="1543" width="2.28515625" style="434" customWidth="1"/>
    <col min="1544" max="1544" width="8.28515625" style="434" customWidth="1"/>
    <col min="1545" max="1545" width="8.42578125" style="434" customWidth="1"/>
    <col min="1546" max="1546" width="2.5703125" style="434" customWidth="1"/>
    <col min="1547" max="1547" width="7.7109375" style="434" customWidth="1"/>
    <col min="1548" max="1548" width="7.85546875" style="434" customWidth="1"/>
    <col min="1549" max="1549" width="2.5703125" style="434" customWidth="1"/>
    <col min="1550" max="1551" width="7.85546875" style="434" customWidth="1"/>
    <col min="1552" max="1552" width="2.7109375" style="434" customWidth="1"/>
    <col min="1553" max="1554" width="7.7109375" style="434" customWidth="1"/>
    <col min="1555" max="1555" width="2.5703125" style="434" customWidth="1"/>
    <col min="1556" max="1792" width="9.140625" style="434"/>
    <col min="1793" max="1793" width="36" style="434" customWidth="1"/>
    <col min="1794" max="1794" width="8.42578125" style="434" customWidth="1"/>
    <col min="1795" max="1795" width="8.28515625" style="434" customWidth="1"/>
    <col min="1796" max="1796" width="2.5703125" style="434" customWidth="1"/>
    <col min="1797" max="1797" width="7.5703125" style="434" customWidth="1"/>
    <col min="1798" max="1798" width="7.7109375" style="434" customWidth="1"/>
    <col min="1799" max="1799" width="2.28515625" style="434" customWidth="1"/>
    <col min="1800" max="1800" width="8.28515625" style="434" customWidth="1"/>
    <col min="1801" max="1801" width="8.42578125" style="434" customWidth="1"/>
    <col min="1802" max="1802" width="2.5703125" style="434" customWidth="1"/>
    <col min="1803" max="1803" width="7.7109375" style="434" customWidth="1"/>
    <col min="1804" max="1804" width="7.85546875" style="434" customWidth="1"/>
    <col min="1805" max="1805" width="2.5703125" style="434" customWidth="1"/>
    <col min="1806" max="1807" width="7.85546875" style="434" customWidth="1"/>
    <col min="1808" max="1808" width="2.7109375" style="434" customWidth="1"/>
    <col min="1809" max="1810" width="7.7109375" style="434" customWidth="1"/>
    <col min="1811" max="1811" width="2.5703125" style="434" customWidth="1"/>
    <col min="1812" max="2048" width="9.140625" style="434"/>
    <col min="2049" max="2049" width="36" style="434" customWidth="1"/>
    <col min="2050" max="2050" width="8.42578125" style="434" customWidth="1"/>
    <col min="2051" max="2051" width="8.28515625" style="434" customWidth="1"/>
    <col min="2052" max="2052" width="2.5703125" style="434" customWidth="1"/>
    <col min="2053" max="2053" width="7.5703125" style="434" customWidth="1"/>
    <col min="2054" max="2054" width="7.7109375" style="434" customWidth="1"/>
    <col min="2055" max="2055" width="2.28515625" style="434" customWidth="1"/>
    <col min="2056" max="2056" width="8.28515625" style="434" customWidth="1"/>
    <col min="2057" max="2057" width="8.42578125" style="434" customWidth="1"/>
    <col min="2058" max="2058" width="2.5703125" style="434" customWidth="1"/>
    <col min="2059" max="2059" width="7.7109375" style="434" customWidth="1"/>
    <col min="2060" max="2060" width="7.85546875" style="434" customWidth="1"/>
    <col min="2061" max="2061" width="2.5703125" style="434" customWidth="1"/>
    <col min="2062" max="2063" width="7.85546875" style="434" customWidth="1"/>
    <col min="2064" max="2064" width="2.7109375" style="434" customWidth="1"/>
    <col min="2065" max="2066" width="7.7109375" style="434" customWidth="1"/>
    <col min="2067" max="2067" width="2.5703125" style="434" customWidth="1"/>
    <col min="2068" max="2304" width="9.140625" style="434"/>
    <col min="2305" max="2305" width="36" style="434" customWidth="1"/>
    <col min="2306" max="2306" width="8.42578125" style="434" customWidth="1"/>
    <col min="2307" max="2307" width="8.28515625" style="434" customWidth="1"/>
    <col min="2308" max="2308" width="2.5703125" style="434" customWidth="1"/>
    <col min="2309" max="2309" width="7.5703125" style="434" customWidth="1"/>
    <col min="2310" max="2310" width="7.7109375" style="434" customWidth="1"/>
    <col min="2311" max="2311" width="2.28515625" style="434" customWidth="1"/>
    <col min="2312" max="2312" width="8.28515625" style="434" customWidth="1"/>
    <col min="2313" max="2313" width="8.42578125" style="434" customWidth="1"/>
    <col min="2314" max="2314" width="2.5703125" style="434" customWidth="1"/>
    <col min="2315" max="2315" width="7.7109375" style="434" customWidth="1"/>
    <col min="2316" max="2316" width="7.85546875" style="434" customWidth="1"/>
    <col min="2317" max="2317" width="2.5703125" style="434" customWidth="1"/>
    <col min="2318" max="2319" width="7.85546875" style="434" customWidth="1"/>
    <col min="2320" max="2320" width="2.7109375" style="434" customWidth="1"/>
    <col min="2321" max="2322" width="7.7109375" style="434" customWidth="1"/>
    <col min="2323" max="2323" width="2.5703125" style="434" customWidth="1"/>
    <col min="2324" max="2560" width="9.140625" style="434"/>
    <col min="2561" max="2561" width="36" style="434" customWidth="1"/>
    <col min="2562" max="2562" width="8.42578125" style="434" customWidth="1"/>
    <col min="2563" max="2563" width="8.28515625" style="434" customWidth="1"/>
    <col min="2564" max="2564" width="2.5703125" style="434" customWidth="1"/>
    <col min="2565" max="2565" width="7.5703125" style="434" customWidth="1"/>
    <col min="2566" max="2566" width="7.7109375" style="434" customWidth="1"/>
    <col min="2567" max="2567" width="2.28515625" style="434" customWidth="1"/>
    <col min="2568" max="2568" width="8.28515625" style="434" customWidth="1"/>
    <col min="2569" max="2569" width="8.42578125" style="434" customWidth="1"/>
    <col min="2570" max="2570" width="2.5703125" style="434" customWidth="1"/>
    <col min="2571" max="2571" width="7.7109375" style="434" customWidth="1"/>
    <col min="2572" max="2572" width="7.85546875" style="434" customWidth="1"/>
    <col min="2573" max="2573" width="2.5703125" style="434" customWidth="1"/>
    <col min="2574" max="2575" width="7.85546875" style="434" customWidth="1"/>
    <col min="2576" max="2576" width="2.7109375" style="434" customWidth="1"/>
    <col min="2577" max="2578" width="7.7109375" style="434" customWidth="1"/>
    <col min="2579" max="2579" width="2.5703125" style="434" customWidth="1"/>
    <col min="2580" max="2816" width="9.140625" style="434"/>
    <col min="2817" max="2817" width="36" style="434" customWidth="1"/>
    <col min="2818" max="2818" width="8.42578125" style="434" customWidth="1"/>
    <col min="2819" max="2819" width="8.28515625" style="434" customWidth="1"/>
    <col min="2820" max="2820" width="2.5703125" style="434" customWidth="1"/>
    <col min="2821" max="2821" width="7.5703125" style="434" customWidth="1"/>
    <col min="2822" max="2822" width="7.7109375" style="434" customWidth="1"/>
    <col min="2823" max="2823" width="2.28515625" style="434" customWidth="1"/>
    <col min="2824" max="2824" width="8.28515625" style="434" customWidth="1"/>
    <col min="2825" max="2825" width="8.42578125" style="434" customWidth="1"/>
    <col min="2826" max="2826" width="2.5703125" style="434" customWidth="1"/>
    <col min="2827" max="2827" width="7.7109375" style="434" customWidth="1"/>
    <col min="2828" max="2828" width="7.85546875" style="434" customWidth="1"/>
    <col min="2829" max="2829" width="2.5703125" style="434" customWidth="1"/>
    <col min="2830" max="2831" width="7.85546875" style="434" customWidth="1"/>
    <col min="2832" max="2832" width="2.7109375" style="434" customWidth="1"/>
    <col min="2833" max="2834" width="7.7109375" style="434" customWidth="1"/>
    <col min="2835" max="2835" width="2.5703125" style="434" customWidth="1"/>
    <col min="2836" max="3072" width="9.140625" style="434"/>
    <col min="3073" max="3073" width="36" style="434" customWidth="1"/>
    <col min="3074" max="3074" width="8.42578125" style="434" customWidth="1"/>
    <col min="3075" max="3075" width="8.28515625" style="434" customWidth="1"/>
    <col min="3076" max="3076" width="2.5703125" style="434" customWidth="1"/>
    <col min="3077" max="3077" width="7.5703125" style="434" customWidth="1"/>
    <col min="3078" max="3078" width="7.7109375" style="434" customWidth="1"/>
    <col min="3079" max="3079" width="2.28515625" style="434" customWidth="1"/>
    <col min="3080" max="3080" width="8.28515625" style="434" customWidth="1"/>
    <col min="3081" max="3081" width="8.42578125" style="434" customWidth="1"/>
    <col min="3082" max="3082" width="2.5703125" style="434" customWidth="1"/>
    <col min="3083" max="3083" width="7.7109375" style="434" customWidth="1"/>
    <col min="3084" max="3084" width="7.85546875" style="434" customWidth="1"/>
    <col min="3085" max="3085" width="2.5703125" style="434" customWidth="1"/>
    <col min="3086" max="3087" width="7.85546875" style="434" customWidth="1"/>
    <col min="3088" max="3088" width="2.7109375" style="434" customWidth="1"/>
    <col min="3089" max="3090" width="7.7109375" style="434" customWidth="1"/>
    <col min="3091" max="3091" width="2.5703125" style="434" customWidth="1"/>
    <col min="3092" max="3328" width="9.140625" style="434"/>
    <col min="3329" max="3329" width="36" style="434" customWidth="1"/>
    <col min="3330" max="3330" width="8.42578125" style="434" customWidth="1"/>
    <col min="3331" max="3331" width="8.28515625" style="434" customWidth="1"/>
    <col min="3332" max="3332" width="2.5703125" style="434" customWidth="1"/>
    <col min="3333" max="3333" width="7.5703125" style="434" customWidth="1"/>
    <col min="3334" max="3334" width="7.7109375" style="434" customWidth="1"/>
    <col min="3335" max="3335" width="2.28515625" style="434" customWidth="1"/>
    <col min="3336" max="3336" width="8.28515625" style="434" customWidth="1"/>
    <col min="3337" max="3337" width="8.42578125" style="434" customWidth="1"/>
    <col min="3338" max="3338" width="2.5703125" style="434" customWidth="1"/>
    <col min="3339" max="3339" width="7.7109375" style="434" customWidth="1"/>
    <col min="3340" max="3340" width="7.85546875" style="434" customWidth="1"/>
    <col min="3341" max="3341" width="2.5703125" style="434" customWidth="1"/>
    <col min="3342" max="3343" width="7.85546875" style="434" customWidth="1"/>
    <col min="3344" max="3344" width="2.7109375" style="434" customWidth="1"/>
    <col min="3345" max="3346" width="7.7109375" style="434" customWidth="1"/>
    <col min="3347" max="3347" width="2.5703125" style="434" customWidth="1"/>
    <col min="3348" max="3584" width="9.140625" style="434"/>
    <col min="3585" max="3585" width="36" style="434" customWidth="1"/>
    <col min="3586" max="3586" width="8.42578125" style="434" customWidth="1"/>
    <col min="3587" max="3587" width="8.28515625" style="434" customWidth="1"/>
    <col min="3588" max="3588" width="2.5703125" style="434" customWidth="1"/>
    <col min="3589" max="3589" width="7.5703125" style="434" customWidth="1"/>
    <col min="3590" max="3590" width="7.7109375" style="434" customWidth="1"/>
    <col min="3591" max="3591" width="2.28515625" style="434" customWidth="1"/>
    <col min="3592" max="3592" width="8.28515625" style="434" customWidth="1"/>
    <col min="3593" max="3593" width="8.42578125" style="434" customWidth="1"/>
    <col min="3594" max="3594" width="2.5703125" style="434" customWidth="1"/>
    <col min="3595" max="3595" width="7.7109375" style="434" customWidth="1"/>
    <col min="3596" max="3596" width="7.85546875" style="434" customWidth="1"/>
    <col min="3597" max="3597" width="2.5703125" style="434" customWidth="1"/>
    <col min="3598" max="3599" width="7.85546875" style="434" customWidth="1"/>
    <col min="3600" max="3600" width="2.7109375" style="434" customWidth="1"/>
    <col min="3601" max="3602" width="7.7109375" style="434" customWidth="1"/>
    <col min="3603" max="3603" width="2.5703125" style="434" customWidth="1"/>
    <col min="3604" max="3840" width="9.140625" style="434"/>
    <col min="3841" max="3841" width="36" style="434" customWidth="1"/>
    <col min="3842" max="3842" width="8.42578125" style="434" customWidth="1"/>
    <col min="3843" max="3843" width="8.28515625" style="434" customWidth="1"/>
    <col min="3844" max="3844" width="2.5703125" style="434" customWidth="1"/>
    <col min="3845" max="3845" width="7.5703125" style="434" customWidth="1"/>
    <col min="3846" max="3846" width="7.7109375" style="434" customWidth="1"/>
    <col min="3847" max="3847" width="2.28515625" style="434" customWidth="1"/>
    <col min="3848" max="3848" width="8.28515625" style="434" customWidth="1"/>
    <col min="3849" max="3849" width="8.42578125" style="434" customWidth="1"/>
    <col min="3850" max="3850" width="2.5703125" style="434" customWidth="1"/>
    <col min="3851" max="3851" width="7.7109375" style="434" customWidth="1"/>
    <col min="3852" max="3852" width="7.85546875" style="434" customWidth="1"/>
    <col min="3853" max="3853" width="2.5703125" style="434" customWidth="1"/>
    <col min="3854" max="3855" width="7.85546875" style="434" customWidth="1"/>
    <col min="3856" max="3856" width="2.7109375" style="434" customWidth="1"/>
    <col min="3857" max="3858" width="7.7109375" style="434" customWidth="1"/>
    <col min="3859" max="3859" width="2.5703125" style="434" customWidth="1"/>
    <col min="3860" max="4096" width="9.140625" style="434"/>
    <col min="4097" max="4097" width="36" style="434" customWidth="1"/>
    <col min="4098" max="4098" width="8.42578125" style="434" customWidth="1"/>
    <col min="4099" max="4099" width="8.28515625" style="434" customWidth="1"/>
    <col min="4100" max="4100" width="2.5703125" style="434" customWidth="1"/>
    <col min="4101" max="4101" width="7.5703125" style="434" customWidth="1"/>
    <col min="4102" max="4102" width="7.7109375" style="434" customWidth="1"/>
    <col min="4103" max="4103" width="2.28515625" style="434" customWidth="1"/>
    <col min="4104" max="4104" width="8.28515625" style="434" customWidth="1"/>
    <col min="4105" max="4105" width="8.42578125" style="434" customWidth="1"/>
    <col min="4106" max="4106" width="2.5703125" style="434" customWidth="1"/>
    <col min="4107" max="4107" width="7.7109375" style="434" customWidth="1"/>
    <col min="4108" max="4108" width="7.85546875" style="434" customWidth="1"/>
    <col min="4109" max="4109" width="2.5703125" style="434" customWidth="1"/>
    <col min="4110" max="4111" width="7.85546875" style="434" customWidth="1"/>
    <col min="4112" max="4112" width="2.7109375" style="434" customWidth="1"/>
    <col min="4113" max="4114" width="7.7109375" style="434" customWidth="1"/>
    <col min="4115" max="4115" width="2.5703125" style="434" customWidth="1"/>
    <col min="4116" max="4352" width="9.140625" style="434"/>
    <col min="4353" max="4353" width="36" style="434" customWidth="1"/>
    <col min="4354" max="4354" width="8.42578125" style="434" customWidth="1"/>
    <col min="4355" max="4355" width="8.28515625" style="434" customWidth="1"/>
    <col min="4356" max="4356" width="2.5703125" style="434" customWidth="1"/>
    <col min="4357" max="4357" width="7.5703125" style="434" customWidth="1"/>
    <col min="4358" max="4358" width="7.7109375" style="434" customWidth="1"/>
    <col min="4359" max="4359" width="2.28515625" style="434" customWidth="1"/>
    <col min="4360" max="4360" width="8.28515625" style="434" customWidth="1"/>
    <col min="4361" max="4361" width="8.42578125" style="434" customWidth="1"/>
    <col min="4362" max="4362" width="2.5703125" style="434" customWidth="1"/>
    <col min="4363" max="4363" width="7.7109375" style="434" customWidth="1"/>
    <col min="4364" max="4364" width="7.85546875" style="434" customWidth="1"/>
    <col min="4365" max="4365" width="2.5703125" style="434" customWidth="1"/>
    <col min="4366" max="4367" width="7.85546875" style="434" customWidth="1"/>
    <col min="4368" max="4368" width="2.7109375" style="434" customWidth="1"/>
    <col min="4369" max="4370" width="7.7109375" style="434" customWidth="1"/>
    <col min="4371" max="4371" width="2.5703125" style="434" customWidth="1"/>
    <col min="4372" max="4608" width="9.140625" style="434"/>
    <col min="4609" max="4609" width="36" style="434" customWidth="1"/>
    <col min="4610" max="4610" width="8.42578125" style="434" customWidth="1"/>
    <col min="4611" max="4611" width="8.28515625" style="434" customWidth="1"/>
    <col min="4612" max="4612" width="2.5703125" style="434" customWidth="1"/>
    <col min="4613" max="4613" width="7.5703125" style="434" customWidth="1"/>
    <col min="4614" max="4614" width="7.7109375" style="434" customWidth="1"/>
    <col min="4615" max="4615" width="2.28515625" style="434" customWidth="1"/>
    <col min="4616" max="4616" width="8.28515625" style="434" customWidth="1"/>
    <col min="4617" max="4617" width="8.42578125" style="434" customWidth="1"/>
    <col min="4618" max="4618" width="2.5703125" style="434" customWidth="1"/>
    <col min="4619" max="4619" width="7.7109375" style="434" customWidth="1"/>
    <col min="4620" max="4620" width="7.85546875" style="434" customWidth="1"/>
    <col min="4621" max="4621" width="2.5703125" style="434" customWidth="1"/>
    <col min="4622" max="4623" width="7.85546875" style="434" customWidth="1"/>
    <col min="4624" max="4624" width="2.7109375" style="434" customWidth="1"/>
    <col min="4625" max="4626" width="7.7109375" style="434" customWidth="1"/>
    <col min="4627" max="4627" width="2.5703125" style="434" customWidth="1"/>
    <col min="4628" max="4864" width="9.140625" style="434"/>
    <col min="4865" max="4865" width="36" style="434" customWidth="1"/>
    <col min="4866" max="4866" width="8.42578125" style="434" customWidth="1"/>
    <col min="4867" max="4867" width="8.28515625" style="434" customWidth="1"/>
    <col min="4868" max="4868" width="2.5703125" style="434" customWidth="1"/>
    <col min="4869" max="4869" width="7.5703125" style="434" customWidth="1"/>
    <col min="4870" max="4870" width="7.7109375" style="434" customWidth="1"/>
    <col min="4871" max="4871" width="2.28515625" style="434" customWidth="1"/>
    <col min="4872" max="4872" width="8.28515625" style="434" customWidth="1"/>
    <col min="4873" max="4873" width="8.42578125" style="434" customWidth="1"/>
    <col min="4874" max="4874" width="2.5703125" style="434" customWidth="1"/>
    <col min="4875" max="4875" width="7.7109375" style="434" customWidth="1"/>
    <col min="4876" max="4876" width="7.85546875" style="434" customWidth="1"/>
    <col min="4877" max="4877" width="2.5703125" style="434" customWidth="1"/>
    <col min="4878" max="4879" width="7.85546875" style="434" customWidth="1"/>
    <col min="4880" max="4880" width="2.7109375" style="434" customWidth="1"/>
    <col min="4881" max="4882" width="7.7109375" style="434" customWidth="1"/>
    <col min="4883" max="4883" width="2.5703125" style="434" customWidth="1"/>
    <col min="4884" max="5120" width="9.140625" style="434"/>
    <col min="5121" max="5121" width="36" style="434" customWidth="1"/>
    <col min="5122" max="5122" width="8.42578125" style="434" customWidth="1"/>
    <col min="5123" max="5123" width="8.28515625" style="434" customWidth="1"/>
    <col min="5124" max="5124" width="2.5703125" style="434" customWidth="1"/>
    <col min="5125" max="5125" width="7.5703125" style="434" customWidth="1"/>
    <col min="5126" max="5126" width="7.7109375" style="434" customWidth="1"/>
    <col min="5127" max="5127" width="2.28515625" style="434" customWidth="1"/>
    <col min="5128" max="5128" width="8.28515625" style="434" customWidth="1"/>
    <col min="5129" max="5129" width="8.42578125" style="434" customWidth="1"/>
    <col min="5130" max="5130" width="2.5703125" style="434" customWidth="1"/>
    <col min="5131" max="5131" width="7.7109375" style="434" customWidth="1"/>
    <col min="5132" max="5132" width="7.85546875" style="434" customWidth="1"/>
    <col min="5133" max="5133" width="2.5703125" style="434" customWidth="1"/>
    <col min="5134" max="5135" width="7.85546875" style="434" customWidth="1"/>
    <col min="5136" max="5136" width="2.7109375" style="434" customWidth="1"/>
    <col min="5137" max="5138" width="7.7109375" style="434" customWidth="1"/>
    <col min="5139" max="5139" width="2.5703125" style="434" customWidth="1"/>
    <col min="5140" max="5376" width="9.140625" style="434"/>
    <col min="5377" max="5377" width="36" style="434" customWidth="1"/>
    <col min="5378" max="5378" width="8.42578125" style="434" customWidth="1"/>
    <col min="5379" max="5379" width="8.28515625" style="434" customWidth="1"/>
    <col min="5380" max="5380" width="2.5703125" style="434" customWidth="1"/>
    <col min="5381" max="5381" width="7.5703125" style="434" customWidth="1"/>
    <col min="5382" max="5382" width="7.7109375" style="434" customWidth="1"/>
    <col min="5383" max="5383" width="2.28515625" style="434" customWidth="1"/>
    <col min="5384" max="5384" width="8.28515625" style="434" customWidth="1"/>
    <col min="5385" max="5385" width="8.42578125" style="434" customWidth="1"/>
    <col min="5386" max="5386" width="2.5703125" style="434" customWidth="1"/>
    <col min="5387" max="5387" width="7.7109375" style="434" customWidth="1"/>
    <col min="5388" max="5388" width="7.85546875" style="434" customWidth="1"/>
    <col min="5389" max="5389" width="2.5703125" style="434" customWidth="1"/>
    <col min="5390" max="5391" width="7.85546875" style="434" customWidth="1"/>
    <col min="5392" max="5392" width="2.7109375" style="434" customWidth="1"/>
    <col min="5393" max="5394" width="7.7109375" style="434" customWidth="1"/>
    <col min="5395" max="5395" width="2.5703125" style="434" customWidth="1"/>
    <col min="5396" max="5632" width="9.140625" style="434"/>
    <col min="5633" max="5633" width="36" style="434" customWidth="1"/>
    <col min="5634" max="5634" width="8.42578125" style="434" customWidth="1"/>
    <col min="5635" max="5635" width="8.28515625" style="434" customWidth="1"/>
    <col min="5636" max="5636" width="2.5703125" style="434" customWidth="1"/>
    <col min="5637" max="5637" width="7.5703125" style="434" customWidth="1"/>
    <col min="5638" max="5638" width="7.7109375" style="434" customWidth="1"/>
    <col min="5639" max="5639" width="2.28515625" style="434" customWidth="1"/>
    <col min="5640" max="5640" width="8.28515625" style="434" customWidth="1"/>
    <col min="5641" max="5641" width="8.42578125" style="434" customWidth="1"/>
    <col min="5642" max="5642" width="2.5703125" style="434" customWidth="1"/>
    <col min="5643" max="5643" width="7.7109375" style="434" customWidth="1"/>
    <col min="5644" max="5644" width="7.85546875" style="434" customWidth="1"/>
    <col min="5645" max="5645" width="2.5703125" style="434" customWidth="1"/>
    <col min="5646" max="5647" width="7.85546875" style="434" customWidth="1"/>
    <col min="5648" max="5648" width="2.7109375" style="434" customWidth="1"/>
    <col min="5649" max="5650" width="7.7109375" style="434" customWidth="1"/>
    <col min="5651" max="5651" width="2.5703125" style="434" customWidth="1"/>
    <col min="5652" max="5888" width="9.140625" style="434"/>
    <col min="5889" max="5889" width="36" style="434" customWidth="1"/>
    <col min="5890" max="5890" width="8.42578125" style="434" customWidth="1"/>
    <col min="5891" max="5891" width="8.28515625" style="434" customWidth="1"/>
    <col min="5892" max="5892" width="2.5703125" style="434" customWidth="1"/>
    <col min="5893" max="5893" width="7.5703125" style="434" customWidth="1"/>
    <col min="5894" max="5894" width="7.7109375" style="434" customWidth="1"/>
    <col min="5895" max="5895" width="2.28515625" style="434" customWidth="1"/>
    <col min="5896" max="5896" width="8.28515625" style="434" customWidth="1"/>
    <col min="5897" max="5897" width="8.42578125" style="434" customWidth="1"/>
    <col min="5898" max="5898" width="2.5703125" style="434" customWidth="1"/>
    <col min="5899" max="5899" width="7.7109375" style="434" customWidth="1"/>
    <col min="5900" max="5900" width="7.85546875" style="434" customWidth="1"/>
    <col min="5901" max="5901" width="2.5703125" style="434" customWidth="1"/>
    <col min="5902" max="5903" width="7.85546875" style="434" customWidth="1"/>
    <col min="5904" max="5904" width="2.7109375" style="434" customWidth="1"/>
    <col min="5905" max="5906" width="7.7109375" style="434" customWidth="1"/>
    <col min="5907" max="5907" width="2.5703125" style="434" customWidth="1"/>
    <col min="5908" max="6144" width="9.140625" style="434"/>
    <col min="6145" max="6145" width="36" style="434" customWidth="1"/>
    <col min="6146" max="6146" width="8.42578125" style="434" customWidth="1"/>
    <col min="6147" max="6147" width="8.28515625" style="434" customWidth="1"/>
    <col min="6148" max="6148" width="2.5703125" style="434" customWidth="1"/>
    <col min="6149" max="6149" width="7.5703125" style="434" customWidth="1"/>
    <col min="6150" max="6150" width="7.7109375" style="434" customWidth="1"/>
    <col min="6151" max="6151" width="2.28515625" style="434" customWidth="1"/>
    <col min="6152" max="6152" width="8.28515625" style="434" customWidth="1"/>
    <col min="6153" max="6153" width="8.42578125" style="434" customWidth="1"/>
    <col min="6154" max="6154" width="2.5703125" style="434" customWidth="1"/>
    <col min="6155" max="6155" width="7.7109375" style="434" customWidth="1"/>
    <col min="6156" max="6156" width="7.85546875" style="434" customWidth="1"/>
    <col min="6157" max="6157" width="2.5703125" style="434" customWidth="1"/>
    <col min="6158" max="6159" width="7.85546875" style="434" customWidth="1"/>
    <col min="6160" max="6160" width="2.7109375" style="434" customWidth="1"/>
    <col min="6161" max="6162" width="7.7109375" style="434" customWidth="1"/>
    <col min="6163" max="6163" width="2.5703125" style="434" customWidth="1"/>
    <col min="6164" max="6400" width="9.140625" style="434"/>
    <col min="6401" max="6401" width="36" style="434" customWidth="1"/>
    <col min="6402" max="6402" width="8.42578125" style="434" customWidth="1"/>
    <col min="6403" max="6403" width="8.28515625" style="434" customWidth="1"/>
    <col min="6404" max="6404" width="2.5703125" style="434" customWidth="1"/>
    <col min="6405" max="6405" width="7.5703125" style="434" customWidth="1"/>
    <col min="6406" max="6406" width="7.7109375" style="434" customWidth="1"/>
    <col min="6407" max="6407" width="2.28515625" style="434" customWidth="1"/>
    <col min="6408" max="6408" width="8.28515625" style="434" customWidth="1"/>
    <col min="6409" max="6409" width="8.42578125" style="434" customWidth="1"/>
    <col min="6410" max="6410" width="2.5703125" style="434" customWidth="1"/>
    <col min="6411" max="6411" width="7.7109375" style="434" customWidth="1"/>
    <col min="6412" max="6412" width="7.85546875" style="434" customWidth="1"/>
    <col min="6413" max="6413" width="2.5703125" style="434" customWidth="1"/>
    <col min="6414" max="6415" width="7.85546875" style="434" customWidth="1"/>
    <col min="6416" max="6416" width="2.7109375" style="434" customWidth="1"/>
    <col min="6417" max="6418" width="7.7109375" style="434" customWidth="1"/>
    <col min="6419" max="6419" width="2.5703125" style="434" customWidth="1"/>
    <col min="6420" max="6656" width="9.140625" style="434"/>
    <col min="6657" max="6657" width="36" style="434" customWidth="1"/>
    <col min="6658" max="6658" width="8.42578125" style="434" customWidth="1"/>
    <col min="6659" max="6659" width="8.28515625" style="434" customWidth="1"/>
    <col min="6660" max="6660" width="2.5703125" style="434" customWidth="1"/>
    <col min="6661" max="6661" width="7.5703125" style="434" customWidth="1"/>
    <col min="6662" max="6662" width="7.7109375" style="434" customWidth="1"/>
    <col min="6663" max="6663" width="2.28515625" style="434" customWidth="1"/>
    <col min="6664" max="6664" width="8.28515625" style="434" customWidth="1"/>
    <col min="6665" max="6665" width="8.42578125" style="434" customWidth="1"/>
    <col min="6666" max="6666" width="2.5703125" style="434" customWidth="1"/>
    <col min="6667" max="6667" width="7.7109375" style="434" customWidth="1"/>
    <col min="6668" max="6668" width="7.85546875" style="434" customWidth="1"/>
    <col min="6669" max="6669" width="2.5703125" style="434" customWidth="1"/>
    <col min="6670" max="6671" width="7.85546875" style="434" customWidth="1"/>
    <col min="6672" max="6672" width="2.7109375" style="434" customWidth="1"/>
    <col min="6673" max="6674" width="7.7109375" style="434" customWidth="1"/>
    <col min="6675" max="6675" width="2.5703125" style="434" customWidth="1"/>
    <col min="6676" max="6912" width="9.140625" style="434"/>
    <col min="6913" max="6913" width="36" style="434" customWidth="1"/>
    <col min="6914" max="6914" width="8.42578125" style="434" customWidth="1"/>
    <col min="6915" max="6915" width="8.28515625" style="434" customWidth="1"/>
    <col min="6916" max="6916" width="2.5703125" style="434" customWidth="1"/>
    <col min="6917" max="6917" width="7.5703125" style="434" customWidth="1"/>
    <col min="6918" max="6918" width="7.7109375" style="434" customWidth="1"/>
    <col min="6919" max="6919" width="2.28515625" style="434" customWidth="1"/>
    <col min="6920" max="6920" width="8.28515625" style="434" customWidth="1"/>
    <col min="6921" max="6921" width="8.42578125" style="434" customWidth="1"/>
    <col min="6922" max="6922" width="2.5703125" style="434" customWidth="1"/>
    <col min="6923" max="6923" width="7.7109375" style="434" customWidth="1"/>
    <col min="6924" max="6924" width="7.85546875" style="434" customWidth="1"/>
    <col min="6925" max="6925" width="2.5703125" style="434" customWidth="1"/>
    <col min="6926" max="6927" width="7.85546875" style="434" customWidth="1"/>
    <col min="6928" max="6928" width="2.7109375" style="434" customWidth="1"/>
    <col min="6929" max="6930" width="7.7109375" style="434" customWidth="1"/>
    <col min="6931" max="6931" width="2.5703125" style="434" customWidth="1"/>
    <col min="6932" max="7168" width="9.140625" style="434"/>
    <col min="7169" max="7169" width="36" style="434" customWidth="1"/>
    <col min="7170" max="7170" width="8.42578125" style="434" customWidth="1"/>
    <col min="7171" max="7171" width="8.28515625" style="434" customWidth="1"/>
    <col min="7172" max="7172" width="2.5703125" style="434" customWidth="1"/>
    <col min="7173" max="7173" width="7.5703125" style="434" customWidth="1"/>
    <col min="7174" max="7174" width="7.7109375" style="434" customWidth="1"/>
    <col min="7175" max="7175" width="2.28515625" style="434" customWidth="1"/>
    <col min="7176" max="7176" width="8.28515625" style="434" customWidth="1"/>
    <col min="7177" max="7177" width="8.42578125" style="434" customWidth="1"/>
    <col min="7178" max="7178" width="2.5703125" style="434" customWidth="1"/>
    <col min="7179" max="7179" width="7.7109375" style="434" customWidth="1"/>
    <col min="7180" max="7180" width="7.85546875" style="434" customWidth="1"/>
    <col min="7181" max="7181" width="2.5703125" style="434" customWidth="1"/>
    <col min="7182" max="7183" width="7.85546875" style="434" customWidth="1"/>
    <col min="7184" max="7184" width="2.7109375" style="434" customWidth="1"/>
    <col min="7185" max="7186" width="7.7109375" style="434" customWidth="1"/>
    <col min="7187" max="7187" width="2.5703125" style="434" customWidth="1"/>
    <col min="7188" max="7424" width="9.140625" style="434"/>
    <col min="7425" max="7425" width="36" style="434" customWidth="1"/>
    <col min="7426" max="7426" width="8.42578125" style="434" customWidth="1"/>
    <col min="7427" max="7427" width="8.28515625" style="434" customWidth="1"/>
    <col min="7428" max="7428" width="2.5703125" style="434" customWidth="1"/>
    <col min="7429" max="7429" width="7.5703125" style="434" customWidth="1"/>
    <col min="7430" max="7430" width="7.7109375" style="434" customWidth="1"/>
    <col min="7431" max="7431" width="2.28515625" style="434" customWidth="1"/>
    <col min="7432" max="7432" width="8.28515625" style="434" customWidth="1"/>
    <col min="7433" max="7433" width="8.42578125" style="434" customWidth="1"/>
    <col min="7434" max="7434" width="2.5703125" style="434" customWidth="1"/>
    <col min="7435" max="7435" width="7.7109375" style="434" customWidth="1"/>
    <col min="7436" max="7436" width="7.85546875" style="434" customWidth="1"/>
    <col min="7437" max="7437" width="2.5703125" style="434" customWidth="1"/>
    <col min="7438" max="7439" width="7.85546875" style="434" customWidth="1"/>
    <col min="7440" max="7440" width="2.7109375" style="434" customWidth="1"/>
    <col min="7441" max="7442" width="7.7109375" style="434" customWidth="1"/>
    <col min="7443" max="7443" width="2.5703125" style="434" customWidth="1"/>
    <col min="7444" max="7680" width="9.140625" style="434"/>
    <col min="7681" max="7681" width="36" style="434" customWidth="1"/>
    <col min="7682" max="7682" width="8.42578125" style="434" customWidth="1"/>
    <col min="7683" max="7683" width="8.28515625" style="434" customWidth="1"/>
    <col min="7684" max="7684" width="2.5703125" style="434" customWidth="1"/>
    <col min="7685" max="7685" width="7.5703125" style="434" customWidth="1"/>
    <col min="7686" max="7686" width="7.7109375" style="434" customWidth="1"/>
    <col min="7687" max="7687" width="2.28515625" style="434" customWidth="1"/>
    <col min="7688" max="7688" width="8.28515625" style="434" customWidth="1"/>
    <col min="7689" max="7689" width="8.42578125" style="434" customWidth="1"/>
    <col min="7690" max="7690" width="2.5703125" style="434" customWidth="1"/>
    <col min="7691" max="7691" width="7.7109375" style="434" customWidth="1"/>
    <col min="7692" max="7692" width="7.85546875" style="434" customWidth="1"/>
    <col min="7693" max="7693" width="2.5703125" style="434" customWidth="1"/>
    <col min="7694" max="7695" width="7.85546875" style="434" customWidth="1"/>
    <col min="7696" max="7696" width="2.7109375" style="434" customWidth="1"/>
    <col min="7697" max="7698" width="7.7109375" style="434" customWidth="1"/>
    <col min="7699" max="7699" width="2.5703125" style="434" customWidth="1"/>
    <col min="7700" max="7936" width="9.140625" style="434"/>
    <col min="7937" max="7937" width="36" style="434" customWidth="1"/>
    <col min="7938" max="7938" width="8.42578125" style="434" customWidth="1"/>
    <col min="7939" max="7939" width="8.28515625" style="434" customWidth="1"/>
    <col min="7940" max="7940" width="2.5703125" style="434" customWidth="1"/>
    <col min="7941" max="7941" width="7.5703125" style="434" customWidth="1"/>
    <col min="7942" max="7942" width="7.7109375" style="434" customWidth="1"/>
    <col min="7943" max="7943" width="2.28515625" style="434" customWidth="1"/>
    <col min="7944" max="7944" width="8.28515625" style="434" customWidth="1"/>
    <col min="7945" max="7945" width="8.42578125" style="434" customWidth="1"/>
    <col min="7946" max="7946" width="2.5703125" style="434" customWidth="1"/>
    <col min="7947" max="7947" width="7.7109375" style="434" customWidth="1"/>
    <col min="7948" max="7948" width="7.85546875" style="434" customWidth="1"/>
    <col min="7949" max="7949" width="2.5703125" style="434" customWidth="1"/>
    <col min="7950" max="7951" width="7.85546875" style="434" customWidth="1"/>
    <col min="7952" max="7952" width="2.7109375" style="434" customWidth="1"/>
    <col min="7953" max="7954" width="7.7109375" style="434" customWidth="1"/>
    <col min="7955" max="7955" width="2.5703125" style="434" customWidth="1"/>
    <col min="7956" max="8192" width="9.140625" style="434"/>
    <col min="8193" max="8193" width="36" style="434" customWidth="1"/>
    <col min="8194" max="8194" width="8.42578125" style="434" customWidth="1"/>
    <col min="8195" max="8195" width="8.28515625" style="434" customWidth="1"/>
    <col min="8196" max="8196" width="2.5703125" style="434" customWidth="1"/>
    <col min="8197" max="8197" width="7.5703125" style="434" customWidth="1"/>
    <col min="8198" max="8198" width="7.7109375" style="434" customWidth="1"/>
    <col min="8199" max="8199" width="2.28515625" style="434" customWidth="1"/>
    <col min="8200" max="8200" width="8.28515625" style="434" customWidth="1"/>
    <col min="8201" max="8201" width="8.42578125" style="434" customWidth="1"/>
    <col min="8202" max="8202" width="2.5703125" style="434" customWidth="1"/>
    <col min="8203" max="8203" width="7.7109375" style="434" customWidth="1"/>
    <col min="8204" max="8204" width="7.85546875" style="434" customWidth="1"/>
    <col min="8205" max="8205" width="2.5703125" style="434" customWidth="1"/>
    <col min="8206" max="8207" width="7.85546875" style="434" customWidth="1"/>
    <col min="8208" max="8208" width="2.7109375" style="434" customWidth="1"/>
    <col min="8209" max="8210" width="7.7109375" style="434" customWidth="1"/>
    <col min="8211" max="8211" width="2.5703125" style="434" customWidth="1"/>
    <col min="8212" max="8448" width="9.140625" style="434"/>
    <col min="8449" max="8449" width="36" style="434" customWidth="1"/>
    <col min="8450" max="8450" width="8.42578125" style="434" customWidth="1"/>
    <col min="8451" max="8451" width="8.28515625" style="434" customWidth="1"/>
    <col min="8452" max="8452" width="2.5703125" style="434" customWidth="1"/>
    <col min="8453" max="8453" width="7.5703125" style="434" customWidth="1"/>
    <col min="8454" max="8454" width="7.7109375" style="434" customWidth="1"/>
    <col min="8455" max="8455" width="2.28515625" style="434" customWidth="1"/>
    <col min="8456" max="8456" width="8.28515625" style="434" customWidth="1"/>
    <col min="8457" max="8457" width="8.42578125" style="434" customWidth="1"/>
    <col min="8458" max="8458" width="2.5703125" style="434" customWidth="1"/>
    <col min="8459" max="8459" width="7.7109375" style="434" customWidth="1"/>
    <col min="8460" max="8460" width="7.85546875" style="434" customWidth="1"/>
    <col min="8461" max="8461" width="2.5703125" style="434" customWidth="1"/>
    <col min="8462" max="8463" width="7.85546875" style="434" customWidth="1"/>
    <col min="8464" max="8464" width="2.7109375" style="434" customWidth="1"/>
    <col min="8465" max="8466" width="7.7109375" style="434" customWidth="1"/>
    <col min="8467" max="8467" width="2.5703125" style="434" customWidth="1"/>
    <col min="8468" max="8704" width="9.140625" style="434"/>
    <col min="8705" max="8705" width="36" style="434" customWidth="1"/>
    <col min="8706" max="8706" width="8.42578125" style="434" customWidth="1"/>
    <col min="8707" max="8707" width="8.28515625" style="434" customWidth="1"/>
    <col min="8708" max="8708" width="2.5703125" style="434" customWidth="1"/>
    <col min="8709" max="8709" width="7.5703125" style="434" customWidth="1"/>
    <col min="8710" max="8710" width="7.7109375" style="434" customWidth="1"/>
    <col min="8711" max="8711" width="2.28515625" style="434" customWidth="1"/>
    <col min="8712" max="8712" width="8.28515625" style="434" customWidth="1"/>
    <col min="8713" max="8713" width="8.42578125" style="434" customWidth="1"/>
    <col min="8714" max="8714" width="2.5703125" style="434" customWidth="1"/>
    <col min="8715" max="8715" width="7.7109375" style="434" customWidth="1"/>
    <col min="8716" max="8716" width="7.85546875" style="434" customWidth="1"/>
    <col min="8717" max="8717" width="2.5703125" style="434" customWidth="1"/>
    <col min="8718" max="8719" width="7.85546875" style="434" customWidth="1"/>
    <col min="8720" max="8720" width="2.7109375" style="434" customWidth="1"/>
    <col min="8721" max="8722" width="7.7109375" style="434" customWidth="1"/>
    <col min="8723" max="8723" width="2.5703125" style="434" customWidth="1"/>
    <col min="8724" max="8960" width="9.140625" style="434"/>
    <col min="8961" max="8961" width="36" style="434" customWidth="1"/>
    <col min="8962" max="8962" width="8.42578125" style="434" customWidth="1"/>
    <col min="8963" max="8963" width="8.28515625" style="434" customWidth="1"/>
    <col min="8964" max="8964" width="2.5703125" style="434" customWidth="1"/>
    <col min="8965" max="8965" width="7.5703125" style="434" customWidth="1"/>
    <col min="8966" max="8966" width="7.7109375" style="434" customWidth="1"/>
    <col min="8967" max="8967" width="2.28515625" style="434" customWidth="1"/>
    <col min="8968" max="8968" width="8.28515625" style="434" customWidth="1"/>
    <col min="8969" max="8969" width="8.42578125" style="434" customWidth="1"/>
    <col min="8970" max="8970" width="2.5703125" style="434" customWidth="1"/>
    <col min="8971" max="8971" width="7.7109375" style="434" customWidth="1"/>
    <col min="8972" max="8972" width="7.85546875" style="434" customWidth="1"/>
    <col min="8973" max="8973" width="2.5703125" style="434" customWidth="1"/>
    <col min="8974" max="8975" width="7.85546875" style="434" customWidth="1"/>
    <col min="8976" max="8976" width="2.7109375" style="434" customWidth="1"/>
    <col min="8977" max="8978" width="7.7109375" style="434" customWidth="1"/>
    <col min="8979" max="8979" width="2.5703125" style="434" customWidth="1"/>
    <col min="8980" max="9216" width="9.140625" style="434"/>
    <col min="9217" max="9217" width="36" style="434" customWidth="1"/>
    <col min="9218" max="9218" width="8.42578125" style="434" customWidth="1"/>
    <col min="9219" max="9219" width="8.28515625" style="434" customWidth="1"/>
    <col min="9220" max="9220" width="2.5703125" style="434" customWidth="1"/>
    <col min="9221" max="9221" width="7.5703125" style="434" customWidth="1"/>
    <col min="9222" max="9222" width="7.7109375" style="434" customWidth="1"/>
    <col min="9223" max="9223" width="2.28515625" style="434" customWidth="1"/>
    <col min="9224" max="9224" width="8.28515625" style="434" customWidth="1"/>
    <col min="9225" max="9225" width="8.42578125" style="434" customWidth="1"/>
    <col min="9226" max="9226" width="2.5703125" style="434" customWidth="1"/>
    <col min="9227" max="9227" width="7.7109375" style="434" customWidth="1"/>
    <col min="9228" max="9228" width="7.85546875" style="434" customWidth="1"/>
    <col min="9229" max="9229" width="2.5703125" style="434" customWidth="1"/>
    <col min="9230" max="9231" width="7.85546875" style="434" customWidth="1"/>
    <col min="9232" max="9232" width="2.7109375" style="434" customWidth="1"/>
    <col min="9233" max="9234" width="7.7109375" style="434" customWidth="1"/>
    <col min="9235" max="9235" width="2.5703125" style="434" customWidth="1"/>
    <col min="9236" max="9472" width="9.140625" style="434"/>
    <col min="9473" max="9473" width="36" style="434" customWidth="1"/>
    <col min="9474" max="9474" width="8.42578125" style="434" customWidth="1"/>
    <col min="9475" max="9475" width="8.28515625" style="434" customWidth="1"/>
    <col min="9476" max="9476" width="2.5703125" style="434" customWidth="1"/>
    <col min="9477" max="9477" width="7.5703125" style="434" customWidth="1"/>
    <col min="9478" max="9478" width="7.7109375" style="434" customWidth="1"/>
    <col min="9479" max="9479" width="2.28515625" style="434" customWidth="1"/>
    <col min="9480" max="9480" width="8.28515625" style="434" customWidth="1"/>
    <col min="9481" max="9481" width="8.42578125" style="434" customWidth="1"/>
    <col min="9482" max="9482" width="2.5703125" style="434" customWidth="1"/>
    <col min="9483" max="9483" width="7.7109375" style="434" customWidth="1"/>
    <col min="9484" max="9484" width="7.85546875" style="434" customWidth="1"/>
    <col min="9485" max="9485" width="2.5703125" style="434" customWidth="1"/>
    <col min="9486" max="9487" width="7.85546875" style="434" customWidth="1"/>
    <col min="9488" max="9488" width="2.7109375" style="434" customWidth="1"/>
    <col min="9489" max="9490" width="7.7109375" style="434" customWidth="1"/>
    <col min="9491" max="9491" width="2.5703125" style="434" customWidth="1"/>
    <col min="9492" max="9728" width="9.140625" style="434"/>
    <col min="9729" max="9729" width="36" style="434" customWidth="1"/>
    <col min="9730" max="9730" width="8.42578125" style="434" customWidth="1"/>
    <col min="9731" max="9731" width="8.28515625" style="434" customWidth="1"/>
    <col min="9732" max="9732" width="2.5703125" style="434" customWidth="1"/>
    <col min="9733" max="9733" width="7.5703125" style="434" customWidth="1"/>
    <col min="9734" max="9734" width="7.7109375" style="434" customWidth="1"/>
    <col min="9735" max="9735" width="2.28515625" style="434" customWidth="1"/>
    <col min="9736" max="9736" width="8.28515625" style="434" customWidth="1"/>
    <col min="9737" max="9737" width="8.42578125" style="434" customWidth="1"/>
    <col min="9738" max="9738" width="2.5703125" style="434" customWidth="1"/>
    <col min="9739" max="9739" width="7.7109375" style="434" customWidth="1"/>
    <col min="9740" max="9740" width="7.85546875" style="434" customWidth="1"/>
    <col min="9741" max="9741" width="2.5703125" style="434" customWidth="1"/>
    <col min="9742" max="9743" width="7.85546875" style="434" customWidth="1"/>
    <col min="9744" max="9744" width="2.7109375" style="434" customWidth="1"/>
    <col min="9745" max="9746" width="7.7109375" style="434" customWidth="1"/>
    <col min="9747" max="9747" width="2.5703125" style="434" customWidth="1"/>
    <col min="9748" max="9984" width="9.140625" style="434"/>
    <col min="9985" max="9985" width="36" style="434" customWidth="1"/>
    <col min="9986" max="9986" width="8.42578125" style="434" customWidth="1"/>
    <col min="9987" max="9987" width="8.28515625" style="434" customWidth="1"/>
    <col min="9988" max="9988" width="2.5703125" style="434" customWidth="1"/>
    <col min="9989" max="9989" width="7.5703125" style="434" customWidth="1"/>
    <col min="9990" max="9990" width="7.7109375" style="434" customWidth="1"/>
    <col min="9991" max="9991" width="2.28515625" style="434" customWidth="1"/>
    <col min="9992" max="9992" width="8.28515625" style="434" customWidth="1"/>
    <col min="9993" max="9993" width="8.42578125" style="434" customWidth="1"/>
    <col min="9994" max="9994" width="2.5703125" style="434" customWidth="1"/>
    <col min="9995" max="9995" width="7.7109375" style="434" customWidth="1"/>
    <col min="9996" max="9996" width="7.85546875" style="434" customWidth="1"/>
    <col min="9997" max="9997" width="2.5703125" style="434" customWidth="1"/>
    <col min="9998" max="9999" width="7.85546875" style="434" customWidth="1"/>
    <col min="10000" max="10000" width="2.7109375" style="434" customWidth="1"/>
    <col min="10001" max="10002" width="7.7109375" style="434" customWidth="1"/>
    <col min="10003" max="10003" width="2.5703125" style="434" customWidth="1"/>
    <col min="10004" max="10240" width="9.140625" style="434"/>
    <col min="10241" max="10241" width="36" style="434" customWidth="1"/>
    <col min="10242" max="10242" width="8.42578125" style="434" customWidth="1"/>
    <col min="10243" max="10243" width="8.28515625" style="434" customWidth="1"/>
    <col min="10244" max="10244" width="2.5703125" style="434" customWidth="1"/>
    <col min="10245" max="10245" width="7.5703125" style="434" customWidth="1"/>
    <col min="10246" max="10246" width="7.7109375" style="434" customWidth="1"/>
    <col min="10247" max="10247" width="2.28515625" style="434" customWidth="1"/>
    <col min="10248" max="10248" width="8.28515625" style="434" customWidth="1"/>
    <col min="10249" max="10249" width="8.42578125" style="434" customWidth="1"/>
    <col min="10250" max="10250" width="2.5703125" style="434" customWidth="1"/>
    <col min="10251" max="10251" width="7.7109375" style="434" customWidth="1"/>
    <col min="10252" max="10252" width="7.85546875" style="434" customWidth="1"/>
    <col min="10253" max="10253" width="2.5703125" style="434" customWidth="1"/>
    <col min="10254" max="10255" width="7.85546875" style="434" customWidth="1"/>
    <col min="10256" max="10256" width="2.7109375" style="434" customWidth="1"/>
    <col min="10257" max="10258" width="7.7109375" style="434" customWidth="1"/>
    <col min="10259" max="10259" width="2.5703125" style="434" customWidth="1"/>
    <col min="10260" max="10496" width="9.140625" style="434"/>
    <col min="10497" max="10497" width="36" style="434" customWidth="1"/>
    <col min="10498" max="10498" width="8.42578125" style="434" customWidth="1"/>
    <col min="10499" max="10499" width="8.28515625" style="434" customWidth="1"/>
    <col min="10500" max="10500" width="2.5703125" style="434" customWidth="1"/>
    <col min="10501" max="10501" width="7.5703125" style="434" customWidth="1"/>
    <col min="10502" max="10502" width="7.7109375" style="434" customWidth="1"/>
    <col min="10503" max="10503" width="2.28515625" style="434" customWidth="1"/>
    <col min="10504" max="10504" width="8.28515625" style="434" customWidth="1"/>
    <col min="10505" max="10505" width="8.42578125" style="434" customWidth="1"/>
    <col min="10506" max="10506" width="2.5703125" style="434" customWidth="1"/>
    <col min="10507" max="10507" width="7.7109375" style="434" customWidth="1"/>
    <col min="10508" max="10508" width="7.85546875" style="434" customWidth="1"/>
    <col min="10509" max="10509" width="2.5703125" style="434" customWidth="1"/>
    <col min="10510" max="10511" width="7.85546875" style="434" customWidth="1"/>
    <col min="10512" max="10512" width="2.7109375" style="434" customWidth="1"/>
    <col min="10513" max="10514" width="7.7109375" style="434" customWidth="1"/>
    <col min="10515" max="10515" width="2.5703125" style="434" customWidth="1"/>
    <col min="10516" max="10752" width="9.140625" style="434"/>
    <col min="10753" max="10753" width="36" style="434" customWidth="1"/>
    <col min="10754" max="10754" width="8.42578125" style="434" customWidth="1"/>
    <col min="10755" max="10755" width="8.28515625" style="434" customWidth="1"/>
    <col min="10756" max="10756" width="2.5703125" style="434" customWidth="1"/>
    <col min="10757" max="10757" width="7.5703125" style="434" customWidth="1"/>
    <col min="10758" max="10758" width="7.7109375" style="434" customWidth="1"/>
    <col min="10759" max="10759" width="2.28515625" style="434" customWidth="1"/>
    <col min="10760" max="10760" width="8.28515625" style="434" customWidth="1"/>
    <col min="10761" max="10761" width="8.42578125" style="434" customWidth="1"/>
    <col min="10762" max="10762" width="2.5703125" style="434" customWidth="1"/>
    <col min="10763" max="10763" width="7.7109375" style="434" customWidth="1"/>
    <col min="10764" max="10764" width="7.85546875" style="434" customWidth="1"/>
    <col min="10765" max="10765" width="2.5703125" style="434" customWidth="1"/>
    <col min="10766" max="10767" width="7.85546875" style="434" customWidth="1"/>
    <col min="10768" max="10768" width="2.7109375" style="434" customWidth="1"/>
    <col min="10769" max="10770" width="7.7109375" style="434" customWidth="1"/>
    <col min="10771" max="10771" width="2.5703125" style="434" customWidth="1"/>
    <col min="10772" max="11008" width="9.140625" style="434"/>
    <col min="11009" max="11009" width="36" style="434" customWidth="1"/>
    <col min="11010" max="11010" width="8.42578125" style="434" customWidth="1"/>
    <col min="11011" max="11011" width="8.28515625" style="434" customWidth="1"/>
    <col min="11012" max="11012" width="2.5703125" style="434" customWidth="1"/>
    <col min="11013" max="11013" width="7.5703125" style="434" customWidth="1"/>
    <col min="11014" max="11014" width="7.7109375" style="434" customWidth="1"/>
    <col min="11015" max="11015" width="2.28515625" style="434" customWidth="1"/>
    <col min="11016" max="11016" width="8.28515625" style="434" customWidth="1"/>
    <col min="11017" max="11017" width="8.42578125" style="434" customWidth="1"/>
    <col min="11018" max="11018" width="2.5703125" style="434" customWidth="1"/>
    <col min="11019" max="11019" width="7.7109375" style="434" customWidth="1"/>
    <col min="11020" max="11020" width="7.85546875" style="434" customWidth="1"/>
    <col min="11021" max="11021" width="2.5703125" style="434" customWidth="1"/>
    <col min="11022" max="11023" width="7.85546875" style="434" customWidth="1"/>
    <col min="11024" max="11024" width="2.7109375" style="434" customWidth="1"/>
    <col min="11025" max="11026" width="7.7109375" style="434" customWidth="1"/>
    <col min="11027" max="11027" width="2.5703125" style="434" customWidth="1"/>
    <col min="11028" max="11264" width="9.140625" style="434"/>
    <col min="11265" max="11265" width="36" style="434" customWidth="1"/>
    <col min="11266" max="11266" width="8.42578125" style="434" customWidth="1"/>
    <col min="11267" max="11267" width="8.28515625" style="434" customWidth="1"/>
    <col min="11268" max="11268" width="2.5703125" style="434" customWidth="1"/>
    <col min="11269" max="11269" width="7.5703125" style="434" customWidth="1"/>
    <col min="11270" max="11270" width="7.7109375" style="434" customWidth="1"/>
    <col min="11271" max="11271" width="2.28515625" style="434" customWidth="1"/>
    <col min="11272" max="11272" width="8.28515625" style="434" customWidth="1"/>
    <col min="11273" max="11273" width="8.42578125" style="434" customWidth="1"/>
    <col min="11274" max="11274" width="2.5703125" style="434" customWidth="1"/>
    <col min="11275" max="11275" width="7.7109375" style="434" customWidth="1"/>
    <col min="11276" max="11276" width="7.85546875" style="434" customWidth="1"/>
    <col min="11277" max="11277" width="2.5703125" style="434" customWidth="1"/>
    <col min="11278" max="11279" width="7.85546875" style="434" customWidth="1"/>
    <col min="11280" max="11280" width="2.7109375" style="434" customWidth="1"/>
    <col min="11281" max="11282" width="7.7109375" style="434" customWidth="1"/>
    <col min="11283" max="11283" width="2.5703125" style="434" customWidth="1"/>
    <col min="11284" max="11520" width="9.140625" style="434"/>
    <col min="11521" max="11521" width="36" style="434" customWidth="1"/>
    <col min="11522" max="11522" width="8.42578125" style="434" customWidth="1"/>
    <col min="11523" max="11523" width="8.28515625" style="434" customWidth="1"/>
    <col min="11524" max="11524" width="2.5703125" style="434" customWidth="1"/>
    <col min="11525" max="11525" width="7.5703125" style="434" customWidth="1"/>
    <col min="11526" max="11526" width="7.7109375" style="434" customWidth="1"/>
    <col min="11527" max="11527" width="2.28515625" style="434" customWidth="1"/>
    <col min="11528" max="11528" width="8.28515625" style="434" customWidth="1"/>
    <col min="11529" max="11529" width="8.42578125" style="434" customWidth="1"/>
    <col min="11530" max="11530" width="2.5703125" style="434" customWidth="1"/>
    <col min="11531" max="11531" width="7.7109375" style="434" customWidth="1"/>
    <col min="11532" max="11532" width="7.85546875" style="434" customWidth="1"/>
    <col min="11533" max="11533" width="2.5703125" style="434" customWidth="1"/>
    <col min="11534" max="11535" width="7.85546875" style="434" customWidth="1"/>
    <col min="11536" max="11536" width="2.7109375" style="434" customWidth="1"/>
    <col min="11537" max="11538" width="7.7109375" style="434" customWidth="1"/>
    <col min="11539" max="11539" width="2.5703125" style="434" customWidth="1"/>
    <col min="11540" max="11776" width="9.140625" style="434"/>
    <col min="11777" max="11777" width="36" style="434" customWidth="1"/>
    <col min="11778" max="11778" width="8.42578125" style="434" customWidth="1"/>
    <col min="11779" max="11779" width="8.28515625" style="434" customWidth="1"/>
    <col min="11780" max="11780" width="2.5703125" style="434" customWidth="1"/>
    <col min="11781" max="11781" width="7.5703125" style="434" customWidth="1"/>
    <col min="11782" max="11782" width="7.7109375" style="434" customWidth="1"/>
    <col min="11783" max="11783" width="2.28515625" style="434" customWidth="1"/>
    <col min="11784" max="11784" width="8.28515625" style="434" customWidth="1"/>
    <col min="11785" max="11785" width="8.42578125" style="434" customWidth="1"/>
    <col min="11786" max="11786" width="2.5703125" style="434" customWidth="1"/>
    <col min="11787" max="11787" width="7.7109375" style="434" customWidth="1"/>
    <col min="11788" max="11788" width="7.85546875" style="434" customWidth="1"/>
    <col min="11789" max="11789" width="2.5703125" style="434" customWidth="1"/>
    <col min="11790" max="11791" width="7.85546875" style="434" customWidth="1"/>
    <col min="11792" max="11792" width="2.7109375" style="434" customWidth="1"/>
    <col min="11793" max="11794" width="7.7109375" style="434" customWidth="1"/>
    <col min="11795" max="11795" width="2.5703125" style="434" customWidth="1"/>
    <col min="11796" max="12032" width="9.140625" style="434"/>
    <col min="12033" max="12033" width="36" style="434" customWidth="1"/>
    <col min="12034" max="12034" width="8.42578125" style="434" customWidth="1"/>
    <col min="12035" max="12035" width="8.28515625" style="434" customWidth="1"/>
    <col min="12036" max="12036" width="2.5703125" style="434" customWidth="1"/>
    <col min="12037" max="12037" width="7.5703125" style="434" customWidth="1"/>
    <col min="12038" max="12038" width="7.7109375" style="434" customWidth="1"/>
    <col min="12039" max="12039" width="2.28515625" style="434" customWidth="1"/>
    <col min="12040" max="12040" width="8.28515625" style="434" customWidth="1"/>
    <col min="12041" max="12041" width="8.42578125" style="434" customWidth="1"/>
    <col min="12042" max="12042" width="2.5703125" style="434" customWidth="1"/>
    <col min="12043" max="12043" width="7.7109375" style="434" customWidth="1"/>
    <col min="12044" max="12044" width="7.85546875" style="434" customWidth="1"/>
    <col min="12045" max="12045" width="2.5703125" style="434" customWidth="1"/>
    <col min="12046" max="12047" width="7.85546875" style="434" customWidth="1"/>
    <col min="12048" max="12048" width="2.7109375" style="434" customWidth="1"/>
    <col min="12049" max="12050" width="7.7109375" style="434" customWidth="1"/>
    <col min="12051" max="12051" width="2.5703125" style="434" customWidth="1"/>
    <col min="12052" max="12288" width="9.140625" style="434"/>
    <col min="12289" max="12289" width="36" style="434" customWidth="1"/>
    <col min="12290" max="12290" width="8.42578125" style="434" customWidth="1"/>
    <col min="12291" max="12291" width="8.28515625" style="434" customWidth="1"/>
    <col min="12292" max="12292" width="2.5703125" style="434" customWidth="1"/>
    <col min="12293" max="12293" width="7.5703125" style="434" customWidth="1"/>
    <col min="12294" max="12294" width="7.7109375" style="434" customWidth="1"/>
    <col min="12295" max="12295" width="2.28515625" style="434" customWidth="1"/>
    <col min="12296" max="12296" width="8.28515625" style="434" customWidth="1"/>
    <col min="12297" max="12297" width="8.42578125" style="434" customWidth="1"/>
    <col min="12298" max="12298" width="2.5703125" style="434" customWidth="1"/>
    <col min="12299" max="12299" width="7.7109375" style="434" customWidth="1"/>
    <col min="12300" max="12300" width="7.85546875" style="434" customWidth="1"/>
    <col min="12301" max="12301" width="2.5703125" style="434" customWidth="1"/>
    <col min="12302" max="12303" width="7.85546875" style="434" customWidth="1"/>
    <col min="12304" max="12304" width="2.7109375" style="434" customWidth="1"/>
    <col min="12305" max="12306" width="7.7109375" style="434" customWidth="1"/>
    <col min="12307" max="12307" width="2.5703125" style="434" customWidth="1"/>
    <col min="12308" max="12544" width="9.140625" style="434"/>
    <col min="12545" max="12545" width="36" style="434" customWidth="1"/>
    <col min="12546" max="12546" width="8.42578125" style="434" customWidth="1"/>
    <col min="12547" max="12547" width="8.28515625" style="434" customWidth="1"/>
    <col min="12548" max="12548" width="2.5703125" style="434" customWidth="1"/>
    <col min="12549" max="12549" width="7.5703125" style="434" customWidth="1"/>
    <col min="12550" max="12550" width="7.7109375" style="434" customWidth="1"/>
    <col min="12551" max="12551" width="2.28515625" style="434" customWidth="1"/>
    <col min="12552" max="12552" width="8.28515625" style="434" customWidth="1"/>
    <col min="12553" max="12553" width="8.42578125" style="434" customWidth="1"/>
    <col min="12554" max="12554" width="2.5703125" style="434" customWidth="1"/>
    <col min="12555" max="12555" width="7.7109375" style="434" customWidth="1"/>
    <col min="12556" max="12556" width="7.85546875" style="434" customWidth="1"/>
    <col min="12557" max="12557" width="2.5703125" style="434" customWidth="1"/>
    <col min="12558" max="12559" width="7.85546875" style="434" customWidth="1"/>
    <col min="12560" max="12560" width="2.7109375" style="434" customWidth="1"/>
    <col min="12561" max="12562" width="7.7109375" style="434" customWidth="1"/>
    <col min="12563" max="12563" width="2.5703125" style="434" customWidth="1"/>
    <col min="12564" max="12800" width="9.140625" style="434"/>
    <col min="12801" max="12801" width="36" style="434" customWidth="1"/>
    <col min="12802" max="12802" width="8.42578125" style="434" customWidth="1"/>
    <col min="12803" max="12803" width="8.28515625" style="434" customWidth="1"/>
    <col min="12804" max="12804" width="2.5703125" style="434" customWidth="1"/>
    <col min="12805" max="12805" width="7.5703125" style="434" customWidth="1"/>
    <col min="12806" max="12806" width="7.7109375" style="434" customWidth="1"/>
    <col min="12807" max="12807" width="2.28515625" style="434" customWidth="1"/>
    <col min="12808" max="12808" width="8.28515625" style="434" customWidth="1"/>
    <col min="12809" max="12809" width="8.42578125" style="434" customWidth="1"/>
    <col min="12810" max="12810" width="2.5703125" style="434" customWidth="1"/>
    <col min="12811" max="12811" width="7.7109375" style="434" customWidth="1"/>
    <col min="12812" max="12812" width="7.85546875" style="434" customWidth="1"/>
    <col min="12813" max="12813" width="2.5703125" style="434" customWidth="1"/>
    <col min="12814" max="12815" width="7.85546875" style="434" customWidth="1"/>
    <col min="12816" max="12816" width="2.7109375" style="434" customWidth="1"/>
    <col min="12817" max="12818" width="7.7109375" style="434" customWidth="1"/>
    <col min="12819" max="12819" width="2.5703125" style="434" customWidth="1"/>
    <col min="12820" max="13056" width="9.140625" style="434"/>
    <col min="13057" max="13057" width="36" style="434" customWidth="1"/>
    <col min="13058" max="13058" width="8.42578125" style="434" customWidth="1"/>
    <col min="13059" max="13059" width="8.28515625" style="434" customWidth="1"/>
    <col min="13060" max="13060" width="2.5703125" style="434" customWidth="1"/>
    <col min="13061" max="13061" width="7.5703125" style="434" customWidth="1"/>
    <col min="13062" max="13062" width="7.7109375" style="434" customWidth="1"/>
    <col min="13063" max="13063" width="2.28515625" style="434" customWidth="1"/>
    <col min="13064" max="13064" width="8.28515625" style="434" customWidth="1"/>
    <col min="13065" max="13065" width="8.42578125" style="434" customWidth="1"/>
    <col min="13066" max="13066" width="2.5703125" style="434" customWidth="1"/>
    <col min="13067" max="13067" width="7.7109375" style="434" customWidth="1"/>
    <col min="13068" max="13068" width="7.85546875" style="434" customWidth="1"/>
    <col min="13069" max="13069" width="2.5703125" style="434" customWidth="1"/>
    <col min="13070" max="13071" width="7.85546875" style="434" customWidth="1"/>
    <col min="13072" max="13072" width="2.7109375" style="434" customWidth="1"/>
    <col min="13073" max="13074" width="7.7109375" style="434" customWidth="1"/>
    <col min="13075" max="13075" width="2.5703125" style="434" customWidth="1"/>
    <col min="13076" max="13312" width="9.140625" style="434"/>
    <col min="13313" max="13313" width="36" style="434" customWidth="1"/>
    <col min="13314" max="13314" width="8.42578125" style="434" customWidth="1"/>
    <col min="13315" max="13315" width="8.28515625" style="434" customWidth="1"/>
    <col min="13316" max="13316" width="2.5703125" style="434" customWidth="1"/>
    <col min="13317" max="13317" width="7.5703125" style="434" customWidth="1"/>
    <col min="13318" max="13318" width="7.7109375" style="434" customWidth="1"/>
    <col min="13319" max="13319" width="2.28515625" style="434" customWidth="1"/>
    <col min="13320" max="13320" width="8.28515625" style="434" customWidth="1"/>
    <col min="13321" max="13321" width="8.42578125" style="434" customWidth="1"/>
    <col min="13322" max="13322" width="2.5703125" style="434" customWidth="1"/>
    <col min="13323" max="13323" width="7.7109375" style="434" customWidth="1"/>
    <col min="13324" max="13324" width="7.85546875" style="434" customWidth="1"/>
    <col min="13325" max="13325" width="2.5703125" style="434" customWidth="1"/>
    <col min="13326" max="13327" width="7.85546875" style="434" customWidth="1"/>
    <col min="13328" max="13328" width="2.7109375" style="434" customWidth="1"/>
    <col min="13329" max="13330" width="7.7109375" style="434" customWidth="1"/>
    <col min="13331" max="13331" width="2.5703125" style="434" customWidth="1"/>
    <col min="13332" max="13568" width="9.140625" style="434"/>
    <col min="13569" max="13569" width="36" style="434" customWidth="1"/>
    <col min="13570" max="13570" width="8.42578125" style="434" customWidth="1"/>
    <col min="13571" max="13571" width="8.28515625" style="434" customWidth="1"/>
    <col min="13572" max="13572" width="2.5703125" style="434" customWidth="1"/>
    <col min="13573" max="13573" width="7.5703125" style="434" customWidth="1"/>
    <col min="13574" max="13574" width="7.7109375" style="434" customWidth="1"/>
    <col min="13575" max="13575" width="2.28515625" style="434" customWidth="1"/>
    <col min="13576" max="13576" width="8.28515625" style="434" customWidth="1"/>
    <col min="13577" max="13577" width="8.42578125" style="434" customWidth="1"/>
    <col min="13578" max="13578" width="2.5703125" style="434" customWidth="1"/>
    <col min="13579" max="13579" width="7.7109375" style="434" customWidth="1"/>
    <col min="13580" max="13580" width="7.85546875" style="434" customWidth="1"/>
    <col min="13581" max="13581" width="2.5703125" style="434" customWidth="1"/>
    <col min="13582" max="13583" width="7.85546875" style="434" customWidth="1"/>
    <col min="13584" max="13584" width="2.7109375" style="434" customWidth="1"/>
    <col min="13585" max="13586" width="7.7109375" style="434" customWidth="1"/>
    <col min="13587" max="13587" width="2.5703125" style="434" customWidth="1"/>
    <col min="13588" max="13824" width="9.140625" style="434"/>
    <col min="13825" max="13825" width="36" style="434" customWidth="1"/>
    <col min="13826" max="13826" width="8.42578125" style="434" customWidth="1"/>
    <col min="13827" max="13827" width="8.28515625" style="434" customWidth="1"/>
    <col min="13828" max="13828" width="2.5703125" style="434" customWidth="1"/>
    <col min="13829" max="13829" width="7.5703125" style="434" customWidth="1"/>
    <col min="13830" max="13830" width="7.7109375" style="434" customWidth="1"/>
    <col min="13831" max="13831" width="2.28515625" style="434" customWidth="1"/>
    <col min="13832" max="13832" width="8.28515625" style="434" customWidth="1"/>
    <col min="13833" max="13833" width="8.42578125" style="434" customWidth="1"/>
    <col min="13834" max="13834" width="2.5703125" style="434" customWidth="1"/>
    <col min="13835" max="13835" width="7.7109375" style="434" customWidth="1"/>
    <col min="13836" max="13836" width="7.85546875" style="434" customWidth="1"/>
    <col min="13837" max="13837" width="2.5703125" style="434" customWidth="1"/>
    <col min="13838" max="13839" width="7.85546875" style="434" customWidth="1"/>
    <col min="13840" max="13840" width="2.7109375" style="434" customWidth="1"/>
    <col min="13841" max="13842" width="7.7109375" style="434" customWidth="1"/>
    <col min="13843" max="13843" width="2.5703125" style="434" customWidth="1"/>
    <col min="13844" max="14080" width="9.140625" style="434"/>
    <col min="14081" max="14081" width="36" style="434" customWidth="1"/>
    <col min="14082" max="14082" width="8.42578125" style="434" customWidth="1"/>
    <col min="14083" max="14083" width="8.28515625" style="434" customWidth="1"/>
    <col min="14084" max="14084" width="2.5703125" style="434" customWidth="1"/>
    <col min="14085" max="14085" width="7.5703125" style="434" customWidth="1"/>
    <col min="14086" max="14086" width="7.7109375" style="434" customWidth="1"/>
    <col min="14087" max="14087" width="2.28515625" style="434" customWidth="1"/>
    <col min="14088" max="14088" width="8.28515625" style="434" customWidth="1"/>
    <col min="14089" max="14089" width="8.42578125" style="434" customWidth="1"/>
    <col min="14090" max="14090" width="2.5703125" style="434" customWidth="1"/>
    <col min="14091" max="14091" width="7.7109375" style="434" customWidth="1"/>
    <col min="14092" max="14092" width="7.85546875" style="434" customWidth="1"/>
    <col min="14093" max="14093" width="2.5703125" style="434" customWidth="1"/>
    <col min="14094" max="14095" width="7.85546875" style="434" customWidth="1"/>
    <col min="14096" max="14096" width="2.7109375" style="434" customWidth="1"/>
    <col min="14097" max="14098" width="7.7109375" style="434" customWidth="1"/>
    <col min="14099" max="14099" width="2.5703125" style="434" customWidth="1"/>
    <col min="14100" max="14336" width="9.140625" style="434"/>
    <col min="14337" max="14337" width="36" style="434" customWidth="1"/>
    <col min="14338" max="14338" width="8.42578125" style="434" customWidth="1"/>
    <col min="14339" max="14339" width="8.28515625" style="434" customWidth="1"/>
    <col min="14340" max="14340" width="2.5703125" style="434" customWidth="1"/>
    <col min="14341" max="14341" width="7.5703125" style="434" customWidth="1"/>
    <col min="14342" max="14342" width="7.7109375" style="434" customWidth="1"/>
    <col min="14343" max="14343" width="2.28515625" style="434" customWidth="1"/>
    <col min="14344" max="14344" width="8.28515625" style="434" customWidth="1"/>
    <col min="14345" max="14345" width="8.42578125" style="434" customWidth="1"/>
    <col min="14346" max="14346" width="2.5703125" style="434" customWidth="1"/>
    <col min="14347" max="14347" width="7.7109375" style="434" customWidth="1"/>
    <col min="14348" max="14348" width="7.85546875" style="434" customWidth="1"/>
    <col min="14349" max="14349" width="2.5703125" style="434" customWidth="1"/>
    <col min="14350" max="14351" width="7.85546875" style="434" customWidth="1"/>
    <col min="14352" max="14352" width="2.7109375" style="434" customWidth="1"/>
    <col min="14353" max="14354" width="7.7109375" style="434" customWidth="1"/>
    <col min="14355" max="14355" width="2.5703125" style="434" customWidth="1"/>
    <col min="14356" max="14592" width="9.140625" style="434"/>
    <col min="14593" max="14593" width="36" style="434" customWidth="1"/>
    <col min="14594" max="14594" width="8.42578125" style="434" customWidth="1"/>
    <col min="14595" max="14595" width="8.28515625" style="434" customWidth="1"/>
    <col min="14596" max="14596" width="2.5703125" style="434" customWidth="1"/>
    <col min="14597" max="14597" width="7.5703125" style="434" customWidth="1"/>
    <col min="14598" max="14598" width="7.7109375" style="434" customWidth="1"/>
    <col min="14599" max="14599" width="2.28515625" style="434" customWidth="1"/>
    <col min="14600" max="14600" width="8.28515625" style="434" customWidth="1"/>
    <col min="14601" max="14601" width="8.42578125" style="434" customWidth="1"/>
    <col min="14602" max="14602" width="2.5703125" style="434" customWidth="1"/>
    <col min="14603" max="14603" width="7.7109375" style="434" customWidth="1"/>
    <col min="14604" max="14604" width="7.85546875" style="434" customWidth="1"/>
    <col min="14605" max="14605" width="2.5703125" style="434" customWidth="1"/>
    <col min="14606" max="14607" width="7.85546875" style="434" customWidth="1"/>
    <col min="14608" max="14608" width="2.7109375" style="434" customWidth="1"/>
    <col min="14609" max="14610" width="7.7109375" style="434" customWidth="1"/>
    <col min="14611" max="14611" width="2.5703125" style="434" customWidth="1"/>
    <col min="14612" max="14848" width="9.140625" style="434"/>
    <col min="14849" max="14849" width="36" style="434" customWidth="1"/>
    <col min="14850" max="14850" width="8.42578125" style="434" customWidth="1"/>
    <col min="14851" max="14851" width="8.28515625" style="434" customWidth="1"/>
    <col min="14852" max="14852" width="2.5703125" style="434" customWidth="1"/>
    <col min="14853" max="14853" width="7.5703125" style="434" customWidth="1"/>
    <col min="14854" max="14854" width="7.7109375" style="434" customWidth="1"/>
    <col min="14855" max="14855" width="2.28515625" style="434" customWidth="1"/>
    <col min="14856" max="14856" width="8.28515625" style="434" customWidth="1"/>
    <col min="14857" max="14857" width="8.42578125" style="434" customWidth="1"/>
    <col min="14858" max="14858" width="2.5703125" style="434" customWidth="1"/>
    <col min="14859" max="14859" width="7.7109375" style="434" customWidth="1"/>
    <col min="14860" max="14860" width="7.85546875" style="434" customWidth="1"/>
    <col min="14861" max="14861" width="2.5703125" style="434" customWidth="1"/>
    <col min="14862" max="14863" width="7.85546875" style="434" customWidth="1"/>
    <col min="14864" max="14864" width="2.7109375" style="434" customWidth="1"/>
    <col min="14865" max="14866" width="7.7109375" style="434" customWidth="1"/>
    <col min="14867" max="14867" width="2.5703125" style="434" customWidth="1"/>
    <col min="14868" max="15104" width="9.140625" style="434"/>
    <col min="15105" max="15105" width="36" style="434" customWidth="1"/>
    <col min="15106" max="15106" width="8.42578125" style="434" customWidth="1"/>
    <col min="15107" max="15107" width="8.28515625" style="434" customWidth="1"/>
    <col min="15108" max="15108" width="2.5703125" style="434" customWidth="1"/>
    <col min="15109" max="15109" width="7.5703125" style="434" customWidth="1"/>
    <col min="15110" max="15110" width="7.7109375" style="434" customWidth="1"/>
    <col min="15111" max="15111" width="2.28515625" style="434" customWidth="1"/>
    <col min="15112" max="15112" width="8.28515625" style="434" customWidth="1"/>
    <col min="15113" max="15113" width="8.42578125" style="434" customWidth="1"/>
    <col min="15114" max="15114" width="2.5703125" style="434" customWidth="1"/>
    <col min="15115" max="15115" width="7.7109375" style="434" customWidth="1"/>
    <col min="15116" max="15116" width="7.85546875" style="434" customWidth="1"/>
    <col min="15117" max="15117" width="2.5703125" style="434" customWidth="1"/>
    <col min="15118" max="15119" width="7.85546875" style="434" customWidth="1"/>
    <col min="15120" max="15120" width="2.7109375" style="434" customWidth="1"/>
    <col min="15121" max="15122" width="7.7109375" style="434" customWidth="1"/>
    <col min="15123" max="15123" width="2.5703125" style="434" customWidth="1"/>
    <col min="15124" max="15360" width="9.140625" style="434"/>
    <col min="15361" max="15361" width="36" style="434" customWidth="1"/>
    <col min="15362" max="15362" width="8.42578125" style="434" customWidth="1"/>
    <col min="15363" max="15363" width="8.28515625" style="434" customWidth="1"/>
    <col min="15364" max="15364" width="2.5703125" style="434" customWidth="1"/>
    <col min="15365" max="15365" width="7.5703125" style="434" customWidth="1"/>
    <col min="15366" max="15366" width="7.7109375" style="434" customWidth="1"/>
    <col min="15367" max="15367" width="2.28515625" style="434" customWidth="1"/>
    <col min="15368" max="15368" width="8.28515625" style="434" customWidth="1"/>
    <col min="15369" max="15369" width="8.42578125" style="434" customWidth="1"/>
    <col min="15370" max="15370" width="2.5703125" style="434" customWidth="1"/>
    <col min="15371" max="15371" width="7.7109375" style="434" customWidth="1"/>
    <col min="15372" max="15372" width="7.85546875" style="434" customWidth="1"/>
    <col min="15373" max="15373" width="2.5703125" style="434" customWidth="1"/>
    <col min="15374" max="15375" width="7.85546875" style="434" customWidth="1"/>
    <col min="15376" max="15376" width="2.7109375" style="434" customWidth="1"/>
    <col min="15377" max="15378" width="7.7109375" style="434" customWidth="1"/>
    <col min="15379" max="15379" width="2.5703125" style="434" customWidth="1"/>
    <col min="15380" max="15616" width="9.140625" style="434"/>
    <col min="15617" max="15617" width="36" style="434" customWidth="1"/>
    <col min="15618" max="15618" width="8.42578125" style="434" customWidth="1"/>
    <col min="15619" max="15619" width="8.28515625" style="434" customWidth="1"/>
    <col min="15620" max="15620" width="2.5703125" style="434" customWidth="1"/>
    <col min="15621" max="15621" width="7.5703125" style="434" customWidth="1"/>
    <col min="15622" max="15622" width="7.7109375" style="434" customWidth="1"/>
    <col min="15623" max="15623" width="2.28515625" style="434" customWidth="1"/>
    <col min="15624" max="15624" width="8.28515625" style="434" customWidth="1"/>
    <col min="15625" max="15625" width="8.42578125" style="434" customWidth="1"/>
    <col min="15626" max="15626" width="2.5703125" style="434" customWidth="1"/>
    <col min="15627" max="15627" width="7.7109375" style="434" customWidth="1"/>
    <col min="15628" max="15628" width="7.85546875" style="434" customWidth="1"/>
    <col min="15629" max="15629" width="2.5703125" style="434" customWidth="1"/>
    <col min="15630" max="15631" width="7.85546875" style="434" customWidth="1"/>
    <col min="15632" max="15632" width="2.7109375" style="434" customWidth="1"/>
    <col min="15633" max="15634" width="7.7109375" style="434" customWidth="1"/>
    <col min="15635" max="15635" width="2.5703125" style="434" customWidth="1"/>
    <col min="15636" max="15872" width="9.140625" style="434"/>
    <col min="15873" max="15873" width="36" style="434" customWidth="1"/>
    <col min="15874" max="15874" width="8.42578125" style="434" customWidth="1"/>
    <col min="15875" max="15875" width="8.28515625" style="434" customWidth="1"/>
    <col min="15876" max="15876" width="2.5703125" style="434" customWidth="1"/>
    <col min="15877" max="15877" width="7.5703125" style="434" customWidth="1"/>
    <col min="15878" max="15878" width="7.7109375" style="434" customWidth="1"/>
    <col min="15879" max="15879" width="2.28515625" style="434" customWidth="1"/>
    <col min="15880" max="15880" width="8.28515625" style="434" customWidth="1"/>
    <col min="15881" max="15881" width="8.42578125" style="434" customWidth="1"/>
    <col min="15882" max="15882" width="2.5703125" style="434" customWidth="1"/>
    <col min="15883" max="15883" width="7.7109375" style="434" customWidth="1"/>
    <col min="15884" max="15884" width="7.85546875" style="434" customWidth="1"/>
    <col min="15885" max="15885" width="2.5703125" style="434" customWidth="1"/>
    <col min="15886" max="15887" width="7.85546875" style="434" customWidth="1"/>
    <col min="15888" max="15888" width="2.7109375" style="434" customWidth="1"/>
    <col min="15889" max="15890" width="7.7109375" style="434" customWidth="1"/>
    <col min="15891" max="15891" width="2.5703125" style="434" customWidth="1"/>
    <col min="15892" max="16128" width="9.140625" style="434"/>
    <col min="16129" max="16129" width="36" style="434" customWidth="1"/>
    <col min="16130" max="16130" width="8.42578125" style="434" customWidth="1"/>
    <col min="16131" max="16131" width="8.28515625" style="434" customWidth="1"/>
    <col min="16132" max="16132" width="2.5703125" style="434" customWidth="1"/>
    <col min="16133" max="16133" width="7.5703125" style="434" customWidth="1"/>
    <col min="16134" max="16134" width="7.7109375" style="434" customWidth="1"/>
    <col min="16135" max="16135" width="2.28515625" style="434" customWidth="1"/>
    <col min="16136" max="16136" width="8.28515625" style="434" customWidth="1"/>
    <col min="16137" max="16137" width="8.42578125" style="434" customWidth="1"/>
    <col min="16138" max="16138" width="2.5703125" style="434" customWidth="1"/>
    <col min="16139" max="16139" width="7.7109375" style="434" customWidth="1"/>
    <col min="16140" max="16140" width="7.85546875" style="434" customWidth="1"/>
    <col min="16141" max="16141" width="2.5703125" style="434" customWidth="1"/>
    <col min="16142" max="16143" width="7.85546875" style="434" customWidth="1"/>
    <col min="16144" max="16144" width="2.7109375" style="434" customWidth="1"/>
    <col min="16145" max="16146" width="7.7109375" style="434" customWidth="1"/>
    <col min="16147" max="16147" width="2.5703125" style="434" customWidth="1"/>
    <col min="16148" max="16384" width="9.140625" style="434"/>
  </cols>
  <sheetData>
    <row r="1" spans="1:19">
      <c r="A1" s="434" t="s">
        <v>366</v>
      </c>
      <c r="Q1" s="435"/>
    </row>
    <row r="2" spans="1:19">
      <c r="A2" s="434" t="s">
        <v>367</v>
      </c>
      <c r="Q2" s="435"/>
    </row>
    <row r="3" spans="1:19" ht="9.9499999999999993" customHeight="1">
      <c r="Q3" s="435"/>
    </row>
    <row r="4" spans="1:19">
      <c r="A4" s="42" t="s">
        <v>509</v>
      </c>
      <c r="L4" s="810"/>
      <c r="O4" s="810"/>
      <c r="Q4" s="435"/>
    </row>
    <row r="5" spans="1:19" ht="9.9499999999999993" customHeight="1" thickBot="1">
      <c r="O5" s="436"/>
      <c r="Q5" s="435"/>
      <c r="R5" s="436"/>
    </row>
    <row r="6" spans="1:19" ht="9.9499999999999993" customHeight="1">
      <c r="A6" s="437" t="s">
        <v>386</v>
      </c>
      <c r="B6" s="805"/>
      <c r="C6" s="439"/>
      <c r="D6" s="437"/>
      <c r="E6" s="438"/>
      <c r="F6" s="439"/>
      <c r="G6" s="437"/>
      <c r="H6" s="438"/>
      <c r="I6" s="439"/>
      <c r="J6" s="439"/>
      <c r="K6" s="438"/>
      <c r="L6" s="439"/>
      <c r="M6" s="437"/>
      <c r="N6" s="438"/>
      <c r="O6" s="439"/>
      <c r="P6" s="439"/>
      <c r="Q6" s="438"/>
      <c r="R6" s="439"/>
      <c r="S6" s="439"/>
    </row>
    <row r="7" spans="1:19" ht="15" customHeight="1">
      <c r="A7" s="440" t="s">
        <v>423</v>
      </c>
      <c r="B7" s="451" t="s">
        <v>371</v>
      </c>
      <c r="C7" s="442"/>
      <c r="D7" s="440"/>
      <c r="E7" s="812" t="s">
        <v>424</v>
      </c>
      <c r="F7" s="442"/>
      <c r="G7" s="440"/>
      <c r="H7" s="1266" t="s">
        <v>308</v>
      </c>
      <c r="I7" s="1266"/>
      <c r="J7" s="442"/>
      <c r="K7" s="1266" t="s">
        <v>425</v>
      </c>
      <c r="L7" s="1266"/>
      <c r="M7" s="440"/>
      <c r="N7" s="1266" t="s">
        <v>306</v>
      </c>
      <c r="O7" s="1266"/>
      <c r="Q7" s="1266" t="s">
        <v>305</v>
      </c>
      <c r="R7" s="1266"/>
    </row>
    <row r="8" spans="1:19" ht="13.5" customHeight="1">
      <c r="A8" s="434" t="s">
        <v>426</v>
      </c>
      <c r="B8" s="806" t="s">
        <v>323</v>
      </c>
      <c r="C8" s="444" t="s">
        <v>324</v>
      </c>
      <c r="D8" s="440"/>
      <c r="E8" s="443" t="s">
        <v>323</v>
      </c>
      <c r="F8" s="444" t="s">
        <v>324</v>
      </c>
      <c r="G8" s="440"/>
      <c r="H8" s="443" t="s">
        <v>323</v>
      </c>
      <c r="I8" s="444" t="s">
        <v>324</v>
      </c>
      <c r="J8" s="802"/>
      <c r="K8" s="443" t="s">
        <v>323</v>
      </c>
      <c r="L8" s="444" t="s">
        <v>324</v>
      </c>
      <c r="M8" s="440"/>
      <c r="N8" s="443" t="s">
        <v>323</v>
      </c>
      <c r="O8" s="444" t="s">
        <v>324</v>
      </c>
      <c r="Q8" s="443" t="s">
        <v>323</v>
      </c>
      <c r="R8" s="444" t="s">
        <v>324</v>
      </c>
    </row>
    <row r="9" spans="1:19" ht="12.75" customHeight="1" thickBot="1">
      <c r="A9" s="445" t="s">
        <v>393</v>
      </c>
      <c r="B9" s="807"/>
      <c r="C9" s="447"/>
      <c r="D9" s="445"/>
      <c r="E9" s="446"/>
      <c r="F9" s="447"/>
      <c r="G9" s="445"/>
      <c r="H9" s="446"/>
      <c r="I9" s="447"/>
      <c r="J9" s="447"/>
      <c r="K9" s="446"/>
      <c r="L9" s="447"/>
      <c r="M9" s="445"/>
      <c r="N9" s="446"/>
      <c r="O9" s="447"/>
      <c r="P9" s="447"/>
      <c r="Q9" s="446"/>
      <c r="R9" s="447"/>
      <c r="S9" s="447"/>
    </row>
    <row r="10" spans="1:19" ht="9.9499999999999993" customHeight="1">
      <c r="Q10" s="435"/>
    </row>
    <row r="11" spans="1:19" ht="14.1" customHeight="1">
      <c r="A11" s="90" t="s">
        <v>325</v>
      </c>
      <c r="B11" s="544">
        <f>IF($A11&lt;&gt;"",E11+H11+K11+N11+Q11,"")</f>
        <v>4151</v>
      </c>
      <c r="C11" s="436">
        <f>SUM(C13+C109)</f>
        <v>100</v>
      </c>
      <c r="E11" s="435">
        <f>E13+E109</f>
        <v>649</v>
      </c>
      <c r="F11" s="436">
        <f t="shared" ref="F11:F75" si="0">IF($A11&lt;&gt;0,E11/$B11*100,"")</f>
        <v>15.634786798361841</v>
      </c>
      <c r="H11" s="435">
        <f>H13+H109</f>
        <v>204</v>
      </c>
      <c r="I11" s="436">
        <f t="shared" ref="I11:I75" si="1">IF($A11&lt;&gt;0,H11/$B11*100,"")</f>
        <v>4.9144784389303782</v>
      </c>
      <c r="K11" s="435">
        <f>K13+K109</f>
        <v>726</v>
      </c>
      <c r="L11" s="436">
        <f t="shared" ref="L11:L75" si="2">IF($A11&lt;&gt;0,K11/$B11*100,"")</f>
        <v>17.489761503252229</v>
      </c>
      <c r="M11" s="440"/>
      <c r="N11" s="435">
        <f>N13+N109</f>
        <v>1370</v>
      </c>
      <c r="O11" s="436">
        <f t="shared" ref="O11:O75" si="3">IF($A11&lt;&gt;0,N11/$B11*100,"")</f>
        <v>33.004095398699107</v>
      </c>
      <c r="P11" s="442"/>
      <c r="Q11" s="435">
        <f>Q13+Q109</f>
        <v>1202</v>
      </c>
      <c r="R11" s="436">
        <f t="shared" ref="R11:R75" si="4">IF($A11&lt;&gt;0,Q11/$B11*100,"")</f>
        <v>28.956877860756446</v>
      </c>
      <c r="S11" s="442"/>
    </row>
    <row r="12" spans="1:19" ht="9.9499999999999993" customHeight="1">
      <c r="B12" s="544" t="str">
        <f t="shared" ref="B12:B76" si="5">IF($A12&lt;&gt;"",E12+H12+K12+N12+Q12,"")</f>
        <v/>
      </c>
      <c r="C12" s="436" t="str">
        <f>IF(A12&lt;&gt;0,B12/$B$10*100,"")</f>
        <v/>
      </c>
      <c r="F12" s="436" t="str">
        <f t="shared" si="0"/>
        <v/>
      </c>
      <c r="I12" s="436" t="str">
        <f t="shared" si="1"/>
        <v/>
      </c>
      <c r="L12" s="436" t="str">
        <f t="shared" si="2"/>
        <v/>
      </c>
      <c r="M12" s="440"/>
      <c r="O12" s="436" t="str">
        <f t="shared" si="3"/>
        <v/>
      </c>
      <c r="P12" s="442"/>
      <c r="Q12" s="435"/>
      <c r="R12" s="436" t="str">
        <f t="shared" si="4"/>
        <v/>
      </c>
      <c r="S12" s="442"/>
    </row>
    <row r="13" spans="1:19" ht="14.1" customHeight="1">
      <c r="A13" s="63" t="s">
        <v>326</v>
      </c>
      <c r="B13" s="544">
        <f t="shared" si="5"/>
        <v>3257</v>
      </c>
      <c r="C13" s="436">
        <f>IF(A13&lt;&gt;0,B13/$B$11*100,"")</f>
        <v>78.463020958805103</v>
      </c>
      <c r="E13" s="435">
        <f>E15+E102</f>
        <v>471</v>
      </c>
      <c r="F13" s="436">
        <f t="shared" si="0"/>
        <v>14.461160577218299</v>
      </c>
      <c r="H13" s="435">
        <f>H15+H102</f>
        <v>158</v>
      </c>
      <c r="I13" s="436">
        <f t="shared" si="1"/>
        <v>4.851089960085968</v>
      </c>
      <c r="K13" s="435">
        <f>K15+K102</f>
        <v>518</v>
      </c>
      <c r="L13" s="436">
        <f t="shared" si="2"/>
        <v>15.90420632483881</v>
      </c>
      <c r="M13" s="440"/>
      <c r="N13" s="435">
        <f>N15+N102</f>
        <v>1091</v>
      </c>
      <c r="O13" s="436">
        <f t="shared" si="3"/>
        <v>33.49708320540374</v>
      </c>
      <c r="P13" s="442"/>
      <c r="Q13" s="435">
        <f>Q15+Q102</f>
        <v>1019</v>
      </c>
      <c r="R13" s="436">
        <f t="shared" si="4"/>
        <v>31.286459932453177</v>
      </c>
      <c r="S13" s="442"/>
    </row>
    <row r="14" spans="1:19" ht="10.5" customHeight="1">
      <c r="A14" s="63"/>
      <c r="B14" s="544" t="str">
        <f t="shared" si="5"/>
        <v/>
      </c>
      <c r="C14" s="436" t="str">
        <f>IF(A14&lt;&gt;0,B14/$B$11*100,"")</f>
        <v/>
      </c>
      <c r="F14" s="436" t="str">
        <f t="shared" si="0"/>
        <v/>
      </c>
      <c r="I14" s="436" t="str">
        <f t="shared" si="1"/>
        <v/>
      </c>
      <c r="L14" s="436" t="str">
        <f t="shared" si="2"/>
        <v/>
      </c>
      <c r="M14" s="440"/>
      <c r="O14" s="436" t="str">
        <f t="shared" si="3"/>
        <v/>
      </c>
      <c r="P14" s="442"/>
      <c r="Q14" s="435"/>
      <c r="R14" s="436" t="str">
        <f t="shared" si="4"/>
        <v/>
      </c>
      <c r="S14" s="442"/>
    </row>
    <row r="15" spans="1:19" ht="14.1" customHeight="1">
      <c r="A15" s="63" t="s">
        <v>12</v>
      </c>
      <c r="B15" s="544">
        <f t="shared" si="5"/>
        <v>2759</v>
      </c>
      <c r="C15" s="436">
        <f>IF(A15&lt;&gt;0,B15/$B$11*100,"")</f>
        <v>66.465911828475072</v>
      </c>
      <c r="E15" s="435">
        <f>E17+E28+E36+E62+E76+E83+E95+E96+E97+E98+E100</f>
        <v>426</v>
      </c>
      <c r="F15" s="436">
        <f t="shared" si="0"/>
        <v>15.440376948169627</v>
      </c>
      <c r="H15" s="435">
        <f>H17+H28+H36+H62+H76+H83+H95+H96+H97+H98+H100</f>
        <v>134</v>
      </c>
      <c r="I15" s="436">
        <f t="shared" si="1"/>
        <v>4.8568321855744836</v>
      </c>
      <c r="K15" s="435">
        <f>K17+K28+K36+K62+K76+K83+K95+K96+K97+K98+K100</f>
        <v>413</v>
      </c>
      <c r="L15" s="436">
        <f t="shared" si="2"/>
        <v>14.969191736136281</v>
      </c>
      <c r="M15" s="440"/>
      <c r="N15" s="435">
        <f>N17+N28+N36+N62+N76+N83+N95+N96+N97+N98+N100</f>
        <v>865</v>
      </c>
      <c r="O15" s="436">
        <f t="shared" si="3"/>
        <v>31.351939108372601</v>
      </c>
      <c r="P15" s="442"/>
      <c r="Q15" s="435">
        <f>Q17+Q28+Q36+Q62+Q76+Q83+Q95+Q96+Q97+Q98+Q100</f>
        <v>921</v>
      </c>
      <c r="R15" s="436">
        <f t="shared" si="4"/>
        <v>33.38166002174701</v>
      </c>
      <c r="S15" s="442"/>
    </row>
    <row r="16" spans="1:19" ht="9.9499999999999993" customHeight="1">
      <c r="B16" s="544" t="str">
        <f t="shared" si="5"/>
        <v/>
      </c>
      <c r="C16" s="436" t="str">
        <f>IF(A16&lt;&gt;0,B16/$B$11*100,"")</f>
        <v/>
      </c>
      <c r="F16" s="436" t="str">
        <f t="shared" si="0"/>
        <v/>
      </c>
      <c r="I16" s="436" t="str">
        <f t="shared" si="1"/>
        <v/>
      </c>
      <c r="L16" s="436" t="str">
        <f t="shared" si="2"/>
        <v/>
      </c>
      <c r="M16" s="440"/>
      <c r="O16" s="436" t="str">
        <f t="shared" si="3"/>
        <v/>
      </c>
      <c r="P16" s="442"/>
      <c r="Q16" s="435"/>
      <c r="R16" s="436" t="str">
        <f t="shared" si="4"/>
        <v/>
      </c>
      <c r="S16" s="442"/>
    </row>
    <row r="17" spans="1:19" ht="13.15" customHeight="1">
      <c r="A17" s="63" t="s">
        <v>327</v>
      </c>
      <c r="B17" s="544">
        <f t="shared" si="5"/>
        <v>197</v>
      </c>
      <c r="C17" s="436">
        <f>IF(A17&lt;&gt;0,B17/$B$11*100,"")</f>
        <v>4.7458443748494341</v>
      </c>
      <c r="E17" s="435">
        <f>E18+E23</f>
        <v>36</v>
      </c>
      <c r="F17" s="436">
        <f t="shared" si="0"/>
        <v>18.274111675126903</v>
      </c>
      <c r="H17" s="435">
        <f>H18+H23</f>
        <v>22</v>
      </c>
      <c r="I17" s="436">
        <f t="shared" si="1"/>
        <v>11.167512690355331</v>
      </c>
      <c r="K17" s="435">
        <f>K18+K23</f>
        <v>49</v>
      </c>
      <c r="L17" s="436">
        <f t="shared" si="2"/>
        <v>24.873096446700508</v>
      </c>
      <c r="M17" s="440"/>
      <c r="N17" s="435">
        <f>N18+N23</f>
        <v>58</v>
      </c>
      <c r="O17" s="436">
        <f t="shared" si="3"/>
        <v>29.441624365482234</v>
      </c>
      <c r="P17" s="442"/>
      <c r="Q17" s="435">
        <f>Q18+Q23</f>
        <v>32</v>
      </c>
      <c r="R17" s="436">
        <f t="shared" si="4"/>
        <v>16.243654822335024</v>
      </c>
      <c r="S17" s="442"/>
    </row>
    <row r="18" spans="1:19" ht="13.15" customHeight="1">
      <c r="A18" s="434" t="s">
        <v>20</v>
      </c>
      <c r="B18" s="544">
        <f t="shared" si="5"/>
        <v>93</v>
      </c>
      <c r="C18" s="436">
        <f t="shared" ref="C18:C82" si="6">IF(A18&lt;&gt;0,B18/$B$11*100,"")</f>
        <v>2.2404239942182604</v>
      </c>
      <c r="E18" s="435">
        <f>SUM(E19:E21)</f>
        <v>21</v>
      </c>
      <c r="F18" s="436">
        <f t="shared" si="0"/>
        <v>22.58064516129032</v>
      </c>
      <c r="H18" s="435">
        <f>SUM(H19:H21)</f>
        <v>8</v>
      </c>
      <c r="I18" s="436">
        <f t="shared" si="1"/>
        <v>8.6021505376344098</v>
      </c>
      <c r="K18" s="435">
        <f>SUM(K19:K21)</f>
        <v>27</v>
      </c>
      <c r="L18" s="436">
        <f t="shared" si="2"/>
        <v>29.032258064516132</v>
      </c>
      <c r="M18" s="440"/>
      <c r="N18" s="435">
        <f>SUM(N19:N21)</f>
        <v>29</v>
      </c>
      <c r="O18" s="436">
        <f t="shared" si="3"/>
        <v>31.182795698924732</v>
      </c>
      <c r="P18" s="442"/>
      <c r="Q18" s="435">
        <f>SUM(Q19:Q21)</f>
        <v>8</v>
      </c>
      <c r="R18" s="436">
        <f t="shared" si="4"/>
        <v>8.6021505376344098</v>
      </c>
      <c r="S18" s="442"/>
    </row>
    <row r="19" spans="1:19" ht="13.15" customHeight="1">
      <c r="A19" s="434" t="s">
        <v>21</v>
      </c>
      <c r="B19" s="544">
        <f t="shared" si="5"/>
        <v>19</v>
      </c>
      <c r="C19" s="436">
        <f t="shared" si="6"/>
        <v>0.45772103107684897</v>
      </c>
      <c r="E19" s="434">
        <v>4</v>
      </c>
      <c r="F19" s="436">
        <f t="shared" si="0"/>
        <v>21.052631578947366</v>
      </c>
      <c r="H19" s="434">
        <v>1</v>
      </c>
      <c r="I19" s="436">
        <f t="shared" si="1"/>
        <v>5.2631578947368416</v>
      </c>
      <c r="J19" s="434"/>
      <c r="K19" s="434">
        <v>3</v>
      </c>
      <c r="L19" s="436">
        <f t="shared" si="2"/>
        <v>15.789473684210526</v>
      </c>
      <c r="N19" s="434">
        <v>7</v>
      </c>
      <c r="O19" s="436">
        <f t="shared" si="3"/>
        <v>36.84210526315789</v>
      </c>
      <c r="Q19" s="434">
        <v>4</v>
      </c>
      <c r="R19" s="436">
        <f t="shared" si="4"/>
        <v>21.052631578947366</v>
      </c>
      <c r="S19" s="442"/>
    </row>
    <row r="20" spans="1:19" ht="13.15" customHeight="1">
      <c r="A20" s="434" t="s">
        <v>22</v>
      </c>
      <c r="B20" s="544">
        <f t="shared" si="5"/>
        <v>36</v>
      </c>
      <c r="C20" s="436">
        <f t="shared" si="6"/>
        <v>0.86726090098771391</v>
      </c>
      <c r="E20" s="434">
        <v>5</v>
      </c>
      <c r="F20" s="436">
        <f t="shared" si="0"/>
        <v>13.888888888888889</v>
      </c>
      <c r="H20" s="434">
        <v>4</v>
      </c>
      <c r="I20" s="436">
        <f t="shared" si="1"/>
        <v>11.111111111111111</v>
      </c>
      <c r="J20" s="434"/>
      <c r="K20" s="434">
        <v>11</v>
      </c>
      <c r="L20" s="436">
        <f t="shared" si="2"/>
        <v>30.555555555555557</v>
      </c>
      <c r="N20" s="434">
        <v>12</v>
      </c>
      <c r="O20" s="436">
        <f t="shared" si="3"/>
        <v>33.333333333333329</v>
      </c>
      <c r="Q20" s="434">
        <v>4</v>
      </c>
      <c r="R20" s="436">
        <f t="shared" si="4"/>
        <v>11.111111111111111</v>
      </c>
      <c r="S20" s="442"/>
    </row>
    <row r="21" spans="1:19" ht="12" customHeight="1">
      <c r="A21" s="434" t="s">
        <v>23</v>
      </c>
      <c r="B21" s="544">
        <f t="shared" si="5"/>
        <v>38</v>
      </c>
      <c r="C21" s="436">
        <f t="shared" si="6"/>
        <v>0.91544206215369794</v>
      </c>
      <c r="E21" s="434">
        <v>12</v>
      </c>
      <c r="F21" s="436">
        <f t="shared" si="0"/>
        <v>31.578947368421051</v>
      </c>
      <c r="H21" s="434">
        <v>3</v>
      </c>
      <c r="I21" s="436">
        <f t="shared" si="1"/>
        <v>7.8947368421052628</v>
      </c>
      <c r="J21" s="434"/>
      <c r="K21" s="434">
        <v>13</v>
      </c>
      <c r="L21" s="436">
        <f t="shared" si="2"/>
        <v>34.210526315789473</v>
      </c>
      <c r="N21" s="434">
        <v>10</v>
      </c>
      <c r="O21" s="436">
        <f t="shared" si="3"/>
        <v>26.315789473684209</v>
      </c>
      <c r="Q21" s="434">
        <v>0</v>
      </c>
      <c r="R21" s="436">
        <f t="shared" si="4"/>
        <v>0</v>
      </c>
      <c r="S21" s="442"/>
    </row>
    <row r="22" spans="1:19" ht="9.9499999999999993" customHeight="1">
      <c r="B22" s="544" t="str">
        <f t="shared" si="5"/>
        <v/>
      </c>
      <c r="C22" s="436" t="str">
        <f t="shared" si="6"/>
        <v/>
      </c>
      <c r="F22" s="436" t="str">
        <f t="shared" si="0"/>
        <v/>
      </c>
      <c r="I22" s="436" t="str">
        <f t="shared" si="1"/>
        <v/>
      </c>
      <c r="L22" s="436" t="str">
        <f t="shared" si="2"/>
        <v/>
      </c>
      <c r="M22" s="440"/>
      <c r="O22" s="436" t="str">
        <f t="shared" si="3"/>
        <v/>
      </c>
      <c r="P22" s="442"/>
      <c r="Q22" s="435"/>
      <c r="R22" s="436" t="str">
        <f t="shared" si="4"/>
        <v/>
      </c>
      <c r="S22" s="442"/>
    </row>
    <row r="23" spans="1:19" ht="13.15" customHeight="1">
      <c r="A23" s="434" t="s">
        <v>24</v>
      </c>
      <c r="B23" s="544">
        <f t="shared" si="5"/>
        <v>104</v>
      </c>
      <c r="C23" s="436">
        <f t="shared" si="6"/>
        <v>2.5054203806311732</v>
      </c>
      <c r="E23" s="435">
        <f>SUM(E24:E26)</f>
        <v>15</v>
      </c>
      <c r="F23" s="436">
        <f t="shared" si="0"/>
        <v>14.423076923076922</v>
      </c>
      <c r="H23" s="435">
        <f>SUM(H24:H26)</f>
        <v>14</v>
      </c>
      <c r="I23" s="436">
        <f t="shared" si="1"/>
        <v>13.461538461538462</v>
      </c>
      <c r="K23" s="435">
        <f>SUM(K24:K26)</f>
        <v>22</v>
      </c>
      <c r="L23" s="436">
        <f t="shared" si="2"/>
        <v>21.153846153846153</v>
      </c>
      <c r="M23" s="440"/>
      <c r="N23" s="435">
        <f>SUM(N24:N26)</f>
        <v>29</v>
      </c>
      <c r="O23" s="436">
        <f t="shared" si="3"/>
        <v>27.884615384615387</v>
      </c>
      <c r="P23" s="442"/>
      <c r="Q23" s="435">
        <f>SUM(Q24:Q26)</f>
        <v>24</v>
      </c>
      <c r="R23" s="436">
        <f t="shared" si="4"/>
        <v>23.076923076923077</v>
      </c>
      <c r="S23" s="442"/>
    </row>
    <row r="24" spans="1:19" ht="13.15" customHeight="1">
      <c r="A24" s="434" t="s">
        <v>25</v>
      </c>
      <c r="B24" s="544">
        <f t="shared" si="5"/>
        <v>23</v>
      </c>
      <c r="C24" s="436">
        <f t="shared" si="6"/>
        <v>0.5540833534088172</v>
      </c>
      <c r="E24" s="434">
        <v>5</v>
      </c>
      <c r="F24" s="436">
        <f t="shared" si="0"/>
        <v>21.739130434782609</v>
      </c>
      <c r="H24" s="434">
        <v>4</v>
      </c>
      <c r="I24" s="436">
        <f t="shared" si="1"/>
        <v>17.391304347826086</v>
      </c>
      <c r="J24" s="434"/>
      <c r="K24" s="434">
        <v>7</v>
      </c>
      <c r="L24" s="436">
        <f t="shared" si="2"/>
        <v>30.434782608695656</v>
      </c>
      <c r="N24" s="434">
        <v>6</v>
      </c>
      <c r="O24" s="436">
        <f t="shared" si="3"/>
        <v>26.086956521739129</v>
      </c>
      <c r="Q24" s="434">
        <v>1</v>
      </c>
      <c r="R24" s="436">
        <f t="shared" si="4"/>
        <v>4.3478260869565215</v>
      </c>
      <c r="S24" s="442"/>
    </row>
    <row r="25" spans="1:19" ht="13.15" customHeight="1">
      <c r="A25" s="434" t="s">
        <v>26</v>
      </c>
      <c r="B25" s="544">
        <f t="shared" si="5"/>
        <v>20</v>
      </c>
      <c r="C25" s="436">
        <f t="shared" si="6"/>
        <v>0.48181161165984099</v>
      </c>
      <c r="E25" s="434">
        <v>2</v>
      </c>
      <c r="F25" s="436">
        <f t="shared" si="0"/>
        <v>10</v>
      </c>
      <c r="H25" s="434">
        <v>1</v>
      </c>
      <c r="I25" s="436">
        <f t="shared" si="1"/>
        <v>5</v>
      </c>
      <c r="J25" s="434"/>
      <c r="K25" s="434">
        <v>7</v>
      </c>
      <c r="L25" s="436">
        <f t="shared" si="2"/>
        <v>35</v>
      </c>
      <c r="N25" s="434">
        <v>10</v>
      </c>
      <c r="O25" s="436">
        <f t="shared" si="3"/>
        <v>50</v>
      </c>
      <c r="Q25" s="434">
        <v>0</v>
      </c>
      <c r="R25" s="436">
        <f t="shared" si="4"/>
        <v>0</v>
      </c>
      <c r="S25" s="442"/>
    </row>
    <row r="26" spans="1:19" ht="12" customHeight="1">
      <c r="A26" s="434" t="s">
        <v>27</v>
      </c>
      <c r="B26" s="544">
        <f t="shared" si="5"/>
        <v>61</v>
      </c>
      <c r="C26" s="436">
        <f t="shared" si="6"/>
        <v>1.469525415562515</v>
      </c>
      <c r="E26" s="434">
        <v>8</v>
      </c>
      <c r="F26" s="436">
        <f t="shared" si="0"/>
        <v>13.114754098360656</v>
      </c>
      <c r="H26" s="434">
        <v>9</v>
      </c>
      <c r="I26" s="436">
        <f t="shared" si="1"/>
        <v>14.754098360655737</v>
      </c>
      <c r="J26" s="434"/>
      <c r="K26" s="434">
        <v>8</v>
      </c>
      <c r="L26" s="436">
        <f t="shared" si="2"/>
        <v>13.114754098360656</v>
      </c>
      <c r="N26" s="434">
        <v>13</v>
      </c>
      <c r="O26" s="436">
        <f t="shared" si="3"/>
        <v>21.311475409836063</v>
      </c>
      <c r="Q26" s="434">
        <v>23</v>
      </c>
      <c r="R26" s="436">
        <f t="shared" si="4"/>
        <v>37.704918032786885</v>
      </c>
      <c r="S26" s="442"/>
    </row>
    <row r="27" spans="1:19" ht="9.9499999999999993" customHeight="1">
      <c r="B27" s="544" t="str">
        <f t="shared" si="5"/>
        <v/>
      </c>
      <c r="C27" s="436" t="str">
        <f t="shared" si="6"/>
        <v/>
      </c>
      <c r="F27" s="436" t="str">
        <f t="shared" si="0"/>
        <v/>
      </c>
      <c r="I27" s="436" t="str">
        <f t="shared" si="1"/>
        <v/>
      </c>
      <c r="L27" s="436" t="str">
        <f t="shared" si="2"/>
        <v/>
      </c>
      <c r="M27" s="440"/>
      <c r="O27" s="436" t="str">
        <f t="shared" si="3"/>
        <v/>
      </c>
      <c r="P27" s="442"/>
      <c r="Q27" s="435"/>
      <c r="R27" s="436" t="str">
        <f t="shared" si="4"/>
        <v/>
      </c>
      <c r="S27" s="442"/>
    </row>
    <row r="28" spans="1:19" ht="13.15" customHeight="1">
      <c r="A28" s="63" t="s">
        <v>375</v>
      </c>
      <c r="B28" s="544">
        <f t="shared" si="5"/>
        <v>234</v>
      </c>
      <c r="C28" s="436">
        <f t="shared" si="6"/>
        <v>5.6371958564201403</v>
      </c>
      <c r="E28" s="435">
        <f>SUM(E30:E34)</f>
        <v>85</v>
      </c>
      <c r="F28" s="436">
        <f t="shared" si="0"/>
        <v>36.324786324786324</v>
      </c>
      <c r="H28" s="435">
        <f>SUM(H30:H34)</f>
        <v>11</v>
      </c>
      <c r="I28" s="436">
        <f t="shared" si="1"/>
        <v>4.700854700854701</v>
      </c>
      <c r="K28" s="435">
        <f>SUM(K30:K34)</f>
        <v>29</v>
      </c>
      <c r="L28" s="436">
        <f t="shared" si="2"/>
        <v>12.393162393162394</v>
      </c>
      <c r="M28" s="440"/>
      <c r="N28" s="435">
        <f>SUM(N30:N34)</f>
        <v>60</v>
      </c>
      <c r="O28" s="436">
        <f t="shared" si="3"/>
        <v>25.641025641025639</v>
      </c>
      <c r="P28" s="442"/>
      <c r="Q28" s="435">
        <f>SUM(Q29)</f>
        <v>49</v>
      </c>
      <c r="R28" s="436">
        <f t="shared" si="4"/>
        <v>20.94017094017094</v>
      </c>
      <c r="S28" s="442"/>
    </row>
    <row r="29" spans="1:19" ht="13.15" customHeight="1">
      <c r="A29" s="434" t="s">
        <v>29</v>
      </c>
      <c r="B29" s="544">
        <f t="shared" si="5"/>
        <v>234</v>
      </c>
      <c r="C29" s="436">
        <f t="shared" si="6"/>
        <v>5.6371958564201403</v>
      </c>
      <c r="E29" s="435">
        <f>SUM(E30:E34)</f>
        <v>85</v>
      </c>
      <c r="F29" s="436">
        <f t="shared" si="0"/>
        <v>36.324786324786324</v>
      </c>
      <c r="H29" s="435">
        <f>SUM(H30:H34)</f>
        <v>11</v>
      </c>
      <c r="I29" s="436">
        <f t="shared" si="1"/>
        <v>4.700854700854701</v>
      </c>
      <c r="K29" s="435">
        <f>SUM(K30:K34)</f>
        <v>29</v>
      </c>
      <c r="L29" s="436">
        <f t="shared" si="2"/>
        <v>12.393162393162394</v>
      </c>
      <c r="M29" s="440"/>
      <c r="N29" s="435">
        <f>SUM(N30:N34)</f>
        <v>60</v>
      </c>
      <c r="O29" s="436">
        <f t="shared" si="3"/>
        <v>25.641025641025639</v>
      </c>
      <c r="P29" s="442"/>
      <c r="Q29" s="435">
        <f>SUM(Q30:Q34)</f>
        <v>49</v>
      </c>
      <c r="R29" s="436">
        <f t="shared" si="4"/>
        <v>20.94017094017094</v>
      </c>
      <c r="S29" s="442"/>
    </row>
    <row r="30" spans="1:19" ht="13.15" customHeight="1">
      <c r="A30" s="434" t="s">
        <v>30</v>
      </c>
      <c r="B30" s="544">
        <f t="shared" si="5"/>
        <v>20</v>
      </c>
      <c r="C30" s="436">
        <f t="shared" si="6"/>
        <v>0.48181161165984099</v>
      </c>
      <c r="E30" s="434">
        <v>3</v>
      </c>
      <c r="F30" s="436">
        <f t="shared" si="0"/>
        <v>15</v>
      </c>
      <c r="H30" s="434">
        <v>2</v>
      </c>
      <c r="I30" s="436">
        <f t="shared" si="1"/>
        <v>10</v>
      </c>
      <c r="J30" s="434"/>
      <c r="K30" s="434">
        <v>9</v>
      </c>
      <c r="L30" s="436">
        <f t="shared" si="2"/>
        <v>45</v>
      </c>
      <c r="N30" s="434">
        <v>4</v>
      </c>
      <c r="O30" s="436">
        <f t="shared" si="3"/>
        <v>20</v>
      </c>
      <c r="Q30" s="434">
        <v>2</v>
      </c>
      <c r="R30" s="436">
        <f t="shared" si="4"/>
        <v>10</v>
      </c>
      <c r="S30" s="442"/>
    </row>
    <row r="31" spans="1:19" ht="13.15" customHeight="1">
      <c r="A31" s="434" t="s">
        <v>31</v>
      </c>
      <c r="B31" s="544">
        <f t="shared" si="5"/>
        <v>61</v>
      </c>
      <c r="C31" s="436">
        <f t="shared" si="6"/>
        <v>1.469525415562515</v>
      </c>
      <c r="E31" s="434">
        <v>12</v>
      </c>
      <c r="F31" s="436">
        <f t="shared" si="0"/>
        <v>19.672131147540984</v>
      </c>
      <c r="H31" s="434">
        <v>4</v>
      </c>
      <c r="I31" s="436">
        <f t="shared" si="1"/>
        <v>6.557377049180328</v>
      </c>
      <c r="J31" s="434"/>
      <c r="K31" s="434">
        <v>6</v>
      </c>
      <c r="L31" s="436">
        <f t="shared" si="2"/>
        <v>9.8360655737704921</v>
      </c>
      <c r="N31" s="434">
        <v>20</v>
      </c>
      <c r="O31" s="436">
        <f t="shared" si="3"/>
        <v>32.786885245901637</v>
      </c>
      <c r="Q31" s="434">
        <v>19</v>
      </c>
      <c r="R31" s="436">
        <f t="shared" si="4"/>
        <v>31.147540983606557</v>
      </c>
      <c r="S31" s="442"/>
    </row>
    <row r="32" spans="1:19" ht="13.15" customHeight="1">
      <c r="A32" s="434" t="s">
        <v>32</v>
      </c>
      <c r="B32" s="544">
        <f t="shared" si="5"/>
        <v>15</v>
      </c>
      <c r="C32" s="436">
        <f t="shared" si="6"/>
        <v>0.36135870874488074</v>
      </c>
      <c r="E32" s="434">
        <v>8</v>
      </c>
      <c r="F32" s="436">
        <f t="shared" si="0"/>
        <v>53.333333333333336</v>
      </c>
      <c r="H32" s="434">
        <v>0</v>
      </c>
      <c r="I32" s="436">
        <f t="shared" si="1"/>
        <v>0</v>
      </c>
      <c r="J32" s="434"/>
      <c r="K32" s="434">
        <v>1</v>
      </c>
      <c r="L32" s="436">
        <f t="shared" si="2"/>
        <v>6.666666666666667</v>
      </c>
      <c r="N32" s="434">
        <v>3</v>
      </c>
      <c r="O32" s="436">
        <f t="shared" si="3"/>
        <v>20</v>
      </c>
      <c r="Q32" s="434">
        <v>3</v>
      </c>
      <c r="R32" s="436">
        <f t="shared" si="4"/>
        <v>20</v>
      </c>
      <c r="S32" s="442"/>
    </row>
    <row r="33" spans="1:19" ht="13.15" customHeight="1">
      <c r="A33" s="434" t="s">
        <v>33</v>
      </c>
      <c r="B33" s="544">
        <f t="shared" si="5"/>
        <v>97</v>
      </c>
      <c r="C33" s="436">
        <f t="shared" si="6"/>
        <v>2.3367863165502287</v>
      </c>
      <c r="E33" s="434">
        <v>47</v>
      </c>
      <c r="F33" s="436">
        <f t="shared" si="0"/>
        <v>48.453608247422679</v>
      </c>
      <c r="H33" s="434">
        <v>3</v>
      </c>
      <c r="I33" s="436">
        <f t="shared" si="1"/>
        <v>3.0927835051546393</v>
      </c>
      <c r="J33" s="434"/>
      <c r="K33" s="434">
        <v>5</v>
      </c>
      <c r="L33" s="436">
        <f t="shared" si="2"/>
        <v>5.1546391752577314</v>
      </c>
      <c r="N33" s="434">
        <v>27</v>
      </c>
      <c r="O33" s="436">
        <f t="shared" si="3"/>
        <v>27.835051546391753</v>
      </c>
      <c r="Q33" s="434">
        <v>15</v>
      </c>
      <c r="R33" s="436">
        <f t="shared" si="4"/>
        <v>15.463917525773196</v>
      </c>
      <c r="S33" s="442"/>
    </row>
    <row r="34" spans="1:19" ht="12" customHeight="1">
      <c r="A34" s="434" t="s">
        <v>34</v>
      </c>
      <c r="B34" s="544">
        <f t="shared" si="5"/>
        <v>41</v>
      </c>
      <c r="C34" s="436">
        <f t="shared" si="6"/>
        <v>0.98771380390267405</v>
      </c>
      <c r="E34" s="434">
        <v>15</v>
      </c>
      <c r="F34" s="436">
        <f t="shared" si="0"/>
        <v>36.585365853658537</v>
      </c>
      <c r="H34" s="434">
        <v>2</v>
      </c>
      <c r="I34" s="436">
        <f t="shared" si="1"/>
        <v>4.8780487804878048</v>
      </c>
      <c r="J34" s="434"/>
      <c r="K34" s="434">
        <v>8</v>
      </c>
      <c r="L34" s="436">
        <f t="shared" si="2"/>
        <v>19.512195121951219</v>
      </c>
      <c r="N34" s="434">
        <v>6</v>
      </c>
      <c r="O34" s="436">
        <f t="shared" si="3"/>
        <v>14.634146341463413</v>
      </c>
      <c r="Q34" s="434">
        <v>10</v>
      </c>
      <c r="R34" s="436">
        <f t="shared" si="4"/>
        <v>24.390243902439025</v>
      </c>
      <c r="S34" s="442"/>
    </row>
    <row r="35" spans="1:19" ht="9.9499999999999993" customHeight="1">
      <c r="B35" s="544" t="str">
        <f t="shared" si="5"/>
        <v/>
      </c>
      <c r="C35" s="436" t="str">
        <f t="shared" si="6"/>
        <v/>
      </c>
      <c r="F35" s="436" t="str">
        <f t="shared" si="0"/>
        <v/>
      </c>
      <c r="I35" s="436" t="str">
        <f t="shared" si="1"/>
        <v/>
      </c>
      <c r="L35" s="436" t="str">
        <f t="shared" si="2"/>
        <v/>
      </c>
      <c r="M35" s="440"/>
      <c r="O35" s="436" t="str">
        <f t="shared" si="3"/>
        <v/>
      </c>
      <c r="P35" s="442"/>
      <c r="Q35" s="435"/>
      <c r="R35" s="436" t="str">
        <f t="shared" si="4"/>
        <v/>
      </c>
      <c r="S35" s="442"/>
    </row>
    <row r="36" spans="1:19" ht="13.15" customHeight="1">
      <c r="A36" s="63" t="s">
        <v>329</v>
      </c>
      <c r="B36" s="544">
        <f t="shared" si="5"/>
        <v>853</v>
      </c>
      <c r="C36" s="436">
        <f t="shared" si="6"/>
        <v>20.549265237292218</v>
      </c>
      <c r="E36" s="435">
        <f>E37+E43+E53+E55</f>
        <v>81</v>
      </c>
      <c r="F36" s="436">
        <f t="shared" si="0"/>
        <v>9.4958968347010551</v>
      </c>
      <c r="H36" s="435">
        <f>H37+H43+H53+H55</f>
        <v>41</v>
      </c>
      <c r="I36" s="436">
        <f t="shared" si="1"/>
        <v>4.8065650644783116</v>
      </c>
      <c r="K36" s="435">
        <f>K37+K43+K53+K55</f>
        <v>156</v>
      </c>
      <c r="L36" s="436">
        <f t="shared" si="2"/>
        <v>18.288393903868698</v>
      </c>
      <c r="M36" s="440"/>
      <c r="N36" s="435">
        <f>N37+N43+N53+N55</f>
        <v>361</v>
      </c>
      <c r="O36" s="436">
        <f t="shared" si="3"/>
        <v>42.321219226260261</v>
      </c>
      <c r="P36" s="442"/>
      <c r="Q36" s="435">
        <f>Q37+Q43+Q53+Q55</f>
        <v>214</v>
      </c>
      <c r="R36" s="436">
        <f t="shared" si="4"/>
        <v>25.087924970691677</v>
      </c>
      <c r="S36" s="442"/>
    </row>
    <row r="37" spans="1:19" ht="13.15" customHeight="1">
      <c r="A37" s="434" t="s">
        <v>36</v>
      </c>
      <c r="B37" s="544">
        <f t="shared" si="5"/>
        <v>224</v>
      </c>
      <c r="C37" s="436">
        <f t="shared" si="6"/>
        <v>5.3962900505902187</v>
      </c>
      <c r="E37" s="435">
        <f>SUM(E38:E41)</f>
        <v>11</v>
      </c>
      <c r="F37" s="436">
        <f t="shared" si="0"/>
        <v>4.9107142857142856</v>
      </c>
      <c r="H37" s="435">
        <f>SUM(H38:H41)</f>
        <v>12</v>
      </c>
      <c r="I37" s="436">
        <f t="shared" si="1"/>
        <v>5.3571428571428568</v>
      </c>
      <c r="K37" s="435">
        <f>SUM(K38:K41)</f>
        <v>43</v>
      </c>
      <c r="L37" s="436">
        <f t="shared" si="2"/>
        <v>19.196428571428573</v>
      </c>
      <c r="M37" s="440"/>
      <c r="N37" s="435">
        <f>SUM(N38:N41)</f>
        <v>125</v>
      </c>
      <c r="O37" s="436">
        <f t="shared" si="3"/>
        <v>55.803571428571431</v>
      </c>
      <c r="P37" s="442"/>
      <c r="Q37" s="435">
        <f>SUM(Q38:Q41)</f>
        <v>33</v>
      </c>
      <c r="R37" s="436">
        <f t="shared" si="4"/>
        <v>14.732142857142858</v>
      </c>
      <c r="S37" s="442"/>
    </row>
    <row r="38" spans="1:19" ht="13.15" customHeight="1">
      <c r="A38" s="434" t="s">
        <v>37</v>
      </c>
      <c r="B38" s="544">
        <f>IF($A38&lt;&gt;"",E38+H38+K38+N38+Q38,"")</f>
        <v>99</v>
      </c>
      <c r="C38" s="436">
        <f t="shared" si="6"/>
        <v>2.3849674777162133</v>
      </c>
      <c r="E38" s="434">
        <v>5</v>
      </c>
      <c r="F38" s="436">
        <f t="shared" si="0"/>
        <v>5.0505050505050502</v>
      </c>
      <c r="H38" s="434">
        <v>4</v>
      </c>
      <c r="I38" s="436">
        <f t="shared" si="1"/>
        <v>4.0404040404040407</v>
      </c>
      <c r="J38" s="434"/>
      <c r="K38" s="434">
        <v>14</v>
      </c>
      <c r="L38" s="436">
        <f t="shared" si="2"/>
        <v>14.14141414141414</v>
      </c>
      <c r="N38" s="434">
        <v>53</v>
      </c>
      <c r="O38" s="436">
        <f t="shared" si="3"/>
        <v>53.535353535353536</v>
      </c>
      <c r="Q38" s="434">
        <v>23</v>
      </c>
      <c r="R38" s="436">
        <f>IF($A38&lt;&gt;0,Q38/$B38*100,"")</f>
        <v>23.232323232323232</v>
      </c>
      <c r="S38" s="442"/>
    </row>
    <row r="39" spans="1:19" ht="13.15" customHeight="1">
      <c r="A39" s="434" t="s">
        <v>38</v>
      </c>
      <c r="B39" s="544">
        <f>IF($A39&lt;&gt;"",E39+H39+K39+N39+Q39,"")</f>
        <v>71</v>
      </c>
      <c r="C39" s="436">
        <f t="shared" si="6"/>
        <v>1.7104312213924353</v>
      </c>
      <c r="E39" s="434">
        <v>2</v>
      </c>
      <c r="F39" s="436">
        <f t="shared" si="0"/>
        <v>2.8169014084507045</v>
      </c>
      <c r="H39" s="434">
        <v>4</v>
      </c>
      <c r="I39" s="436">
        <f t="shared" si="1"/>
        <v>5.6338028169014089</v>
      </c>
      <c r="J39" s="434"/>
      <c r="K39" s="434">
        <v>17</v>
      </c>
      <c r="L39" s="436">
        <f t="shared" si="2"/>
        <v>23.943661971830984</v>
      </c>
      <c r="N39" s="434">
        <v>41</v>
      </c>
      <c r="O39" s="436">
        <f t="shared" si="3"/>
        <v>57.74647887323944</v>
      </c>
      <c r="Q39" s="434">
        <v>7</v>
      </c>
      <c r="R39" s="436">
        <f>IF($A39&lt;&gt;0,Q39/$B39*100,"")</f>
        <v>9.8591549295774641</v>
      </c>
      <c r="S39" s="442"/>
    </row>
    <row r="40" spans="1:19" ht="13.15" customHeight="1">
      <c r="A40" s="434" t="s">
        <v>39</v>
      </c>
      <c r="B40" s="544">
        <f>IF($A40&lt;&gt;"",E40+H40+K40+N40+Q40,"")</f>
        <v>28</v>
      </c>
      <c r="C40" s="436">
        <f t="shared" si="6"/>
        <v>0.67453625632377734</v>
      </c>
      <c r="E40" s="434">
        <v>1</v>
      </c>
      <c r="F40" s="436">
        <f t="shared" si="0"/>
        <v>3.5714285714285712</v>
      </c>
      <c r="H40" s="434">
        <v>1</v>
      </c>
      <c r="I40" s="436">
        <f t="shared" si="1"/>
        <v>3.5714285714285712</v>
      </c>
      <c r="J40" s="434"/>
      <c r="K40" s="434">
        <v>5</v>
      </c>
      <c r="L40" s="436">
        <f t="shared" si="2"/>
        <v>17.857142857142858</v>
      </c>
      <c r="N40" s="434">
        <v>18</v>
      </c>
      <c r="O40" s="436">
        <f t="shared" si="3"/>
        <v>64.285714285714292</v>
      </c>
      <c r="Q40" s="434">
        <v>3</v>
      </c>
      <c r="R40" s="436">
        <f>IF($A40&lt;&gt;0,Q40/$B40*100,"")</f>
        <v>10.714285714285714</v>
      </c>
      <c r="S40" s="442"/>
    </row>
    <row r="41" spans="1:19" ht="12" customHeight="1">
      <c r="A41" s="434" t="s">
        <v>40</v>
      </c>
      <c r="B41" s="544">
        <f>IF($A41&lt;&gt;"",E41+H41+K41+N41+Q41,"")</f>
        <v>26</v>
      </c>
      <c r="C41" s="436">
        <f t="shared" si="6"/>
        <v>0.62635509515779331</v>
      </c>
      <c r="E41" s="434">
        <v>3</v>
      </c>
      <c r="F41" s="436">
        <f t="shared" si="0"/>
        <v>11.538461538461538</v>
      </c>
      <c r="H41" s="434">
        <v>3</v>
      </c>
      <c r="I41" s="436">
        <f t="shared" si="1"/>
        <v>11.538461538461538</v>
      </c>
      <c r="J41" s="434"/>
      <c r="K41" s="434">
        <v>7</v>
      </c>
      <c r="L41" s="436">
        <f t="shared" si="2"/>
        <v>26.923076923076923</v>
      </c>
      <c r="N41" s="434">
        <v>13</v>
      </c>
      <c r="O41" s="436">
        <f t="shared" si="3"/>
        <v>50</v>
      </c>
      <c r="Q41" s="434">
        <v>0</v>
      </c>
      <c r="R41" s="436">
        <f>IF($A41&lt;&gt;0,Q41/$B41*100,"")</f>
        <v>0</v>
      </c>
      <c r="S41" s="442"/>
    </row>
    <row r="42" spans="1:19" ht="9.9499999999999993" customHeight="1">
      <c r="B42" s="544" t="str">
        <f t="shared" si="5"/>
        <v/>
      </c>
      <c r="C42" s="436" t="str">
        <f t="shared" si="6"/>
        <v/>
      </c>
      <c r="F42" s="436" t="str">
        <f t="shared" si="0"/>
        <v/>
      </c>
      <c r="I42" s="436" t="str">
        <f t="shared" si="1"/>
        <v/>
      </c>
      <c r="L42" s="436" t="str">
        <f t="shared" si="2"/>
        <v/>
      </c>
      <c r="M42" s="440"/>
      <c r="O42" s="436" t="str">
        <f t="shared" si="3"/>
        <v/>
      </c>
      <c r="P42" s="442"/>
      <c r="Q42" s="435"/>
      <c r="R42" s="436" t="str">
        <f t="shared" si="4"/>
        <v/>
      </c>
      <c r="S42" s="442"/>
    </row>
    <row r="43" spans="1:19" ht="13.15" customHeight="1">
      <c r="A43" s="434" t="s">
        <v>41</v>
      </c>
      <c r="B43" s="544">
        <f t="shared" si="5"/>
        <v>303</v>
      </c>
      <c r="C43" s="436">
        <f t="shared" si="6"/>
        <v>7.299445916646591</v>
      </c>
      <c r="E43" s="435">
        <f>SUM(E44:E51)</f>
        <v>38</v>
      </c>
      <c r="F43" s="436">
        <f t="shared" si="0"/>
        <v>12.541254125412541</v>
      </c>
      <c r="H43" s="435">
        <f>SUM(H44:H51)</f>
        <v>16</v>
      </c>
      <c r="I43" s="436">
        <f t="shared" si="1"/>
        <v>5.2805280528052805</v>
      </c>
      <c r="K43" s="435">
        <f>SUM(K44:K51)</f>
        <v>60</v>
      </c>
      <c r="L43" s="436">
        <f t="shared" si="2"/>
        <v>19.801980198019802</v>
      </c>
      <c r="M43" s="440"/>
      <c r="N43" s="435">
        <f>SUM(N44:N51)</f>
        <v>113</v>
      </c>
      <c r="O43" s="436">
        <f t="shared" si="3"/>
        <v>37.293729372937293</v>
      </c>
      <c r="P43" s="442"/>
      <c r="Q43" s="435">
        <f>SUM(Q44:Q51)</f>
        <v>76</v>
      </c>
      <c r="R43" s="436">
        <f t="shared" si="4"/>
        <v>25.082508250825082</v>
      </c>
      <c r="S43" s="442"/>
    </row>
    <row r="44" spans="1:19" ht="13.15" customHeight="1">
      <c r="A44" s="434" t="s">
        <v>43</v>
      </c>
      <c r="B44" s="544">
        <f t="shared" si="5"/>
        <v>41</v>
      </c>
      <c r="C44" s="436">
        <f t="shared" si="6"/>
        <v>0.98771380390267405</v>
      </c>
      <c r="E44" s="434">
        <v>3</v>
      </c>
      <c r="F44" s="436">
        <f t="shared" si="0"/>
        <v>7.3170731707317067</v>
      </c>
      <c r="H44" s="434">
        <v>5</v>
      </c>
      <c r="I44" s="436">
        <f t="shared" si="1"/>
        <v>12.195121951219512</v>
      </c>
      <c r="J44" s="434"/>
      <c r="K44" s="434">
        <v>13</v>
      </c>
      <c r="L44" s="436">
        <f t="shared" si="2"/>
        <v>31.707317073170731</v>
      </c>
      <c r="N44" s="434">
        <v>18</v>
      </c>
      <c r="O44" s="436">
        <f t="shared" si="3"/>
        <v>43.902439024390247</v>
      </c>
      <c r="Q44" s="434">
        <v>2</v>
      </c>
      <c r="R44" s="436">
        <f t="shared" si="4"/>
        <v>4.8780487804878048</v>
      </c>
      <c r="S44" s="442"/>
    </row>
    <row r="45" spans="1:19" ht="13.15" customHeight="1">
      <c r="A45" s="434" t="s">
        <v>330</v>
      </c>
      <c r="B45" s="544">
        <f t="shared" si="5"/>
        <v>16</v>
      </c>
      <c r="C45" s="436">
        <f>IF(A45&lt;&gt;0,B45/$B$11*100,"")</f>
        <v>0.38544928932787281</v>
      </c>
      <c r="E45" s="434">
        <v>3</v>
      </c>
      <c r="F45" s="436">
        <f t="shared" si="0"/>
        <v>18.75</v>
      </c>
      <c r="H45" s="434">
        <v>2</v>
      </c>
      <c r="I45" s="436">
        <f t="shared" si="1"/>
        <v>12.5</v>
      </c>
      <c r="J45" s="434"/>
      <c r="K45" s="434">
        <v>4</v>
      </c>
      <c r="L45" s="436">
        <f t="shared" si="2"/>
        <v>25</v>
      </c>
      <c r="N45" s="434">
        <v>7</v>
      </c>
      <c r="O45" s="436">
        <f t="shared" si="3"/>
        <v>43.75</v>
      </c>
      <c r="Q45" s="434">
        <v>0</v>
      </c>
      <c r="R45" s="436">
        <f t="shared" si="4"/>
        <v>0</v>
      </c>
      <c r="S45" s="442"/>
    </row>
    <row r="46" spans="1:19" ht="13.15" customHeight="1">
      <c r="A46" s="434" t="s">
        <v>42</v>
      </c>
      <c r="B46" s="544">
        <f t="shared" si="5"/>
        <v>28</v>
      </c>
      <c r="C46" s="436">
        <f>IF(A46&lt;&gt;0,B46/$B$11*100,"")</f>
        <v>0.67453625632377734</v>
      </c>
      <c r="E46" s="434">
        <v>3</v>
      </c>
      <c r="F46" s="436">
        <f t="shared" si="0"/>
        <v>10.714285714285714</v>
      </c>
      <c r="H46" s="434">
        <v>1</v>
      </c>
      <c r="I46" s="436">
        <f t="shared" si="1"/>
        <v>3.5714285714285712</v>
      </c>
      <c r="J46" s="434"/>
      <c r="K46" s="434">
        <v>5</v>
      </c>
      <c r="L46" s="436">
        <f t="shared" si="2"/>
        <v>17.857142857142858</v>
      </c>
      <c r="N46" s="434">
        <v>15</v>
      </c>
      <c r="O46" s="436">
        <f t="shared" si="3"/>
        <v>53.571428571428569</v>
      </c>
      <c r="Q46" s="434">
        <v>4</v>
      </c>
      <c r="R46" s="436"/>
      <c r="S46" s="442"/>
    </row>
    <row r="47" spans="1:19" ht="13.15" customHeight="1">
      <c r="A47" s="434" t="s">
        <v>44</v>
      </c>
      <c r="B47" s="544">
        <f t="shared" si="5"/>
        <v>35</v>
      </c>
      <c r="C47" s="436">
        <f t="shared" si="6"/>
        <v>0.84317032040472173</v>
      </c>
      <c r="E47" s="434">
        <v>7</v>
      </c>
      <c r="F47" s="436">
        <f t="shared" si="0"/>
        <v>20</v>
      </c>
      <c r="H47" s="434">
        <v>1</v>
      </c>
      <c r="I47" s="436">
        <f t="shared" si="1"/>
        <v>2.8571428571428572</v>
      </c>
      <c r="J47" s="434"/>
      <c r="K47" s="434">
        <v>6</v>
      </c>
      <c r="L47" s="436">
        <f t="shared" si="2"/>
        <v>17.142857142857142</v>
      </c>
      <c r="N47" s="434">
        <v>16</v>
      </c>
      <c r="O47" s="436">
        <f t="shared" si="3"/>
        <v>45.714285714285715</v>
      </c>
      <c r="Q47" s="434">
        <v>5</v>
      </c>
      <c r="R47" s="436">
        <f t="shared" si="4"/>
        <v>14.285714285714285</v>
      </c>
      <c r="S47" s="442"/>
    </row>
    <row r="48" spans="1:19" ht="13.15" customHeight="1">
      <c r="A48" s="434" t="s">
        <v>331</v>
      </c>
      <c r="B48" s="544">
        <f t="shared" si="5"/>
        <v>33</v>
      </c>
      <c r="C48" s="436">
        <f t="shared" si="6"/>
        <v>0.79498915923873759</v>
      </c>
      <c r="E48" s="434">
        <v>2</v>
      </c>
      <c r="F48" s="436">
        <f t="shared" si="0"/>
        <v>6.0606060606060606</v>
      </c>
      <c r="H48" s="434">
        <v>3</v>
      </c>
      <c r="I48" s="436">
        <f t="shared" si="1"/>
        <v>9.0909090909090917</v>
      </c>
      <c r="J48" s="434"/>
      <c r="K48" s="434">
        <v>6</v>
      </c>
      <c r="L48" s="436">
        <f t="shared" si="2"/>
        <v>18.181818181818183</v>
      </c>
      <c r="N48" s="434">
        <v>21</v>
      </c>
      <c r="O48" s="436">
        <f t="shared" si="3"/>
        <v>63.636363636363633</v>
      </c>
      <c r="Q48" s="434">
        <v>1</v>
      </c>
      <c r="R48" s="436">
        <f t="shared" si="4"/>
        <v>3.0303030303030303</v>
      </c>
      <c r="S48" s="442"/>
    </row>
    <row r="49" spans="1:19" ht="13.15" customHeight="1">
      <c r="A49" s="434" t="s">
        <v>48</v>
      </c>
      <c r="B49" s="544">
        <f t="shared" si="5"/>
        <v>16</v>
      </c>
      <c r="C49" s="436">
        <f t="shared" si="6"/>
        <v>0.38544928932787281</v>
      </c>
      <c r="E49" s="434">
        <v>7</v>
      </c>
      <c r="F49" s="436">
        <f t="shared" si="0"/>
        <v>43.75</v>
      </c>
      <c r="H49" s="434">
        <v>1</v>
      </c>
      <c r="I49" s="436">
        <f t="shared" si="1"/>
        <v>6.25</v>
      </c>
      <c r="J49" s="434"/>
      <c r="K49" s="434">
        <v>4</v>
      </c>
      <c r="L49" s="436">
        <f t="shared" si="2"/>
        <v>25</v>
      </c>
      <c r="N49" s="434">
        <v>4</v>
      </c>
      <c r="O49" s="436">
        <f t="shared" si="3"/>
        <v>25</v>
      </c>
      <c r="Q49" s="434">
        <v>0</v>
      </c>
      <c r="R49" s="436">
        <f t="shared" si="4"/>
        <v>0</v>
      </c>
      <c r="S49" s="442"/>
    </row>
    <row r="50" spans="1:19" ht="13.15" customHeight="1">
      <c r="A50" s="434" t="s">
        <v>47</v>
      </c>
      <c r="B50" s="544">
        <f t="shared" si="5"/>
        <v>96</v>
      </c>
      <c r="C50" s="436">
        <f t="shared" si="6"/>
        <v>2.3126957359672367</v>
      </c>
      <c r="E50" s="434">
        <v>2</v>
      </c>
      <c r="F50" s="436">
        <f t="shared" si="0"/>
        <v>2.083333333333333</v>
      </c>
      <c r="H50" s="434">
        <v>2</v>
      </c>
      <c r="I50" s="436">
        <f t="shared" si="1"/>
        <v>2.083333333333333</v>
      </c>
      <c r="J50" s="434"/>
      <c r="K50" s="434">
        <v>15</v>
      </c>
      <c r="L50" s="436">
        <f t="shared" si="2"/>
        <v>15.625</v>
      </c>
      <c r="N50" s="434">
        <v>20</v>
      </c>
      <c r="O50" s="436">
        <f t="shared" si="3"/>
        <v>20.833333333333336</v>
      </c>
      <c r="Q50" s="434">
        <v>57</v>
      </c>
      <c r="R50" s="436">
        <f t="shared" si="4"/>
        <v>59.375</v>
      </c>
      <c r="S50" s="442"/>
    </row>
    <row r="51" spans="1:19" ht="12" customHeight="1">
      <c r="A51" s="434" t="s">
        <v>46</v>
      </c>
      <c r="B51" s="544">
        <f t="shared" si="5"/>
        <v>38</v>
      </c>
      <c r="C51" s="436">
        <f t="shared" si="6"/>
        <v>0.91544206215369794</v>
      </c>
      <c r="E51" s="434">
        <v>11</v>
      </c>
      <c r="F51" s="436">
        <f t="shared" si="0"/>
        <v>28.947368421052634</v>
      </c>
      <c r="H51" s="434">
        <v>1</v>
      </c>
      <c r="I51" s="436">
        <f t="shared" si="1"/>
        <v>2.6315789473684208</v>
      </c>
      <c r="J51" s="434"/>
      <c r="K51" s="434">
        <v>7</v>
      </c>
      <c r="L51" s="436">
        <f t="shared" si="2"/>
        <v>18.421052631578945</v>
      </c>
      <c r="N51" s="434">
        <v>12</v>
      </c>
      <c r="O51" s="436">
        <f t="shared" si="3"/>
        <v>31.578947368421051</v>
      </c>
      <c r="Q51" s="434">
        <v>7</v>
      </c>
      <c r="R51" s="436">
        <f t="shared" si="4"/>
        <v>18.421052631578945</v>
      </c>
      <c r="S51" s="442"/>
    </row>
    <row r="52" spans="1:19" ht="9.9499999999999993" customHeight="1">
      <c r="B52" s="544" t="str">
        <f t="shared" si="5"/>
        <v/>
      </c>
      <c r="C52" s="436" t="str">
        <f t="shared" si="6"/>
        <v/>
      </c>
      <c r="E52" s="434"/>
      <c r="F52" s="436" t="str">
        <f t="shared" si="0"/>
        <v/>
      </c>
      <c r="H52" s="434"/>
      <c r="I52" s="436" t="str">
        <f t="shared" si="1"/>
        <v/>
      </c>
      <c r="J52" s="434"/>
      <c r="K52" s="434"/>
      <c r="L52" s="436" t="str">
        <f t="shared" si="2"/>
        <v/>
      </c>
      <c r="N52" s="434"/>
      <c r="O52" s="436" t="str">
        <f t="shared" si="3"/>
        <v/>
      </c>
      <c r="R52" s="436" t="str">
        <f t="shared" si="4"/>
        <v/>
      </c>
      <c r="S52" s="442"/>
    </row>
    <row r="53" spans="1:19" ht="12" customHeight="1">
      <c r="A53" s="434" t="s">
        <v>50</v>
      </c>
      <c r="B53" s="544">
        <f t="shared" si="5"/>
        <v>113</v>
      </c>
      <c r="C53" s="436">
        <f t="shared" si="6"/>
        <v>2.7222356058781019</v>
      </c>
      <c r="E53" s="434">
        <v>10</v>
      </c>
      <c r="F53" s="436">
        <f t="shared" si="0"/>
        <v>8.8495575221238933</v>
      </c>
      <c r="H53" s="434">
        <v>5</v>
      </c>
      <c r="I53" s="436">
        <f t="shared" si="1"/>
        <v>4.4247787610619467</v>
      </c>
      <c r="J53" s="434"/>
      <c r="K53" s="434">
        <v>18</v>
      </c>
      <c r="L53" s="436">
        <f t="shared" si="2"/>
        <v>15.929203539823009</v>
      </c>
      <c r="N53" s="434">
        <v>59</v>
      </c>
      <c r="O53" s="436">
        <f t="shared" si="3"/>
        <v>52.212389380530979</v>
      </c>
      <c r="Q53" s="434">
        <v>21</v>
      </c>
      <c r="R53" s="436">
        <f t="shared" si="4"/>
        <v>18.584070796460178</v>
      </c>
      <c r="S53" s="442"/>
    </row>
    <row r="54" spans="1:19" ht="9.9499999999999993" customHeight="1">
      <c r="B54" s="544" t="str">
        <f t="shared" si="5"/>
        <v/>
      </c>
      <c r="C54" s="436" t="str">
        <f t="shared" si="6"/>
        <v/>
      </c>
      <c r="F54" s="436" t="str">
        <f t="shared" si="0"/>
        <v/>
      </c>
      <c r="I54" s="436" t="str">
        <f t="shared" si="1"/>
        <v/>
      </c>
      <c r="L54" s="436" t="str">
        <f t="shared" si="2"/>
        <v/>
      </c>
      <c r="M54" s="440"/>
      <c r="O54" s="436" t="str">
        <f t="shared" si="3"/>
        <v/>
      </c>
      <c r="P54" s="442"/>
      <c r="Q54" s="435"/>
      <c r="R54" s="436" t="str">
        <f t="shared" si="4"/>
        <v/>
      </c>
      <c r="S54" s="442"/>
    </row>
    <row r="55" spans="1:19" ht="13.15" customHeight="1">
      <c r="A55" s="434" t="s">
        <v>51</v>
      </c>
      <c r="B55" s="544">
        <f t="shared" si="5"/>
        <v>213</v>
      </c>
      <c r="C55" s="436">
        <f t="shared" si="6"/>
        <v>5.1312936641773073</v>
      </c>
      <c r="E55" s="435">
        <f>SUM(E56:E60)</f>
        <v>22</v>
      </c>
      <c r="F55" s="436">
        <f t="shared" si="0"/>
        <v>10.328638497652582</v>
      </c>
      <c r="H55" s="435">
        <f>SUM(H56:H60)</f>
        <v>8</v>
      </c>
      <c r="I55" s="436">
        <f t="shared" si="1"/>
        <v>3.755868544600939</v>
      </c>
      <c r="K55" s="435">
        <f>SUM(K56:K60)</f>
        <v>35</v>
      </c>
      <c r="L55" s="436">
        <f t="shared" si="2"/>
        <v>16.431924882629108</v>
      </c>
      <c r="M55" s="440"/>
      <c r="N55" s="435">
        <f>SUM(N56:N60)</f>
        <v>64</v>
      </c>
      <c r="O55" s="436">
        <f t="shared" si="3"/>
        <v>30.046948356807512</v>
      </c>
      <c r="P55" s="442"/>
      <c r="Q55" s="435">
        <f>SUM(Q56:Q60)</f>
        <v>84</v>
      </c>
      <c r="R55" s="436">
        <f t="shared" si="4"/>
        <v>39.436619718309856</v>
      </c>
      <c r="S55" s="442"/>
    </row>
    <row r="56" spans="1:19" ht="13.15" customHeight="1">
      <c r="A56" s="434" t="s">
        <v>52</v>
      </c>
      <c r="B56" s="544">
        <f t="shared" si="5"/>
        <v>21</v>
      </c>
      <c r="C56" s="436">
        <f t="shared" si="6"/>
        <v>0.50590219224283306</v>
      </c>
      <c r="E56" s="434">
        <v>1</v>
      </c>
      <c r="F56" s="436">
        <f t="shared" si="0"/>
        <v>4.7619047619047619</v>
      </c>
      <c r="H56" s="434">
        <v>2</v>
      </c>
      <c r="I56" s="436">
        <f t="shared" si="1"/>
        <v>9.5238095238095237</v>
      </c>
      <c r="J56" s="434"/>
      <c r="K56" s="434">
        <v>3</v>
      </c>
      <c r="L56" s="436">
        <f t="shared" si="2"/>
        <v>14.285714285714285</v>
      </c>
      <c r="N56" s="434">
        <v>9</v>
      </c>
      <c r="O56" s="436">
        <f t="shared" si="3"/>
        <v>42.857142857142854</v>
      </c>
      <c r="Q56" s="434">
        <v>6</v>
      </c>
      <c r="R56" s="436">
        <f t="shared" si="4"/>
        <v>28.571428571428569</v>
      </c>
      <c r="S56" s="442"/>
    </row>
    <row r="57" spans="1:19" ht="13.15" customHeight="1">
      <c r="A57" s="434" t="s">
        <v>53</v>
      </c>
      <c r="B57" s="544">
        <f t="shared" si="5"/>
        <v>92</v>
      </c>
      <c r="C57" s="436">
        <f t="shared" si="6"/>
        <v>2.2163334136352688</v>
      </c>
      <c r="E57" s="434">
        <v>6</v>
      </c>
      <c r="F57" s="436">
        <f t="shared" si="0"/>
        <v>6.5217391304347823</v>
      </c>
      <c r="H57" s="434">
        <v>2</v>
      </c>
      <c r="I57" s="436">
        <f t="shared" si="1"/>
        <v>2.1739130434782608</v>
      </c>
      <c r="J57" s="434"/>
      <c r="K57" s="434">
        <v>16</v>
      </c>
      <c r="L57" s="436">
        <f t="shared" si="2"/>
        <v>17.391304347826086</v>
      </c>
      <c r="N57" s="434">
        <v>25</v>
      </c>
      <c r="O57" s="436">
        <f t="shared" si="3"/>
        <v>27.173913043478258</v>
      </c>
      <c r="Q57" s="434">
        <v>43</v>
      </c>
      <c r="R57" s="436">
        <f t="shared" si="4"/>
        <v>46.739130434782609</v>
      </c>
      <c r="S57" s="442"/>
    </row>
    <row r="58" spans="1:19" ht="13.15" customHeight="1">
      <c r="A58" s="434" t="s">
        <v>54</v>
      </c>
      <c r="B58" s="544">
        <f t="shared" si="5"/>
        <v>47</v>
      </c>
      <c r="C58" s="436">
        <f t="shared" si="6"/>
        <v>1.1322572874006263</v>
      </c>
      <c r="E58" s="434">
        <v>3</v>
      </c>
      <c r="F58" s="436">
        <f t="shared" si="0"/>
        <v>6.3829787234042552</v>
      </c>
      <c r="H58" s="434">
        <v>0</v>
      </c>
      <c r="I58" s="436">
        <f t="shared" si="1"/>
        <v>0</v>
      </c>
      <c r="J58" s="434"/>
      <c r="K58" s="434">
        <v>8</v>
      </c>
      <c r="L58" s="436">
        <f t="shared" si="2"/>
        <v>17.021276595744681</v>
      </c>
      <c r="N58" s="434">
        <v>13</v>
      </c>
      <c r="O58" s="436">
        <f t="shared" si="3"/>
        <v>27.659574468085108</v>
      </c>
      <c r="Q58" s="434">
        <v>23</v>
      </c>
      <c r="R58" s="436">
        <f t="shared" si="4"/>
        <v>48.936170212765958</v>
      </c>
      <c r="S58" s="442"/>
    </row>
    <row r="59" spans="1:19" ht="13.15" customHeight="1">
      <c r="A59" s="434" t="s">
        <v>332</v>
      </c>
      <c r="B59" s="544">
        <f t="shared" si="5"/>
        <v>23</v>
      </c>
      <c r="C59" s="436">
        <f t="shared" si="6"/>
        <v>0.5540833534088172</v>
      </c>
      <c r="E59" s="434">
        <v>5</v>
      </c>
      <c r="F59" s="436">
        <f t="shared" si="0"/>
        <v>21.739130434782609</v>
      </c>
      <c r="H59" s="434">
        <v>1</v>
      </c>
      <c r="I59" s="436">
        <f t="shared" si="1"/>
        <v>4.3478260869565215</v>
      </c>
      <c r="J59" s="434"/>
      <c r="K59" s="434">
        <v>3</v>
      </c>
      <c r="L59" s="436">
        <f t="shared" si="2"/>
        <v>13.043478260869565</v>
      </c>
      <c r="N59" s="434">
        <v>12</v>
      </c>
      <c r="O59" s="436">
        <f t="shared" si="3"/>
        <v>52.173913043478258</v>
      </c>
      <c r="Q59" s="434">
        <v>2</v>
      </c>
      <c r="R59" s="436">
        <f t="shared" si="4"/>
        <v>8.695652173913043</v>
      </c>
      <c r="S59" s="442"/>
    </row>
    <row r="60" spans="1:19" ht="12" customHeight="1">
      <c r="A60" s="434" t="s">
        <v>56</v>
      </c>
      <c r="B60" s="544">
        <f t="shared" si="5"/>
        <v>30</v>
      </c>
      <c r="C60" s="436">
        <f t="shared" si="6"/>
        <v>0.72271741748976148</v>
      </c>
      <c r="E60" s="434">
        <v>7</v>
      </c>
      <c r="F60" s="436">
        <f t="shared" si="0"/>
        <v>23.333333333333332</v>
      </c>
      <c r="H60" s="434">
        <v>3</v>
      </c>
      <c r="I60" s="436">
        <f t="shared" si="1"/>
        <v>10</v>
      </c>
      <c r="J60" s="434"/>
      <c r="K60" s="434">
        <v>5</v>
      </c>
      <c r="L60" s="436">
        <f t="shared" si="2"/>
        <v>16.666666666666664</v>
      </c>
      <c r="N60" s="434">
        <v>5</v>
      </c>
      <c r="O60" s="436">
        <f t="shared" si="3"/>
        <v>16.666666666666664</v>
      </c>
      <c r="Q60" s="434">
        <v>10</v>
      </c>
      <c r="R60" s="436">
        <f t="shared" si="4"/>
        <v>33.333333333333329</v>
      </c>
      <c r="S60" s="442"/>
    </row>
    <row r="61" spans="1:19" ht="9.9499999999999993" customHeight="1">
      <c r="B61" s="544" t="str">
        <f t="shared" si="5"/>
        <v/>
      </c>
      <c r="C61" s="436" t="str">
        <f t="shared" si="6"/>
        <v/>
      </c>
      <c r="F61" s="436" t="str">
        <f t="shared" si="0"/>
        <v/>
      </c>
      <c r="I61" s="436" t="str">
        <f t="shared" si="1"/>
        <v/>
      </c>
      <c r="L61" s="436" t="str">
        <f t="shared" si="2"/>
        <v/>
      </c>
      <c r="M61" s="440"/>
      <c r="O61" s="436" t="str">
        <f t="shared" si="3"/>
        <v/>
      </c>
      <c r="P61" s="442"/>
      <c r="Q61" s="435"/>
      <c r="R61" s="436" t="str">
        <f t="shared" si="4"/>
        <v/>
      </c>
      <c r="S61" s="442"/>
    </row>
    <row r="62" spans="1:19" ht="13.15" customHeight="1">
      <c r="A62" s="63" t="s">
        <v>333</v>
      </c>
      <c r="B62" s="544">
        <f t="shared" si="5"/>
        <v>840</v>
      </c>
      <c r="C62" s="436">
        <f t="shared" si="6"/>
        <v>20.236087689713322</v>
      </c>
      <c r="E62" s="435">
        <f>E63+E65+E72+E74</f>
        <v>95</v>
      </c>
      <c r="F62" s="436">
        <f t="shared" si="0"/>
        <v>11.30952380952381</v>
      </c>
      <c r="H62" s="435">
        <f>H63+H65+H72+H74</f>
        <v>26</v>
      </c>
      <c r="I62" s="436">
        <f t="shared" si="1"/>
        <v>3.0952380952380953</v>
      </c>
      <c r="K62" s="435">
        <f>K63+K65+K72+K74</f>
        <v>51</v>
      </c>
      <c r="L62" s="436">
        <f t="shared" si="2"/>
        <v>6.0714285714285712</v>
      </c>
      <c r="M62" s="440"/>
      <c r="N62" s="435">
        <f>N63+N65+N72+N74</f>
        <v>145</v>
      </c>
      <c r="O62" s="436">
        <f t="shared" si="3"/>
        <v>17.261904761904763</v>
      </c>
      <c r="P62" s="442"/>
      <c r="Q62" s="435">
        <f>Q63+Q65+Q72+Q74</f>
        <v>523</v>
      </c>
      <c r="R62" s="436">
        <f t="shared" si="4"/>
        <v>62.261904761904759</v>
      </c>
      <c r="S62" s="442"/>
    </row>
    <row r="63" spans="1:19" ht="12" customHeight="1">
      <c r="A63" s="434" t="s">
        <v>334</v>
      </c>
      <c r="B63" s="544">
        <f t="shared" si="5"/>
        <v>67</v>
      </c>
      <c r="C63" s="436">
        <f t="shared" si="6"/>
        <v>1.6140688990604675</v>
      </c>
      <c r="E63" s="434">
        <v>13</v>
      </c>
      <c r="F63" s="436">
        <f t="shared" si="0"/>
        <v>19.402985074626866</v>
      </c>
      <c r="H63" s="434">
        <v>2</v>
      </c>
      <c r="I63" s="436">
        <f t="shared" si="1"/>
        <v>2.9850746268656714</v>
      </c>
      <c r="J63" s="434"/>
      <c r="K63" s="434">
        <v>3</v>
      </c>
      <c r="L63" s="436">
        <f t="shared" si="2"/>
        <v>4.4776119402985071</v>
      </c>
      <c r="N63" s="434">
        <v>2</v>
      </c>
      <c r="O63" s="436">
        <f t="shared" si="3"/>
        <v>2.9850746268656714</v>
      </c>
      <c r="Q63" s="434">
        <v>47</v>
      </c>
      <c r="R63" s="436">
        <f t="shared" si="4"/>
        <v>70.149253731343293</v>
      </c>
      <c r="S63" s="442"/>
    </row>
    <row r="64" spans="1:19" ht="9.9499999999999993" customHeight="1">
      <c r="B64" s="544" t="str">
        <f t="shared" si="5"/>
        <v/>
      </c>
      <c r="C64" s="436" t="str">
        <f t="shared" si="6"/>
        <v/>
      </c>
      <c r="F64" s="436" t="str">
        <f t="shared" si="0"/>
        <v/>
      </c>
      <c r="I64" s="436" t="str">
        <f t="shared" si="1"/>
        <v/>
      </c>
      <c r="L64" s="436" t="str">
        <f t="shared" si="2"/>
        <v/>
      </c>
      <c r="M64" s="440"/>
      <c r="O64" s="436" t="str">
        <f t="shared" si="3"/>
        <v/>
      </c>
      <c r="P64" s="442"/>
      <c r="Q64" s="435"/>
      <c r="R64" s="436" t="str">
        <f t="shared" si="4"/>
        <v/>
      </c>
      <c r="S64" s="442"/>
    </row>
    <row r="65" spans="1:19" ht="13.15" customHeight="1">
      <c r="A65" s="434" t="s">
        <v>60</v>
      </c>
      <c r="B65" s="544">
        <f t="shared" si="5"/>
        <v>606</v>
      </c>
      <c r="C65" s="436">
        <f t="shared" si="6"/>
        <v>14.598891833293182</v>
      </c>
      <c r="E65" s="435">
        <f>SUM(E66:E70)</f>
        <v>54</v>
      </c>
      <c r="F65" s="436">
        <f t="shared" si="0"/>
        <v>8.9108910891089099</v>
      </c>
      <c r="H65" s="435">
        <f>SUM(H66:H70)</f>
        <v>15</v>
      </c>
      <c r="I65" s="436">
        <f t="shared" si="1"/>
        <v>2.4752475247524752</v>
      </c>
      <c r="K65" s="435">
        <f>SUM(K66:K70)</f>
        <v>33</v>
      </c>
      <c r="L65" s="436">
        <f t="shared" si="2"/>
        <v>5.4455445544554459</v>
      </c>
      <c r="M65" s="440"/>
      <c r="N65" s="435">
        <f>SUM(N66:N70)</f>
        <v>120</v>
      </c>
      <c r="O65" s="436">
        <f t="shared" si="3"/>
        <v>19.801980198019802</v>
      </c>
      <c r="P65" s="442"/>
      <c r="Q65" s="435">
        <f>SUM(Q66:Q70)</f>
        <v>384</v>
      </c>
      <c r="R65" s="436">
        <f t="shared" si="4"/>
        <v>63.366336633663366</v>
      </c>
      <c r="S65" s="442"/>
    </row>
    <row r="66" spans="1:19" ht="13.15" customHeight="1">
      <c r="A66" s="434" t="s">
        <v>395</v>
      </c>
      <c r="B66" s="544">
        <f t="shared" si="5"/>
        <v>382</v>
      </c>
      <c r="C66" s="436">
        <f t="shared" si="6"/>
        <v>9.2026017827029634</v>
      </c>
      <c r="E66" s="434">
        <v>15</v>
      </c>
      <c r="F66" s="436">
        <f t="shared" si="0"/>
        <v>3.9267015706806281</v>
      </c>
      <c r="H66" s="434">
        <v>7</v>
      </c>
      <c r="I66" s="436">
        <f t="shared" si="1"/>
        <v>1.832460732984293</v>
      </c>
      <c r="J66" s="434"/>
      <c r="K66" s="434">
        <v>10</v>
      </c>
      <c r="L66" s="436">
        <f t="shared" si="2"/>
        <v>2.6178010471204187</v>
      </c>
      <c r="N66" s="434">
        <v>37</v>
      </c>
      <c r="O66" s="436">
        <f t="shared" si="3"/>
        <v>9.6858638743455501</v>
      </c>
      <c r="Q66" s="434">
        <v>313</v>
      </c>
      <c r="R66" s="436">
        <f t="shared" si="4"/>
        <v>81.937172774869111</v>
      </c>
      <c r="S66" s="442"/>
    </row>
    <row r="67" spans="1:19" ht="13.15" customHeight="1">
      <c r="A67" s="434" t="s">
        <v>62</v>
      </c>
      <c r="B67" s="544">
        <f t="shared" si="5"/>
        <v>38</v>
      </c>
      <c r="C67" s="436">
        <f t="shared" si="6"/>
        <v>0.91544206215369794</v>
      </c>
      <c r="E67" s="434">
        <v>21</v>
      </c>
      <c r="F67" s="436">
        <f t="shared" si="0"/>
        <v>55.26315789473685</v>
      </c>
      <c r="H67" s="434">
        <v>0</v>
      </c>
      <c r="I67" s="436">
        <f t="shared" si="1"/>
        <v>0</v>
      </c>
      <c r="J67" s="434"/>
      <c r="K67" s="434">
        <v>9</v>
      </c>
      <c r="L67" s="436">
        <f t="shared" si="2"/>
        <v>23.684210526315788</v>
      </c>
      <c r="N67" s="434">
        <v>6</v>
      </c>
      <c r="O67" s="436">
        <f t="shared" si="3"/>
        <v>15.789473684210526</v>
      </c>
      <c r="Q67" s="434">
        <v>2</v>
      </c>
      <c r="R67" s="436">
        <f t="shared" si="4"/>
        <v>5.2631578947368416</v>
      </c>
      <c r="S67" s="442"/>
    </row>
    <row r="68" spans="1:19" ht="13.15" customHeight="1">
      <c r="A68" s="434" t="s">
        <v>64</v>
      </c>
      <c r="B68" s="544">
        <f t="shared" si="5"/>
        <v>37</v>
      </c>
      <c r="C68" s="436">
        <f t="shared" si="6"/>
        <v>0.89135148157070587</v>
      </c>
      <c r="E68" s="434">
        <v>6</v>
      </c>
      <c r="F68" s="436">
        <f t="shared" si="0"/>
        <v>16.216216216216218</v>
      </c>
      <c r="H68" s="434">
        <v>4</v>
      </c>
      <c r="I68" s="436">
        <f t="shared" si="1"/>
        <v>10.810810810810811</v>
      </c>
      <c r="J68" s="434"/>
      <c r="K68" s="434">
        <v>1</v>
      </c>
      <c r="L68" s="436">
        <f t="shared" si="2"/>
        <v>2.7027027027027026</v>
      </c>
      <c r="N68" s="434">
        <v>11</v>
      </c>
      <c r="O68" s="436">
        <f t="shared" si="3"/>
        <v>29.72972972972973</v>
      </c>
      <c r="Q68" s="434">
        <v>15</v>
      </c>
      <c r="R68" s="436">
        <f t="shared" si="4"/>
        <v>40.54054054054054</v>
      </c>
      <c r="S68" s="442"/>
    </row>
    <row r="69" spans="1:19" ht="12" customHeight="1">
      <c r="A69" s="434" t="s">
        <v>63</v>
      </c>
      <c r="B69" s="544">
        <f t="shared" si="5"/>
        <v>24</v>
      </c>
      <c r="C69" s="436">
        <f t="shared" si="6"/>
        <v>0.57817393399180916</v>
      </c>
      <c r="E69" s="434">
        <v>5</v>
      </c>
      <c r="F69" s="436">
        <f t="shared" si="0"/>
        <v>20.833333333333336</v>
      </c>
      <c r="H69" s="434">
        <v>1</v>
      </c>
      <c r="I69" s="436">
        <f t="shared" si="1"/>
        <v>4.1666666666666661</v>
      </c>
      <c r="J69" s="434"/>
      <c r="K69" s="434">
        <v>4</v>
      </c>
      <c r="L69" s="436">
        <f t="shared" si="2"/>
        <v>16.666666666666664</v>
      </c>
      <c r="N69" s="434">
        <v>8</v>
      </c>
      <c r="O69" s="436">
        <f t="shared" si="3"/>
        <v>33.333333333333329</v>
      </c>
      <c r="Q69" s="434">
        <v>6</v>
      </c>
      <c r="R69" s="436">
        <f t="shared" si="4"/>
        <v>25</v>
      </c>
      <c r="S69" s="442"/>
    </row>
    <row r="70" spans="1:19" ht="13.15" customHeight="1">
      <c r="A70" s="434" t="s">
        <v>65</v>
      </c>
      <c r="B70" s="544">
        <f t="shared" si="5"/>
        <v>125</v>
      </c>
      <c r="C70" s="436">
        <f t="shared" si="6"/>
        <v>3.0113225728740063</v>
      </c>
      <c r="E70" s="434">
        <v>7</v>
      </c>
      <c r="F70" s="436">
        <f t="shared" si="0"/>
        <v>5.6000000000000005</v>
      </c>
      <c r="H70" s="434">
        <v>3</v>
      </c>
      <c r="I70" s="436">
        <f t="shared" si="1"/>
        <v>2.4</v>
      </c>
      <c r="J70" s="434"/>
      <c r="K70" s="434">
        <v>9</v>
      </c>
      <c r="L70" s="436">
        <f t="shared" si="2"/>
        <v>7.1999999999999993</v>
      </c>
      <c r="N70" s="434">
        <v>58</v>
      </c>
      <c r="O70" s="436">
        <f t="shared" si="3"/>
        <v>46.400000000000006</v>
      </c>
      <c r="Q70" s="434">
        <v>48</v>
      </c>
      <c r="R70" s="436">
        <f t="shared" si="4"/>
        <v>38.4</v>
      </c>
      <c r="S70" s="442"/>
    </row>
    <row r="71" spans="1:19" ht="9.9499999999999993" customHeight="1">
      <c r="B71" s="544" t="str">
        <f t="shared" si="5"/>
        <v/>
      </c>
      <c r="C71" s="436" t="str">
        <f t="shared" si="6"/>
        <v/>
      </c>
      <c r="E71" s="434"/>
      <c r="F71" s="436" t="str">
        <f t="shared" si="0"/>
        <v/>
      </c>
      <c r="H71" s="434"/>
      <c r="I71" s="436" t="str">
        <f t="shared" si="1"/>
        <v/>
      </c>
      <c r="J71" s="434"/>
      <c r="K71" s="434"/>
      <c r="L71" s="436" t="str">
        <f t="shared" si="2"/>
        <v/>
      </c>
      <c r="N71" s="434"/>
      <c r="O71" s="436" t="str">
        <f t="shared" si="3"/>
        <v/>
      </c>
      <c r="R71" s="436" t="str">
        <f t="shared" si="4"/>
        <v/>
      </c>
      <c r="S71" s="442"/>
    </row>
    <row r="72" spans="1:19" ht="13.15" customHeight="1">
      <c r="A72" s="434" t="s">
        <v>66</v>
      </c>
      <c r="B72" s="544">
        <f t="shared" si="5"/>
        <v>54</v>
      </c>
      <c r="C72" s="436">
        <f t="shared" si="6"/>
        <v>1.3008913514815708</v>
      </c>
      <c r="E72" s="434">
        <v>18</v>
      </c>
      <c r="F72" s="436">
        <f t="shared" si="0"/>
        <v>33.333333333333329</v>
      </c>
      <c r="H72" s="434">
        <v>3</v>
      </c>
      <c r="I72" s="436">
        <f t="shared" si="1"/>
        <v>5.5555555555555554</v>
      </c>
      <c r="J72" s="434"/>
      <c r="K72" s="434">
        <v>2</v>
      </c>
      <c r="L72" s="436">
        <f t="shared" si="2"/>
        <v>3.7037037037037033</v>
      </c>
      <c r="N72" s="434">
        <v>6</v>
      </c>
      <c r="O72" s="436">
        <f t="shared" si="3"/>
        <v>11.111111111111111</v>
      </c>
      <c r="Q72" s="434">
        <v>25</v>
      </c>
      <c r="R72" s="436">
        <f t="shared" si="4"/>
        <v>46.296296296296298</v>
      </c>
      <c r="S72" s="442"/>
    </row>
    <row r="73" spans="1:19" ht="9.9499999999999993" customHeight="1">
      <c r="B73" s="544" t="str">
        <f t="shared" si="5"/>
        <v/>
      </c>
      <c r="C73" s="436" t="str">
        <f t="shared" si="6"/>
        <v/>
      </c>
      <c r="E73" s="434"/>
      <c r="F73" s="436" t="str">
        <f t="shared" si="0"/>
        <v/>
      </c>
      <c r="H73" s="434"/>
      <c r="I73" s="436" t="str">
        <f t="shared" si="1"/>
        <v/>
      </c>
      <c r="J73" s="434"/>
      <c r="K73" s="434"/>
      <c r="L73" s="436" t="str">
        <f t="shared" si="2"/>
        <v/>
      </c>
      <c r="N73" s="434"/>
      <c r="O73" s="436" t="str">
        <f t="shared" si="3"/>
        <v/>
      </c>
      <c r="R73" s="436" t="str">
        <f t="shared" si="4"/>
        <v/>
      </c>
      <c r="S73" s="442"/>
    </row>
    <row r="74" spans="1:19" ht="13.15" customHeight="1">
      <c r="A74" s="434" t="s">
        <v>67</v>
      </c>
      <c r="B74" s="544">
        <f t="shared" si="5"/>
        <v>113</v>
      </c>
      <c r="C74" s="436">
        <f t="shared" si="6"/>
        <v>2.7222356058781019</v>
      </c>
      <c r="E74" s="434">
        <v>10</v>
      </c>
      <c r="F74" s="436">
        <f t="shared" si="0"/>
        <v>8.8495575221238933</v>
      </c>
      <c r="H74" s="434">
        <v>6</v>
      </c>
      <c r="I74" s="436">
        <f t="shared" si="1"/>
        <v>5.3097345132743365</v>
      </c>
      <c r="J74" s="434"/>
      <c r="K74" s="434">
        <v>13</v>
      </c>
      <c r="L74" s="436">
        <f t="shared" si="2"/>
        <v>11.504424778761061</v>
      </c>
      <c r="N74" s="434">
        <v>17</v>
      </c>
      <c r="O74" s="436">
        <f t="shared" si="3"/>
        <v>15.044247787610621</v>
      </c>
      <c r="Q74" s="434">
        <v>67</v>
      </c>
      <c r="R74" s="436">
        <f t="shared" si="4"/>
        <v>59.292035398230091</v>
      </c>
      <c r="S74" s="442"/>
    </row>
    <row r="75" spans="1:19" ht="9.9499999999999993" customHeight="1">
      <c r="B75" s="544" t="str">
        <f t="shared" si="5"/>
        <v/>
      </c>
      <c r="C75" s="436" t="str">
        <f t="shared" si="6"/>
        <v/>
      </c>
      <c r="F75" s="436" t="str">
        <f t="shared" si="0"/>
        <v/>
      </c>
      <c r="I75" s="436" t="str">
        <f t="shared" si="1"/>
        <v/>
      </c>
      <c r="L75" s="436" t="str">
        <f t="shared" si="2"/>
        <v/>
      </c>
      <c r="M75" s="440"/>
      <c r="O75" s="436" t="str">
        <f t="shared" si="3"/>
        <v/>
      </c>
      <c r="P75" s="442"/>
      <c r="Q75" s="435"/>
      <c r="R75" s="436" t="str">
        <f t="shared" si="4"/>
        <v/>
      </c>
      <c r="S75" s="442"/>
    </row>
    <row r="76" spans="1:19" ht="13.15" customHeight="1">
      <c r="A76" s="63" t="s">
        <v>336</v>
      </c>
      <c r="B76" s="544">
        <f t="shared" si="5"/>
        <v>51</v>
      </c>
      <c r="C76" s="436">
        <f t="shared" si="6"/>
        <v>1.2286196097325945</v>
      </c>
      <c r="E76" s="435">
        <f>E77</f>
        <v>18</v>
      </c>
      <c r="F76" s="436">
        <f t="shared" ref="F76:F114" si="7">IF($A76&lt;&gt;0,E76/$B76*100,"")</f>
        <v>35.294117647058826</v>
      </c>
      <c r="H76" s="435">
        <f>H77</f>
        <v>3</v>
      </c>
      <c r="I76" s="436">
        <f t="shared" ref="I76:I114" si="8">IF($A76&lt;&gt;0,H76/$B76*100,"")</f>
        <v>5.8823529411764701</v>
      </c>
      <c r="K76" s="435">
        <f>K77</f>
        <v>10</v>
      </c>
      <c r="L76" s="436">
        <f t="shared" ref="L76:L114" si="9">IF($A76&lt;&gt;0,K76/$B76*100,"")</f>
        <v>19.607843137254903</v>
      </c>
      <c r="M76" s="440"/>
      <c r="N76" s="435">
        <f>N77</f>
        <v>13</v>
      </c>
      <c r="O76" s="436">
        <f t="shared" ref="O76:O114" si="10">IF($A76&lt;&gt;0,N76/$B76*100,"")</f>
        <v>25.490196078431371</v>
      </c>
      <c r="P76" s="442"/>
      <c r="Q76" s="435">
        <f>Q77</f>
        <v>7</v>
      </c>
      <c r="R76" s="436">
        <f t="shared" ref="R76:R114" si="11">IF($A76&lt;&gt;0,Q76/$B76*100,"")</f>
        <v>13.725490196078432</v>
      </c>
      <c r="S76" s="442"/>
    </row>
    <row r="77" spans="1:19" ht="13.15" customHeight="1">
      <c r="A77" s="434" t="s">
        <v>337</v>
      </c>
      <c r="B77" s="544">
        <f t="shared" ref="B77:B114" si="12">IF($A77&lt;&gt;"",E77+H77+K77+N77+Q77,"")</f>
        <v>51</v>
      </c>
      <c r="C77" s="436">
        <f t="shared" si="6"/>
        <v>1.2286196097325945</v>
      </c>
      <c r="E77" s="435">
        <f>SUM(E78:E81)</f>
        <v>18</v>
      </c>
      <c r="F77" s="436">
        <f t="shared" si="7"/>
        <v>35.294117647058826</v>
      </c>
      <c r="H77" s="435">
        <f>SUM(H78:H81)</f>
        <v>3</v>
      </c>
      <c r="I77" s="436">
        <f t="shared" si="8"/>
        <v>5.8823529411764701</v>
      </c>
      <c r="K77" s="435">
        <f>SUM(K78:K81)</f>
        <v>10</v>
      </c>
      <c r="L77" s="436">
        <f t="shared" si="9"/>
        <v>19.607843137254903</v>
      </c>
      <c r="M77" s="440"/>
      <c r="N77" s="435">
        <f>SUM(N78:N81)</f>
        <v>13</v>
      </c>
      <c r="O77" s="436">
        <f t="shared" si="10"/>
        <v>25.490196078431371</v>
      </c>
      <c r="P77" s="442"/>
      <c r="Q77" s="435">
        <f>SUM(Q78:Q81)</f>
        <v>7</v>
      </c>
      <c r="R77" s="436">
        <f t="shared" si="11"/>
        <v>13.725490196078432</v>
      </c>
      <c r="S77" s="442"/>
    </row>
    <row r="78" spans="1:19" ht="13.15" customHeight="1">
      <c r="A78" s="434" t="s">
        <v>70</v>
      </c>
      <c r="B78" s="544">
        <f t="shared" si="12"/>
        <v>17</v>
      </c>
      <c r="C78" s="436">
        <f t="shared" si="6"/>
        <v>0.40953986991086488</v>
      </c>
      <c r="E78" s="434">
        <v>1</v>
      </c>
      <c r="F78" s="436">
        <f t="shared" si="7"/>
        <v>5.8823529411764701</v>
      </c>
      <c r="H78" s="434">
        <v>3</v>
      </c>
      <c r="I78" s="436">
        <f t="shared" si="8"/>
        <v>17.647058823529413</v>
      </c>
      <c r="J78" s="434"/>
      <c r="K78" s="434">
        <v>2</v>
      </c>
      <c r="L78" s="436">
        <f t="shared" si="9"/>
        <v>11.76470588235294</v>
      </c>
      <c r="N78" s="434">
        <v>7</v>
      </c>
      <c r="O78" s="436">
        <f t="shared" si="10"/>
        <v>41.17647058823529</v>
      </c>
      <c r="Q78" s="434">
        <v>4</v>
      </c>
      <c r="R78" s="436">
        <f t="shared" si="11"/>
        <v>23.52941176470588</v>
      </c>
      <c r="S78" s="442"/>
    </row>
    <row r="79" spans="1:19" ht="13.15" customHeight="1">
      <c r="A79" s="434" t="s">
        <v>71</v>
      </c>
      <c r="B79" s="544">
        <f t="shared" si="12"/>
        <v>12</v>
      </c>
      <c r="C79" s="436">
        <f t="shared" si="6"/>
        <v>0.28908696699590458</v>
      </c>
      <c r="E79" s="434">
        <v>6</v>
      </c>
      <c r="F79" s="436">
        <f t="shared" si="7"/>
        <v>50</v>
      </c>
      <c r="H79" s="434">
        <v>0</v>
      </c>
      <c r="I79" s="436">
        <f t="shared" si="8"/>
        <v>0</v>
      </c>
      <c r="J79" s="434"/>
      <c r="K79" s="434">
        <v>4</v>
      </c>
      <c r="L79" s="436">
        <f t="shared" si="9"/>
        <v>33.333333333333329</v>
      </c>
      <c r="N79" s="434">
        <v>1</v>
      </c>
      <c r="O79" s="436">
        <f t="shared" si="10"/>
        <v>8.3333333333333321</v>
      </c>
      <c r="Q79" s="434">
        <v>1</v>
      </c>
      <c r="R79" s="436">
        <f t="shared" si="11"/>
        <v>8.3333333333333321</v>
      </c>
      <c r="S79" s="442"/>
    </row>
    <row r="80" spans="1:19" ht="12" customHeight="1">
      <c r="A80" s="434" t="s">
        <v>72</v>
      </c>
      <c r="B80" s="544">
        <f t="shared" si="12"/>
        <v>13</v>
      </c>
      <c r="C80" s="436">
        <f t="shared" si="6"/>
        <v>0.31317754757889665</v>
      </c>
      <c r="E80" s="434">
        <v>8</v>
      </c>
      <c r="F80" s="436">
        <f t="shared" si="7"/>
        <v>61.53846153846154</v>
      </c>
      <c r="H80" s="434">
        <v>0</v>
      </c>
      <c r="I80" s="436">
        <f t="shared" si="8"/>
        <v>0</v>
      </c>
      <c r="J80" s="434"/>
      <c r="K80" s="434">
        <v>0</v>
      </c>
      <c r="L80" s="436">
        <f t="shared" si="9"/>
        <v>0</v>
      </c>
      <c r="N80" s="434">
        <v>3</v>
      </c>
      <c r="O80" s="436">
        <f t="shared" si="10"/>
        <v>23.076923076923077</v>
      </c>
      <c r="Q80" s="434">
        <v>2</v>
      </c>
      <c r="R80" s="436">
        <f t="shared" si="11"/>
        <v>15.384615384615385</v>
      </c>
      <c r="S80" s="442"/>
    </row>
    <row r="81" spans="1:19" ht="13.15" customHeight="1">
      <c r="A81" s="434" t="s">
        <v>73</v>
      </c>
      <c r="B81" s="544">
        <f t="shared" si="12"/>
        <v>9</v>
      </c>
      <c r="C81" s="436">
        <f t="shared" si="6"/>
        <v>0.21681522524692848</v>
      </c>
      <c r="E81" s="434">
        <v>3</v>
      </c>
      <c r="F81" s="436">
        <f t="shared" si="7"/>
        <v>33.333333333333329</v>
      </c>
      <c r="H81" s="434">
        <v>0</v>
      </c>
      <c r="I81" s="436">
        <f t="shared" si="8"/>
        <v>0</v>
      </c>
      <c r="J81" s="434"/>
      <c r="K81" s="434">
        <v>4</v>
      </c>
      <c r="L81" s="436">
        <f t="shared" si="9"/>
        <v>44.444444444444443</v>
      </c>
      <c r="N81" s="434">
        <v>2</v>
      </c>
      <c r="O81" s="436">
        <f t="shared" si="10"/>
        <v>22.222222222222221</v>
      </c>
      <c r="Q81" s="434">
        <v>0</v>
      </c>
      <c r="R81" s="436">
        <f t="shared" si="11"/>
        <v>0</v>
      </c>
      <c r="S81" s="442"/>
    </row>
    <row r="82" spans="1:19" ht="9.9499999999999993" customHeight="1">
      <c r="B82" s="544" t="str">
        <f t="shared" si="12"/>
        <v/>
      </c>
      <c r="C82" s="436" t="str">
        <f t="shared" si="6"/>
        <v/>
      </c>
      <c r="F82" s="436" t="str">
        <f t="shared" si="7"/>
        <v/>
      </c>
      <c r="I82" s="436" t="str">
        <f t="shared" si="8"/>
        <v/>
      </c>
      <c r="L82" s="436" t="str">
        <f t="shared" si="9"/>
        <v/>
      </c>
      <c r="M82" s="440"/>
      <c r="O82" s="436" t="str">
        <f t="shared" si="10"/>
        <v/>
      </c>
      <c r="P82" s="442"/>
      <c r="Q82" s="435"/>
      <c r="R82" s="436" t="str">
        <f t="shared" si="11"/>
        <v/>
      </c>
      <c r="S82" s="442"/>
    </row>
    <row r="83" spans="1:19" s="63" customFormat="1" ht="12.75" customHeight="1">
      <c r="A83" s="63" t="s">
        <v>396</v>
      </c>
      <c r="B83" s="544">
        <f t="shared" si="12"/>
        <v>337</v>
      </c>
      <c r="C83" s="436">
        <f t="shared" ref="C83:C97" si="13">IF(A83&lt;&gt;0,B83/$B$11*100,"")</f>
        <v>8.1185256564683215</v>
      </c>
      <c r="E83" s="93">
        <f>SUM(E84)</f>
        <v>56</v>
      </c>
      <c r="F83" s="436">
        <f t="shared" si="7"/>
        <v>16.61721068249258</v>
      </c>
      <c r="G83" s="42"/>
      <c r="H83" s="93">
        <f>SUM(H84)</f>
        <v>19</v>
      </c>
      <c r="I83" s="436">
        <f t="shared" si="8"/>
        <v>5.637982195845697</v>
      </c>
      <c r="J83" s="94"/>
      <c r="K83" s="93">
        <f>SUM(K84)</f>
        <v>52</v>
      </c>
      <c r="L83" s="436">
        <f t="shared" si="9"/>
        <v>15.43026706231454</v>
      </c>
      <c r="M83" s="95"/>
      <c r="N83" s="93">
        <f>SUM(N84)</f>
        <v>143</v>
      </c>
      <c r="O83" s="436">
        <f t="shared" si="10"/>
        <v>42.433234421364986</v>
      </c>
      <c r="P83" s="96"/>
      <c r="Q83" s="93">
        <f>SUM(Q84)</f>
        <v>67</v>
      </c>
      <c r="R83" s="436">
        <f t="shared" si="11"/>
        <v>19.881305637982198</v>
      </c>
      <c r="S83" s="96"/>
    </row>
    <row r="84" spans="1:19" ht="13.15" customHeight="1">
      <c r="A84" s="434" t="s">
        <v>75</v>
      </c>
      <c r="B84" s="544">
        <f t="shared" si="12"/>
        <v>337</v>
      </c>
      <c r="C84" s="436">
        <f t="shared" si="13"/>
        <v>8.1185256564683215</v>
      </c>
      <c r="E84" s="435">
        <f>SUM(E85:E93)</f>
        <v>56</v>
      </c>
      <c r="F84" s="436">
        <f t="shared" si="7"/>
        <v>16.61721068249258</v>
      </c>
      <c r="H84" s="435">
        <f>SUM(H85:H93)</f>
        <v>19</v>
      </c>
      <c r="I84" s="436">
        <f t="shared" si="8"/>
        <v>5.637982195845697</v>
      </c>
      <c r="K84" s="435">
        <f>SUM(K85:K93)</f>
        <v>52</v>
      </c>
      <c r="L84" s="436">
        <f t="shared" si="9"/>
        <v>15.43026706231454</v>
      </c>
      <c r="M84" s="440"/>
      <c r="N84" s="435">
        <f>SUM(N85:N93)</f>
        <v>143</v>
      </c>
      <c r="O84" s="436">
        <f t="shared" si="10"/>
        <v>42.433234421364986</v>
      </c>
      <c r="P84" s="442"/>
      <c r="Q84" s="435">
        <f>SUM(Q85:Q93)</f>
        <v>67</v>
      </c>
      <c r="R84" s="436">
        <f t="shared" si="11"/>
        <v>19.881305637982198</v>
      </c>
      <c r="S84" s="442"/>
    </row>
    <row r="85" spans="1:19" ht="13.15" customHeight="1">
      <c r="A85" s="434" t="s">
        <v>338</v>
      </c>
      <c r="B85" s="544">
        <f t="shared" si="12"/>
        <v>14</v>
      </c>
      <c r="C85" s="436">
        <f t="shared" si="13"/>
        <v>0.33726812816188867</v>
      </c>
      <c r="E85" s="434">
        <v>4</v>
      </c>
      <c r="F85" s="436">
        <f t="shared" si="7"/>
        <v>28.571428571428569</v>
      </c>
      <c r="H85" s="434">
        <v>1</v>
      </c>
      <c r="I85" s="436">
        <f t="shared" si="8"/>
        <v>7.1428571428571423</v>
      </c>
      <c r="J85" s="434"/>
      <c r="K85" s="434">
        <v>0</v>
      </c>
      <c r="L85" s="436">
        <f t="shared" si="9"/>
        <v>0</v>
      </c>
      <c r="N85" s="434">
        <v>1</v>
      </c>
      <c r="O85" s="436">
        <f t="shared" si="10"/>
        <v>7.1428571428571423</v>
      </c>
      <c r="Q85" s="434">
        <v>8</v>
      </c>
      <c r="R85" s="436">
        <f t="shared" si="11"/>
        <v>57.142857142857139</v>
      </c>
      <c r="S85" s="442"/>
    </row>
    <row r="86" spans="1:19" ht="13.15" customHeight="1">
      <c r="A86" s="434" t="s">
        <v>76</v>
      </c>
      <c r="B86" s="544">
        <f t="shared" si="12"/>
        <v>51</v>
      </c>
      <c r="C86" s="436">
        <f t="shared" si="13"/>
        <v>1.2286196097325945</v>
      </c>
      <c r="E86" s="434">
        <v>6</v>
      </c>
      <c r="F86" s="436">
        <f t="shared" si="7"/>
        <v>11.76470588235294</v>
      </c>
      <c r="H86" s="434">
        <v>2</v>
      </c>
      <c r="I86" s="436">
        <f t="shared" si="8"/>
        <v>3.9215686274509802</v>
      </c>
      <c r="J86" s="434"/>
      <c r="K86" s="434">
        <v>6</v>
      </c>
      <c r="L86" s="436">
        <f t="shared" si="9"/>
        <v>11.76470588235294</v>
      </c>
      <c r="N86" s="434">
        <v>36</v>
      </c>
      <c r="O86" s="436">
        <f t="shared" si="10"/>
        <v>70.588235294117652</v>
      </c>
      <c r="Q86" s="434">
        <v>1</v>
      </c>
      <c r="R86" s="436">
        <f t="shared" si="11"/>
        <v>1.9607843137254901</v>
      </c>
      <c r="S86" s="442"/>
    </row>
    <row r="87" spans="1:19" ht="13.15" customHeight="1">
      <c r="A87" s="434" t="s">
        <v>78</v>
      </c>
      <c r="B87" s="544">
        <f t="shared" si="12"/>
        <v>45</v>
      </c>
      <c r="C87" s="436">
        <f t="shared" si="13"/>
        <v>1.0840761262346423</v>
      </c>
      <c r="E87" s="434">
        <v>8</v>
      </c>
      <c r="F87" s="436">
        <f t="shared" si="7"/>
        <v>17.777777777777779</v>
      </c>
      <c r="H87" s="434">
        <v>1</v>
      </c>
      <c r="I87" s="436">
        <f t="shared" si="8"/>
        <v>2.2222222222222223</v>
      </c>
      <c r="J87" s="434"/>
      <c r="K87" s="434">
        <v>6</v>
      </c>
      <c r="L87" s="436">
        <f t="shared" si="9"/>
        <v>13.333333333333334</v>
      </c>
      <c r="N87" s="434">
        <v>24</v>
      </c>
      <c r="O87" s="436">
        <f t="shared" si="10"/>
        <v>53.333333333333336</v>
      </c>
      <c r="Q87" s="434">
        <v>6</v>
      </c>
      <c r="R87" s="436">
        <f t="shared" si="11"/>
        <v>13.333333333333334</v>
      </c>
      <c r="S87" s="442"/>
    </row>
    <row r="88" spans="1:19" ht="13.15" customHeight="1">
      <c r="A88" s="434" t="s">
        <v>80</v>
      </c>
      <c r="B88" s="544">
        <f t="shared" si="12"/>
        <v>40</v>
      </c>
      <c r="C88" s="436">
        <f t="shared" si="13"/>
        <v>0.96362322331968198</v>
      </c>
      <c r="E88" s="434">
        <v>8</v>
      </c>
      <c r="F88" s="436">
        <f t="shared" si="7"/>
        <v>20</v>
      </c>
      <c r="H88" s="434">
        <v>1</v>
      </c>
      <c r="I88" s="436">
        <f t="shared" si="8"/>
        <v>2.5</v>
      </c>
      <c r="J88" s="434"/>
      <c r="K88" s="434">
        <v>8</v>
      </c>
      <c r="L88" s="436">
        <f t="shared" si="9"/>
        <v>20</v>
      </c>
      <c r="N88" s="434">
        <v>17</v>
      </c>
      <c r="O88" s="436">
        <f t="shared" si="10"/>
        <v>42.5</v>
      </c>
      <c r="Q88" s="434">
        <v>6</v>
      </c>
      <c r="R88" s="436">
        <f t="shared" si="11"/>
        <v>15</v>
      </c>
      <c r="S88" s="442"/>
    </row>
    <row r="89" spans="1:19" ht="13.15" customHeight="1">
      <c r="A89" s="434" t="s">
        <v>79</v>
      </c>
      <c r="B89" s="544">
        <f t="shared" si="12"/>
        <v>27</v>
      </c>
      <c r="C89" s="436">
        <f t="shared" si="13"/>
        <v>0.65044567574078538</v>
      </c>
      <c r="E89" s="434">
        <v>6</v>
      </c>
      <c r="F89" s="436">
        <f t="shared" si="7"/>
        <v>22.222222222222221</v>
      </c>
      <c r="H89" s="434">
        <v>2</v>
      </c>
      <c r="I89" s="436">
        <f t="shared" si="8"/>
        <v>7.4074074074074066</v>
      </c>
      <c r="J89" s="434"/>
      <c r="K89" s="434">
        <v>3</v>
      </c>
      <c r="L89" s="436">
        <f t="shared" si="9"/>
        <v>11.111111111111111</v>
      </c>
      <c r="N89" s="434">
        <v>14</v>
      </c>
      <c r="O89" s="436">
        <f t="shared" si="10"/>
        <v>51.851851851851848</v>
      </c>
      <c r="Q89" s="434">
        <v>2</v>
      </c>
      <c r="R89" s="436">
        <f t="shared" si="11"/>
        <v>7.4074074074074066</v>
      </c>
      <c r="S89" s="442"/>
    </row>
    <row r="90" spans="1:19" ht="13.15" customHeight="1">
      <c r="A90" s="434" t="s">
        <v>77</v>
      </c>
      <c r="B90" s="544">
        <f t="shared" si="12"/>
        <v>30</v>
      </c>
      <c r="C90" s="436">
        <f t="shared" si="13"/>
        <v>0.72271741748976148</v>
      </c>
      <c r="E90" s="434">
        <v>8</v>
      </c>
      <c r="F90" s="436">
        <f t="shared" si="7"/>
        <v>26.666666666666668</v>
      </c>
      <c r="H90" s="434">
        <v>4</v>
      </c>
      <c r="I90" s="436">
        <f t="shared" si="8"/>
        <v>13.333333333333334</v>
      </c>
      <c r="J90" s="434"/>
      <c r="K90" s="434">
        <v>4</v>
      </c>
      <c r="L90" s="436">
        <f t="shared" si="9"/>
        <v>13.333333333333334</v>
      </c>
      <c r="N90" s="434">
        <v>14</v>
      </c>
      <c r="O90" s="436">
        <f t="shared" si="10"/>
        <v>46.666666666666664</v>
      </c>
      <c r="Q90" s="434">
        <v>0</v>
      </c>
      <c r="R90" s="436">
        <f t="shared" si="11"/>
        <v>0</v>
      </c>
      <c r="S90" s="442"/>
    </row>
    <row r="91" spans="1:19" ht="13.15" customHeight="1">
      <c r="A91" s="434" t="s">
        <v>81</v>
      </c>
      <c r="B91" s="544">
        <f t="shared" si="12"/>
        <v>71</v>
      </c>
      <c r="C91" s="436">
        <f t="shared" si="13"/>
        <v>1.7104312213924353</v>
      </c>
      <c r="E91" s="434">
        <v>6</v>
      </c>
      <c r="F91" s="436">
        <f t="shared" si="7"/>
        <v>8.4507042253521121</v>
      </c>
      <c r="H91" s="434">
        <v>4</v>
      </c>
      <c r="I91" s="436">
        <f t="shared" si="8"/>
        <v>5.6338028169014089</v>
      </c>
      <c r="J91" s="434"/>
      <c r="K91" s="434">
        <v>20</v>
      </c>
      <c r="L91" s="436">
        <f t="shared" si="9"/>
        <v>28.169014084507044</v>
      </c>
      <c r="N91" s="434">
        <v>18</v>
      </c>
      <c r="O91" s="436">
        <f t="shared" si="10"/>
        <v>25.352112676056336</v>
      </c>
      <c r="Q91" s="434">
        <v>23</v>
      </c>
      <c r="R91" s="436">
        <f t="shared" si="11"/>
        <v>32.394366197183103</v>
      </c>
      <c r="S91" s="442"/>
    </row>
    <row r="92" spans="1:19" ht="12" customHeight="1">
      <c r="A92" s="434" t="s">
        <v>84</v>
      </c>
      <c r="B92" s="544">
        <f t="shared" si="12"/>
        <v>29</v>
      </c>
      <c r="C92" s="436">
        <f t="shared" si="13"/>
        <v>0.69862683690676941</v>
      </c>
      <c r="E92" s="434">
        <v>4</v>
      </c>
      <c r="F92" s="436">
        <f t="shared" si="7"/>
        <v>13.793103448275861</v>
      </c>
      <c r="H92" s="434">
        <v>2</v>
      </c>
      <c r="I92" s="436">
        <f t="shared" si="8"/>
        <v>6.8965517241379306</v>
      </c>
      <c r="J92" s="434"/>
      <c r="K92" s="434">
        <v>3</v>
      </c>
      <c r="L92" s="436">
        <f t="shared" si="9"/>
        <v>10.344827586206897</v>
      </c>
      <c r="N92" s="434">
        <v>12</v>
      </c>
      <c r="O92" s="436">
        <f t="shared" si="10"/>
        <v>41.379310344827587</v>
      </c>
      <c r="Q92" s="434">
        <v>8</v>
      </c>
      <c r="R92" s="436">
        <f t="shared" si="11"/>
        <v>27.586206896551722</v>
      </c>
      <c r="S92" s="442"/>
    </row>
    <row r="93" spans="1:19" ht="13.15" customHeight="1">
      <c r="A93" s="434" t="s">
        <v>339</v>
      </c>
      <c r="B93" s="544">
        <f t="shared" si="12"/>
        <v>30</v>
      </c>
      <c r="C93" s="436">
        <f t="shared" si="13"/>
        <v>0.72271741748976148</v>
      </c>
      <c r="E93" s="434">
        <v>6</v>
      </c>
      <c r="F93" s="436">
        <f t="shared" si="7"/>
        <v>20</v>
      </c>
      <c r="H93" s="434">
        <v>2</v>
      </c>
      <c r="I93" s="436">
        <f t="shared" si="8"/>
        <v>6.666666666666667</v>
      </c>
      <c r="J93" s="434"/>
      <c r="K93" s="434">
        <v>2</v>
      </c>
      <c r="L93" s="436">
        <f t="shared" si="9"/>
        <v>6.666666666666667</v>
      </c>
      <c r="N93" s="434">
        <v>7</v>
      </c>
      <c r="O93" s="436">
        <f t="shared" si="10"/>
        <v>23.333333333333332</v>
      </c>
      <c r="Q93" s="434">
        <v>13</v>
      </c>
      <c r="R93" s="436">
        <f t="shared" si="11"/>
        <v>43.333333333333336</v>
      </c>
      <c r="S93" s="442"/>
    </row>
    <row r="94" spans="1:19" ht="9.9499999999999993" customHeight="1">
      <c r="B94" s="544" t="str">
        <f t="shared" si="12"/>
        <v/>
      </c>
      <c r="C94" s="436" t="str">
        <f t="shared" si="13"/>
        <v/>
      </c>
      <c r="E94" s="434"/>
      <c r="F94" s="436" t="str">
        <f t="shared" si="7"/>
        <v/>
      </c>
      <c r="H94" s="434"/>
      <c r="I94" s="436" t="str">
        <f t="shared" si="8"/>
        <v/>
      </c>
      <c r="J94" s="434"/>
      <c r="K94" s="434"/>
      <c r="L94" s="436" t="str">
        <f t="shared" si="9"/>
        <v/>
      </c>
      <c r="N94" s="434"/>
      <c r="O94" s="436" t="str">
        <f t="shared" si="10"/>
        <v/>
      </c>
      <c r="R94" s="436" t="str">
        <f t="shared" si="11"/>
        <v/>
      </c>
      <c r="S94" s="442"/>
    </row>
    <row r="95" spans="1:19" ht="12" customHeight="1">
      <c r="A95" s="434" t="s">
        <v>85</v>
      </c>
      <c r="B95" s="544">
        <f t="shared" si="12"/>
        <v>101</v>
      </c>
      <c r="C95" s="436">
        <f t="shared" si="13"/>
        <v>2.433148638882197</v>
      </c>
      <c r="E95" s="434">
        <v>17</v>
      </c>
      <c r="F95" s="436">
        <f t="shared" si="7"/>
        <v>16.831683168316832</v>
      </c>
      <c r="H95" s="434">
        <v>5</v>
      </c>
      <c r="I95" s="436">
        <f t="shared" si="8"/>
        <v>4.9504950495049505</v>
      </c>
      <c r="J95" s="434"/>
      <c r="K95" s="434">
        <v>37</v>
      </c>
      <c r="L95" s="436">
        <f t="shared" si="9"/>
        <v>36.633663366336634</v>
      </c>
      <c r="N95" s="434">
        <v>40</v>
      </c>
      <c r="O95" s="436">
        <f t="shared" si="10"/>
        <v>39.603960396039604</v>
      </c>
      <c r="Q95" s="434">
        <v>2</v>
      </c>
      <c r="R95" s="436">
        <f t="shared" si="11"/>
        <v>1.9801980198019802</v>
      </c>
      <c r="S95" s="442"/>
    </row>
    <row r="96" spans="1:19" ht="12" customHeight="1">
      <c r="A96" s="434" t="s">
        <v>340</v>
      </c>
      <c r="B96" s="544">
        <f t="shared" si="12"/>
        <v>44</v>
      </c>
      <c r="C96" s="436">
        <f t="shared" si="13"/>
        <v>1.0599855456516503</v>
      </c>
      <c r="E96" s="434">
        <v>21</v>
      </c>
      <c r="F96" s="436">
        <f t="shared" si="7"/>
        <v>47.727272727272727</v>
      </c>
      <c r="H96" s="434">
        <v>3</v>
      </c>
      <c r="I96" s="436">
        <f t="shared" si="8"/>
        <v>6.8181818181818175</v>
      </c>
      <c r="J96" s="434"/>
      <c r="K96" s="434">
        <v>7</v>
      </c>
      <c r="L96" s="436">
        <f t="shared" si="9"/>
        <v>15.909090909090908</v>
      </c>
      <c r="N96" s="434">
        <v>3</v>
      </c>
      <c r="O96" s="436">
        <f t="shared" si="10"/>
        <v>6.8181818181818175</v>
      </c>
      <c r="Q96" s="434">
        <v>10</v>
      </c>
      <c r="R96" s="436">
        <f t="shared" si="11"/>
        <v>22.727272727272727</v>
      </c>
      <c r="S96" s="442"/>
    </row>
    <row r="97" spans="1:19" ht="12" customHeight="1">
      <c r="A97" s="434" t="s">
        <v>409</v>
      </c>
      <c r="B97" s="544">
        <f t="shared" si="12"/>
        <v>102</v>
      </c>
      <c r="C97" s="436">
        <f t="shared" si="13"/>
        <v>2.4572392194651891</v>
      </c>
      <c r="E97" s="434">
        <v>17</v>
      </c>
      <c r="F97" s="436">
        <f t="shared" si="7"/>
        <v>16.666666666666664</v>
      </c>
      <c r="H97" s="434">
        <v>4</v>
      </c>
      <c r="I97" s="436">
        <f t="shared" si="8"/>
        <v>3.9215686274509802</v>
      </c>
      <c r="J97" s="434"/>
      <c r="K97" s="434">
        <v>22</v>
      </c>
      <c r="L97" s="436">
        <f t="shared" si="9"/>
        <v>21.568627450980394</v>
      </c>
      <c r="N97" s="434">
        <v>42</v>
      </c>
      <c r="O97" s="436">
        <f t="shared" si="10"/>
        <v>41.17647058823529</v>
      </c>
      <c r="Q97" s="434">
        <v>17</v>
      </c>
      <c r="R97" s="436">
        <f t="shared" si="11"/>
        <v>16.666666666666664</v>
      </c>
      <c r="S97" s="442"/>
    </row>
    <row r="98" spans="1:19" ht="12" hidden="1" customHeight="1">
      <c r="A98" s="434" t="s">
        <v>510</v>
      </c>
      <c r="B98" s="544">
        <f t="shared" si="12"/>
        <v>0</v>
      </c>
      <c r="E98" s="434"/>
      <c r="F98" s="436" t="e">
        <f t="shared" si="7"/>
        <v>#DIV/0!</v>
      </c>
      <c r="H98" s="434"/>
      <c r="I98" s="436" t="e">
        <f t="shared" si="8"/>
        <v>#DIV/0!</v>
      </c>
      <c r="J98" s="434"/>
      <c r="K98" s="434"/>
      <c r="L98" s="436" t="e">
        <f t="shared" si="9"/>
        <v>#DIV/0!</v>
      </c>
      <c r="N98" s="434"/>
      <c r="O98" s="436" t="e">
        <f t="shared" si="10"/>
        <v>#DIV/0!</v>
      </c>
      <c r="R98" s="436" t="e">
        <f t="shared" si="11"/>
        <v>#DIV/0!</v>
      </c>
      <c r="S98" s="442"/>
    </row>
    <row r="99" spans="1:19" ht="10.5" hidden="1" customHeight="1">
      <c r="B99" s="544" t="str">
        <f t="shared" si="12"/>
        <v/>
      </c>
      <c r="F99" s="436" t="str">
        <f t="shared" si="7"/>
        <v/>
      </c>
      <c r="I99" s="436" t="str">
        <f t="shared" si="8"/>
        <v/>
      </c>
      <c r="L99" s="436" t="str">
        <f t="shared" si="9"/>
        <v/>
      </c>
      <c r="M99" s="440"/>
      <c r="O99" s="436" t="str">
        <f t="shared" si="10"/>
        <v/>
      </c>
      <c r="P99" s="442"/>
      <c r="Q99" s="435"/>
      <c r="R99" s="436" t="str">
        <f t="shared" si="11"/>
        <v/>
      </c>
      <c r="S99" s="442"/>
    </row>
    <row r="100" spans="1:19" ht="12" hidden="1" customHeight="1">
      <c r="A100" s="434" t="s">
        <v>15</v>
      </c>
      <c r="B100" s="544">
        <f t="shared" si="12"/>
        <v>0</v>
      </c>
      <c r="C100" s="436">
        <f>IF(A100&lt;&gt;0,B100/$B$11*100,"")</f>
        <v>0</v>
      </c>
      <c r="F100" s="436" t="e">
        <f t="shared" si="7"/>
        <v>#DIV/0!</v>
      </c>
      <c r="I100" s="436" t="e">
        <f t="shared" si="8"/>
        <v>#DIV/0!</v>
      </c>
      <c r="L100" s="436" t="e">
        <f t="shared" si="9"/>
        <v>#DIV/0!</v>
      </c>
      <c r="M100" s="440"/>
      <c r="O100" s="436" t="e">
        <f t="shared" si="10"/>
        <v>#DIV/0!</v>
      </c>
      <c r="P100" s="442"/>
      <c r="Q100" s="435"/>
      <c r="R100" s="436" t="e">
        <f t="shared" si="11"/>
        <v>#DIV/0!</v>
      </c>
      <c r="S100" s="442"/>
    </row>
    <row r="101" spans="1:19" ht="9.9499999999999993" customHeight="1">
      <c r="B101" s="544" t="str">
        <f t="shared" si="12"/>
        <v/>
      </c>
      <c r="C101" s="436" t="str">
        <f t="shared" ref="C101:C107" si="14">IF(A101&lt;&gt;0,B101/$B$11*100,"")</f>
        <v/>
      </c>
      <c r="F101" s="436" t="str">
        <f t="shared" si="7"/>
        <v/>
      </c>
      <c r="I101" s="436" t="str">
        <f t="shared" si="8"/>
        <v/>
      </c>
      <c r="L101" s="436" t="str">
        <f t="shared" si="9"/>
        <v/>
      </c>
      <c r="M101" s="440"/>
      <c r="O101" s="436" t="str">
        <f t="shared" si="10"/>
        <v/>
      </c>
      <c r="P101" s="442"/>
      <c r="Q101" s="435"/>
      <c r="R101" s="436" t="str">
        <f t="shared" si="11"/>
        <v/>
      </c>
      <c r="S101" s="442"/>
    </row>
    <row r="102" spans="1:19" ht="12.75" customHeight="1">
      <c r="A102" s="63" t="s">
        <v>86</v>
      </c>
      <c r="B102" s="544">
        <f t="shared" si="12"/>
        <v>498</v>
      </c>
      <c r="C102" s="436">
        <f t="shared" si="14"/>
        <v>11.997109130330042</v>
      </c>
      <c r="E102" s="449">
        <f>SUM(E103+E104+E105+E107)</f>
        <v>45</v>
      </c>
      <c r="F102" s="436">
        <f t="shared" si="7"/>
        <v>9.0361445783132535</v>
      </c>
      <c r="G102" s="455"/>
      <c r="H102" s="449">
        <f>SUM(H103+H104+H105+H107)</f>
        <v>24</v>
      </c>
      <c r="I102" s="436">
        <f t="shared" si="8"/>
        <v>4.8192771084337354</v>
      </c>
      <c r="J102" s="454"/>
      <c r="K102" s="449">
        <f>SUM(K103+K104+K105+K107)</f>
        <v>105</v>
      </c>
      <c r="L102" s="436">
        <f t="shared" si="9"/>
        <v>21.084337349397593</v>
      </c>
      <c r="M102" s="453"/>
      <c r="N102" s="449">
        <f>SUM(N103+N104+N105+N107)</f>
        <v>226</v>
      </c>
      <c r="O102" s="436">
        <f t="shared" si="10"/>
        <v>45.381526104417667</v>
      </c>
      <c r="P102" s="442"/>
      <c r="Q102" s="435">
        <f>SUM(Q103+Q104+Q105+Q107)</f>
        <v>98</v>
      </c>
      <c r="R102" s="436">
        <f t="shared" si="11"/>
        <v>19.678714859437751</v>
      </c>
      <c r="S102" s="442"/>
    </row>
    <row r="103" spans="1:19" ht="12" customHeight="1">
      <c r="A103" s="434" t="s">
        <v>511</v>
      </c>
      <c r="B103" s="544">
        <f t="shared" si="12"/>
        <v>125</v>
      </c>
      <c r="C103" s="436">
        <f t="shared" si="14"/>
        <v>3.0113225728740063</v>
      </c>
      <c r="E103" s="434">
        <v>9</v>
      </c>
      <c r="F103" s="436">
        <f t="shared" si="7"/>
        <v>7.1999999999999993</v>
      </c>
      <c r="H103" s="434">
        <v>12</v>
      </c>
      <c r="I103" s="436">
        <f t="shared" si="8"/>
        <v>9.6</v>
      </c>
      <c r="J103" s="434"/>
      <c r="K103" s="434">
        <v>37</v>
      </c>
      <c r="L103" s="436">
        <f t="shared" si="9"/>
        <v>29.599999999999998</v>
      </c>
      <c r="N103" s="434">
        <v>55</v>
      </c>
      <c r="O103" s="436">
        <f t="shared" si="10"/>
        <v>44</v>
      </c>
      <c r="Q103" s="434">
        <v>12</v>
      </c>
      <c r="R103" s="436">
        <f t="shared" si="11"/>
        <v>9.6</v>
      </c>
      <c r="S103" s="442"/>
    </row>
    <row r="104" spans="1:19" ht="12" customHeight="1">
      <c r="A104" s="434" t="s">
        <v>512</v>
      </c>
      <c r="B104" s="544">
        <f t="shared" si="12"/>
        <v>165</v>
      </c>
      <c r="C104" s="436">
        <f t="shared" si="14"/>
        <v>3.9749457961936878</v>
      </c>
      <c r="E104" s="434">
        <v>26</v>
      </c>
      <c r="F104" s="436">
        <f t="shared" si="7"/>
        <v>15.757575757575756</v>
      </c>
      <c r="H104" s="434">
        <v>11</v>
      </c>
      <c r="I104" s="436">
        <f t="shared" si="8"/>
        <v>6.666666666666667</v>
      </c>
      <c r="J104" s="434"/>
      <c r="K104" s="434">
        <v>48</v>
      </c>
      <c r="L104" s="436">
        <f t="shared" si="9"/>
        <v>29.09090909090909</v>
      </c>
      <c r="N104" s="434">
        <v>62</v>
      </c>
      <c r="O104" s="436">
        <f t="shared" si="10"/>
        <v>37.575757575757571</v>
      </c>
      <c r="Q104" s="434">
        <v>18</v>
      </c>
      <c r="R104" s="436">
        <f t="shared" si="11"/>
        <v>10.909090909090908</v>
      </c>
      <c r="S104" s="442"/>
    </row>
    <row r="105" spans="1:19" ht="12" customHeight="1">
      <c r="A105" s="434" t="s">
        <v>400</v>
      </c>
      <c r="B105" s="544">
        <f t="shared" si="12"/>
        <v>16</v>
      </c>
      <c r="C105" s="436">
        <f t="shared" si="14"/>
        <v>0.38544928932787281</v>
      </c>
      <c r="E105" s="434">
        <v>9</v>
      </c>
      <c r="F105" s="436">
        <f t="shared" si="7"/>
        <v>56.25</v>
      </c>
      <c r="H105" s="434">
        <v>1</v>
      </c>
      <c r="I105" s="436">
        <f t="shared" si="8"/>
        <v>6.25</v>
      </c>
      <c r="J105" s="434"/>
      <c r="K105" s="434">
        <v>3</v>
      </c>
      <c r="L105" s="436">
        <f t="shared" si="9"/>
        <v>18.75</v>
      </c>
      <c r="N105" s="434">
        <v>3</v>
      </c>
      <c r="O105" s="436">
        <f t="shared" si="10"/>
        <v>18.75</v>
      </c>
      <c r="Q105" s="434">
        <v>0</v>
      </c>
      <c r="R105" s="436">
        <f t="shared" si="11"/>
        <v>0</v>
      </c>
      <c r="S105" s="442"/>
    </row>
    <row r="106" spans="1:19" ht="12" customHeight="1">
      <c r="B106" s="544" t="str">
        <f t="shared" si="12"/>
        <v/>
      </c>
      <c r="C106" s="436" t="str">
        <f t="shared" si="14"/>
        <v/>
      </c>
      <c r="E106" s="434"/>
      <c r="F106" s="436" t="str">
        <f t="shared" si="7"/>
        <v/>
      </c>
      <c r="H106" s="434"/>
      <c r="I106" s="436" t="str">
        <f t="shared" si="8"/>
        <v/>
      </c>
      <c r="J106" s="434"/>
      <c r="K106" s="434"/>
      <c r="L106" s="436" t="str">
        <f t="shared" si="9"/>
        <v/>
      </c>
      <c r="N106" s="434"/>
      <c r="O106" s="436" t="str">
        <f t="shared" si="10"/>
        <v/>
      </c>
      <c r="R106" s="436" t="str">
        <f t="shared" si="11"/>
        <v/>
      </c>
      <c r="S106" s="442"/>
    </row>
    <row r="107" spans="1:19" ht="12" customHeight="1">
      <c r="A107" s="434" t="s">
        <v>410</v>
      </c>
      <c r="B107" s="544">
        <f t="shared" si="12"/>
        <v>192</v>
      </c>
      <c r="C107" s="436">
        <f t="shared" si="14"/>
        <v>4.6253914719344733</v>
      </c>
      <c r="E107" s="434">
        <v>1</v>
      </c>
      <c r="F107" s="436">
        <f t="shared" si="7"/>
        <v>0.52083333333333326</v>
      </c>
      <c r="H107" s="434">
        <v>0</v>
      </c>
      <c r="I107" s="436">
        <f t="shared" si="8"/>
        <v>0</v>
      </c>
      <c r="J107" s="434"/>
      <c r="K107" s="434">
        <v>17</v>
      </c>
      <c r="L107" s="436">
        <f t="shared" si="9"/>
        <v>8.8541666666666679</v>
      </c>
      <c r="N107" s="434">
        <v>106</v>
      </c>
      <c r="O107" s="436">
        <f t="shared" si="10"/>
        <v>55.208333333333336</v>
      </c>
      <c r="Q107" s="434">
        <v>68</v>
      </c>
      <c r="R107" s="436">
        <f t="shared" si="11"/>
        <v>35.416666666666671</v>
      </c>
      <c r="S107" s="442"/>
    </row>
    <row r="108" spans="1:19" ht="9.9499999999999993" customHeight="1">
      <c r="B108" s="544" t="str">
        <f t="shared" si="12"/>
        <v/>
      </c>
      <c r="E108" s="449"/>
      <c r="F108" s="436" t="str">
        <f t="shared" si="7"/>
        <v/>
      </c>
      <c r="G108" s="455"/>
      <c r="H108" s="449"/>
      <c r="I108" s="436" t="str">
        <f t="shared" si="8"/>
        <v/>
      </c>
      <c r="J108" s="454"/>
      <c r="K108" s="449"/>
      <c r="L108" s="436" t="str">
        <f t="shared" si="9"/>
        <v/>
      </c>
      <c r="M108" s="453"/>
      <c r="N108" s="449"/>
      <c r="O108" s="436" t="str">
        <f t="shared" si="10"/>
        <v/>
      </c>
      <c r="P108" s="442"/>
      <c r="Q108" s="435"/>
      <c r="R108" s="436" t="str">
        <f t="shared" si="11"/>
        <v/>
      </c>
      <c r="S108" s="442"/>
    </row>
    <row r="109" spans="1:19" ht="12" customHeight="1">
      <c r="A109" s="63" t="s">
        <v>346</v>
      </c>
      <c r="B109" s="544">
        <f t="shared" si="12"/>
        <v>894</v>
      </c>
      <c r="C109" s="436">
        <f t="shared" ref="C109:C114" si="15">IF(A109&lt;&gt;0,B109/$B$11*100,"")</f>
        <v>21.536979041194893</v>
      </c>
      <c r="E109" s="435">
        <f>SUM(E110:E114)</f>
        <v>178</v>
      </c>
      <c r="F109" s="436">
        <f t="shared" si="7"/>
        <v>19.910514541387027</v>
      </c>
      <c r="H109" s="435">
        <f>SUM(H110:H114)</f>
        <v>46</v>
      </c>
      <c r="I109" s="436">
        <f t="shared" si="8"/>
        <v>5.1454138702460845</v>
      </c>
      <c r="K109" s="435">
        <f>SUM(K110:K114)</f>
        <v>208</v>
      </c>
      <c r="L109" s="436">
        <f t="shared" si="9"/>
        <v>23.266219239373601</v>
      </c>
      <c r="M109" s="440"/>
      <c r="N109" s="435">
        <f>SUM(N110:N114)</f>
        <v>279</v>
      </c>
      <c r="O109" s="436">
        <f t="shared" si="10"/>
        <v>31.208053691275168</v>
      </c>
      <c r="P109" s="442"/>
      <c r="Q109" s="435">
        <f>SUM(Q110:Q114)</f>
        <v>183</v>
      </c>
      <c r="R109" s="436">
        <f t="shared" si="11"/>
        <v>20.469798657718123</v>
      </c>
      <c r="S109" s="442"/>
    </row>
    <row r="110" spans="1:19" ht="12" customHeight="1">
      <c r="A110" s="434" t="s">
        <v>347</v>
      </c>
      <c r="B110" s="544">
        <f t="shared" si="12"/>
        <v>241</v>
      </c>
      <c r="C110" s="436">
        <f t="shared" si="15"/>
        <v>5.8058299205010844</v>
      </c>
      <c r="E110" s="434">
        <v>80</v>
      </c>
      <c r="F110" s="436">
        <f t="shared" si="7"/>
        <v>33.195020746887963</v>
      </c>
      <c r="H110" s="434">
        <v>15</v>
      </c>
      <c r="I110" s="436">
        <f t="shared" si="8"/>
        <v>6.2240663900414939</v>
      </c>
      <c r="J110" s="434"/>
      <c r="K110" s="434">
        <v>50</v>
      </c>
      <c r="L110" s="436">
        <f t="shared" si="9"/>
        <v>20.74688796680498</v>
      </c>
      <c r="N110" s="434">
        <v>59</v>
      </c>
      <c r="O110" s="436">
        <f t="shared" si="10"/>
        <v>24.481327800829874</v>
      </c>
      <c r="Q110" s="434">
        <v>37</v>
      </c>
      <c r="R110" s="436">
        <f t="shared" si="11"/>
        <v>15.352697095435685</v>
      </c>
      <c r="S110" s="442"/>
    </row>
    <row r="111" spans="1:19" ht="12" customHeight="1">
      <c r="A111" s="434" t="s">
        <v>348</v>
      </c>
      <c r="B111" s="544">
        <f t="shared" si="12"/>
        <v>221</v>
      </c>
      <c r="C111" s="436">
        <f t="shared" si="15"/>
        <v>5.3240183088412429</v>
      </c>
      <c r="E111" s="434">
        <v>27</v>
      </c>
      <c r="F111" s="436">
        <f t="shared" si="7"/>
        <v>12.217194570135746</v>
      </c>
      <c r="H111" s="434">
        <v>12</v>
      </c>
      <c r="I111" s="436">
        <f t="shared" si="8"/>
        <v>5.4298642533936654</v>
      </c>
      <c r="J111" s="434"/>
      <c r="K111" s="434">
        <v>48</v>
      </c>
      <c r="L111" s="436">
        <f t="shared" si="9"/>
        <v>21.719457013574662</v>
      </c>
      <c r="N111" s="434">
        <v>77</v>
      </c>
      <c r="O111" s="436">
        <f t="shared" si="10"/>
        <v>34.841628959276015</v>
      </c>
      <c r="Q111" s="434">
        <v>57</v>
      </c>
      <c r="R111" s="436">
        <f t="shared" si="11"/>
        <v>25.791855203619914</v>
      </c>
      <c r="S111" s="442"/>
    </row>
    <row r="112" spans="1:19" ht="12" customHeight="1">
      <c r="A112" s="434" t="s">
        <v>349</v>
      </c>
      <c r="B112" s="544">
        <f t="shared" si="12"/>
        <v>202</v>
      </c>
      <c r="C112" s="436">
        <f t="shared" si="15"/>
        <v>4.866297277764394</v>
      </c>
      <c r="E112" s="434">
        <v>28</v>
      </c>
      <c r="F112" s="436">
        <f t="shared" si="7"/>
        <v>13.861386138613863</v>
      </c>
      <c r="H112" s="434">
        <v>10</v>
      </c>
      <c r="I112" s="436">
        <f t="shared" si="8"/>
        <v>4.9504950495049505</v>
      </c>
      <c r="J112" s="434"/>
      <c r="K112" s="434">
        <v>40</v>
      </c>
      <c r="L112" s="436">
        <f t="shared" si="9"/>
        <v>19.801980198019802</v>
      </c>
      <c r="N112" s="434">
        <v>80</v>
      </c>
      <c r="O112" s="436">
        <f t="shared" si="10"/>
        <v>39.603960396039604</v>
      </c>
      <c r="Q112" s="434">
        <v>44</v>
      </c>
      <c r="R112" s="436">
        <f t="shared" si="11"/>
        <v>21.782178217821784</v>
      </c>
      <c r="S112" s="442"/>
    </row>
    <row r="113" spans="1:19" ht="12" customHeight="1">
      <c r="A113" s="434" t="s">
        <v>350</v>
      </c>
      <c r="B113" s="544">
        <f t="shared" si="12"/>
        <v>139</v>
      </c>
      <c r="C113" s="436">
        <f t="shared" si="15"/>
        <v>3.3485907010358953</v>
      </c>
      <c r="E113" s="434">
        <v>13</v>
      </c>
      <c r="F113" s="436">
        <f t="shared" si="7"/>
        <v>9.3525179856115113</v>
      </c>
      <c r="H113" s="434">
        <v>6</v>
      </c>
      <c r="I113" s="436">
        <f t="shared" si="8"/>
        <v>4.3165467625899279</v>
      </c>
      <c r="J113" s="434"/>
      <c r="K113" s="434">
        <v>43</v>
      </c>
      <c r="L113" s="436">
        <f t="shared" si="9"/>
        <v>30.935251798561154</v>
      </c>
      <c r="N113" s="434">
        <v>38</v>
      </c>
      <c r="O113" s="436">
        <f t="shared" si="10"/>
        <v>27.338129496402878</v>
      </c>
      <c r="Q113" s="434">
        <v>39</v>
      </c>
      <c r="R113" s="436">
        <f t="shared" si="11"/>
        <v>28.057553956834528</v>
      </c>
      <c r="S113" s="442"/>
    </row>
    <row r="114" spans="1:19" ht="12" customHeight="1">
      <c r="A114" s="434" t="s">
        <v>351</v>
      </c>
      <c r="B114" s="544">
        <f t="shared" si="12"/>
        <v>91</v>
      </c>
      <c r="C114" s="436">
        <f t="shared" si="15"/>
        <v>2.1922428330522767</v>
      </c>
      <c r="E114" s="434">
        <v>30</v>
      </c>
      <c r="F114" s="436">
        <f t="shared" si="7"/>
        <v>32.967032967032964</v>
      </c>
      <c r="H114" s="434">
        <v>3</v>
      </c>
      <c r="I114" s="436">
        <f t="shared" si="8"/>
        <v>3.296703296703297</v>
      </c>
      <c r="J114" s="434"/>
      <c r="K114" s="434">
        <v>27</v>
      </c>
      <c r="L114" s="436">
        <f t="shared" si="9"/>
        <v>29.670329670329672</v>
      </c>
      <c r="N114" s="434">
        <v>25</v>
      </c>
      <c r="O114" s="436">
        <f t="shared" si="10"/>
        <v>27.472527472527474</v>
      </c>
      <c r="Q114" s="434">
        <v>6</v>
      </c>
      <c r="R114" s="436">
        <f t="shared" si="11"/>
        <v>6.593406593406594</v>
      </c>
      <c r="S114" s="442"/>
    </row>
    <row r="115" spans="1:19" ht="9.9499999999999993" customHeight="1" thickBot="1">
      <c r="E115" s="434"/>
      <c r="F115" s="434"/>
      <c r="H115" s="434"/>
      <c r="I115" s="434"/>
      <c r="J115" s="434"/>
      <c r="K115" s="434"/>
      <c r="L115" s="434"/>
      <c r="N115" s="434"/>
      <c r="R115" s="436"/>
      <c r="S115" s="436"/>
    </row>
    <row r="116" spans="1:19" ht="9.9499999999999993" customHeight="1">
      <c r="A116" s="437"/>
      <c r="B116" s="805"/>
      <c r="C116" s="439"/>
      <c r="D116" s="437"/>
      <c r="E116" s="438"/>
      <c r="F116" s="439"/>
      <c r="G116" s="437"/>
      <c r="H116" s="438"/>
      <c r="I116" s="439"/>
      <c r="J116" s="439"/>
      <c r="K116" s="438"/>
      <c r="L116" s="439"/>
      <c r="M116" s="437"/>
      <c r="N116" s="438"/>
      <c r="O116" s="439"/>
      <c r="P116" s="439"/>
      <c r="Q116" s="438"/>
      <c r="R116" s="439"/>
      <c r="S116" s="439"/>
    </row>
    <row r="117" spans="1:19">
      <c r="A117" s="453" t="s">
        <v>427</v>
      </c>
      <c r="B117" s="451"/>
      <c r="C117" s="442"/>
      <c r="D117" s="440"/>
      <c r="E117" s="441"/>
      <c r="F117" s="442"/>
      <c r="G117" s="440"/>
      <c r="H117" s="441"/>
      <c r="I117" s="442"/>
      <c r="J117" s="442"/>
      <c r="K117" s="441"/>
      <c r="L117" s="442"/>
      <c r="M117" s="440"/>
      <c r="N117" s="441"/>
      <c r="O117" s="442"/>
      <c r="P117" s="442"/>
      <c r="Q117" s="441"/>
      <c r="R117" s="442"/>
      <c r="S117" s="442"/>
    </row>
    <row r="118" spans="1:19" ht="9.9499999999999993" customHeight="1">
      <c r="A118" s="453" t="s">
        <v>428</v>
      </c>
      <c r="B118" s="451"/>
      <c r="C118" s="442"/>
      <c r="D118" s="440"/>
      <c r="E118" s="441"/>
      <c r="F118" s="442"/>
      <c r="G118" s="440"/>
      <c r="H118" s="441"/>
      <c r="I118" s="442"/>
      <c r="J118" s="442"/>
      <c r="K118" s="441"/>
      <c r="L118" s="442"/>
      <c r="M118" s="440"/>
      <c r="N118" s="441"/>
      <c r="O118" s="442"/>
      <c r="P118" s="442"/>
      <c r="Q118" s="441"/>
      <c r="R118" s="442"/>
      <c r="S118" s="442"/>
    </row>
    <row r="119" spans="1:19" ht="11.25" customHeight="1">
      <c r="A119" s="440"/>
      <c r="B119" s="451"/>
      <c r="C119" s="442"/>
      <c r="D119" s="440"/>
      <c r="E119" s="441"/>
      <c r="F119" s="442"/>
      <c r="G119" s="440"/>
      <c r="H119" s="441"/>
      <c r="I119" s="442"/>
      <c r="J119" s="442"/>
      <c r="K119" s="441"/>
      <c r="L119" s="442"/>
      <c r="M119" s="440"/>
      <c r="N119" s="441"/>
      <c r="O119" s="442"/>
      <c r="P119" s="442"/>
      <c r="Q119" s="441"/>
      <c r="R119" s="442"/>
      <c r="S119" s="442"/>
    </row>
    <row r="120" spans="1:19" ht="14.25">
      <c r="A120" s="66" t="s">
        <v>2111</v>
      </c>
      <c r="B120" s="451"/>
      <c r="C120" s="442"/>
      <c r="D120" s="440"/>
      <c r="E120" s="441"/>
      <c r="F120" s="442"/>
      <c r="G120" s="440"/>
      <c r="H120" s="441"/>
      <c r="I120" s="442"/>
      <c r="J120" s="442"/>
      <c r="K120" s="441"/>
      <c r="L120" s="442"/>
      <c r="M120" s="440"/>
      <c r="N120" s="441"/>
      <c r="O120" s="442"/>
      <c r="P120" s="442"/>
      <c r="Q120" s="441"/>
      <c r="R120" s="442"/>
      <c r="S120" s="442"/>
    </row>
    <row r="121" spans="1:19" ht="11.25" customHeight="1">
      <c r="A121" s="440"/>
      <c r="B121" s="451"/>
      <c r="C121" s="442"/>
      <c r="D121" s="440"/>
      <c r="E121" s="441"/>
      <c r="F121" s="442"/>
      <c r="G121" s="440"/>
      <c r="H121" s="441"/>
      <c r="I121" s="442"/>
      <c r="J121" s="442"/>
      <c r="K121" s="441"/>
      <c r="L121" s="442"/>
      <c r="M121" s="440"/>
      <c r="N121" s="441"/>
      <c r="O121" s="442"/>
      <c r="P121" s="442"/>
      <c r="Q121" s="441"/>
      <c r="R121" s="442"/>
      <c r="S121" s="442"/>
    </row>
    <row r="122" spans="1:19">
      <c r="A122" s="434" t="s">
        <v>404</v>
      </c>
      <c r="Q122" s="435"/>
    </row>
    <row r="123" spans="1:19">
      <c r="A123" s="434" t="s">
        <v>385</v>
      </c>
      <c r="Q123" s="435"/>
    </row>
  </sheetData>
  <mergeCells count="4">
    <mergeCell ref="H7:I7"/>
    <mergeCell ref="K7:L7"/>
    <mergeCell ref="N7:O7"/>
    <mergeCell ref="Q7:R7"/>
  </mergeCells>
  <printOptions horizontalCentered="1" verticalCentered="1"/>
  <pageMargins left="0" right="0" top="0" bottom="0" header="0.31496062992125984" footer="0.31496062992125984"/>
  <pageSetup paperSize="9" scale="55" orientation="portrait" r:id="rId1"/>
  <drawing r:id="rId2"/>
</worksheet>
</file>

<file path=xl/worksheets/sheet23.xml><?xml version="1.0" encoding="utf-8"?>
<worksheet xmlns="http://schemas.openxmlformats.org/spreadsheetml/2006/main" xmlns:r="http://schemas.openxmlformats.org/officeDocument/2006/relationships">
  <sheetPr>
    <tabColor theme="5" tint="0.59999389629810485"/>
  </sheetPr>
  <dimension ref="B3:J9"/>
  <sheetViews>
    <sheetView workbookViewId="0">
      <selection activeCell="G37" sqref="G37"/>
    </sheetView>
  </sheetViews>
  <sheetFormatPr baseColWidth="10" defaultRowHeight="15"/>
  <cols>
    <col min="1" max="1" width="7.140625" customWidth="1"/>
    <col min="257" max="257" width="7.140625" customWidth="1"/>
    <col min="513" max="513" width="7.140625" customWidth="1"/>
    <col min="769" max="769" width="7.140625" customWidth="1"/>
    <col min="1025" max="1025" width="7.140625" customWidth="1"/>
    <col min="1281" max="1281" width="7.140625" customWidth="1"/>
    <col min="1537" max="1537" width="7.140625" customWidth="1"/>
    <col min="1793" max="1793" width="7.140625" customWidth="1"/>
    <col min="2049" max="2049" width="7.140625" customWidth="1"/>
    <col min="2305" max="2305" width="7.140625" customWidth="1"/>
    <col min="2561" max="2561" width="7.140625" customWidth="1"/>
    <col min="2817" max="2817" width="7.140625" customWidth="1"/>
    <col min="3073" max="3073" width="7.140625" customWidth="1"/>
    <col min="3329" max="3329" width="7.140625" customWidth="1"/>
    <col min="3585" max="3585" width="7.140625" customWidth="1"/>
    <col min="3841" max="3841" width="7.140625" customWidth="1"/>
    <col min="4097" max="4097" width="7.140625" customWidth="1"/>
    <col min="4353" max="4353" width="7.140625" customWidth="1"/>
    <col min="4609" max="4609" width="7.140625" customWidth="1"/>
    <col min="4865" max="4865" width="7.140625" customWidth="1"/>
    <col min="5121" max="5121" width="7.140625" customWidth="1"/>
    <col min="5377" max="5377" width="7.140625" customWidth="1"/>
    <col min="5633" max="5633" width="7.140625" customWidth="1"/>
    <col min="5889" max="5889" width="7.140625" customWidth="1"/>
    <col min="6145" max="6145" width="7.140625" customWidth="1"/>
    <col min="6401" max="6401" width="7.140625" customWidth="1"/>
    <col min="6657" max="6657" width="7.140625" customWidth="1"/>
    <col min="6913" max="6913" width="7.140625" customWidth="1"/>
    <col min="7169" max="7169" width="7.140625" customWidth="1"/>
    <col min="7425" max="7425" width="7.140625" customWidth="1"/>
    <col min="7681" max="7681" width="7.140625" customWidth="1"/>
    <col min="7937" max="7937" width="7.140625" customWidth="1"/>
    <col min="8193" max="8193" width="7.140625" customWidth="1"/>
    <col min="8449" max="8449" width="7.140625" customWidth="1"/>
    <col min="8705" max="8705" width="7.140625" customWidth="1"/>
    <col min="8961" max="8961" width="7.140625" customWidth="1"/>
    <col min="9217" max="9217" width="7.140625" customWidth="1"/>
    <col min="9473" max="9473" width="7.140625" customWidth="1"/>
    <col min="9729" max="9729" width="7.140625" customWidth="1"/>
    <col min="9985" max="9985" width="7.140625" customWidth="1"/>
    <col min="10241" max="10241" width="7.140625" customWidth="1"/>
    <col min="10497" max="10497" width="7.140625" customWidth="1"/>
    <col min="10753" max="10753" width="7.140625" customWidth="1"/>
    <col min="11009" max="11009" width="7.140625" customWidth="1"/>
    <col min="11265" max="11265" width="7.140625" customWidth="1"/>
    <col min="11521" max="11521" width="7.140625" customWidth="1"/>
    <col min="11777" max="11777" width="7.140625" customWidth="1"/>
    <col min="12033" max="12033" width="7.140625" customWidth="1"/>
    <col min="12289" max="12289" width="7.140625" customWidth="1"/>
    <col min="12545" max="12545" width="7.140625" customWidth="1"/>
    <col min="12801" max="12801" width="7.140625" customWidth="1"/>
    <col min="13057" max="13057" width="7.140625" customWidth="1"/>
    <col min="13313" max="13313" width="7.140625" customWidth="1"/>
    <col min="13569" max="13569" width="7.140625" customWidth="1"/>
    <col min="13825" max="13825" width="7.140625" customWidth="1"/>
    <col min="14081" max="14081" width="7.140625" customWidth="1"/>
    <col min="14337" max="14337" width="7.140625" customWidth="1"/>
    <col min="14593" max="14593" width="7.140625" customWidth="1"/>
    <col min="14849" max="14849" width="7.140625" customWidth="1"/>
    <col min="15105" max="15105" width="7.140625" customWidth="1"/>
    <col min="15361" max="15361" width="7.140625" customWidth="1"/>
    <col min="15617" max="15617" width="7.140625" customWidth="1"/>
    <col min="15873" max="15873" width="7.140625" customWidth="1"/>
    <col min="16129" max="16129" width="7.140625" customWidth="1"/>
  </cols>
  <sheetData>
    <row r="3" spans="2:10">
      <c r="C3" t="s">
        <v>293</v>
      </c>
      <c r="D3" t="s">
        <v>294</v>
      </c>
      <c r="E3" s="24"/>
      <c r="F3" s="24"/>
      <c r="G3" s="24"/>
      <c r="H3" s="24"/>
      <c r="I3" s="24"/>
      <c r="J3" s="24"/>
    </row>
    <row r="4" spans="2:10">
      <c r="B4" t="s">
        <v>305</v>
      </c>
      <c r="C4" s="41">
        <v>1224</v>
      </c>
      <c r="D4" s="41">
        <v>1202</v>
      </c>
      <c r="E4" s="24"/>
      <c r="F4" s="41"/>
      <c r="G4" s="41"/>
    </row>
    <row r="5" spans="2:10">
      <c r="B5" t="s">
        <v>306</v>
      </c>
      <c r="C5" s="41">
        <v>1444</v>
      </c>
      <c r="D5" s="41">
        <v>1370</v>
      </c>
      <c r="E5" s="24"/>
      <c r="F5" s="41"/>
      <c r="G5" s="41"/>
      <c r="H5" s="41"/>
      <c r="I5" s="41"/>
      <c r="J5" s="41"/>
    </row>
    <row r="6" spans="2:10">
      <c r="B6" t="s">
        <v>307</v>
      </c>
      <c r="C6" s="41">
        <v>730</v>
      </c>
      <c r="D6" s="41">
        <v>726</v>
      </c>
      <c r="E6" s="49"/>
      <c r="F6" s="41"/>
      <c r="G6" s="41"/>
      <c r="H6" s="24"/>
      <c r="I6" s="24"/>
      <c r="J6" s="24"/>
    </row>
    <row r="7" spans="2:10">
      <c r="B7" t="s">
        <v>308</v>
      </c>
      <c r="C7" s="41">
        <v>211</v>
      </c>
      <c r="D7" s="41">
        <v>204</v>
      </c>
      <c r="F7" s="41"/>
      <c r="G7" s="41"/>
    </row>
    <row r="8" spans="2:10">
      <c r="B8" t="s">
        <v>309</v>
      </c>
      <c r="C8" s="41">
        <v>661</v>
      </c>
      <c r="D8" s="41">
        <v>649</v>
      </c>
      <c r="F8" s="41"/>
      <c r="G8" s="41"/>
    </row>
    <row r="9" spans="2:10">
      <c r="B9" s="31"/>
      <c r="C9" s="31"/>
      <c r="D9" s="31"/>
      <c r="E9" s="31"/>
      <c r="F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dimension ref="A1:R210"/>
  <sheetViews>
    <sheetView workbookViewId="0"/>
  </sheetViews>
  <sheetFormatPr baseColWidth="10" defaultColWidth="9.140625" defaultRowHeight="12.75"/>
  <cols>
    <col min="1" max="1" width="42.85546875" style="434" customWidth="1"/>
    <col min="2" max="2" width="2" style="809" customWidth="1"/>
    <col min="3" max="3" width="11" style="784" customWidth="1"/>
    <col min="4" max="4" width="9.7109375" style="809" customWidth="1"/>
    <col min="5" max="5" width="3.5703125" style="809" customWidth="1"/>
    <col min="6" max="7" width="10.85546875" style="809" customWidth="1"/>
    <col min="8" max="8" width="2.85546875" style="809" customWidth="1"/>
    <col min="9" max="9" width="10.5703125" style="809" customWidth="1"/>
    <col min="10" max="10" width="10.42578125" style="809" customWidth="1"/>
    <col min="11" max="11" width="2.85546875" style="809" customWidth="1"/>
    <col min="12" max="12" width="10.28515625" style="809" customWidth="1"/>
    <col min="13" max="13" width="10.5703125" style="809" customWidth="1"/>
    <col min="14" max="14" width="2.85546875" style="809" customWidth="1"/>
    <col min="15" max="15" width="10.140625" style="809" customWidth="1"/>
    <col min="16" max="16" width="10.7109375" style="436" customWidth="1"/>
    <col min="17" max="17" width="2.85546875" style="434" customWidth="1"/>
    <col min="18" max="18" width="6.7109375" style="809" customWidth="1"/>
    <col min="19" max="256" width="9.140625" style="434"/>
    <col min="257" max="257" width="42.85546875" style="434" customWidth="1"/>
    <col min="258" max="258" width="2" style="434" customWidth="1"/>
    <col min="259" max="259" width="11" style="434" customWidth="1"/>
    <col min="260" max="260" width="9.7109375" style="434" customWidth="1"/>
    <col min="261" max="261" width="3.5703125" style="434" customWidth="1"/>
    <col min="262" max="263" width="10.85546875" style="434" customWidth="1"/>
    <col min="264" max="264" width="2.85546875" style="434" customWidth="1"/>
    <col min="265" max="265" width="10.5703125" style="434" customWidth="1"/>
    <col min="266" max="266" width="10.42578125" style="434" customWidth="1"/>
    <col min="267" max="267" width="2.85546875" style="434" customWidth="1"/>
    <col min="268" max="268" width="10.28515625" style="434" customWidth="1"/>
    <col min="269" max="269" width="10.5703125" style="434" customWidth="1"/>
    <col min="270" max="270" width="2.85546875" style="434" customWidth="1"/>
    <col min="271" max="271" width="10.140625" style="434" customWidth="1"/>
    <col min="272" max="272" width="10.7109375" style="434" customWidth="1"/>
    <col min="273" max="273" width="2.85546875" style="434" customWidth="1"/>
    <col min="274" max="274" width="6.7109375" style="434" customWidth="1"/>
    <col min="275" max="512" width="9.140625" style="434"/>
    <col min="513" max="513" width="42.85546875" style="434" customWidth="1"/>
    <col min="514" max="514" width="2" style="434" customWidth="1"/>
    <col min="515" max="515" width="11" style="434" customWidth="1"/>
    <col min="516" max="516" width="9.7109375" style="434" customWidth="1"/>
    <col min="517" max="517" width="3.5703125" style="434" customWidth="1"/>
    <col min="518" max="519" width="10.85546875" style="434" customWidth="1"/>
    <col min="520" max="520" width="2.85546875" style="434" customWidth="1"/>
    <col min="521" max="521" width="10.5703125" style="434" customWidth="1"/>
    <col min="522" max="522" width="10.42578125" style="434" customWidth="1"/>
    <col min="523" max="523" width="2.85546875" style="434" customWidth="1"/>
    <col min="524" max="524" width="10.28515625" style="434" customWidth="1"/>
    <col min="525" max="525" width="10.5703125" style="434" customWidth="1"/>
    <col min="526" max="526" width="2.85546875" style="434" customWidth="1"/>
    <col min="527" max="527" width="10.140625" style="434" customWidth="1"/>
    <col min="528" max="528" width="10.7109375" style="434" customWidth="1"/>
    <col min="529" max="529" width="2.85546875" style="434" customWidth="1"/>
    <col min="530" max="530" width="6.7109375" style="434" customWidth="1"/>
    <col min="531" max="768" width="9.140625" style="434"/>
    <col min="769" max="769" width="42.85546875" style="434" customWidth="1"/>
    <col min="770" max="770" width="2" style="434" customWidth="1"/>
    <col min="771" max="771" width="11" style="434" customWidth="1"/>
    <col min="772" max="772" width="9.7109375" style="434" customWidth="1"/>
    <col min="773" max="773" width="3.5703125" style="434" customWidth="1"/>
    <col min="774" max="775" width="10.85546875" style="434" customWidth="1"/>
    <col min="776" max="776" width="2.85546875" style="434" customWidth="1"/>
    <col min="777" max="777" width="10.5703125" style="434" customWidth="1"/>
    <col min="778" max="778" width="10.42578125" style="434" customWidth="1"/>
    <col min="779" max="779" width="2.85546875" style="434" customWidth="1"/>
    <col min="780" max="780" width="10.28515625" style="434" customWidth="1"/>
    <col min="781" max="781" width="10.5703125" style="434" customWidth="1"/>
    <col min="782" max="782" width="2.85546875" style="434" customWidth="1"/>
    <col min="783" max="783" width="10.140625" style="434" customWidth="1"/>
    <col min="784" max="784" width="10.7109375" style="434" customWidth="1"/>
    <col min="785" max="785" width="2.85546875" style="434" customWidth="1"/>
    <col min="786" max="786" width="6.7109375" style="434" customWidth="1"/>
    <col min="787" max="1024" width="9.140625" style="434"/>
    <col min="1025" max="1025" width="42.85546875" style="434" customWidth="1"/>
    <col min="1026" max="1026" width="2" style="434" customWidth="1"/>
    <col min="1027" max="1027" width="11" style="434" customWidth="1"/>
    <col min="1028" max="1028" width="9.7109375" style="434" customWidth="1"/>
    <col min="1029" max="1029" width="3.5703125" style="434" customWidth="1"/>
    <col min="1030" max="1031" width="10.85546875" style="434" customWidth="1"/>
    <col min="1032" max="1032" width="2.85546875" style="434" customWidth="1"/>
    <col min="1033" max="1033" width="10.5703125" style="434" customWidth="1"/>
    <col min="1034" max="1034" width="10.42578125" style="434" customWidth="1"/>
    <col min="1035" max="1035" width="2.85546875" style="434" customWidth="1"/>
    <col min="1036" max="1036" width="10.28515625" style="434" customWidth="1"/>
    <col min="1037" max="1037" width="10.5703125" style="434" customWidth="1"/>
    <col min="1038" max="1038" width="2.85546875" style="434" customWidth="1"/>
    <col min="1039" max="1039" width="10.140625" style="434" customWidth="1"/>
    <col min="1040" max="1040" width="10.7109375" style="434" customWidth="1"/>
    <col min="1041" max="1041" width="2.85546875" style="434" customWidth="1"/>
    <col min="1042" max="1042" width="6.7109375" style="434" customWidth="1"/>
    <col min="1043" max="1280" width="9.140625" style="434"/>
    <col min="1281" max="1281" width="42.85546875" style="434" customWidth="1"/>
    <col min="1282" max="1282" width="2" style="434" customWidth="1"/>
    <col min="1283" max="1283" width="11" style="434" customWidth="1"/>
    <col min="1284" max="1284" width="9.7109375" style="434" customWidth="1"/>
    <col min="1285" max="1285" width="3.5703125" style="434" customWidth="1"/>
    <col min="1286" max="1287" width="10.85546875" style="434" customWidth="1"/>
    <col min="1288" max="1288" width="2.85546875" style="434" customWidth="1"/>
    <col min="1289" max="1289" width="10.5703125" style="434" customWidth="1"/>
    <col min="1290" max="1290" width="10.42578125" style="434" customWidth="1"/>
    <col min="1291" max="1291" width="2.85546875" style="434" customWidth="1"/>
    <col min="1292" max="1292" width="10.28515625" style="434" customWidth="1"/>
    <col min="1293" max="1293" width="10.5703125" style="434" customWidth="1"/>
    <col min="1294" max="1294" width="2.85546875" style="434" customWidth="1"/>
    <col min="1295" max="1295" width="10.140625" style="434" customWidth="1"/>
    <col min="1296" max="1296" width="10.7109375" style="434" customWidth="1"/>
    <col min="1297" max="1297" width="2.85546875" style="434" customWidth="1"/>
    <col min="1298" max="1298" width="6.7109375" style="434" customWidth="1"/>
    <col min="1299" max="1536" width="9.140625" style="434"/>
    <col min="1537" max="1537" width="42.85546875" style="434" customWidth="1"/>
    <col min="1538" max="1538" width="2" style="434" customWidth="1"/>
    <col min="1539" max="1539" width="11" style="434" customWidth="1"/>
    <col min="1540" max="1540" width="9.7109375" style="434" customWidth="1"/>
    <col min="1541" max="1541" width="3.5703125" style="434" customWidth="1"/>
    <col min="1542" max="1543" width="10.85546875" style="434" customWidth="1"/>
    <col min="1544" max="1544" width="2.85546875" style="434" customWidth="1"/>
    <col min="1545" max="1545" width="10.5703125" style="434" customWidth="1"/>
    <col min="1546" max="1546" width="10.42578125" style="434" customWidth="1"/>
    <col min="1547" max="1547" width="2.85546875" style="434" customWidth="1"/>
    <col min="1548" max="1548" width="10.28515625" style="434" customWidth="1"/>
    <col min="1549" max="1549" width="10.5703125" style="434" customWidth="1"/>
    <col min="1550" max="1550" width="2.85546875" style="434" customWidth="1"/>
    <col min="1551" max="1551" width="10.140625" style="434" customWidth="1"/>
    <col min="1552" max="1552" width="10.7109375" style="434" customWidth="1"/>
    <col min="1553" max="1553" width="2.85546875" style="434" customWidth="1"/>
    <col min="1554" max="1554" width="6.7109375" style="434" customWidth="1"/>
    <col min="1555" max="1792" width="9.140625" style="434"/>
    <col min="1793" max="1793" width="42.85546875" style="434" customWidth="1"/>
    <col min="1794" max="1794" width="2" style="434" customWidth="1"/>
    <col min="1795" max="1795" width="11" style="434" customWidth="1"/>
    <col min="1796" max="1796" width="9.7109375" style="434" customWidth="1"/>
    <col min="1797" max="1797" width="3.5703125" style="434" customWidth="1"/>
    <col min="1798" max="1799" width="10.85546875" style="434" customWidth="1"/>
    <col min="1800" max="1800" width="2.85546875" style="434" customWidth="1"/>
    <col min="1801" max="1801" width="10.5703125" style="434" customWidth="1"/>
    <col min="1802" max="1802" width="10.42578125" style="434" customWidth="1"/>
    <col min="1803" max="1803" width="2.85546875" style="434" customWidth="1"/>
    <col min="1804" max="1804" width="10.28515625" style="434" customWidth="1"/>
    <col min="1805" max="1805" width="10.5703125" style="434" customWidth="1"/>
    <col min="1806" max="1806" width="2.85546875" style="434" customWidth="1"/>
    <col min="1807" max="1807" width="10.140625" style="434" customWidth="1"/>
    <col min="1808" max="1808" width="10.7109375" style="434" customWidth="1"/>
    <col min="1809" max="1809" width="2.85546875" style="434" customWidth="1"/>
    <col min="1810" max="1810" width="6.7109375" style="434" customWidth="1"/>
    <col min="1811" max="2048" width="9.140625" style="434"/>
    <col min="2049" max="2049" width="42.85546875" style="434" customWidth="1"/>
    <col min="2050" max="2050" width="2" style="434" customWidth="1"/>
    <col min="2051" max="2051" width="11" style="434" customWidth="1"/>
    <col min="2052" max="2052" width="9.7109375" style="434" customWidth="1"/>
    <col min="2053" max="2053" width="3.5703125" style="434" customWidth="1"/>
    <col min="2054" max="2055" width="10.85546875" style="434" customWidth="1"/>
    <col min="2056" max="2056" width="2.85546875" style="434" customWidth="1"/>
    <col min="2057" max="2057" width="10.5703125" style="434" customWidth="1"/>
    <col min="2058" max="2058" width="10.42578125" style="434" customWidth="1"/>
    <col min="2059" max="2059" width="2.85546875" style="434" customWidth="1"/>
    <col min="2060" max="2060" width="10.28515625" style="434" customWidth="1"/>
    <col min="2061" max="2061" width="10.5703125" style="434" customWidth="1"/>
    <col min="2062" max="2062" width="2.85546875" style="434" customWidth="1"/>
    <col min="2063" max="2063" width="10.140625" style="434" customWidth="1"/>
    <col min="2064" max="2064" width="10.7109375" style="434" customWidth="1"/>
    <col min="2065" max="2065" width="2.85546875" style="434" customWidth="1"/>
    <col min="2066" max="2066" width="6.7109375" style="434" customWidth="1"/>
    <col min="2067" max="2304" width="9.140625" style="434"/>
    <col min="2305" max="2305" width="42.85546875" style="434" customWidth="1"/>
    <col min="2306" max="2306" width="2" style="434" customWidth="1"/>
    <col min="2307" max="2307" width="11" style="434" customWidth="1"/>
    <col min="2308" max="2308" width="9.7109375" style="434" customWidth="1"/>
    <col min="2309" max="2309" width="3.5703125" style="434" customWidth="1"/>
    <col min="2310" max="2311" width="10.85546875" style="434" customWidth="1"/>
    <col min="2312" max="2312" width="2.85546875" style="434" customWidth="1"/>
    <col min="2313" max="2313" width="10.5703125" style="434" customWidth="1"/>
    <col min="2314" max="2314" width="10.42578125" style="434" customWidth="1"/>
    <col min="2315" max="2315" width="2.85546875" style="434" customWidth="1"/>
    <col min="2316" max="2316" width="10.28515625" style="434" customWidth="1"/>
    <col min="2317" max="2317" width="10.5703125" style="434" customWidth="1"/>
    <col min="2318" max="2318" width="2.85546875" style="434" customWidth="1"/>
    <col min="2319" max="2319" width="10.140625" style="434" customWidth="1"/>
    <col min="2320" max="2320" width="10.7109375" style="434" customWidth="1"/>
    <col min="2321" max="2321" width="2.85546875" style="434" customWidth="1"/>
    <col min="2322" max="2322" width="6.7109375" style="434" customWidth="1"/>
    <col min="2323" max="2560" width="9.140625" style="434"/>
    <col min="2561" max="2561" width="42.85546875" style="434" customWidth="1"/>
    <col min="2562" max="2562" width="2" style="434" customWidth="1"/>
    <col min="2563" max="2563" width="11" style="434" customWidth="1"/>
    <col min="2564" max="2564" width="9.7109375" style="434" customWidth="1"/>
    <col min="2565" max="2565" width="3.5703125" style="434" customWidth="1"/>
    <col min="2566" max="2567" width="10.85546875" style="434" customWidth="1"/>
    <col min="2568" max="2568" width="2.85546875" style="434" customWidth="1"/>
    <col min="2569" max="2569" width="10.5703125" style="434" customWidth="1"/>
    <col min="2570" max="2570" width="10.42578125" style="434" customWidth="1"/>
    <col min="2571" max="2571" width="2.85546875" style="434" customWidth="1"/>
    <col min="2572" max="2572" width="10.28515625" style="434" customWidth="1"/>
    <col min="2573" max="2573" width="10.5703125" style="434" customWidth="1"/>
    <col min="2574" max="2574" width="2.85546875" style="434" customWidth="1"/>
    <col min="2575" max="2575" width="10.140625" style="434" customWidth="1"/>
    <col min="2576" max="2576" width="10.7109375" style="434" customWidth="1"/>
    <col min="2577" max="2577" width="2.85546875" style="434" customWidth="1"/>
    <col min="2578" max="2578" width="6.7109375" style="434" customWidth="1"/>
    <col min="2579" max="2816" width="9.140625" style="434"/>
    <col min="2817" max="2817" width="42.85546875" style="434" customWidth="1"/>
    <col min="2818" max="2818" width="2" style="434" customWidth="1"/>
    <col min="2819" max="2819" width="11" style="434" customWidth="1"/>
    <col min="2820" max="2820" width="9.7109375" style="434" customWidth="1"/>
    <col min="2821" max="2821" width="3.5703125" style="434" customWidth="1"/>
    <col min="2822" max="2823" width="10.85546875" style="434" customWidth="1"/>
    <col min="2824" max="2824" width="2.85546875" style="434" customWidth="1"/>
    <col min="2825" max="2825" width="10.5703125" style="434" customWidth="1"/>
    <col min="2826" max="2826" width="10.42578125" style="434" customWidth="1"/>
    <col min="2827" max="2827" width="2.85546875" style="434" customWidth="1"/>
    <col min="2828" max="2828" width="10.28515625" style="434" customWidth="1"/>
    <col min="2829" max="2829" width="10.5703125" style="434" customWidth="1"/>
    <col min="2830" max="2830" width="2.85546875" style="434" customWidth="1"/>
    <col min="2831" max="2831" width="10.140625" style="434" customWidth="1"/>
    <col min="2832" max="2832" width="10.7109375" style="434" customWidth="1"/>
    <col min="2833" max="2833" width="2.85546875" style="434" customWidth="1"/>
    <col min="2834" max="2834" width="6.7109375" style="434" customWidth="1"/>
    <col min="2835" max="3072" width="9.140625" style="434"/>
    <col min="3073" max="3073" width="42.85546875" style="434" customWidth="1"/>
    <col min="3074" max="3074" width="2" style="434" customWidth="1"/>
    <col min="3075" max="3075" width="11" style="434" customWidth="1"/>
    <col min="3076" max="3076" width="9.7109375" style="434" customWidth="1"/>
    <col min="3077" max="3077" width="3.5703125" style="434" customWidth="1"/>
    <col min="3078" max="3079" width="10.85546875" style="434" customWidth="1"/>
    <col min="3080" max="3080" width="2.85546875" style="434" customWidth="1"/>
    <col min="3081" max="3081" width="10.5703125" style="434" customWidth="1"/>
    <col min="3082" max="3082" width="10.42578125" style="434" customWidth="1"/>
    <col min="3083" max="3083" width="2.85546875" style="434" customWidth="1"/>
    <col min="3084" max="3084" width="10.28515625" style="434" customWidth="1"/>
    <col min="3085" max="3085" width="10.5703125" style="434" customWidth="1"/>
    <col min="3086" max="3086" width="2.85546875" style="434" customWidth="1"/>
    <col min="3087" max="3087" width="10.140625" style="434" customWidth="1"/>
    <col min="3088" max="3088" width="10.7109375" style="434" customWidth="1"/>
    <col min="3089" max="3089" width="2.85546875" style="434" customWidth="1"/>
    <col min="3090" max="3090" width="6.7109375" style="434" customWidth="1"/>
    <col min="3091" max="3328" width="9.140625" style="434"/>
    <col min="3329" max="3329" width="42.85546875" style="434" customWidth="1"/>
    <col min="3330" max="3330" width="2" style="434" customWidth="1"/>
    <col min="3331" max="3331" width="11" style="434" customWidth="1"/>
    <col min="3332" max="3332" width="9.7109375" style="434" customWidth="1"/>
    <col min="3333" max="3333" width="3.5703125" style="434" customWidth="1"/>
    <col min="3334" max="3335" width="10.85546875" style="434" customWidth="1"/>
    <col min="3336" max="3336" width="2.85546875" style="434" customWidth="1"/>
    <col min="3337" max="3337" width="10.5703125" style="434" customWidth="1"/>
    <col min="3338" max="3338" width="10.42578125" style="434" customWidth="1"/>
    <col min="3339" max="3339" width="2.85546875" style="434" customWidth="1"/>
    <col min="3340" max="3340" width="10.28515625" style="434" customWidth="1"/>
    <col min="3341" max="3341" width="10.5703125" style="434" customWidth="1"/>
    <col min="3342" max="3342" width="2.85546875" style="434" customWidth="1"/>
    <col min="3343" max="3343" width="10.140625" style="434" customWidth="1"/>
    <col min="3344" max="3344" width="10.7109375" style="434" customWidth="1"/>
    <col min="3345" max="3345" width="2.85546875" style="434" customWidth="1"/>
    <col min="3346" max="3346" width="6.7109375" style="434" customWidth="1"/>
    <col min="3347" max="3584" width="9.140625" style="434"/>
    <col min="3585" max="3585" width="42.85546875" style="434" customWidth="1"/>
    <col min="3586" max="3586" width="2" style="434" customWidth="1"/>
    <col min="3587" max="3587" width="11" style="434" customWidth="1"/>
    <col min="3588" max="3588" width="9.7109375" style="434" customWidth="1"/>
    <col min="3589" max="3589" width="3.5703125" style="434" customWidth="1"/>
    <col min="3590" max="3591" width="10.85546875" style="434" customWidth="1"/>
    <col min="3592" max="3592" width="2.85546875" style="434" customWidth="1"/>
    <col min="3593" max="3593" width="10.5703125" style="434" customWidth="1"/>
    <col min="3594" max="3594" width="10.42578125" style="434" customWidth="1"/>
    <col min="3595" max="3595" width="2.85546875" style="434" customWidth="1"/>
    <col min="3596" max="3596" width="10.28515625" style="434" customWidth="1"/>
    <col min="3597" max="3597" width="10.5703125" style="434" customWidth="1"/>
    <col min="3598" max="3598" width="2.85546875" style="434" customWidth="1"/>
    <col min="3599" max="3599" width="10.140625" style="434" customWidth="1"/>
    <col min="3600" max="3600" width="10.7109375" style="434" customWidth="1"/>
    <col min="3601" max="3601" width="2.85546875" style="434" customWidth="1"/>
    <col min="3602" max="3602" width="6.7109375" style="434" customWidth="1"/>
    <col min="3603" max="3840" width="9.140625" style="434"/>
    <col min="3841" max="3841" width="42.85546875" style="434" customWidth="1"/>
    <col min="3842" max="3842" width="2" style="434" customWidth="1"/>
    <col min="3843" max="3843" width="11" style="434" customWidth="1"/>
    <col min="3844" max="3844" width="9.7109375" style="434" customWidth="1"/>
    <col min="3845" max="3845" width="3.5703125" style="434" customWidth="1"/>
    <col min="3846" max="3847" width="10.85546875" style="434" customWidth="1"/>
    <col min="3848" max="3848" width="2.85546875" style="434" customWidth="1"/>
    <col min="3849" max="3849" width="10.5703125" style="434" customWidth="1"/>
    <col min="3850" max="3850" width="10.42578125" style="434" customWidth="1"/>
    <col min="3851" max="3851" width="2.85546875" style="434" customWidth="1"/>
    <col min="3852" max="3852" width="10.28515625" style="434" customWidth="1"/>
    <col min="3853" max="3853" width="10.5703125" style="434" customWidth="1"/>
    <col min="3854" max="3854" width="2.85546875" style="434" customWidth="1"/>
    <col min="3855" max="3855" width="10.140625" style="434" customWidth="1"/>
    <col min="3856" max="3856" width="10.7109375" style="434" customWidth="1"/>
    <col min="3857" max="3857" width="2.85546875" style="434" customWidth="1"/>
    <col min="3858" max="3858" width="6.7109375" style="434" customWidth="1"/>
    <col min="3859" max="4096" width="9.140625" style="434"/>
    <col min="4097" max="4097" width="42.85546875" style="434" customWidth="1"/>
    <col min="4098" max="4098" width="2" style="434" customWidth="1"/>
    <col min="4099" max="4099" width="11" style="434" customWidth="1"/>
    <col min="4100" max="4100" width="9.7109375" style="434" customWidth="1"/>
    <col min="4101" max="4101" width="3.5703125" style="434" customWidth="1"/>
    <col min="4102" max="4103" width="10.85546875" style="434" customWidth="1"/>
    <col min="4104" max="4104" width="2.85546875" style="434" customWidth="1"/>
    <col min="4105" max="4105" width="10.5703125" style="434" customWidth="1"/>
    <col min="4106" max="4106" width="10.42578125" style="434" customWidth="1"/>
    <col min="4107" max="4107" width="2.85546875" style="434" customWidth="1"/>
    <col min="4108" max="4108" width="10.28515625" style="434" customWidth="1"/>
    <col min="4109" max="4109" width="10.5703125" style="434" customWidth="1"/>
    <col min="4110" max="4110" width="2.85546875" style="434" customWidth="1"/>
    <col min="4111" max="4111" width="10.140625" style="434" customWidth="1"/>
    <col min="4112" max="4112" width="10.7109375" style="434" customWidth="1"/>
    <col min="4113" max="4113" width="2.85546875" style="434" customWidth="1"/>
    <col min="4114" max="4114" width="6.7109375" style="434" customWidth="1"/>
    <col min="4115" max="4352" width="9.140625" style="434"/>
    <col min="4353" max="4353" width="42.85546875" style="434" customWidth="1"/>
    <col min="4354" max="4354" width="2" style="434" customWidth="1"/>
    <col min="4355" max="4355" width="11" style="434" customWidth="1"/>
    <col min="4356" max="4356" width="9.7109375" style="434" customWidth="1"/>
    <col min="4357" max="4357" width="3.5703125" style="434" customWidth="1"/>
    <col min="4358" max="4359" width="10.85546875" style="434" customWidth="1"/>
    <col min="4360" max="4360" width="2.85546875" style="434" customWidth="1"/>
    <col min="4361" max="4361" width="10.5703125" style="434" customWidth="1"/>
    <col min="4362" max="4362" width="10.42578125" style="434" customWidth="1"/>
    <col min="4363" max="4363" width="2.85546875" style="434" customWidth="1"/>
    <col min="4364" max="4364" width="10.28515625" style="434" customWidth="1"/>
    <col min="4365" max="4365" width="10.5703125" style="434" customWidth="1"/>
    <col min="4366" max="4366" width="2.85546875" style="434" customWidth="1"/>
    <col min="4367" max="4367" width="10.140625" style="434" customWidth="1"/>
    <col min="4368" max="4368" width="10.7109375" style="434" customWidth="1"/>
    <col min="4369" max="4369" width="2.85546875" style="434" customWidth="1"/>
    <col min="4370" max="4370" width="6.7109375" style="434" customWidth="1"/>
    <col min="4371" max="4608" width="9.140625" style="434"/>
    <col min="4609" max="4609" width="42.85546875" style="434" customWidth="1"/>
    <col min="4610" max="4610" width="2" style="434" customWidth="1"/>
    <col min="4611" max="4611" width="11" style="434" customWidth="1"/>
    <col min="4612" max="4612" width="9.7109375" style="434" customWidth="1"/>
    <col min="4613" max="4613" width="3.5703125" style="434" customWidth="1"/>
    <col min="4614" max="4615" width="10.85546875" style="434" customWidth="1"/>
    <col min="4616" max="4616" width="2.85546875" style="434" customWidth="1"/>
    <col min="4617" max="4617" width="10.5703125" style="434" customWidth="1"/>
    <col min="4618" max="4618" width="10.42578125" style="434" customWidth="1"/>
    <col min="4619" max="4619" width="2.85546875" style="434" customWidth="1"/>
    <col min="4620" max="4620" width="10.28515625" style="434" customWidth="1"/>
    <col min="4621" max="4621" width="10.5703125" style="434" customWidth="1"/>
    <col min="4622" max="4622" width="2.85546875" style="434" customWidth="1"/>
    <col min="4623" max="4623" width="10.140625" style="434" customWidth="1"/>
    <col min="4624" max="4624" width="10.7109375" style="434" customWidth="1"/>
    <col min="4625" max="4625" width="2.85546875" style="434" customWidth="1"/>
    <col min="4626" max="4626" width="6.7109375" style="434" customWidth="1"/>
    <col min="4627" max="4864" width="9.140625" style="434"/>
    <col min="4865" max="4865" width="42.85546875" style="434" customWidth="1"/>
    <col min="4866" max="4866" width="2" style="434" customWidth="1"/>
    <col min="4867" max="4867" width="11" style="434" customWidth="1"/>
    <col min="4868" max="4868" width="9.7109375" style="434" customWidth="1"/>
    <col min="4869" max="4869" width="3.5703125" style="434" customWidth="1"/>
    <col min="4870" max="4871" width="10.85546875" style="434" customWidth="1"/>
    <col min="4872" max="4872" width="2.85546875" style="434" customWidth="1"/>
    <col min="4873" max="4873" width="10.5703125" style="434" customWidth="1"/>
    <col min="4874" max="4874" width="10.42578125" style="434" customWidth="1"/>
    <col min="4875" max="4875" width="2.85546875" style="434" customWidth="1"/>
    <col min="4876" max="4876" width="10.28515625" style="434" customWidth="1"/>
    <col min="4877" max="4877" width="10.5703125" style="434" customWidth="1"/>
    <col min="4878" max="4878" width="2.85546875" style="434" customWidth="1"/>
    <col min="4879" max="4879" width="10.140625" style="434" customWidth="1"/>
    <col min="4880" max="4880" width="10.7109375" style="434" customWidth="1"/>
    <col min="4881" max="4881" width="2.85546875" style="434" customWidth="1"/>
    <col min="4882" max="4882" width="6.7109375" style="434" customWidth="1"/>
    <col min="4883" max="5120" width="9.140625" style="434"/>
    <col min="5121" max="5121" width="42.85546875" style="434" customWidth="1"/>
    <col min="5122" max="5122" width="2" style="434" customWidth="1"/>
    <col min="5123" max="5123" width="11" style="434" customWidth="1"/>
    <col min="5124" max="5124" width="9.7109375" style="434" customWidth="1"/>
    <col min="5125" max="5125" width="3.5703125" style="434" customWidth="1"/>
    <col min="5126" max="5127" width="10.85546875" style="434" customWidth="1"/>
    <col min="5128" max="5128" width="2.85546875" style="434" customWidth="1"/>
    <col min="5129" max="5129" width="10.5703125" style="434" customWidth="1"/>
    <col min="5130" max="5130" width="10.42578125" style="434" customWidth="1"/>
    <col min="5131" max="5131" width="2.85546875" style="434" customWidth="1"/>
    <col min="5132" max="5132" width="10.28515625" style="434" customWidth="1"/>
    <col min="5133" max="5133" width="10.5703125" style="434" customWidth="1"/>
    <col min="5134" max="5134" width="2.85546875" style="434" customWidth="1"/>
    <col min="5135" max="5135" width="10.140625" style="434" customWidth="1"/>
    <col min="5136" max="5136" width="10.7109375" style="434" customWidth="1"/>
    <col min="5137" max="5137" width="2.85546875" style="434" customWidth="1"/>
    <col min="5138" max="5138" width="6.7109375" style="434" customWidth="1"/>
    <col min="5139" max="5376" width="9.140625" style="434"/>
    <col min="5377" max="5377" width="42.85546875" style="434" customWidth="1"/>
    <col min="5378" max="5378" width="2" style="434" customWidth="1"/>
    <col min="5379" max="5379" width="11" style="434" customWidth="1"/>
    <col min="5380" max="5380" width="9.7109375" style="434" customWidth="1"/>
    <col min="5381" max="5381" width="3.5703125" style="434" customWidth="1"/>
    <col min="5382" max="5383" width="10.85546875" style="434" customWidth="1"/>
    <col min="5384" max="5384" width="2.85546875" style="434" customWidth="1"/>
    <col min="5385" max="5385" width="10.5703125" style="434" customWidth="1"/>
    <col min="5386" max="5386" width="10.42578125" style="434" customWidth="1"/>
    <col min="5387" max="5387" width="2.85546875" style="434" customWidth="1"/>
    <col min="5388" max="5388" width="10.28515625" style="434" customWidth="1"/>
    <col min="5389" max="5389" width="10.5703125" style="434" customWidth="1"/>
    <col min="5390" max="5390" width="2.85546875" style="434" customWidth="1"/>
    <col min="5391" max="5391" width="10.140625" style="434" customWidth="1"/>
    <col min="5392" max="5392" width="10.7109375" style="434" customWidth="1"/>
    <col min="5393" max="5393" width="2.85546875" style="434" customWidth="1"/>
    <col min="5394" max="5394" width="6.7109375" style="434" customWidth="1"/>
    <col min="5395" max="5632" width="9.140625" style="434"/>
    <col min="5633" max="5633" width="42.85546875" style="434" customWidth="1"/>
    <col min="5634" max="5634" width="2" style="434" customWidth="1"/>
    <col min="5635" max="5635" width="11" style="434" customWidth="1"/>
    <col min="5636" max="5636" width="9.7109375" style="434" customWidth="1"/>
    <col min="5637" max="5637" width="3.5703125" style="434" customWidth="1"/>
    <col min="5638" max="5639" width="10.85546875" style="434" customWidth="1"/>
    <col min="5640" max="5640" width="2.85546875" style="434" customWidth="1"/>
    <col min="5641" max="5641" width="10.5703125" style="434" customWidth="1"/>
    <col min="5642" max="5642" width="10.42578125" style="434" customWidth="1"/>
    <col min="5643" max="5643" width="2.85546875" style="434" customWidth="1"/>
    <col min="5644" max="5644" width="10.28515625" style="434" customWidth="1"/>
    <col min="5645" max="5645" width="10.5703125" style="434" customWidth="1"/>
    <col min="5646" max="5646" width="2.85546875" style="434" customWidth="1"/>
    <col min="5647" max="5647" width="10.140625" style="434" customWidth="1"/>
    <col min="5648" max="5648" width="10.7109375" style="434" customWidth="1"/>
    <col min="5649" max="5649" width="2.85546875" style="434" customWidth="1"/>
    <col min="5650" max="5650" width="6.7109375" style="434" customWidth="1"/>
    <col min="5651" max="5888" width="9.140625" style="434"/>
    <col min="5889" max="5889" width="42.85546875" style="434" customWidth="1"/>
    <col min="5890" max="5890" width="2" style="434" customWidth="1"/>
    <col min="5891" max="5891" width="11" style="434" customWidth="1"/>
    <col min="5892" max="5892" width="9.7109375" style="434" customWidth="1"/>
    <col min="5893" max="5893" width="3.5703125" style="434" customWidth="1"/>
    <col min="5894" max="5895" width="10.85546875" style="434" customWidth="1"/>
    <col min="5896" max="5896" width="2.85546875" style="434" customWidth="1"/>
    <col min="5897" max="5897" width="10.5703125" style="434" customWidth="1"/>
    <col min="5898" max="5898" width="10.42578125" style="434" customWidth="1"/>
    <col min="5899" max="5899" width="2.85546875" style="434" customWidth="1"/>
    <col min="5900" max="5900" width="10.28515625" style="434" customWidth="1"/>
    <col min="5901" max="5901" width="10.5703125" style="434" customWidth="1"/>
    <col min="5902" max="5902" width="2.85546875" style="434" customWidth="1"/>
    <col min="5903" max="5903" width="10.140625" style="434" customWidth="1"/>
    <col min="5904" max="5904" width="10.7109375" style="434" customWidth="1"/>
    <col min="5905" max="5905" width="2.85546875" style="434" customWidth="1"/>
    <col min="5906" max="5906" width="6.7109375" style="434" customWidth="1"/>
    <col min="5907" max="6144" width="9.140625" style="434"/>
    <col min="6145" max="6145" width="42.85546875" style="434" customWidth="1"/>
    <col min="6146" max="6146" width="2" style="434" customWidth="1"/>
    <col min="6147" max="6147" width="11" style="434" customWidth="1"/>
    <col min="6148" max="6148" width="9.7109375" style="434" customWidth="1"/>
    <col min="6149" max="6149" width="3.5703125" style="434" customWidth="1"/>
    <col min="6150" max="6151" width="10.85546875" style="434" customWidth="1"/>
    <col min="6152" max="6152" width="2.85546875" style="434" customWidth="1"/>
    <col min="6153" max="6153" width="10.5703125" style="434" customWidth="1"/>
    <col min="6154" max="6154" width="10.42578125" style="434" customWidth="1"/>
    <col min="6155" max="6155" width="2.85546875" style="434" customWidth="1"/>
    <col min="6156" max="6156" width="10.28515625" style="434" customWidth="1"/>
    <col min="6157" max="6157" width="10.5703125" style="434" customWidth="1"/>
    <col min="6158" max="6158" width="2.85546875" style="434" customWidth="1"/>
    <col min="6159" max="6159" width="10.140625" style="434" customWidth="1"/>
    <col min="6160" max="6160" width="10.7109375" style="434" customWidth="1"/>
    <col min="6161" max="6161" width="2.85546875" style="434" customWidth="1"/>
    <col min="6162" max="6162" width="6.7109375" style="434" customWidth="1"/>
    <col min="6163" max="6400" width="9.140625" style="434"/>
    <col min="6401" max="6401" width="42.85546875" style="434" customWidth="1"/>
    <col min="6402" max="6402" width="2" style="434" customWidth="1"/>
    <col min="6403" max="6403" width="11" style="434" customWidth="1"/>
    <col min="6404" max="6404" width="9.7109375" style="434" customWidth="1"/>
    <col min="6405" max="6405" width="3.5703125" style="434" customWidth="1"/>
    <col min="6406" max="6407" width="10.85546875" style="434" customWidth="1"/>
    <col min="6408" max="6408" width="2.85546875" style="434" customWidth="1"/>
    <col min="6409" max="6409" width="10.5703125" style="434" customWidth="1"/>
    <col min="6410" max="6410" width="10.42578125" style="434" customWidth="1"/>
    <col min="6411" max="6411" width="2.85546875" style="434" customWidth="1"/>
    <col min="6412" max="6412" width="10.28515625" style="434" customWidth="1"/>
    <col min="6413" max="6413" width="10.5703125" style="434" customWidth="1"/>
    <col min="6414" max="6414" width="2.85546875" style="434" customWidth="1"/>
    <col min="6415" max="6415" width="10.140625" style="434" customWidth="1"/>
    <col min="6416" max="6416" width="10.7109375" style="434" customWidth="1"/>
    <col min="6417" max="6417" width="2.85546875" style="434" customWidth="1"/>
    <col min="6418" max="6418" width="6.7109375" style="434" customWidth="1"/>
    <col min="6419" max="6656" width="9.140625" style="434"/>
    <col min="6657" max="6657" width="42.85546875" style="434" customWidth="1"/>
    <col min="6658" max="6658" width="2" style="434" customWidth="1"/>
    <col min="6659" max="6659" width="11" style="434" customWidth="1"/>
    <col min="6660" max="6660" width="9.7109375" style="434" customWidth="1"/>
    <col min="6661" max="6661" width="3.5703125" style="434" customWidth="1"/>
    <col min="6662" max="6663" width="10.85546875" style="434" customWidth="1"/>
    <col min="6664" max="6664" width="2.85546875" style="434" customWidth="1"/>
    <col min="6665" max="6665" width="10.5703125" style="434" customWidth="1"/>
    <col min="6666" max="6666" width="10.42578125" style="434" customWidth="1"/>
    <col min="6667" max="6667" width="2.85546875" style="434" customWidth="1"/>
    <col min="6668" max="6668" width="10.28515625" style="434" customWidth="1"/>
    <col min="6669" max="6669" width="10.5703125" style="434" customWidth="1"/>
    <col min="6670" max="6670" width="2.85546875" style="434" customWidth="1"/>
    <col min="6671" max="6671" width="10.140625" style="434" customWidth="1"/>
    <col min="6672" max="6672" width="10.7109375" style="434" customWidth="1"/>
    <col min="6673" max="6673" width="2.85546875" style="434" customWidth="1"/>
    <col min="6674" max="6674" width="6.7109375" style="434" customWidth="1"/>
    <col min="6675" max="6912" width="9.140625" style="434"/>
    <col min="6913" max="6913" width="42.85546875" style="434" customWidth="1"/>
    <col min="6914" max="6914" width="2" style="434" customWidth="1"/>
    <col min="6915" max="6915" width="11" style="434" customWidth="1"/>
    <col min="6916" max="6916" width="9.7109375" style="434" customWidth="1"/>
    <col min="6917" max="6917" width="3.5703125" style="434" customWidth="1"/>
    <col min="6918" max="6919" width="10.85546875" style="434" customWidth="1"/>
    <col min="6920" max="6920" width="2.85546875" style="434" customWidth="1"/>
    <col min="6921" max="6921" width="10.5703125" style="434" customWidth="1"/>
    <col min="6922" max="6922" width="10.42578125" style="434" customWidth="1"/>
    <col min="6923" max="6923" width="2.85546875" style="434" customWidth="1"/>
    <col min="6924" max="6924" width="10.28515625" style="434" customWidth="1"/>
    <col min="6925" max="6925" width="10.5703125" style="434" customWidth="1"/>
    <col min="6926" max="6926" width="2.85546875" style="434" customWidth="1"/>
    <col min="6927" max="6927" width="10.140625" style="434" customWidth="1"/>
    <col min="6928" max="6928" width="10.7109375" style="434" customWidth="1"/>
    <col min="6929" max="6929" width="2.85546875" style="434" customWidth="1"/>
    <col min="6930" max="6930" width="6.7109375" style="434" customWidth="1"/>
    <col min="6931" max="7168" width="9.140625" style="434"/>
    <col min="7169" max="7169" width="42.85546875" style="434" customWidth="1"/>
    <col min="7170" max="7170" width="2" style="434" customWidth="1"/>
    <col min="7171" max="7171" width="11" style="434" customWidth="1"/>
    <col min="7172" max="7172" width="9.7109375" style="434" customWidth="1"/>
    <col min="7173" max="7173" width="3.5703125" style="434" customWidth="1"/>
    <col min="7174" max="7175" width="10.85546875" style="434" customWidth="1"/>
    <col min="7176" max="7176" width="2.85546875" style="434" customWidth="1"/>
    <col min="7177" max="7177" width="10.5703125" style="434" customWidth="1"/>
    <col min="7178" max="7178" width="10.42578125" style="434" customWidth="1"/>
    <col min="7179" max="7179" width="2.85546875" style="434" customWidth="1"/>
    <col min="7180" max="7180" width="10.28515625" style="434" customWidth="1"/>
    <col min="7181" max="7181" width="10.5703125" style="434" customWidth="1"/>
    <col min="7182" max="7182" width="2.85546875" style="434" customWidth="1"/>
    <col min="7183" max="7183" width="10.140625" style="434" customWidth="1"/>
    <col min="7184" max="7184" width="10.7109375" style="434" customWidth="1"/>
    <col min="7185" max="7185" width="2.85546875" style="434" customWidth="1"/>
    <col min="7186" max="7186" width="6.7109375" style="434" customWidth="1"/>
    <col min="7187" max="7424" width="9.140625" style="434"/>
    <col min="7425" max="7425" width="42.85546875" style="434" customWidth="1"/>
    <col min="7426" max="7426" width="2" style="434" customWidth="1"/>
    <col min="7427" max="7427" width="11" style="434" customWidth="1"/>
    <col min="7428" max="7428" width="9.7109375" style="434" customWidth="1"/>
    <col min="7429" max="7429" width="3.5703125" style="434" customWidth="1"/>
    <col min="7430" max="7431" width="10.85546875" style="434" customWidth="1"/>
    <col min="7432" max="7432" width="2.85546875" style="434" customWidth="1"/>
    <col min="7433" max="7433" width="10.5703125" style="434" customWidth="1"/>
    <col min="7434" max="7434" width="10.42578125" style="434" customWidth="1"/>
    <col min="7435" max="7435" width="2.85546875" style="434" customWidth="1"/>
    <col min="7436" max="7436" width="10.28515625" style="434" customWidth="1"/>
    <col min="7437" max="7437" width="10.5703125" style="434" customWidth="1"/>
    <col min="7438" max="7438" width="2.85546875" style="434" customWidth="1"/>
    <col min="7439" max="7439" width="10.140625" style="434" customWidth="1"/>
    <col min="7440" max="7440" width="10.7109375" style="434" customWidth="1"/>
    <col min="7441" max="7441" width="2.85546875" style="434" customWidth="1"/>
    <col min="7442" max="7442" width="6.7109375" style="434" customWidth="1"/>
    <col min="7443" max="7680" width="9.140625" style="434"/>
    <col min="7681" max="7681" width="42.85546875" style="434" customWidth="1"/>
    <col min="7682" max="7682" width="2" style="434" customWidth="1"/>
    <col min="7683" max="7683" width="11" style="434" customWidth="1"/>
    <col min="7684" max="7684" width="9.7109375" style="434" customWidth="1"/>
    <col min="7685" max="7685" width="3.5703125" style="434" customWidth="1"/>
    <col min="7686" max="7687" width="10.85546875" style="434" customWidth="1"/>
    <col min="7688" max="7688" width="2.85546875" style="434" customWidth="1"/>
    <col min="7689" max="7689" width="10.5703125" style="434" customWidth="1"/>
    <col min="7690" max="7690" width="10.42578125" style="434" customWidth="1"/>
    <col min="7691" max="7691" width="2.85546875" style="434" customWidth="1"/>
    <col min="7692" max="7692" width="10.28515625" style="434" customWidth="1"/>
    <col min="7693" max="7693" width="10.5703125" style="434" customWidth="1"/>
    <col min="7694" max="7694" width="2.85546875" style="434" customWidth="1"/>
    <col min="7695" max="7695" width="10.140625" style="434" customWidth="1"/>
    <col min="7696" max="7696" width="10.7109375" style="434" customWidth="1"/>
    <col min="7697" max="7697" width="2.85546875" style="434" customWidth="1"/>
    <col min="7698" max="7698" width="6.7109375" style="434" customWidth="1"/>
    <col min="7699" max="7936" width="9.140625" style="434"/>
    <col min="7937" max="7937" width="42.85546875" style="434" customWidth="1"/>
    <col min="7938" max="7938" width="2" style="434" customWidth="1"/>
    <col min="7939" max="7939" width="11" style="434" customWidth="1"/>
    <col min="7940" max="7940" width="9.7109375" style="434" customWidth="1"/>
    <col min="7941" max="7941" width="3.5703125" style="434" customWidth="1"/>
    <col min="7942" max="7943" width="10.85546875" style="434" customWidth="1"/>
    <col min="7944" max="7944" width="2.85546875" style="434" customWidth="1"/>
    <col min="7945" max="7945" width="10.5703125" style="434" customWidth="1"/>
    <col min="7946" max="7946" width="10.42578125" style="434" customWidth="1"/>
    <col min="7947" max="7947" width="2.85546875" style="434" customWidth="1"/>
    <col min="7948" max="7948" width="10.28515625" style="434" customWidth="1"/>
    <col min="7949" max="7949" width="10.5703125" style="434" customWidth="1"/>
    <col min="7950" max="7950" width="2.85546875" style="434" customWidth="1"/>
    <col min="7951" max="7951" width="10.140625" style="434" customWidth="1"/>
    <col min="7952" max="7952" width="10.7109375" style="434" customWidth="1"/>
    <col min="7953" max="7953" width="2.85546875" style="434" customWidth="1"/>
    <col min="7954" max="7954" width="6.7109375" style="434" customWidth="1"/>
    <col min="7955" max="8192" width="9.140625" style="434"/>
    <col min="8193" max="8193" width="42.85546875" style="434" customWidth="1"/>
    <col min="8194" max="8194" width="2" style="434" customWidth="1"/>
    <col min="8195" max="8195" width="11" style="434" customWidth="1"/>
    <col min="8196" max="8196" width="9.7109375" style="434" customWidth="1"/>
    <col min="8197" max="8197" width="3.5703125" style="434" customWidth="1"/>
    <col min="8198" max="8199" width="10.85546875" style="434" customWidth="1"/>
    <col min="8200" max="8200" width="2.85546875" style="434" customWidth="1"/>
    <col min="8201" max="8201" width="10.5703125" style="434" customWidth="1"/>
    <col min="8202" max="8202" width="10.42578125" style="434" customWidth="1"/>
    <col min="8203" max="8203" width="2.85546875" style="434" customWidth="1"/>
    <col min="8204" max="8204" width="10.28515625" style="434" customWidth="1"/>
    <col min="8205" max="8205" width="10.5703125" style="434" customWidth="1"/>
    <col min="8206" max="8206" width="2.85546875" style="434" customWidth="1"/>
    <col min="8207" max="8207" width="10.140625" style="434" customWidth="1"/>
    <col min="8208" max="8208" width="10.7109375" style="434" customWidth="1"/>
    <col min="8209" max="8209" width="2.85546875" style="434" customWidth="1"/>
    <col min="8210" max="8210" width="6.7109375" style="434" customWidth="1"/>
    <col min="8211" max="8448" width="9.140625" style="434"/>
    <col min="8449" max="8449" width="42.85546875" style="434" customWidth="1"/>
    <col min="8450" max="8450" width="2" style="434" customWidth="1"/>
    <col min="8451" max="8451" width="11" style="434" customWidth="1"/>
    <col min="8452" max="8452" width="9.7109375" style="434" customWidth="1"/>
    <col min="8453" max="8453" width="3.5703125" style="434" customWidth="1"/>
    <col min="8454" max="8455" width="10.85546875" style="434" customWidth="1"/>
    <col min="8456" max="8456" width="2.85546875" style="434" customWidth="1"/>
    <col min="8457" max="8457" width="10.5703125" style="434" customWidth="1"/>
    <col min="8458" max="8458" width="10.42578125" style="434" customWidth="1"/>
    <col min="8459" max="8459" width="2.85546875" style="434" customWidth="1"/>
    <col min="8460" max="8460" width="10.28515625" style="434" customWidth="1"/>
    <col min="8461" max="8461" width="10.5703125" style="434" customWidth="1"/>
    <col min="8462" max="8462" width="2.85546875" style="434" customWidth="1"/>
    <col min="8463" max="8463" width="10.140625" style="434" customWidth="1"/>
    <col min="8464" max="8464" width="10.7109375" style="434" customWidth="1"/>
    <col min="8465" max="8465" width="2.85546875" style="434" customWidth="1"/>
    <col min="8466" max="8466" width="6.7109375" style="434" customWidth="1"/>
    <col min="8467" max="8704" width="9.140625" style="434"/>
    <col min="8705" max="8705" width="42.85546875" style="434" customWidth="1"/>
    <col min="8706" max="8706" width="2" style="434" customWidth="1"/>
    <col min="8707" max="8707" width="11" style="434" customWidth="1"/>
    <col min="8708" max="8708" width="9.7109375" style="434" customWidth="1"/>
    <col min="8709" max="8709" width="3.5703125" style="434" customWidth="1"/>
    <col min="8710" max="8711" width="10.85546875" style="434" customWidth="1"/>
    <col min="8712" max="8712" width="2.85546875" style="434" customWidth="1"/>
    <col min="8713" max="8713" width="10.5703125" style="434" customWidth="1"/>
    <col min="8714" max="8714" width="10.42578125" style="434" customWidth="1"/>
    <col min="8715" max="8715" width="2.85546875" style="434" customWidth="1"/>
    <col min="8716" max="8716" width="10.28515625" style="434" customWidth="1"/>
    <col min="8717" max="8717" width="10.5703125" style="434" customWidth="1"/>
    <col min="8718" max="8718" width="2.85546875" style="434" customWidth="1"/>
    <col min="8719" max="8719" width="10.140625" style="434" customWidth="1"/>
    <col min="8720" max="8720" width="10.7109375" style="434" customWidth="1"/>
    <col min="8721" max="8721" width="2.85546875" style="434" customWidth="1"/>
    <col min="8722" max="8722" width="6.7109375" style="434" customWidth="1"/>
    <col min="8723" max="8960" width="9.140625" style="434"/>
    <col min="8961" max="8961" width="42.85546875" style="434" customWidth="1"/>
    <col min="8962" max="8962" width="2" style="434" customWidth="1"/>
    <col min="8963" max="8963" width="11" style="434" customWidth="1"/>
    <col min="8964" max="8964" width="9.7109375" style="434" customWidth="1"/>
    <col min="8965" max="8965" width="3.5703125" style="434" customWidth="1"/>
    <col min="8966" max="8967" width="10.85546875" style="434" customWidth="1"/>
    <col min="8968" max="8968" width="2.85546875" style="434" customWidth="1"/>
    <col min="8969" max="8969" width="10.5703125" style="434" customWidth="1"/>
    <col min="8970" max="8970" width="10.42578125" style="434" customWidth="1"/>
    <col min="8971" max="8971" width="2.85546875" style="434" customWidth="1"/>
    <col min="8972" max="8972" width="10.28515625" style="434" customWidth="1"/>
    <col min="8973" max="8973" width="10.5703125" style="434" customWidth="1"/>
    <col min="8974" max="8974" width="2.85546875" style="434" customWidth="1"/>
    <col min="8975" max="8975" width="10.140625" style="434" customWidth="1"/>
    <col min="8976" max="8976" width="10.7109375" style="434" customWidth="1"/>
    <col min="8977" max="8977" width="2.85546875" style="434" customWidth="1"/>
    <col min="8978" max="8978" width="6.7109375" style="434" customWidth="1"/>
    <col min="8979" max="9216" width="9.140625" style="434"/>
    <col min="9217" max="9217" width="42.85546875" style="434" customWidth="1"/>
    <col min="9218" max="9218" width="2" style="434" customWidth="1"/>
    <col min="9219" max="9219" width="11" style="434" customWidth="1"/>
    <col min="9220" max="9220" width="9.7109375" style="434" customWidth="1"/>
    <col min="9221" max="9221" width="3.5703125" style="434" customWidth="1"/>
    <col min="9222" max="9223" width="10.85546875" style="434" customWidth="1"/>
    <col min="9224" max="9224" width="2.85546875" style="434" customWidth="1"/>
    <col min="9225" max="9225" width="10.5703125" style="434" customWidth="1"/>
    <col min="9226" max="9226" width="10.42578125" style="434" customWidth="1"/>
    <col min="9227" max="9227" width="2.85546875" style="434" customWidth="1"/>
    <col min="9228" max="9228" width="10.28515625" style="434" customWidth="1"/>
    <col min="9229" max="9229" width="10.5703125" style="434" customWidth="1"/>
    <col min="9230" max="9230" width="2.85546875" style="434" customWidth="1"/>
    <col min="9231" max="9231" width="10.140625" style="434" customWidth="1"/>
    <col min="9232" max="9232" width="10.7109375" style="434" customWidth="1"/>
    <col min="9233" max="9233" width="2.85546875" style="434" customWidth="1"/>
    <col min="9234" max="9234" width="6.7109375" style="434" customWidth="1"/>
    <col min="9235" max="9472" width="9.140625" style="434"/>
    <col min="9473" max="9473" width="42.85546875" style="434" customWidth="1"/>
    <col min="9474" max="9474" width="2" style="434" customWidth="1"/>
    <col min="9475" max="9475" width="11" style="434" customWidth="1"/>
    <col min="9476" max="9476" width="9.7109375" style="434" customWidth="1"/>
    <col min="9477" max="9477" width="3.5703125" style="434" customWidth="1"/>
    <col min="9478" max="9479" width="10.85546875" style="434" customWidth="1"/>
    <col min="9480" max="9480" width="2.85546875" style="434" customWidth="1"/>
    <col min="9481" max="9481" width="10.5703125" style="434" customWidth="1"/>
    <col min="9482" max="9482" width="10.42578125" style="434" customWidth="1"/>
    <col min="9483" max="9483" width="2.85546875" style="434" customWidth="1"/>
    <col min="9484" max="9484" width="10.28515625" style="434" customWidth="1"/>
    <col min="9485" max="9485" width="10.5703125" style="434" customWidth="1"/>
    <col min="9486" max="9486" width="2.85546875" style="434" customWidth="1"/>
    <col min="9487" max="9487" width="10.140625" style="434" customWidth="1"/>
    <col min="9488" max="9488" width="10.7109375" style="434" customWidth="1"/>
    <col min="9489" max="9489" width="2.85546875" style="434" customWidth="1"/>
    <col min="9490" max="9490" width="6.7109375" style="434" customWidth="1"/>
    <col min="9491" max="9728" width="9.140625" style="434"/>
    <col min="9729" max="9729" width="42.85546875" style="434" customWidth="1"/>
    <col min="9730" max="9730" width="2" style="434" customWidth="1"/>
    <col min="9731" max="9731" width="11" style="434" customWidth="1"/>
    <col min="9732" max="9732" width="9.7109375" style="434" customWidth="1"/>
    <col min="9733" max="9733" width="3.5703125" style="434" customWidth="1"/>
    <col min="9734" max="9735" width="10.85546875" style="434" customWidth="1"/>
    <col min="9736" max="9736" width="2.85546875" style="434" customWidth="1"/>
    <col min="9737" max="9737" width="10.5703125" style="434" customWidth="1"/>
    <col min="9738" max="9738" width="10.42578125" style="434" customWidth="1"/>
    <col min="9739" max="9739" width="2.85546875" style="434" customWidth="1"/>
    <col min="9740" max="9740" width="10.28515625" style="434" customWidth="1"/>
    <col min="9741" max="9741" width="10.5703125" style="434" customWidth="1"/>
    <col min="9742" max="9742" width="2.85546875" style="434" customWidth="1"/>
    <col min="9743" max="9743" width="10.140625" style="434" customWidth="1"/>
    <col min="9744" max="9744" width="10.7109375" style="434" customWidth="1"/>
    <col min="9745" max="9745" width="2.85546875" style="434" customWidth="1"/>
    <col min="9746" max="9746" width="6.7109375" style="434" customWidth="1"/>
    <col min="9747" max="9984" width="9.140625" style="434"/>
    <col min="9985" max="9985" width="42.85546875" style="434" customWidth="1"/>
    <col min="9986" max="9986" width="2" style="434" customWidth="1"/>
    <col min="9987" max="9987" width="11" style="434" customWidth="1"/>
    <col min="9988" max="9988" width="9.7109375" style="434" customWidth="1"/>
    <col min="9989" max="9989" width="3.5703125" style="434" customWidth="1"/>
    <col min="9990" max="9991" width="10.85546875" style="434" customWidth="1"/>
    <col min="9992" max="9992" width="2.85546875" style="434" customWidth="1"/>
    <col min="9993" max="9993" width="10.5703125" style="434" customWidth="1"/>
    <col min="9994" max="9994" width="10.42578125" style="434" customWidth="1"/>
    <col min="9995" max="9995" width="2.85546875" style="434" customWidth="1"/>
    <col min="9996" max="9996" width="10.28515625" style="434" customWidth="1"/>
    <col min="9997" max="9997" width="10.5703125" style="434" customWidth="1"/>
    <col min="9998" max="9998" width="2.85546875" style="434" customWidth="1"/>
    <col min="9999" max="9999" width="10.140625" style="434" customWidth="1"/>
    <col min="10000" max="10000" width="10.7109375" style="434" customWidth="1"/>
    <col min="10001" max="10001" width="2.85546875" style="434" customWidth="1"/>
    <col min="10002" max="10002" width="6.7109375" style="434" customWidth="1"/>
    <col min="10003" max="10240" width="9.140625" style="434"/>
    <col min="10241" max="10241" width="42.85546875" style="434" customWidth="1"/>
    <col min="10242" max="10242" width="2" style="434" customWidth="1"/>
    <col min="10243" max="10243" width="11" style="434" customWidth="1"/>
    <col min="10244" max="10244" width="9.7109375" style="434" customWidth="1"/>
    <col min="10245" max="10245" width="3.5703125" style="434" customWidth="1"/>
    <col min="10246" max="10247" width="10.85546875" style="434" customWidth="1"/>
    <col min="10248" max="10248" width="2.85546875" style="434" customWidth="1"/>
    <col min="10249" max="10249" width="10.5703125" style="434" customWidth="1"/>
    <col min="10250" max="10250" width="10.42578125" style="434" customWidth="1"/>
    <col min="10251" max="10251" width="2.85546875" style="434" customWidth="1"/>
    <col min="10252" max="10252" width="10.28515625" style="434" customWidth="1"/>
    <col min="10253" max="10253" width="10.5703125" style="434" customWidth="1"/>
    <col min="10254" max="10254" width="2.85546875" style="434" customWidth="1"/>
    <col min="10255" max="10255" width="10.140625" style="434" customWidth="1"/>
    <col min="10256" max="10256" width="10.7109375" style="434" customWidth="1"/>
    <col min="10257" max="10257" width="2.85546875" style="434" customWidth="1"/>
    <col min="10258" max="10258" width="6.7109375" style="434" customWidth="1"/>
    <col min="10259" max="10496" width="9.140625" style="434"/>
    <col min="10497" max="10497" width="42.85546875" style="434" customWidth="1"/>
    <col min="10498" max="10498" width="2" style="434" customWidth="1"/>
    <col min="10499" max="10499" width="11" style="434" customWidth="1"/>
    <col min="10500" max="10500" width="9.7109375" style="434" customWidth="1"/>
    <col min="10501" max="10501" width="3.5703125" style="434" customWidth="1"/>
    <col min="10502" max="10503" width="10.85546875" style="434" customWidth="1"/>
    <col min="10504" max="10504" width="2.85546875" style="434" customWidth="1"/>
    <col min="10505" max="10505" width="10.5703125" style="434" customWidth="1"/>
    <col min="10506" max="10506" width="10.42578125" style="434" customWidth="1"/>
    <col min="10507" max="10507" width="2.85546875" style="434" customWidth="1"/>
    <col min="10508" max="10508" width="10.28515625" style="434" customWidth="1"/>
    <col min="10509" max="10509" width="10.5703125" style="434" customWidth="1"/>
    <col min="10510" max="10510" width="2.85546875" style="434" customWidth="1"/>
    <col min="10511" max="10511" width="10.140625" style="434" customWidth="1"/>
    <col min="10512" max="10512" width="10.7109375" style="434" customWidth="1"/>
    <col min="10513" max="10513" width="2.85546875" style="434" customWidth="1"/>
    <col min="10514" max="10514" width="6.7109375" style="434" customWidth="1"/>
    <col min="10515" max="10752" width="9.140625" style="434"/>
    <col min="10753" max="10753" width="42.85546875" style="434" customWidth="1"/>
    <col min="10754" max="10754" width="2" style="434" customWidth="1"/>
    <col min="10755" max="10755" width="11" style="434" customWidth="1"/>
    <col min="10756" max="10756" width="9.7109375" style="434" customWidth="1"/>
    <col min="10757" max="10757" width="3.5703125" style="434" customWidth="1"/>
    <col min="10758" max="10759" width="10.85546875" style="434" customWidth="1"/>
    <col min="10760" max="10760" width="2.85546875" style="434" customWidth="1"/>
    <col min="10761" max="10761" width="10.5703125" style="434" customWidth="1"/>
    <col min="10762" max="10762" width="10.42578125" style="434" customWidth="1"/>
    <col min="10763" max="10763" width="2.85546875" style="434" customWidth="1"/>
    <col min="10764" max="10764" width="10.28515625" style="434" customWidth="1"/>
    <col min="10765" max="10765" width="10.5703125" style="434" customWidth="1"/>
    <col min="10766" max="10766" width="2.85546875" style="434" customWidth="1"/>
    <col min="10767" max="10767" width="10.140625" style="434" customWidth="1"/>
    <col min="10768" max="10768" width="10.7109375" style="434" customWidth="1"/>
    <col min="10769" max="10769" width="2.85546875" style="434" customWidth="1"/>
    <col min="10770" max="10770" width="6.7109375" style="434" customWidth="1"/>
    <col min="10771" max="11008" width="9.140625" style="434"/>
    <col min="11009" max="11009" width="42.85546875" style="434" customWidth="1"/>
    <col min="11010" max="11010" width="2" style="434" customWidth="1"/>
    <col min="11011" max="11011" width="11" style="434" customWidth="1"/>
    <col min="11012" max="11012" width="9.7109375" style="434" customWidth="1"/>
    <col min="11013" max="11013" width="3.5703125" style="434" customWidth="1"/>
    <col min="11014" max="11015" width="10.85546875" style="434" customWidth="1"/>
    <col min="11016" max="11016" width="2.85546875" style="434" customWidth="1"/>
    <col min="11017" max="11017" width="10.5703125" style="434" customWidth="1"/>
    <col min="11018" max="11018" width="10.42578125" style="434" customWidth="1"/>
    <col min="11019" max="11019" width="2.85546875" style="434" customWidth="1"/>
    <col min="11020" max="11020" width="10.28515625" style="434" customWidth="1"/>
    <col min="11021" max="11021" width="10.5703125" style="434" customWidth="1"/>
    <col min="11022" max="11022" width="2.85546875" style="434" customWidth="1"/>
    <col min="11023" max="11023" width="10.140625" style="434" customWidth="1"/>
    <col min="11024" max="11024" width="10.7109375" style="434" customWidth="1"/>
    <col min="11025" max="11025" width="2.85546875" style="434" customWidth="1"/>
    <col min="11026" max="11026" width="6.7109375" style="434" customWidth="1"/>
    <col min="11027" max="11264" width="9.140625" style="434"/>
    <col min="11265" max="11265" width="42.85546875" style="434" customWidth="1"/>
    <col min="11266" max="11266" width="2" style="434" customWidth="1"/>
    <col min="11267" max="11267" width="11" style="434" customWidth="1"/>
    <col min="11268" max="11268" width="9.7109375" style="434" customWidth="1"/>
    <col min="11269" max="11269" width="3.5703125" style="434" customWidth="1"/>
    <col min="11270" max="11271" width="10.85546875" style="434" customWidth="1"/>
    <col min="11272" max="11272" width="2.85546875" style="434" customWidth="1"/>
    <col min="11273" max="11273" width="10.5703125" style="434" customWidth="1"/>
    <col min="11274" max="11274" width="10.42578125" style="434" customWidth="1"/>
    <col min="11275" max="11275" width="2.85546875" style="434" customWidth="1"/>
    <col min="11276" max="11276" width="10.28515625" style="434" customWidth="1"/>
    <col min="11277" max="11277" width="10.5703125" style="434" customWidth="1"/>
    <col min="11278" max="11278" width="2.85546875" style="434" customWidth="1"/>
    <col min="11279" max="11279" width="10.140625" style="434" customWidth="1"/>
    <col min="11280" max="11280" width="10.7109375" style="434" customWidth="1"/>
    <col min="11281" max="11281" width="2.85546875" style="434" customWidth="1"/>
    <col min="11282" max="11282" width="6.7109375" style="434" customWidth="1"/>
    <col min="11283" max="11520" width="9.140625" style="434"/>
    <col min="11521" max="11521" width="42.85546875" style="434" customWidth="1"/>
    <col min="11522" max="11522" width="2" style="434" customWidth="1"/>
    <col min="11523" max="11523" width="11" style="434" customWidth="1"/>
    <col min="11524" max="11524" width="9.7109375" style="434" customWidth="1"/>
    <col min="11525" max="11525" width="3.5703125" style="434" customWidth="1"/>
    <col min="11526" max="11527" width="10.85546875" style="434" customWidth="1"/>
    <col min="11528" max="11528" width="2.85546875" style="434" customWidth="1"/>
    <col min="11529" max="11529" width="10.5703125" style="434" customWidth="1"/>
    <col min="11530" max="11530" width="10.42578125" style="434" customWidth="1"/>
    <col min="11531" max="11531" width="2.85546875" style="434" customWidth="1"/>
    <col min="11532" max="11532" width="10.28515625" style="434" customWidth="1"/>
    <col min="11533" max="11533" width="10.5703125" style="434" customWidth="1"/>
    <col min="11534" max="11534" width="2.85546875" style="434" customWidth="1"/>
    <col min="11535" max="11535" width="10.140625" style="434" customWidth="1"/>
    <col min="11536" max="11536" width="10.7109375" style="434" customWidth="1"/>
    <col min="11537" max="11537" width="2.85546875" style="434" customWidth="1"/>
    <col min="11538" max="11538" width="6.7109375" style="434" customWidth="1"/>
    <col min="11539" max="11776" width="9.140625" style="434"/>
    <col min="11777" max="11777" width="42.85546875" style="434" customWidth="1"/>
    <col min="11778" max="11778" width="2" style="434" customWidth="1"/>
    <col min="11779" max="11779" width="11" style="434" customWidth="1"/>
    <col min="11780" max="11780" width="9.7109375" style="434" customWidth="1"/>
    <col min="11781" max="11781" width="3.5703125" style="434" customWidth="1"/>
    <col min="11782" max="11783" width="10.85546875" style="434" customWidth="1"/>
    <col min="11784" max="11784" width="2.85546875" style="434" customWidth="1"/>
    <col min="11785" max="11785" width="10.5703125" style="434" customWidth="1"/>
    <col min="11786" max="11786" width="10.42578125" style="434" customWidth="1"/>
    <col min="11787" max="11787" width="2.85546875" style="434" customWidth="1"/>
    <col min="11788" max="11788" width="10.28515625" style="434" customWidth="1"/>
    <col min="11789" max="11789" width="10.5703125" style="434" customWidth="1"/>
    <col min="11790" max="11790" width="2.85546875" style="434" customWidth="1"/>
    <col min="11791" max="11791" width="10.140625" style="434" customWidth="1"/>
    <col min="11792" max="11792" width="10.7109375" style="434" customWidth="1"/>
    <col min="11793" max="11793" width="2.85546875" style="434" customWidth="1"/>
    <col min="11794" max="11794" width="6.7109375" style="434" customWidth="1"/>
    <col min="11795" max="12032" width="9.140625" style="434"/>
    <col min="12033" max="12033" width="42.85546875" style="434" customWidth="1"/>
    <col min="12034" max="12034" width="2" style="434" customWidth="1"/>
    <col min="12035" max="12035" width="11" style="434" customWidth="1"/>
    <col min="12036" max="12036" width="9.7109375" style="434" customWidth="1"/>
    <col min="12037" max="12037" width="3.5703125" style="434" customWidth="1"/>
    <col min="12038" max="12039" width="10.85546875" style="434" customWidth="1"/>
    <col min="12040" max="12040" width="2.85546875" style="434" customWidth="1"/>
    <col min="12041" max="12041" width="10.5703125" style="434" customWidth="1"/>
    <col min="12042" max="12042" width="10.42578125" style="434" customWidth="1"/>
    <col min="12043" max="12043" width="2.85546875" style="434" customWidth="1"/>
    <col min="12044" max="12044" width="10.28515625" style="434" customWidth="1"/>
    <col min="12045" max="12045" width="10.5703125" style="434" customWidth="1"/>
    <col min="12046" max="12046" width="2.85546875" style="434" customWidth="1"/>
    <col min="12047" max="12047" width="10.140625" style="434" customWidth="1"/>
    <col min="12048" max="12048" width="10.7109375" style="434" customWidth="1"/>
    <col min="12049" max="12049" width="2.85546875" style="434" customWidth="1"/>
    <col min="12050" max="12050" width="6.7109375" style="434" customWidth="1"/>
    <col min="12051" max="12288" width="9.140625" style="434"/>
    <col min="12289" max="12289" width="42.85546875" style="434" customWidth="1"/>
    <col min="12290" max="12290" width="2" style="434" customWidth="1"/>
    <col min="12291" max="12291" width="11" style="434" customWidth="1"/>
    <col min="12292" max="12292" width="9.7109375" style="434" customWidth="1"/>
    <col min="12293" max="12293" width="3.5703125" style="434" customWidth="1"/>
    <col min="12294" max="12295" width="10.85546875" style="434" customWidth="1"/>
    <col min="12296" max="12296" width="2.85546875" style="434" customWidth="1"/>
    <col min="12297" max="12297" width="10.5703125" style="434" customWidth="1"/>
    <col min="12298" max="12298" width="10.42578125" style="434" customWidth="1"/>
    <col min="12299" max="12299" width="2.85546875" style="434" customWidth="1"/>
    <col min="12300" max="12300" width="10.28515625" style="434" customWidth="1"/>
    <col min="12301" max="12301" width="10.5703125" style="434" customWidth="1"/>
    <col min="12302" max="12302" width="2.85546875" style="434" customWidth="1"/>
    <col min="12303" max="12303" width="10.140625" style="434" customWidth="1"/>
    <col min="12304" max="12304" width="10.7109375" style="434" customWidth="1"/>
    <col min="12305" max="12305" width="2.85546875" style="434" customWidth="1"/>
    <col min="12306" max="12306" width="6.7109375" style="434" customWidth="1"/>
    <col min="12307" max="12544" width="9.140625" style="434"/>
    <col min="12545" max="12545" width="42.85546875" style="434" customWidth="1"/>
    <col min="12546" max="12546" width="2" style="434" customWidth="1"/>
    <col min="12547" max="12547" width="11" style="434" customWidth="1"/>
    <col min="12548" max="12548" width="9.7109375" style="434" customWidth="1"/>
    <col min="12549" max="12549" width="3.5703125" style="434" customWidth="1"/>
    <col min="12550" max="12551" width="10.85546875" style="434" customWidth="1"/>
    <col min="12552" max="12552" width="2.85546875" style="434" customWidth="1"/>
    <col min="12553" max="12553" width="10.5703125" style="434" customWidth="1"/>
    <col min="12554" max="12554" width="10.42578125" style="434" customWidth="1"/>
    <col min="12555" max="12555" width="2.85546875" style="434" customWidth="1"/>
    <col min="12556" max="12556" width="10.28515625" style="434" customWidth="1"/>
    <col min="12557" max="12557" width="10.5703125" style="434" customWidth="1"/>
    <col min="12558" max="12558" width="2.85546875" style="434" customWidth="1"/>
    <col min="12559" max="12559" width="10.140625" style="434" customWidth="1"/>
    <col min="12560" max="12560" width="10.7109375" style="434" customWidth="1"/>
    <col min="12561" max="12561" width="2.85546875" style="434" customWidth="1"/>
    <col min="12562" max="12562" width="6.7109375" style="434" customWidth="1"/>
    <col min="12563" max="12800" width="9.140625" style="434"/>
    <col min="12801" max="12801" width="42.85546875" style="434" customWidth="1"/>
    <col min="12802" max="12802" width="2" style="434" customWidth="1"/>
    <col min="12803" max="12803" width="11" style="434" customWidth="1"/>
    <col min="12804" max="12804" width="9.7109375" style="434" customWidth="1"/>
    <col min="12805" max="12805" width="3.5703125" style="434" customWidth="1"/>
    <col min="12806" max="12807" width="10.85546875" style="434" customWidth="1"/>
    <col min="12808" max="12808" width="2.85546875" style="434" customWidth="1"/>
    <col min="12809" max="12809" width="10.5703125" style="434" customWidth="1"/>
    <col min="12810" max="12810" width="10.42578125" style="434" customWidth="1"/>
    <col min="12811" max="12811" width="2.85546875" style="434" customWidth="1"/>
    <col min="12812" max="12812" width="10.28515625" style="434" customWidth="1"/>
    <col min="12813" max="12813" width="10.5703125" style="434" customWidth="1"/>
    <col min="12814" max="12814" width="2.85546875" style="434" customWidth="1"/>
    <col min="12815" max="12815" width="10.140625" style="434" customWidth="1"/>
    <col min="12816" max="12816" width="10.7109375" style="434" customWidth="1"/>
    <col min="12817" max="12817" width="2.85546875" style="434" customWidth="1"/>
    <col min="12818" max="12818" width="6.7109375" style="434" customWidth="1"/>
    <col min="12819" max="13056" width="9.140625" style="434"/>
    <col min="13057" max="13057" width="42.85546875" style="434" customWidth="1"/>
    <col min="13058" max="13058" width="2" style="434" customWidth="1"/>
    <col min="13059" max="13059" width="11" style="434" customWidth="1"/>
    <col min="13060" max="13060" width="9.7109375" style="434" customWidth="1"/>
    <col min="13061" max="13061" width="3.5703125" style="434" customWidth="1"/>
    <col min="13062" max="13063" width="10.85546875" style="434" customWidth="1"/>
    <col min="13064" max="13064" width="2.85546875" style="434" customWidth="1"/>
    <col min="13065" max="13065" width="10.5703125" style="434" customWidth="1"/>
    <col min="13066" max="13066" width="10.42578125" style="434" customWidth="1"/>
    <col min="13067" max="13067" width="2.85546875" style="434" customWidth="1"/>
    <col min="13068" max="13068" width="10.28515625" style="434" customWidth="1"/>
    <col min="13069" max="13069" width="10.5703125" style="434" customWidth="1"/>
    <col min="13070" max="13070" width="2.85546875" style="434" customWidth="1"/>
    <col min="13071" max="13071" width="10.140625" style="434" customWidth="1"/>
    <col min="13072" max="13072" width="10.7109375" style="434" customWidth="1"/>
    <col min="13073" max="13073" width="2.85546875" style="434" customWidth="1"/>
    <col min="13074" max="13074" width="6.7109375" style="434" customWidth="1"/>
    <col min="13075" max="13312" width="9.140625" style="434"/>
    <col min="13313" max="13313" width="42.85546875" style="434" customWidth="1"/>
    <col min="13314" max="13314" width="2" style="434" customWidth="1"/>
    <col min="13315" max="13315" width="11" style="434" customWidth="1"/>
    <col min="13316" max="13316" width="9.7109375" style="434" customWidth="1"/>
    <col min="13317" max="13317" width="3.5703125" style="434" customWidth="1"/>
    <col min="13318" max="13319" width="10.85546875" style="434" customWidth="1"/>
    <col min="13320" max="13320" width="2.85546875" style="434" customWidth="1"/>
    <col min="13321" max="13321" width="10.5703125" style="434" customWidth="1"/>
    <col min="13322" max="13322" width="10.42578125" style="434" customWidth="1"/>
    <col min="13323" max="13323" width="2.85546875" style="434" customWidth="1"/>
    <col min="13324" max="13324" width="10.28515625" style="434" customWidth="1"/>
    <col min="13325" max="13325" width="10.5703125" style="434" customWidth="1"/>
    <col min="13326" max="13326" width="2.85546875" style="434" customWidth="1"/>
    <col min="13327" max="13327" width="10.140625" style="434" customWidth="1"/>
    <col min="13328" max="13328" width="10.7109375" style="434" customWidth="1"/>
    <col min="13329" max="13329" width="2.85546875" style="434" customWidth="1"/>
    <col min="13330" max="13330" width="6.7109375" style="434" customWidth="1"/>
    <col min="13331" max="13568" width="9.140625" style="434"/>
    <col min="13569" max="13569" width="42.85546875" style="434" customWidth="1"/>
    <col min="13570" max="13570" width="2" style="434" customWidth="1"/>
    <col min="13571" max="13571" width="11" style="434" customWidth="1"/>
    <col min="13572" max="13572" width="9.7109375" style="434" customWidth="1"/>
    <col min="13573" max="13573" width="3.5703125" style="434" customWidth="1"/>
    <col min="13574" max="13575" width="10.85546875" style="434" customWidth="1"/>
    <col min="13576" max="13576" width="2.85546875" style="434" customWidth="1"/>
    <col min="13577" max="13577" width="10.5703125" style="434" customWidth="1"/>
    <col min="13578" max="13578" width="10.42578125" style="434" customWidth="1"/>
    <col min="13579" max="13579" width="2.85546875" style="434" customWidth="1"/>
    <col min="13580" max="13580" width="10.28515625" style="434" customWidth="1"/>
    <col min="13581" max="13581" width="10.5703125" style="434" customWidth="1"/>
    <col min="13582" max="13582" width="2.85546875" style="434" customWidth="1"/>
    <col min="13583" max="13583" width="10.140625" style="434" customWidth="1"/>
    <col min="13584" max="13584" width="10.7109375" style="434" customWidth="1"/>
    <col min="13585" max="13585" width="2.85546875" style="434" customWidth="1"/>
    <col min="13586" max="13586" width="6.7109375" style="434" customWidth="1"/>
    <col min="13587" max="13824" width="9.140625" style="434"/>
    <col min="13825" max="13825" width="42.85546875" style="434" customWidth="1"/>
    <col min="13826" max="13826" width="2" style="434" customWidth="1"/>
    <col min="13827" max="13827" width="11" style="434" customWidth="1"/>
    <col min="13828" max="13828" width="9.7109375" style="434" customWidth="1"/>
    <col min="13829" max="13829" width="3.5703125" style="434" customWidth="1"/>
    <col min="13830" max="13831" width="10.85546875" style="434" customWidth="1"/>
    <col min="13832" max="13832" width="2.85546875" style="434" customWidth="1"/>
    <col min="13833" max="13833" width="10.5703125" style="434" customWidth="1"/>
    <col min="13834" max="13834" width="10.42578125" style="434" customWidth="1"/>
    <col min="13835" max="13835" width="2.85546875" style="434" customWidth="1"/>
    <col min="13836" max="13836" width="10.28515625" style="434" customWidth="1"/>
    <col min="13837" max="13837" width="10.5703125" style="434" customWidth="1"/>
    <col min="13838" max="13838" width="2.85546875" style="434" customWidth="1"/>
    <col min="13839" max="13839" width="10.140625" style="434" customWidth="1"/>
    <col min="13840" max="13840" width="10.7109375" style="434" customWidth="1"/>
    <col min="13841" max="13841" width="2.85546875" style="434" customWidth="1"/>
    <col min="13842" max="13842" width="6.7109375" style="434" customWidth="1"/>
    <col min="13843" max="14080" width="9.140625" style="434"/>
    <col min="14081" max="14081" width="42.85546875" style="434" customWidth="1"/>
    <col min="14082" max="14082" width="2" style="434" customWidth="1"/>
    <col min="14083" max="14083" width="11" style="434" customWidth="1"/>
    <col min="14084" max="14084" width="9.7109375" style="434" customWidth="1"/>
    <col min="14085" max="14085" width="3.5703125" style="434" customWidth="1"/>
    <col min="14086" max="14087" width="10.85546875" style="434" customWidth="1"/>
    <col min="14088" max="14088" width="2.85546875" style="434" customWidth="1"/>
    <col min="14089" max="14089" width="10.5703125" style="434" customWidth="1"/>
    <col min="14090" max="14090" width="10.42578125" style="434" customWidth="1"/>
    <col min="14091" max="14091" width="2.85546875" style="434" customWidth="1"/>
    <col min="14092" max="14092" width="10.28515625" style="434" customWidth="1"/>
    <col min="14093" max="14093" width="10.5703125" style="434" customWidth="1"/>
    <col min="14094" max="14094" width="2.85546875" style="434" customWidth="1"/>
    <col min="14095" max="14095" width="10.140625" style="434" customWidth="1"/>
    <col min="14096" max="14096" width="10.7109375" style="434" customWidth="1"/>
    <col min="14097" max="14097" width="2.85546875" style="434" customWidth="1"/>
    <col min="14098" max="14098" width="6.7109375" style="434" customWidth="1"/>
    <col min="14099" max="14336" width="9.140625" style="434"/>
    <col min="14337" max="14337" width="42.85546875" style="434" customWidth="1"/>
    <col min="14338" max="14338" width="2" style="434" customWidth="1"/>
    <col min="14339" max="14339" width="11" style="434" customWidth="1"/>
    <col min="14340" max="14340" width="9.7109375" style="434" customWidth="1"/>
    <col min="14341" max="14341" width="3.5703125" style="434" customWidth="1"/>
    <col min="14342" max="14343" width="10.85546875" style="434" customWidth="1"/>
    <col min="14344" max="14344" width="2.85546875" style="434" customWidth="1"/>
    <col min="14345" max="14345" width="10.5703125" style="434" customWidth="1"/>
    <col min="14346" max="14346" width="10.42578125" style="434" customWidth="1"/>
    <col min="14347" max="14347" width="2.85546875" style="434" customWidth="1"/>
    <col min="14348" max="14348" width="10.28515625" style="434" customWidth="1"/>
    <col min="14349" max="14349" width="10.5703125" style="434" customWidth="1"/>
    <col min="14350" max="14350" width="2.85546875" style="434" customWidth="1"/>
    <col min="14351" max="14351" width="10.140625" style="434" customWidth="1"/>
    <col min="14352" max="14352" width="10.7109375" style="434" customWidth="1"/>
    <col min="14353" max="14353" width="2.85546875" style="434" customWidth="1"/>
    <col min="14354" max="14354" width="6.7109375" style="434" customWidth="1"/>
    <col min="14355" max="14592" width="9.140625" style="434"/>
    <col min="14593" max="14593" width="42.85546875" style="434" customWidth="1"/>
    <col min="14594" max="14594" width="2" style="434" customWidth="1"/>
    <col min="14595" max="14595" width="11" style="434" customWidth="1"/>
    <col min="14596" max="14596" width="9.7109375" style="434" customWidth="1"/>
    <col min="14597" max="14597" width="3.5703125" style="434" customWidth="1"/>
    <col min="14598" max="14599" width="10.85546875" style="434" customWidth="1"/>
    <col min="14600" max="14600" width="2.85546875" style="434" customWidth="1"/>
    <col min="14601" max="14601" width="10.5703125" style="434" customWidth="1"/>
    <col min="14602" max="14602" width="10.42578125" style="434" customWidth="1"/>
    <col min="14603" max="14603" width="2.85546875" style="434" customWidth="1"/>
    <col min="14604" max="14604" width="10.28515625" style="434" customWidth="1"/>
    <col min="14605" max="14605" width="10.5703125" style="434" customWidth="1"/>
    <col min="14606" max="14606" width="2.85546875" style="434" customWidth="1"/>
    <col min="14607" max="14607" width="10.140625" style="434" customWidth="1"/>
    <col min="14608" max="14608" width="10.7109375" style="434" customWidth="1"/>
    <col min="14609" max="14609" width="2.85546875" style="434" customWidth="1"/>
    <col min="14610" max="14610" width="6.7109375" style="434" customWidth="1"/>
    <col min="14611" max="14848" width="9.140625" style="434"/>
    <col min="14849" max="14849" width="42.85546875" style="434" customWidth="1"/>
    <col min="14850" max="14850" width="2" style="434" customWidth="1"/>
    <col min="14851" max="14851" width="11" style="434" customWidth="1"/>
    <col min="14852" max="14852" width="9.7109375" style="434" customWidth="1"/>
    <col min="14853" max="14853" width="3.5703125" style="434" customWidth="1"/>
    <col min="14854" max="14855" width="10.85546875" style="434" customWidth="1"/>
    <col min="14856" max="14856" width="2.85546875" style="434" customWidth="1"/>
    <col min="14857" max="14857" width="10.5703125" style="434" customWidth="1"/>
    <col min="14858" max="14858" width="10.42578125" style="434" customWidth="1"/>
    <col min="14859" max="14859" width="2.85546875" style="434" customWidth="1"/>
    <col min="14860" max="14860" width="10.28515625" style="434" customWidth="1"/>
    <col min="14861" max="14861" width="10.5703125" style="434" customWidth="1"/>
    <col min="14862" max="14862" width="2.85546875" style="434" customWidth="1"/>
    <col min="14863" max="14863" width="10.140625" style="434" customWidth="1"/>
    <col min="14864" max="14864" width="10.7109375" style="434" customWidth="1"/>
    <col min="14865" max="14865" width="2.85546875" style="434" customWidth="1"/>
    <col min="14866" max="14866" width="6.7109375" style="434" customWidth="1"/>
    <col min="14867" max="15104" width="9.140625" style="434"/>
    <col min="15105" max="15105" width="42.85546875" style="434" customWidth="1"/>
    <col min="15106" max="15106" width="2" style="434" customWidth="1"/>
    <col min="15107" max="15107" width="11" style="434" customWidth="1"/>
    <col min="15108" max="15108" width="9.7109375" style="434" customWidth="1"/>
    <col min="15109" max="15109" width="3.5703125" style="434" customWidth="1"/>
    <col min="15110" max="15111" width="10.85546875" style="434" customWidth="1"/>
    <col min="15112" max="15112" width="2.85546875" style="434" customWidth="1"/>
    <col min="15113" max="15113" width="10.5703125" style="434" customWidth="1"/>
    <col min="15114" max="15114" width="10.42578125" style="434" customWidth="1"/>
    <col min="15115" max="15115" width="2.85546875" style="434" customWidth="1"/>
    <col min="15116" max="15116" width="10.28515625" style="434" customWidth="1"/>
    <col min="15117" max="15117" width="10.5703125" style="434" customWidth="1"/>
    <col min="15118" max="15118" width="2.85546875" style="434" customWidth="1"/>
    <col min="15119" max="15119" width="10.140625" style="434" customWidth="1"/>
    <col min="15120" max="15120" width="10.7109375" style="434" customWidth="1"/>
    <col min="15121" max="15121" width="2.85546875" style="434" customWidth="1"/>
    <col min="15122" max="15122" width="6.7109375" style="434" customWidth="1"/>
    <col min="15123" max="15360" width="9.140625" style="434"/>
    <col min="15361" max="15361" width="42.85546875" style="434" customWidth="1"/>
    <col min="15362" max="15362" width="2" style="434" customWidth="1"/>
    <col min="15363" max="15363" width="11" style="434" customWidth="1"/>
    <col min="15364" max="15364" width="9.7109375" style="434" customWidth="1"/>
    <col min="15365" max="15365" width="3.5703125" style="434" customWidth="1"/>
    <col min="15366" max="15367" width="10.85546875" style="434" customWidth="1"/>
    <col min="15368" max="15368" width="2.85546875" style="434" customWidth="1"/>
    <col min="15369" max="15369" width="10.5703125" style="434" customWidth="1"/>
    <col min="15370" max="15370" width="10.42578125" style="434" customWidth="1"/>
    <col min="15371" max="15371" width="2.85546875" style="434" customWidth="1"/>
    <col min="15372" max="15372" width="10.28515625" style="434" customWidth="1"/>
    <col min="15373" max="15373" width="10.5703125" style="434" customWidth="1"/>
    <col min="15374" max="15374" width="2.85546875" style="434" customWidth="1"/>
    <col min="15375" max="15375" width="10.140625" style="434" customWidth="1"/>
    <col min="15376" max="15376" width="10.7109375" style="434" customWidth="1"/>
    <col min="15377" max="15377" width="2.85546875" style="434" customWidth="1"/>
    <col min="15378" max="15378" width="6.7109375" style="434" customWidth="1"/>
    <col min="15379" max="15616" width="9.140625" style="434"/>
    <col min="15617" max="15617" width="42.85546875" style="434" customWidth="1"/>
    <col min="15618" max="15618" width="2" style="434" customWidth="1"/>
    <col min="15619" max="15619" width="11" style="434" customWidth="1"/>
    <col min="15620" max="15620" width="9.7109375" style="434" customWidth="1"/>
    <col min="15621" max="15621" width="3.5703125" style="434" customWidth="1"/>
    <col min="15622" max="15623" width="10.85546875" style="434" customWidth="1"/>
    <col min="15624" max="15624" width="2.85546875" style="434" customWidth="1"/>
    <col min="15625" max="15625" width="10.5703125" style="434" customWidth="1"/>
    <col min="15626" max="15626" width="10.42578125" style="434" customWidth="1"/>
    <col min="15627" max="15627" width="2.85546875" style="434" customWidth="1"/>
    <col min="15628" max="15628" width="10.28515625" style="434" customWidth="1"/>
    <col min="15629" max="15629" width="10.5703125" style="434" customWidth="1"/>
    <col min="15630" max="15630" width="2.85546875" style="434" customWidth="1"/>
    <col min="15631" max="15631" width="10.140625" style="434" customWidth="1"/>
    <col min="15632" max="15632" width="10.7109375" style="434" customWidth="1"/>
    <col min="15633" max="15633" width="2.85546875" style="434" customWidth="1"/>
    <col min="15634" max="15634" width="6.7109375" style="434" customWidth="1"/>
    <col min="15635" max="15872" width="9.140625" style="434"/>
    <col min="15873" max="15873" width="42.85546875" style="434" customWidth="1"/>
    <col min="15874" max="15874" width="2" style="434" customWidth="1"/>
    <col min="15875" max="15875" width="11" style="434" customWidth="1"/>
    <col min="15876" max="15876" width="9.7109375" style="434" customWidth="1"/>
    <col min="15877" max="15877" width="3.5703125" style="434" customWidth="1"/>
    <col min="15878" max="15879" width="10.85546875" style="434" customWidth="1"/>
    <col min="15880" max="15880" width="2.85546875" style="434" customWidth="1"/>
    <col min="15881" max="15881" width="10.5703125" style="434" customWidth="1"/>
    <col min="15882" max="15882" width="10.42578125" style="434" customWidth="1"/>
    <col min="15883" max="15883" width="2.85546875" style="434" customWidth="1"/>
    <col min="15884" max="15884" width="10.28515625" style="434" customWidth="1"/>
    <col min="15885" max="15885" width="10.5703125" style="434" customWidth="1"/>
    <col min="15886" max="15886" width="2.85546875" style="434" customWidth="1"/>
    <col min="15887" max="15887" width="10.140625" style="434" customWidth="1"/>
    <col min="15888" max="15888" width="10.7109375" style="434" customWidth="1"/>
    <col min="15889" max="15889" width="2.85546875" style="434" customWidth="1"/>
    <col min="15890" max="15890" width="6.7109375" style="434" customWidth="1"/>
    <col min="15891" max="16128" width="9.140625" style="434"/>
    <col min="16129" max="16129" width="42.85546875" style="434" customWidth="1"/>
    <col min="16130" max="16130" width="2" style="434" customWidth="1"/>
    <col min="16131" max="16131" width="11" style="434" customWidth="1"/>
    <col min="16132" max="16132" width="9.7109375" style="434" customWidth="1"/>
    <col min="16133" max="16133" width="3.5703125" style="434" customWidth="1"/>
    <col min="16134" max="16135" width="10.85546875" style="434" customWidth="1"/>
    <col min="16136" max="16136" width="2.85546875" style="434" customWidth="1"/>
    <col min="16137" max="16137" width="10.5703125" style="434" customWidth="1"/>
    <col min="16138" max="16138" width="10.42578125" style="434" customWidth="1"/>
    <col min="16139" max="16139" width="2.85546875" style="434" customWidth="1"/>
    <col min="16140" max="16140" width="10.28515625" style="434" customWidth="1"/>
    <col min="16141" max="16141" width="10.5703125" style="434" customWidth="1"/>
    <col min="16142" max="16142" width="2.85546875" style="434" customWidth="1"/>
    <col min="16143" max="16143" width="10.140625" style="434" customWidth="1"/>
    <col min="16144" max="16144" width="10.7109375" style="434" customWidth="1"/>
    <col min="16145" max="16145" width="2.85546875" style="434" customWidth="1"/>
    <col min="16146" max="16146" width="6.7109375" style="434" customWidth="1"/>
    <col min="16147" max="16384" width="9.140625" style="434"/>
  </cols>
  <sheetData>
    <row r="1" spans="1:18">
      <c r="A1" s="434" t="s">
        <v>366</v>
      </c>
    </row>
    <row r="2" spans="1:18">
      <c r="A2" s="434" t="s">
        <v>367</v>
      </c>
      <c r="F2" s="784"/>
      <c r="I2" s="784"/>
      <c r="L2" s="784"/>
      <c r="O2" s="784"/>
    </row>
    <row r="3" spans="1:18" ht="11.25" customHeight="1">
      <c r="F3" s="784"/>
      <c r="G3" s="434"/>
      <c r="H3" s="434"/>
      <c r="I3" s="784"/>
      <c r="J3" s="434"/>
      <c r="K3" s="434"/>
      <c r="L3" s="784"/>
      <c r="M3" s="434"/>
    </row>
    <row r="4" spans="1:18">
      <c r="A4" s="4" t="s">
        <v>433</v>
      </c>
      <c r="B4" s="784"/>
      <c r="D4" s="784"/>
      <c r="E4" s="784"/>
    </row>
    <row r="5" spans="1:18" ht="9.75" customHeight="1" thickBot="1">
      <c r="A5" s="455"/>
      <c r="B5" s="784"/>
      <c r="D5" s="784"/>
      <c r="E5" s="784"/>
    </row>
    <row r="6" spans="1:18" ht="8.25" customHeight="1">
      <c r="A6" s="486"/>
      <c r="B6" s="786"/>
      <c r="C6" s="786"/>
      <c r="D6" s="786"/>
      <c r="E6" s="786"/>
      <c r="F6" s="816"/>
      <c r="G6" s="816"/>
      <c r="H6" s="816"/>
      <c r="I6" s="816"/>
      <c r="J6" s="816"/>
      <c r="K6" s="816"/>
      <c r="L6" s="816"/>
      <c r="M6" s="816"/>
      <c r="N6" s="816"/>
      <c r="O6" s="816"/>
      <c r="P6" s="439"/>
      <c r="Q6" s="437"/>
    </row>
    <row r="7" spans="1:18" ht="14.25">
      <c r="A7" s="453" t="s">
        <v>434</v>
      </c>
      <c r="B7" s="784"/>
      <c r="C7" s="1272" t="s">
        <v>435</v>
      </c>
      <c r="D7" s="1272"/>
      <c r="E7" s="817"/>
      <c r="F7" s="1273" t="s">
        <v>12</v>
      </c>
      <c r="G7" s="1273"/>
      <c r="H7" s="785"/>
      <c r="I7" s="1273" t="s">
        <v>86</v>
      </c>
      <c r="J7" s="1273"/>
      <c r="K7" s="785"/>
      <c r="L7" s="1273" t="s">
        <v>150</v>
      </c>
      <c r="M7" s="1273"/>
      <c r="N7" s="785"/>
      <c r="O7" s="785" t="s">
        <v>436</v>
      </c>
      <c r="P7" s="442"/>
      <c r="Q7" s="440"/>
    </row>
    <row r="8" spans="1:18">
      <c r="A8" s="455" t="s">
        <v>437</v>
      </c>
      <c r="B8" s="784"/>
      <c r="C8" s="818" t="s">
        <v>323</v>
      </c>
      <c r="D8" s="818" t="s">
        <v>324</v>
      </c>
      <c r="E8" s="817"/>
      <c r="F8" s="819" t="s">
        <v>323</v>
      </c>
      <c r="G8" s="819" t="s">
        <v>324</v>
      </c>
      <c r="H8" s="785"/>
      <c r="I8" s="819" t="s">
        <v>323</v>
      </c>
      <c r="J8" s="819" t="s">
        <v>324</v>
      </c>
      <c r="K8" s="785"/>
      <c r="L8" s="819" t="s">
        <v>323</v>
      </c>
      <c r="M8" s="819" t="s">
        <v>324</v>
      </c>
      <c r="N8" s="785"/>
      <c r="O8" s="819" t="s">
        <v>323</v>
      </c>
      <c r="P8" s="444" t="s">
        <v>324</v>
      </c>
      <c r="Q8" s="440"/>
    </row>
    <row r="9" spans="1:18" ht="8.25" customHeight="1" thickBot="1">
      <c r="A9" s="503"/>
      <c r="B9" s="787"/>
      <c r="C9" s="787"/>
      <c r="D9" s="787"/>
      <c r="E9" s="787"/>
      <c r="F9" s="820"/>
      <c r="G9" s="820"/>
      <c r="H9" s="820"/>
      <c r="I9" s="820"/>
      <c r="J9" s="820"/>
      <c r="K9" s="820"/>
      <c r="L9" s="820"/>
      <c r="M9" s="820"/>
      <c r="N9" s="820"/>
      <c r="O9" s="820"/>
      <c r="P9" s="447"/>
      <c r="Q9" s="445"/>
    </row>
    <row r="10" spans="1:18" ht="8.1" customHeight="1">
      <c r="A10" s="821"/>
      <c r="B10" s="817"/>
      <c r="C10" s="817"/>
      <c r="D10" s="817"/>
      <c r="E10" s="817"/>
      <c r="F10" s="785"/>
      <c r="G10" s="785"/>
      <c r="H10" s="785"/>
      <c r="I10" s="785"/>
      <c r="J10" s="785"/>
      <c r="K10" s="785"/>
      <c r="L10" s="785"/>
      <c r="M10" s="785"/>
      <c r="N10" s="785"/>
      <c r="O10" s="785"/>
      <c r="P10" s="442"/>
      <c r="Q10" s="440"/>
    </row>
    <row r="11" spans="1:18" ht="13.35" customHeight="1">
      <c r="A11" s="9" t="s">
        <v>325</v>
      </c>
      <c r="B11" s="784"/>
      <c r="C11" s="784">
        <f t="shared" ref="C11:C74" si="0">IF(A11&lt;&gt;0,F11+I11+L11+O11,"")</f>
        <v>126089.47742</v>
      </c>
      <c r="D11" s="784">
        <f>SUM(D13+D189)</f>
        <v>100</v>
      </c>
      <c r="E11" s="784"/>
      <c r="F11" s="809">
        <f>F13+F189</f>
        <v>87833.927419999993</v>
      </c>
      <c r="G11" s="809">
        <f>IF($A11&lt;&gt;0,F11/$C11*100,"")</f>
        <v>69.65999797701437</v>
      </c>
      <c r="I11" s="809">
        <f>I13+I189</f>
        <v>13400.17</v>
      </c>
      <c r="J11" s="809">
        <f>IF($A11&lt;&gt;0,I11/$C11*100,"")</f>
        <v>10.627508555186143</v>
      </c>
      <c r="L11" s="809">
        <f>L13+L189</f>
        <v>7071.5</v>
      </c>
      <c r="M11" s="809">
        <f>IF($A11&lt;&gt;0,L11/$C11*100,"")</f>
        <v>5.6083189055063345</v>
      </c>
      <c r="O11" s="809">
        <f>O13+O189</f>
        <v>17783.88</v>
      </c>
      <c r="P11" s="436">
        <f>IF($A11&lt;&gt;0,O11/$C11*100,"")</f>
        <v>14.104174562293148</v>
      </c>
      <c r="R11" s="100"/>
    </row>
    <row r="12" spans="1:18" ht="8.1" customHeight="1">
      <c r="A12" s="455"/>
      <c r="B12" s="784"/>
      <c r="C12" s="784" t="str">
        <f t="shared" si="0"/>
        <v/>
      </c>
      <c r="D12" s="784" t="str">
        <f t="shared" ref="D12:D66" si="1">IF(A12&lt;&gt;0,C12/$C$11*100,"")</f>
        <v/>
      </c>
      <c r="E12" s="784"/>
      <c r="G12" s="809" t="str">
        <f t="shared" ref="G12:G75" si="2">IF($A12&lt;&gt;0,F12/$C12*100,"")</f>
        <v/>
      </c>
      <c r="J12" s="809" t="str">
        <f t="shared" ref="J12:J75" si="3">IF($A12&lt;&gt;0,I12/$C12*100,"")</f>
        <v/>
      </c>
      <c r="M12" s="809" t="str">
        <f t="shared" ref="M12:M75" si="4">IF($A12&lt;&gt;0,L12/$C12*100,"")</f>
        <v/>
      </c>
      <c r="P12" s="436" t="str">
        <f t="shared" ref="P12:P75" si="5">IF($A12&lt;&gt;0,O12/$C12*100,"")</f>
        <v/>
      </c>
      <c r="R12" s="100"/>
    </row>
    <row r="13" spans="1:18" ht="13.35" customHeight="1">
      <c r="A13" s="9" t="s">
        <v>326</v>
      </c>
      <c r="B13" s="784"/>
      <c r="C13" s="784">
        <f t="shared" si="0"/>
        <v>100269.97749999999</v>
      </c>
      <c r="D13" s="784">
        <f t="shared" si="1"/>
        <v>79.522874986628679</v>
      </c>
      <c r="E13" s="784" t="s">
        <v>253</v>
      </c>
      <c r="F13" s="809">
        <f>F15+F26+F34+F60+F74+F81+F93++F132+F94+F95</f>
        <v>67153.427499999991</v>
      </c>
      <c r="G13" s="809">
        <f t="shared" si="2"/>
        <v>66.972616504277156</v>
      </c>
      <c r="H13" s="809" t="s">
        <v>253</v>
      </c>
      <c r="I13" s="809">
        <f>I15+I26+I34+I60+I74+I81+I93++I132+I94+I95</f>
        <v>12740.17</v>
      </c>
      <c r="J13" s="809">
        <f t="shared" si="3"/>
        <v>12.705867017871824</v>
      </c>
      <c r="K13" s="809" t="s">
        <v>253</v>
      </c>
      <c r="L13" s="809">
        <f>L15+L26+L34+L60+L74+L81+L93++L132+L94+L95</f>
        <v>5178.5</v>
      </c>
      <c r="M13" s="809">
        <f t="shared" si="4"/>
        <v>5.1645568585073232</v>
      </c>
      <c r="N13" s="809" t="s">
        <v>253</v>
      </c>
      <c r="O13" s="809">
        <f>O15+O26+O34+O60+O74+O81+O93++O132+O94+O95</f>
        <v>15197.880000000001</v>
      </c>
      <c r="P13" s="436">
        <f t="shared" si="5"/>
        <v>15.156959619343688</v>
      </c>
      <c r="Q13" s="434" t="s">
        <v>253</v>
      </c>
      <c r="R13" s="100"/>
    </row>
    <row r="14" spans="1:18" ht="8.1" customHeight="1">
      <c r="A14" s="455"/>
      <c r="B14" s="784"/>
      <c r="C14" s="784" t="str">
        <f t="shared" si="0"/>
        <v/>
      </c>
      <c r="D14" s="784" t="str">
        <f t="shared" si="1"/>
        <v/>
      </c>
      <c r="E14" s="784"/>
      <c r="G14" s="809" t="str">
        <f t="shared" si="2"/>
        <v/>
      </c>
      <c r="J14" s="809" t="str">
        <f t="shared" si="3"/>
        <v/>
      </c>
      <c r="M14" s="809" t="str">
        <f t="shared" si="4"/>
        <v/>
      </c>
      <c r="P14" s="436" t="str">
        <f t="shared" si="5"/>
        <v/>
      </c>
    </row>
    <row r="15" spans="1:18" ht="12.75" customHeight="1">
      <c r="A15" s="9" t="s">
        <v>327</v>
      </c>
      <c r="B15" s="784"/>
      <c r="C15" s="784">
        <f t="shared" si="0"/>
        <v>9843</v>
      </c>
      <c r="D15" s="784">
        <f t="shared" si="1"/>
        <v>7.8063611662163401</v>
      </c>
      <c r="E15" s="784"/>
      <c r="F15" s="809">
        <f>SUM(F16+F21)</f>
        <v>7862</v>
      </c>
      <c r="G15" s="809">
        <f t="shared" si="2"/>
        <v>79.874022147719188</v>
      </c>
      <c r="I15" s="809">
        <f>SUM(I16+I21)</f>
        <v>280</v>
      </c>
      <c r="J15" s="809">
        <f t="shared" si="3"/>
        <v>2.84466118053439</v>
      </c>
      <c r="L15" s="809">
        <f>SUM(L16+L21)</f>
        <v>357</v>
      </c>
      <c r="M15" s="809">
        <f t="shared" si="4"/>
        <v>3.6269430051813467</v>
      </c>
      <c r="O15" s="809">
        <f>SUM(O16+O21)</f>
        <v>1344</v>
      </c>
      <c r="P15" s="436">
        <f t="shared" si="5"/>
        <v>13.654373666565073</v>
      </c>
    </row>
    <row r="16" spans="1:18" ht="12.75" customHeight="1">
      <c r="A16" s="455" t="s">
        <v>20</v>
      </c>
      <c r="B16" s="784"/>
      <c r="C16" s="784">
        <f t="shared" si="0"/>
        <v>4497.5</v>
      </c>
      <c r="D16" s="784">
        <f t="shared" si="1"/>
        <v>3.5669114441794161</v>
      </c>
      <c r="E16" s="784"/>
      <c r="F16" s="809">
        <f>SUM(F17:F19)</f>
        <v>3816.5</v>
      </c>
      <c r="G16" s="809">
        <f t="shared" si="2"/>
        <v>84.858254585881042</v>
      </c>
      <c r="I16" s="809">
        <f>SUM(I17:I19)</f>
        <v>30</v>
      </c>
      <c r="J16" s="809">
        <f t="shared" si="3"/>
        <v>0.66703724291272926</v>
      </c>
      <c r="L16" s="809">
        <f>SUM(L17:L19)</f>
        <v>152</v>
      </c>
      <c r="M16" s="809">
        <f t="shared" si="4"/>
        <v>3.3796553640911617</v>
      </c>
      <c r="O16" s="809">
        <f>SUM(O17:O19)</f>
        <v>499</v>
      </c>
      <c r="P16" s="436">
        <f t="shared" si="5"/>
        <v>11.095052807115064</v>
      </c>
      <c r="Q16" s="434" t="s">
        <v>253</v>
      </c>
      <c r="R16" s="101"/>
    </row>
    <row r="17" spans="1:18" ht="12.75" customHeight="1">
      <c r="A17" s="455" t="s">
        <v>21</v>
      </c>
      <c r="B17" s="784"/>
      <c r="C17" s="784">
        <f t="shared" si="0"/>
        <v>558</v>
      </c>
      <c r="D17" s="784">
        <f t="shared" si="1"/>
        <v>0.44254287623170963</v>
      </c>
      <c r="E17" s="784"/>
      <c r="F17" s="784">
        <v>430</v>
      </c>
      <c r="G17" s="809">
        <f t="shared" si="2"/>
        <v>77.060931899641574</v>
      </c>
      <c r="H17" s="434"/>
      <c r="I17" s="784">
        <v>0</v>
      </c>
      <c r="J17" s="809">
        <f t="shared" si="3"/>
        <v>0</v>
      </c>
      <c r="K17" s="434"/>
      <c r="L17" s="784">
        <v>40</v>
      </c>
      <c r="M17" s="809">
        <f t="shared" si="4"/>
        <v>7.1684587813620064</v>
      </c>
      <c r="O17" s="809">
        <v>88</v>
      </c>
      <c r="P17" s="436">
        <f t="shared" si="5"/>
        <v>15.770609318996415</v>
      </c>
      <c r="R17" s="101"/>
    </row>
    <row r="18" spans="1:18" ht="12" customHeight="1">
      <c r="A18" s="455" t="s">
        <v>22</v>
      </c>
      <c r="B18" s="784"/>
      <c r="C18" s="784">
        <f t="shared" si="0"/>
        <v>2063.5</v>
      </c>
      <c r="D18" s="784">
        <f t="shared" si="1"/>
        <v>1.6365362457063313</v>
      </c>
      <c r="E18" s="784"/>
      <c r="F18" s="784">
        <v>1768.5</v>
      </c>
      <c r="G18" s="809">
        <f t="shared" si="2"/>
        <v>85.703901138841772</v>
      </c>
      <c r="H18" s="434"/>
      <c r="I18" s="784">
        <v>30</v>
      </c>
      <c r="J18" s="809">
        <f t="shared" si="3"/>
        <v>1.4538405621516841</v>
      </c>
      <c r="K18" s="434"/>
      <c r="L18" s="784">
        <v>34</v>
      </c>
      <c r="M18" s="809">
        <f t="shared" si="4"/>
        <v>1.6476859704385751</v>
      </c>
      <c r="N18" s="434"/>
      <c r="O18" s="809">
        <v>231</v>
      </c>
      <c r="P18" s="436">
        <f t="shared" si="5"/>
        <v>11.194572328567967</v>
      </c>
      <c r="R18" s="101"/>
    </row>
    <row r="19" spans="1:18" ht="12" customHeight="1">
      <c r="A19" s="455" t="s">
        <v>23</v>
      </c>
      <c r="B19" s="784"/>
      <c r="C19" s="784">
        <f t="shared" si="0"/>
        <v>1876</v>
      </c>
      <c r="D19" s="784">
        <f t="shared" si="1"/>
        <v>1.487832322241375</v>
      </c>
      <c r="E19" s="784"/>
      <c r="F19" s="784">
        <v>1618</v>
      </c>
      <c r="G19" s="809">
        <f t="shared" si="2"/>
        <v>86.24733475479745</v>
      </c>
      <c r="H19" s="434"/>
      <c r="I19" s="784">
        <v>0</v>
      </c>
      <c r="J19" s="809">
        <f t="shared" si="3"/>
        <v>0</v>
      </c>
      <c r="K19" s="434"/>
      <c r="L19" s="784">
        <v>78</v>
      </c>
      <c r="M19" s="809">
        <f t="shared" si="4"/>
        <v>4.157782515991471</v>
      </c>
      <c r="N19" s="434"/>
      <c r="O19" s="809">
        <v>180</v>
      </c>
      <c r="P19" s="436">
        <f t="shared" si="5"/>
        <v>9.5948827292110881</v>
      </c>
      <c r="R19" s="101"/>
    </row>
    <row r="20" spans="1:18" ht="8.1" customHeight="1">
      <c r="A20" s="455"/>
      <c r="B20" s="784"/>
      <c r="C20" s="784" t="str">
        <f t="shared" si="0"/>
        <v/>
      </c>
      <c r="D20" s="784" t="str">
        <f t="shared" si="1"/>
        <v/>
      </c>
      <c r="E20" s="784"/>
      <c r="F20" s="784"/>
      <c r="G20" s="809" t="str">
        <f t="shared" si="2"/>
        <v/>
      </c>
      <c r="H20" s="784"/>
      <c r="I20" s="784"/>
      <c r="J20" s="809" t="str">
        <f t="shared" si="3"/>
        <v/>
      </c>
      <c r="M20" s="809" t="str">
        <f t="shared" si="4"/>
        <v/>
      </c>
      <c r="P20" s="436" t="str">
        <f t="shared" si="5"/>
        <v/>
      </c>
    </row>
    <row r="21" spans="1:18" ht="12" customHeight="1">
      <c r="A21" s="455" t="s">
        <v>24</v>
      </c>
      <c r="B21" s="784"/>
      <c r="C21" s="784">
        <f t="shared" si="0"/>
        <v>5345.5</v>
      </c>
      <c r="D21" s="784">
        <f t="shared" si="1"/>
        <v>4.2394497220369241</v>
      </c>
      <c r="E21" s="784"/>
      <c r="F21" s="784">
        <f>SUM(F22:F24)</f>
        <v>4045.5</v>
      </c>
      <c r="G21" s="809">
        <f t="shared" si="2"/>
        <v>75.680478907492287</v>
      </c>
      <c r="H21" s="784" t="s">
        <v>253</v>
      </c>
      <c r="I21" s="784">
        <f>SUM(I22:I24)</f>
        <v>250</v>
      </c>
      <c r="J21" s="809">
        <f t="shared" si="3"/>
        <v>4.6768309793284075</v>
      </c>
      <c r="K21" s="809" t="s">
        <v>253</v>
      </c>
      <c r="L21" s="809">
        <f>SUM(L22:L24)</f>
        <v>205</v>
      </c>
      <c r="M21" s="809">
        <f t="shared" si="4"/>
        <v>3.8350014030492936</v>
      </c>
      <c r="N21" s="809" t="s">
        <v>253</v>
      </c>
      <c r="O21" s="809">
        <f>SUM(O22:O24)</f>
        <v>845</v>
      </c>
      <c r="P21" s="436">
        <f t="shared" si="5"/>
        <v>15.807688710130016</v>
      </c>
      <c r="Q21" s="434" t="s">
        <v>253</v>
      </c>
    </row>
    <row r="22" spans="1:18" ht="12" customHeight="1">
      <c r="A22" s="434" t="s">
        <v>25</v>
      </c>
      <c r="C22" s="784">
        <f t="shared" si="0"/>
        <v>1496.5</v>
      </c>
      <c r="D22" s="784">
        <f t="shared" si="1"/>
        <v>1.1868555811483037</v>
      </c>
      <c r="E22" s="784"/>
      <c r="F22" s="784">
        <v>1052.5</v>
      </c>
      <c r="G22" s="809">
        <f t="shared" si="2"/>
        <v>70.330771800868703</v>
      </c>
      <c r="H22" s="434"/>
      <c r="I22" s="784">
        <v>90</v>
      </c>
      <c r="J22" s="809">
        <f t="shared" si="3"/>
        <v>6.0140327430671565</v>
      </c>
      <c r="K22" s="434"/>
      <c r="L22" s="784">
        <v>40</v>
      </c>
      <c r="M22" s="809">
        <f t="shared" si="4"/>
        <v>2.6729034413631809</v>
      </c>
      <c r="O22" s="809">
        <v>314</v>
      </c>
      <c r="P22" s="436">
        <f t="shared" si="5"/>
        <v>20.982292014700967</v>
      </c>
    </row>
    <row r="23" spans="1:18" ht="12" customHeight="1">
      <c r="A23" s="434" t="s">
        <v>26</v>
      </c>
      <c r="C23" s="784">
        <f t="shared" si="0"/>
        <v>976</v>
      </c>
      <c r="D23" s="784">
        <f t="shared" si="1"/>
        <v>0.7740534896095852</v>
      </c>
      <c r="E23" s="784"/>
      <c r="F23" s="784">
        <v>720</v>
      </c>
      <c r="G23" s="809">
        <f t="shared" si="2"/>
        <v>73.770491803278688</v>
      </c>
      <c r="H23" s="434"/>
      <c r="I23" s="784">
        <v>95</v>
      </c>
      <c r="J23" s="809">
        <f t="shared" si="3"/>
        <v>9.7336065573770494</v>
      </c>
      <c r="K23" s="434"/>
      <c r="L23" s="784">
        <v>0</v>
      </c>
      <c r="M23" s="809">
        <f t="shared" si="4"/>
        <v>0</v>
      </c>
      <c r="O23" s="809">
        <v>161</v>
      </c>
      <c r="P23" s="436">
        <f t="shared" si="5"/>
        <v>16.495901639344261</v>
      </c>
    </row>
    <row r="24" spans="1:18" ht="12" customHeight="1">
      <c r="A24" s="434" t="s">
        <v>27</v>
      </c>
      <c r="C24" s="784">
        <f t="shared" si="0"/>
        <v>2873</v>
      </c>
      <c r="D24" s="784">
        <f t="shared" si="1"/>
        <v>2.2785406512790352</v>
      </c>
      <c r="E24" s="784"/>
      <c r="F24" s="784">
        <v>2273</v>
      </c>
      <c r="G24" s="809">
        <f t="shared" si="2"/>
        <v>79.115906717716683</v>
      </c>
      <c r="H24" s="434"/>
      <c r="I24" s="784">
        <v>65</v>
      </c>
      <c r="J24" s="809">
        <f t="shared" si="3"/>
        <v>2.2624434389140271</v>
      </c>
      <c r="K24" s="434"/>
      <c r="L24" s="784">
        <v>165</v>
      </c>
      <c r="M24" s="809">
        <f t="shared" si="4"/>
        <v>5.7431256526279153</v>
      </c>
      <c r="O24" s="809">
        <v>370</v>
      </c>
      <c r="P24" s="436">
        <f t="shared" si="5"/>
        <v>12.878524190741386</v>
      </c>
    </row>
    <row r="25" spans="1:18" ht="8.1" customHeight="1">
      <c r="C25" s="784" t="str">
        <f t="shared" si="0"/>
        <v/>
      </c>
      <c r="D25" s="784" t="str">
        <f t="shared" si="1"/>
        <v/>
      </c>
      <c r="E25" s="784"/>
      <c r="F25" s="784"/>
      <c r="G25" s="809" t="str">
        <f t="shared" si="2"/>
        <v/>
      </c>
      <c r="H25" s="784"/>
      <c r="I25" s="784"/>
      <c r="J25" s="809" t="str">
        <f t="shared" si="3"/>
        <v/>
      </c>
      <c r="M25" s="809" t="str">
        <f t="shared" si="4"/>
        <v/>
      </c>
      <c r="P25" s="436" t="str">
        <f t="shared" si="5"/>
        <v/>
      </c>
    </row>
    <row r="26" spans="1:18" ht="12" customHeight="1">
      <c r="A26" s="63" t="s">
        <v>375</v>
      </c>
      <c r="C26" s="784">
        <f t="shared" si="0"/>
        <v>11086.5</v>
      </c>
      <c r="D26" s="784">
        <f t="shared" si="1"/>
        <v>8.7925655866359289</v>
      </c>
      <c r="E26" s="784"/>
      <c r="F26" s="784">
        <f>SUM(F27)</f>
        <v>7021</v>
      </c>
      <c r="G26" s="809">
        <f t="shared" si="2"/>
        <v>63.329274342669009</v>
      </c>
      <c r="H26" s="784"/>
      <c r="I26" s="784">
        <f>SUM(I27)</f>
        <v>1912</v>
      </c>
      <c r="J26" s="809">
        <f t="shared" si="3"/>
        <v>17.246200333739232</v>
      </c>
      <c r="L26" s="809">
        <f>SUM(L27)</f>
        <v>348</v>
      </c>
      <c r="M26" s="809">
        <f t="shared" si="4"/>
        <v>3.138952780408605</v>
      </c>
      <c r="O26" s="809">
        <f>SUM(O27)</f>
        <v>1805.5</v>
      </c>
      <c r="P26" s="436">
        <f t="shared" si="5"/>
        <v>16.28557254318315</v>
      </c>
    </row>
    <row r="27" spans="1:18" ht="12" customHeight="1">
      <c r="A27" s="434" t="s">
        <v>29</v>
      </c>
      <c r="C27" s="784">
        <f t="shared" si="0"/>
        <v>11086.5</v>
      </c>
      <c r="D27" s="784">
        <f t="shared" si="1"/>
        <v>8.7925655866359289</v>
      </c>
      <c r="E27" s="784"/>
      <c r="F27" s="784">
        <f>SUM(F28:F32)</f>
        <v>7021</v>
      </c>
      <c r="G27" s="809">
        <f t="shared" si="2"/>
        <v>63.329274342669009</v>
      </c>
      <c r="H27" s="784" t="s">
        <v>253</v>
      </c>
      <c r="I27" s="784">
        <f>SUM(I28:I32)</f>
        <v>1912</v>
      </c>
      <c r="J27" s="809">
        <f t="shared" si="3"/>
        <v>17.246200333739232</v>
      </c>
      <c r="K27" s="809" t="s">
        <v>253</v>
      </c>
      <c r="L27" s="809">
        <f>SUM(L28:L32)</f>
        <v>348</v>
      </c>
      <c r="M27" s="809">
        <f t="shared" si="4"/>
        <v>3.138952780408605</v>
      </c>
      <c r="N27" s="809" t="s">
        <v>253</v>
      </c>
      <c r="O27" s="809">
        <f>SUM(O28:O32)</f>
        <v>1805.5</v>
      </c>
      <c r="P27" s="436">
        <f t="shared" si="5"/>
        <v>16.28557254318315</v>
      </c>
      <c r="Q27" s="434" t="s">
        <v>253</v>
      </c>
    </row>
    <row r="28" spans="1:18" ht="12" customHeight="1">
      <c r="A28" s="434" t="s">
        <v>30</v>
      </c>
      <c r="C28" s="784">
        <f t="shared" si="0"/>
        <v>1614.5</v>
      </c>
      <c r="D28" s="784">
        <f t="shared" si="1"/>
        <v>1.2804399169822493</v>
      </c>
      <c r="E28" s="784"/>
      <c r="F28" s="784">
        <v>633</v>
      </c>
      <c r="G28" s="809">
        <f t="shared" si="2"/>
        <v>39.207184886961912</v>
      </c>
      <c r="H28" s="434"/>
      <c r="I28" s="784">
        <v>522</v>
      </c>
      <c r="J28" s="809">
        <f t="shared" si="3"/>
        <v>32.331991328584699</v>
      </c>
      <c r="K28" s="434"/>
      <c r="L28" s="784">
        <v>81</v>
      </c>
      <c r="M28" s="809">
        <f t="shared" si="4"/>
        <v>5.0170331371941774</v>
      </c>
      <c r="N28" s="434"/>
      <c r="O28" s="809">
        <v>378.5</v>
      </c>
      <c r="P28" s="436">
        <f t="shared" si="5"/>
        <v>23.443790647259213</v>
      </c>
    </row>
    <row r="29" spans="1:18" ht="12" customHeight="1">
      <c r="A29" s="434" t="s">
        <v>31</v>
      </c>
      <c r="C29" s="784">
        <f t="shared" si="0"/>
        <v>2122.5</v>
      </c>
      <c r="D29" s="784">
        <f t="shared" si="1"/>
        <v>1.683328413623304</v>
      </c>
      <c r="E29" s="784"/>
      <c r="F29" s="784">
        <v>1287.5</v>
      </c>
      <c r="G29" s="809">
        <f t="shared" si="2"/>
        <v>60.659599528857477</v>
      </c>
      <c r="H29" s="434"/>
      <c r="I29" s="784">
        <v>454</v>
      </c>
      <c r="J29" s="809">
        <f t="shared" si="3"/>
        <v>21.389870435806831</v>
      </c>
      <c r="K29" s="434"/>
      <c r="L29" s="784">
        <v>50</v>
      </c>
      <c r="M29" s="809">
        <f t="shared" si="4"/>
        <v>2.3557126030624262</v>
      </c>
      <c r="N29" s="434"/>
      <c r="O29" s="809">
        <v>331</v>
      </c>
      <c r="P29" s="436">
        <f t="shared" si="5"/>
        <v>15.594817432273262</v>
      </c>
    </row>
    <row r="30" spans="1:18" ht="12" customHeight="1">
      <c r="A30" s="434" t="s">
        <v>32</v>
      </c>
      <c r="C30" s="784">
        <f t="shared" si="0"/>
        <v>844</v>
      </c>
      <c r="D30" s="784">
        <f t="shared" si="1"/>
        <v>0.66936592749025614</v>
      </c>
      <c r="E30" s="784"/>
      <c r="F30" s="784">
        <v>454</v>
      </c>
      <c r="G30" s="809">
        <f t="shared" si="2"/>
        <v>53.791469194312789</v>
      </c>
      <c r="H30" s="434"/>
      <c r="I30" s="784">
        <v>151</v>
      </c>
      <c r="J30" s="809">
        <f t="shared" si="3"/>
        <v>17.890995260663505</v>
      </c>
      <c r="K30" s="434"/>
      <c r="L30" s="784">
        <v>45</v>
      </c>
      <c r="M30" s="809">
        <f t="shared" si="4"/>
        <v>5.3317535545023702</v>
      </c>
      <c r="N30" s="434"/>
      <c r="O30" s="809">
        <v>194</v>
      </c>
      <c r="P30" s="436">
        <f t="shared" si="5"/>
        <v>22.985781990521325</v>
      </c>
    </row>
    <row r="31" spans="1:18" ht="12" customHeight="1">
      <c r="A31" s="434" t="s">
        <v>33</v>
      </c>
      <c r="C31" s="784">
        <f t="shared" si="0"/>
        <v>4208</v>
      </c>
      <c r="D31" s="784">
        <f t="shared" si="1"/>
        <v>3.337312586349523</v>
      </c>
      <c r="E31" s="784"/>
      <c r="F31" s="784">
        <v>3223</v>
      </c>
      <c r="G31" s="809">
        <f t="shared" si="2"/>
        <v>76.592205323193923</v>
      </c>
      <c r="H31" s="434"/>
      <c r="I31" s="784">
        <v>405</v>
      </c>
      <c r="J31" s="809">
        <f t="shared" si="3"/>
        <v>9.6245247148288975</v>
      </c>
      <c r="K31" s="434"/>
      <c r="L31" s="784">
        <v>90</v>
      </c>
      <c r="M31" s="809">
        <f t="shared" si="4"/>
        <v>2.1387832699619769</v>
      </c>
      <c r="O31" s="809">
        <v>490</v>
      </c>
      <c r="P31" s="436">
        <f t="shared" si="5"/>
        <v>11.644486692015208</v>
      </c>
    </row>
    <row r="32" spans="1:18" ht="12" customHeight="1">
      <c r="A32" s="434" t="s">
        <v>34</v>
      </c>
      <c r="C32" s="784">
        <f t="shared" si="0"/>
        <v>2297.5</v>
      </c>
      <c r="D32" s="784">
        <f t="shared" si="1"/>
        <v>1.8221187421905964</v>
      </c>
      <c r="E32" s="784"/>
      <c r="F32" s="784">
        <v>1423.5</v>
      </c>
      <c r="G32" s="809">
        <f t="shared" si="2"/>
        <v>61.958650707290531</v>
      </c>
      <c r="H32" s="434"/>
      <c r="I32" s="784">
        <v>380</v>
      </c>
      <c r="J32" s="809">
        <f t="shared" si="3"/>
        <v>16.539717083786726</v>
      </c>
      <c r="K32" s="434"/>
      <c r="L32" s="784">
        <v>82</v>
      </c>
      <c r="M32" s="809">
        <f t="shared" si="4"/>
        <v>3.5690968443960829</v>
      </c>
      <c r="O32" s="809">
        <v>412</v>
      </c>
      <c r="P32" s="436">
        <f t="shared" si="5"/>
        <v>17.932535364526657</v>
      </c>
    </row>
    <row r="33" spans="1:18" ht="8.1" customHeight="1">
      <c r="C33" s="784" t="str">
        <f t="shared" si="0"/>
        <v/>
      </c>
      <c r="D33" s="784" t="str">
        <f t="shared" si="1"/>
        <v/>
      </c>
      <c r="E33" s="784"/>
      <c r="F33" s="784"/>
      <c r="G33" s="809" t="str">
        <f t="shared" si="2"/>
        <v/>
      </c>
      <c r="H33" s="784"/>
      <c r="I33" s="784"/>
      <c r="J33" s="809" t="str">
        <f t="shared" si="3"/>
        <v/>
      </c>
      <c r="M33" s="809" t="str">
        <f t="shared" si="4"/>
        <v/>
      </c>
      <c r="P33" s="436" t="str">
        <f t="shared" si="5"/>
        <v/>
      </c>
    </row>
    <row r="34" spans="1:18" ht="12" customHeight="1">
      <c r="A34" s="63" t="s">
        <v>329</v>
      </c>
      <c r="C34" s="784">
        <f t="shared" si="0"/>
        <v>24538.5</v>
      </c>
      <c r="D34" s="784">
        <f t="shared" si="1"/>
        <v>19.461179871705745</v>
      </c>
      <c r="E34" s="784"/>
      <c r="F34" s="784">
        <f>SUM(F35+F41+F51+F53)</f>
        <v>17727</v>
      </c>
      <c r="G34" s="809">
        <f t="shared" si="2"/>
        <v>72.241579558652731</v>
      </c>
      <c r="H34" s="784"/>
      <c r="I34" s="784">
        <f>SUM(I35+I41+I51+I53)</f>
        <v>1299</v>
      </c>
      <c r="J34" s="809">
        <f t="shared" si="3"/>
        <v>5.293722110153432</v>
      </c>
      <c r="L34" s="809">
        <f>SUM(L35+L41+L51+L53)</f>
        <v>1428.5</v>
      </c>
      <c r="M34" s="809">
        <f t="shared" si="4"/>
        <v>5.8214642296798909</v>
      </c>
      <c r="O34" s="809">
        <f>SUM(O35+O41+O51+O53)</f>
        <v>4084</v>
      </c>
      <c r="P34" s="436">
        <f t="shared" si="5"/>
        <v>16.643234101513947</v>
      </c>
    </row>
    <row r="35" spans="1:18" ht="12" customHeight="1">
      <c r="A35" s="434" t="s">
        <v>36</v>
      </c>
      <c r="C35" s="784">
        <f t="shared" si="0"/>
        <v>5966</v>
      </c>
      <c r="D35" s="784">
        <f t="shared" si="1"/>
        <v>4.7315605727569521</v>
      </c>
      <c r="E35" s="784"/>
      <c r="F35" s="784">
        <f>SUM(F36:F39)</f>
        <v>4782</v>
      </c>
      <c r="G35" s="809">
        <f t="shared" si="2"/>
        <v>80.154207173985924</v>
      </c>
      <c r="H35" s="784" t="s">
        <v>253</v>
      </c>
      <c r="I35" s="18">
        <f>SUM(I36:I39)</f>
        <v>120</v>
      </c>
      <c r="J35" s="809">
        <f t="shared" si="3"/>
        <v>2.0113979215554809</v>
      </c>
      <c r="K35" s="809" t="s">
        <v>253</v>
      </c>
      <c r="L35" s="809">
        <f>SUM(L36:L39)</f>
        <v>270</v>
      </c>
      <c r="M35" s="809">
        <f t="shared" si="4"/>
        <v>4.5256453234998322</v>
      </c>
      <c r="N35" s="809" t="s">
        <v>253</v>
      </c>
      <c r="O35" s="809">
        <f>SUM(O36:O39)</f>
        <v>794</v>
      </c>
      <c r="P35" s="436">
        <f t="shared" si="5"/>
        <v>13.308749580958768</v>
      </c>
      <c r="Q35" s="434" t="s">
        <v>253</v>
      </c>
    </row>
    <row r="36" spans="1:18" ht="12" customHeight="1">
      <c r="A36" s="434" t="s">
        <v>37</v>
      </c>
      <c r="C36" s="784">
        <f t="shared" si="0"/>
        <v>2513</v>
      </c>
      <c r="D36" s="784">
        <f t="shared" si="1"/>
        <v>1.9930291182263193</v>
      </c>
      <c r="E36" s="784"/>
      <c r="F36" s="784">
        <v>2153</v>
      </c>
      <c r="G36" s="809">
        <f t="shared" si="2"/>
        <v>85.674492638280938</v>
      </c>
      <c r="H36" s="434"/>
      <c r="I36" s="784">
        <v>0</v>
      </c>
      <c r="J36" s="809">
        <f t="shared" si="3"/>
        <v>0</v>
      </c>
      <c r="K36" s="434"/>
      <c r="L36" s="784">
        <v>80</v>
      </c>
      <c r="M36" s="809">
        <f t="shared" si="4"/>
        <v>3.1834460803820139</v>
      </c>
      <c r="O36" s="809">
        <v>280</v>
      </c>
      <c r="P36" s="436">
        <f t="shared" si="5"/>
        <v>11.142061281337048</v>
      </c>
    </row>
    <row r="37" spans="1:18" ht="12" customHeight="1">
      <c r="A37" s="434" t="s">
        <v>38</v>
      </c>
      <c r="C37" s="784">
        <f t="shared" si="0"/>
        <v>1654</v>
      </c>
      <c r="D37" s="809">
        <f t="shared" si="1"/>
        <v>1.3117668768588668</v>
      </c>
      <c r="F37" s="784">
        <v>1332</v>
      </c>
      <c r="G37" s="809">
        <f t="shared" si="2"/>
        <v>80.532043530834343</v>
      </c>
      <c r="H37" s="434"/>
      <c r="I37" s="784">
        <v>35</v>
      </c>
      <c r="J37" s="809">
        <f t="shared" si="3"/>
        <v>2.1160822249093107</v>
      </c>
      <c r="K37" s="434"/>
      <c r="L37" s="784">
        <v>85</v>
      </c>
      <c r="M37" s="809">
        <f t="shared" si="4"/>
        <v>5.1390568319226118</v>
      </c>
      <c r="O37" s="809">
        <v>202</v>
      </c>
      <c r="P37" s="436">
        <f t="shared" si="5"/>
        <v>12.212817412333736</v>
      </c>
    </row>
    <row r="38" spans="1:18" ht="12" customHeight="1">
      <c r="A38" s="434" t="s">
        <v>39</v>
      </c>
      <c r="C38" s="784">
        <f t="shared" si="0"/>
        <v>979</v>
      </c>
      <c r="D38" s="809">
        <f t="shared" si="1"/>
        <v>0.77643275238502463</v>
      </c>
      <c r="F38" s="784">
        <v>669</v>
      </c>
      <c r="G38" s="809">
        <f t="shared" si="2"/>
        <v>68.335035750766096</v>
      </c>
      <c r="H38" s="434"/>
      <c r="I38" s="784">
        <v>50</v>
      </c>
      <c r="J38" s="809">
        <f t="shared" si="3"/>
        <v>5.1072522982635347</v>
      </c>
      <c r="K38" s="434"/>
      <c r="L38" s="784">
        <v>70</v>
      </c>
      <c r="M38" s="809">
        <f t="shared" si="4"/>
        <v>7.1501532175689482</v>
      </c>
      <c r="O38" s="809">
        <v>190</v>
      </c>
      <c r="P38" s="436">
        <f t="shared" si="5"/>
        <v>19.40755873340143</v>
      </c>
    </row>
    <row r="39" spans="1:18" ht="12" customHeight="1">
      <c r="A39" s="434" t="s">
        <v>40</v>
      </c>
      <c r="C39" s="784">
        <f t="shared" si="0"/>
        <v>820</v>
      </c>
      <c r="D39" s="809">
        <f t="shared" si="1"/>
        <v>0.65033182528674172</v>
      </c>
      <c r="F39" s="784">
        <v>628</v>
      </c>
      <c r="G39" s="809">
        <f t="shared" si="2"/>
        <v>76.585365853658544</v>
      </c>
      <c r="H39" s="434"/>
      <c r="I39" s="784">
        <v>35</v>
      </c>
      <c r="J39" s="809">
        <f t="shared" si="3"/>
        <v>4.2682926829268295</v>
      </c>
      <c r="K39" s="434"/>
      <c r="L39" s="784">
        <v>35</v>
      </c>
      <c r="M39" s="809">
        <f t="shared" si="4"/>
        <v>4.2682926829268295</v>
      </c>
      <c r="O39" s="809">
        <v>122</v>
      </c>
      <c r="P39" s="436">
        <f t="shared" si="5"/>
        <v>14.878048780487804</v>
      </c>
    </row>
    <row r="40" spans="1:18" ht="8.1" customHeight="1">
      <c r="C40" s="784" t="str">
        <f t="shared" si="0"/>
        <v/>
      </c>
      <c r="D40" s="809" t="str">
        <f t="shared" si="1"/>
        <v/>
      </c>
      <c r="G40" s="809" t="str">
        <f t="shared" si="2"/>
        <v/>
      </c>
      <c r="J40" s="809" t="str">
        <f t="shared" si="3"/>
        <v/>
      </c>
      <c r="M40" s="809" t="str">
        <f t="shared" si="4"/>
        <v/>
      </c>
      <c r="P40" s="436" t="str">
        <f t="shared" si="5"/>
        <v/>
      </c>
    </row>
    <row r="41" spans="1:18" ht="12" customHeight="1">
      <c r="A41" s="434" t="s">
        <v>41</v>
      </c>
      <c r="C41" s="784">
        <f t="shared" si="0"/>
        <v>10024</v>
      </c>
      <c r="D41" s="809">
        <f t="shared" si="1"/>
        <v>7.949910020334511</v>
      </c>
      <c r="F41" s="809">
        <f>SUM(F42:F49)</f>
        <v>6784</v>
      </c>
      <c r="G41" s="809">
        <f t="shared" si="2"/>
        <v>67.677573822825224</v>
      </c>
      <c r="H41" s="809" t="s">
        <v>253</v>
      </c>
      <c r="I41" s="809">
        <f>SUM(I42:I49)</f>
        <v>780</v>
      </c>
      <c r="J41" s="809">
        <f t="shared" si="3"/>
        <v>7.7813248204309655</v>
      </c>
      <c r="K41" s="809" t="s">
        <v>253</v>
      </c>
      <c r="L41" s="809">
        <f>SUM(L42:L49)</f>
        <v>698</v>
      </c>
      <c r="M41" s="809">
        <f t="shared" si="4"/>
        <v>6.9632881085395049</v>
      </c>
      <c r="N41" s="809" t="s">
        <v>253</v>
      </c>
      <c r="O41" s="809">
        <f>SUM(O42:O49)</f>
        <v>1762</v>
      </c>
      <c r="P41" s="436">
        <f t="shared" si="5"/>
        <v>17.577813248204311</v>
      </c>
      <c r="Q41" s="434" t="s">
        <v>253</v>
      </c>
    </row>
    <row r="42" spans="1:18" ht="12" customHeight="1">
      <c r="A42" s="434" t="s">
        <v>330</v>
      </c>
      <c r="C42" s="784">
        <f t="shared" si="0"/>
        <v>858</v>
      </c>
      <c r="D42" s="809">
        <f t="shared" si="1"/>
        <v>0.68046915377563943</v>
      </c>
      <c r="F42" s="784">
        <v>532</v>
      </c>
      <c r="G42" s="809">
        <f t="shared" si="2"/>
        <v>62.004662004662002</v>
      </c>
      <c r="H42" s="434"/>
      <c r="I42" s="784">
        <v>100</v>
      </c>
      <c r="J42" s="809">
        <f t="shared" si="3"/>
        <v>11.655011655011654</v>
      </c>
      <c r="K42" s="434"/>
      <c r="L42" s="784">
        <v>35</v>
      </c>
      <c r="M42" s="809">
        <f t="shared" si="4"/>
        <v>4.0792540792540795</v>
      </c>
      <c r="O42" s="809">
        <v>191</v>
      </c>
      <c r="P42" s="436">
        <f t="shared" si="5"/>
        <v>22.261072261072261</v>
      </c>
    </row>
    <row r="43" spans="1:18" ht="12" customHeight="1">
      <c r="A43" s="434" t="s">
        <v>42</v>
      </c>
      <c r="C43" s="784">
        <f t="shared" si="0"/>
        <v>1119</v>
      </c>
      <c r="D43" s="809">
        <f t="shared" si="1"/>
        <v>0.88746501523885857</v>
      </c>
      <c r="F43" s="784">
        <v>788</v>
      </c>
      <c r="G43" s="809">
        <f t="shared" si="2"/>
        <v>70.420017873100988</v>
      </c>
      <c r="H43" s="434"/>
      <c r="I43" s="784">
        <v>125</v>
      </c>
      <c r="J43" s="809">
        <f t="shared" si="3"/>
        <v>11.170688114387845</v>
      </c>
      <c r="K43" s="434"/>
      <c r="L43" s="784">
        <v>25</v>
      </c>
      <c r="M43" s="809">
        <f t="shared" si="4"/>
        <v>2.2341376228775691</v>
      </c>
      <c r="O43" s="809">
        <v>181</v>
      </c>
      <c r="P43" s="436">
        <f t="shared" si="5"/>
        <v>16.175156389633603</v>
      </c>
    </row>
    <row r="44" spans="1:18" ht="12" customHeight="1">
      <c r="A44" s="434" t="s">
        <v>438</v>
      </c>
      <c r="C44" s="784">
        <f t="shared" si="0"/>
        <v>1519</v>
      </c>
      <c r="D44" s="809">
        <f t="shared" si="1"/>
        <v>1.2047000519640982</v>
      </c>
      <c r="F44" s="784">
        <v>980</v>
      </c>
      <c r="G44" s="809">
        <f t="shared" si="2"/>
        <v>64.516129032258064</v>
      </c>
      <c r="H44" s="434"/>
      <c r="I44" s="784">
        <v>155</v>
      </c>
      <c r="J44" s="809">
        <f t="shared" si="3"/>
        <v>10.204081632653061</v>
      </c>
      <c r="K44" s="434"/>
      <c r="L44" s="784">
        <v>84</v>
      </c>
      <c r="M44" s="809">
        <f t="shared" si="4"/>
        <v>5.5299539170506913</v>
      </c>
      <c r="N44" s="434"/>
      <c r="O44" s="809">
        <v>300</v>
      </c>
      <c r="P44" s="436">
        <f t="shared" si="5"/>
        <v>19.749835418038185</v>
      </c>
      <c r="R44" s="100"/>
    </row>
    <row r="45" spans="1:18" ht="12" customHeight="1">
      <c r="A45" s="434" t="s">
        <v>44</v>
      </c>
      <c r="C45" s="784">
        <f t="shared" si="0"/>
        <v>1097</v>
      </c>
      <c r="D45" s="809">
        <f t="shared" si="1"/>
        <v>0.87001708821897039</v>
      </c>
      <c r="F45" s="784">
        <v>651</v>
      </c>
      <c r="G45" s="809">
        <f t="shared" si="2"/>
        <v>59.343664539653595</v>
      </c>
      <c r="H45" s="434"/>
      <c r="I45" s="784">
        <v>90</v>
      </c>
      <c r="J45" s="809">
        <f t="shared" si="3"/>
        <v>8.20419325432999</v>
      </c>
      <c r="K45" s="434"/>
      <c r="L45" s="784">
        <v>105</v>
      </c>
      <c r="M45" s="809">
        <f t="shared" si="4"/>
        <v>9.5715587967183229</v>
      </c>
      <c r="O45" s="809">
        <v>251</v>
      </c>
      <c r="P45" s="436">
        <f t="shared" si="5"/>
        <v>22.880583409298087</v>
      </c>
      <c r="R45" s="100"/>
    </row>
    <row r="46" spans="1:18" ht="12" customHeight="1">
      <c r="A46" s="434" t="s">
        <v>439</v>
      </c>
      <c r="C46" s="784">
        <f t="shared" si="0"/>
        <v>1177</v>
      </c>
      <c r="D46" s="809">
        <f t="shared" si="1"/>
        <v>0.93346409556401833</v>
      </c>
      <c r="F46" s="784">
        <v>867</v>
      </c>
      <c r="G46" s="809">
        <f t="shared" si="2"/>
        <v>73.661852166525065</v>
      </c>
      <c r="H46" s="434"/>
      <c r="I46" s="784">
        <v>110</v>
      </c>
      <c r="J46" s="809">
        <f t="shared" si="3"/>
        <v>9.3457943925233646</v>
      </c>
      <c r="K46" s="434"/>
      <c r="L46" s="784">
        <v>40</v>
      </c>
      <c r="M46" s="809">
        <f t="shared" si="4"/>
        <v>3.3984706881903146</v>
      </c>
      <c r="O46" s="809">
        <v>160</v>
      </c>
      <c r="P46" s="436">
        <f t="shared" si="5"/>
        <v>13.593882752761258</v>
      </c>
      <c r="R46" s="100"/>
    </row>
    <row r="47" spans="1:18" ht="12" customHeight="1">
      <c r="A47" s="434" t="s">
        <v>48</v>
      </c>
      <c r="C47" s="784">
        <f t="shared" si="0"/>
        <v>861</v>
      </c>
      <c r="D47" s="809">
        <f t="shared" si="1"/>
        <v>0.68284841655107875</v>
      </c>
      <c r="F47" s="784">
        <v>614</v>
      </c>
      <c r="G47" s="809">
        <f t="shared" si="2"/>
        <v>71.312427409988388</v>
      </c>
      <c r="H47" s="434"/>
      <c r="I47" s="784">
        <v>90</v>
      </c>
      <c r="J47" s="809">
        <f t="shared" si="3"/>
        <v>10.452961672473867</v>
      </c>
      <c r="K47" s="434"/>
      <c r="L47" s="784">
        <v>41</v>
      </c>
      <c r="M47" s="809">
        <f t="shared" si="4"/>
        <v>4.7619047619047619</v>
      </c>
      <c r="O47" s="809">
        <v>116</v>
      </c>
      <c r="P47" s="436">
        <f t="shared" si="5"/>
        <v>13.472706155632984</v>
      </c>
      <c r="R47" s="101"/>
    </row>
    <row r="48" spans="1:18" ht="12" customHeight="1">
      <c r="A48" s="434" t="s">
        <v>47</v>
      </c>
      <c r="C48" s="784">
        <f t="shared" si="0"/>
        <v>2087</v>
      </c>
      <c r="D48" s="809">
        <f t="shared" si="1"/>
        <v>1.655173804113939</v>
      </c>
      <c r="F48" s="784">
        <v>1482</v>
      </c>
      <c r="G48" s="809">
        <f t="shared" si="2"/>
        <v>71.011020603737421</v>
      </c>
      <c r="H48" s="434"/>
      <c r="I48" s="784">
        <v>55</v>
      </c>
      <c r="J48" s="809">
        <f t="shared" si="3"/>
        <v>2.635361763296598</v>
      </c>
      <c r="K48" s="434"/>
      <c r="L48" s="784">
        <v>185</v>
      </c>
      <c r="M48" s="809">
        <f t="shared" si="4"/>
        <v>8.864398658361285</v>
      </c>
      <c r="N48" s="434"/>
      <c r="O48" s="809">
        <v>365</v>
      </c>
      <c r="P48" s="436">
        <f t="shared" si="5"/>
        <v>17.489218974604697</v>
      </c>
    </row>
    <row r="49" spans="1:18" ht="12" customHeight="1">
      <c r="A49" s="434" t="s">
        <v>46</v>
      </c>
      <c r="C49" s="784">
        <f t="shared" si="0"/>
        <v>1306</v>
      </c>
      <c r="D49" s="809">
        <f t="shared" si="1"/>
        <v>1.0357723949079083</v>
      </c>
      <c r="F49" s="784">
        <v>870</v>
      </c>
      <c r="G49" s="809">
        <f t="shared" si="2"/>
        <v>66.615620214395094</v>
      </c>
      <c r="H49" s="434"/>
      <c r="I49" s="784">
        <v>55</v>
      </c>
      <c r="J49" s="809">
        <f t="shared" si="3"/>
        <v>4.2113323124042878</v>
      </c>
      <c r="K49" s="434"/>
      <c r="L49" s="784">
        <v>183</v>
      </c>
      <c r="M49" s="809">
        <f t="shared" si="4"/>
        <v>14.012251148545177</v>
      </c>
      <c r="O49" s="809">
        <v>198</v>
      </c>
      <c r="P49" s="436">
        <f t="shared" si="5"/>
        <v>15.160796324655438</v>
      </c>
    </row>
    <row r="50" spans="1:18" ht="8.1" customHeight="1">
      <c r="C50" s="784" t="str">
        <f t="shared" si="0"/>
        <v/>
      </c>
      <c r="D50" s="809" t="str">
        <f t="shared" si="1"/>
        <v/>
      </c>
      <c r="F50" s="434"/>
      <c r="G50" s="809" t="str">
        <f t="shared" si="2"/>
        <v/>
      </c>
      <c r="H50" s="434"/>
      <c r="I50" s="434"/>
      <c r="J50" s="809" t="str">
        <f t="shared" si="3"/>
        <v/>
      </c>
      <c r="K50" s="434"/>
      <c r="L50" s="434"/>
      <c r="M50" s="809" t="str">
        <f t="shared" si="4"/>
        <v/>
      </c>
      <c r="N50" s="434"/>
      <c r="O50" s="434"/>
      <c r="P50" s="436" t="str">
        <f t="shared" si="5"/>
        <v/>
      </c>
    </row>
    <row r="51" spans="1:18" ht="12" customHeight="1">
      <c r="A51" s="434" t="s">
        <v>50</v>
      </c>
      <c r="C51" s="784">
        <f t="shared" si="0"/>
        <v>2747</v>
      </c>
      <c r="D51" s="809">
        <f t="shared" si="1"/>
        <v>2.1786116147105847</v>
      </c>
      <c r="F51" s="784">
        <v>2239</v>
      </c>
      <c r="G51" s="809">
        <f t="shared" si="2"/>
        <v>81.507098653076085</v>
      </c>
      <c r="H51" s="434"/>
      <c r="I51" s="784">
        <v>70</v>
      </c>
      <c r="J51" s="809">
        <f t="shared" si="3"/>
        <v>2.5482344375682562</v>
      </c>
      <c r="K51" s="434"/>
      <c r="L51" s="784">
        <v>100</v>
      </c>
      <c r="M51" s="809">
        <f t="shared" si="4"/>
        <v>3.6403349108117946</v>
      </c>
      <c r="O51" s="809">
        <v>338</v>
      </c>
      <c r="P51" s="436">
        <f t="shared" si="5"/>
        <v>12.304331998543866</v>
      </c>
    </row>
    <row r="52" spans="1:18" ht="8.1" customHeight="1">
      <c r="C52" s="784" t="str">
        <f t="shared" si="0"/>
        <v/>
      </c>
      <c r="D52" s="809" t="str">
        <f t="shared" si="1"/>
        <v/>
      </c>
      <c r="G52" s="809" t="str">
        <f t="shared" si="2"/>
        <v/>
      </c>
      <c r="J52" s="809" t="str">
        <f t="shared" si="3"/>
        <v/>
      </c>
      <c r="M52" s="809" t="str">
        <f t="shared" si="4"/>
        <v/>
      </c>
      <c r="P52" s="436" t="str">
        <f t="shared" si="5"/>
        <v/>
      </c>
      <c r="R52" s="101"/>
    </row>
    <row r="53" spans="1:18" ht="12" customHeight="1">
      <c r="A53" s="434" t="s">
        <v>51</v>
      </c>
      <c r="C53" s="784">
        <f t="shared" si="0"/>
        <v>5801.5</v>
      </c>
      <c r="D53" s="809">
        <f t="shared" si="1"/>
        <v>4.6010976639036976</v>
      </c>
      <c r="F53" s="809">
        <f>SUM(F54:F58)</f>
        <v>3922</v>
      </c>
      <c r="G53" s="809">
        <f t="shared" si="2"/>
        <v>67.603206067396357</v>
      </c>
      <c r="H53" s="809" t="s">
        <v>253</v>
      </c>
      <c r="I53" s="809">
        <f>SUM(I54:I58)</f>
        <v>329</v>
      </c>
      <c r="J53" s="809">
        <f t="shared" si="3"/>
        <v>5.6709471688356459</v>
      </c>
      <c r="K53" s="809" t="s">
        <v>253</v>
      </c>
      <c r="L53" s="809">
        <f>SUM(L54:L58)</f>
        <v>360.5</v>
      </c>
      <c r="M53" s="809">
        <f t="shared" si="4"/>
        <v>6.213910195639059</v>
      </c>
      <c r="N53" s="809" t="s">
        <v>253</v>
      </c>
      <c r="O53" s="809">
        <f>SUM(O54:O58)</f>
        <v>1190</v>
      </c>
      <c r="P53" s="436">
        <f t="shared" si="5"/>
        <v>20.511936568128935</v>
      </c>
      <c r="Q53" s="434" t="s">
        <v>253</v>
      </c>
      <c r="R53" s="101"/>
    </row>
    <row r="54" spans="1:18" ht="12" customHeight="1">
      <c r="A54" s="434" t="s">
        <v>52</v>
      </c>
      <c r="C54" s="784">
        <f t="shared" si="0"/>
        <v>594</v>
      </c>
      <c r="D54" s="809">
        <f t="shared" si="1"/>
        <v>0.47109402953698121</v>
      </c>
      <c r="F54" s="784">
        <v>380</v>
      </c>
      <c r="G54" s="809">
        <f t="shared" si="2"/>
        <v>63.973063973063972</v>
      </c>
      <c r="H54" s="434"/>
      <c r="I54" s="784">
        <v>0</v>
      </c>
      <c r="J54" s="809">
        <f t="shared" si="3"/>
        <v>0</v>
      </c>
      <c r="K54" s="434"/>
      <c r="L54" s="784">
        <v>25</v>
      </c>
      <c r="M54" s="809">
        <f t="shared" si="4"/>
        <v>4.2087542087542094</v>
      </c>
      <c r="O54" s="809">
        <v>189</v>
      </c>
      <c r="P54" s="436">
        <f t="shared" si="5"/>
        <v>31.818181818181817</v>
      </c>
      <c r="R54" s="101"/>
    </row>
    <row r="55" spans="1:18" ht="12" customHeight="1">
      <c r="A55" s="434" t="s">
        <v>53</v>
      </c>
      <c r="C55" s="784">
        <f t="shared" si="0"/>
        <v>1948</v>
      </c>
      <c r="D55" s="809">
        <f t="shared" si="1"/>
        <v>1.5449346288519181</v>
      </c>
      <c r="F55" s="784">
        <v>1380</v>
      </c>
      <c r="G55" s="809">
        <f t="shared" si="2"/>
        <v>70.841889117043124</v>
      </c>
      <c r="H55" s="434"/>
      <c r="I55" s="784">
        <v>90</v>
      </c>
      <c r="J55" s="809">
        <f t="shared" si="3"/>
        <v>4.6201232032854209</v>
      </c>
      <c r="K55" s="434"/>
      <c r="L55" s="784">
        <v>168</v>
      </c>
      <c r="M55" s="809">
        <f t="shared" si="4"/>
        <v>8.6242299794661186</v>
      </c>
      <c r="O55" s="809">
        <v>310</v>
      </c>
      <c r="P55" s="436">
        <f t="shared" si="5"/>
        <v>15.913757700205339</v>
      </c>
      <c r="R55" s="101"/>
    </row>
    <row r="56" spans="1:18" ht="12" customHeight="1">
      <c r="A56" s="434" t="s">
        <v>54</v>
      </c>
      <c r="C56" s="784">
        <f t="shared" si="0"/>
        <v>1217.5</v>
      </c>
      <c r="D56" s="809">
        <f t="shared" si="1"/>
        <v>0.96558414303244877</v>
      </c>
      <c r="F56" s="784">
        <v>765</v>
      </c>
      <c r="G56" s="809">
        <f t="shared" si="2"/>
        <v>62.833675564681727</v>
      </c>
      <c r="H56" s="434"/>
      <c r="I56" s="784">
        <v>155</v>
      </c>
      <c r="J56" s="809">
        <f t="shared" si="3"/>
        <v>12.73100616016427</v>
      </c>
      <c r="K56" s="434"/>
      <c r="L56" s="784">
        <v>47.5</v>
      </c>
      <c r="M56" s="809">
        <f t="shared" si="4"/>
        <v>3.9014373716632447</v>
      </c>
      <c r="N56" s="434"/>
      <c r="O56" s="809">
        <v>250</v>
      </c>
      <c r="P56" s="436">
        <f t="shared" si="5"/>
        <v>20.533880903490758</v>
      </c>
      <c r="R56" s="101"/>
    </row>
    <row r="57" spans="1:18" ht="12" customHeight="1">
      <c r="A57" s="434" t="s">
        <v>332</v>
      </c>
      <c r="C57" s="784">
        <f t="shared" si="0"/>
        <v>804</v>
      </c>
      <c r="D57" s="809">
        <f t="shared" si="1"/>
        <v>0.63764242381773206</v>
      </c>
      <c r="F57" s="784">
        <v>545</v>
      </c>
      <c r="G57" s="809">
        <f t="shared" si="2"/>
        <v>67.7860696517413</v>
      </c>
      <c r="H57" s="434"/>
      <c r="I57" s="784">
        <v>19</v>
      </c>
      <c r="J57" s="809">
        <f t="shared" si="3"/>
        <v>2.3631840796019898</v>
      </c>
      <c r="K57" s="434"/>
      <c r="L57" s="784">
        <v>26</v>
      </c>
      <c r="M57" s="809">
        <f t="shared" si="4"/>
        <v>3.233830845771144</v>
      </c>
      <c r="N57" s="434"/>
      <c r="O57" s="809">
        <v>214</v>
      </c>
      <c r="P57" s="436">
        <f t="shared" si="5"/>
        <v>26.616915422885572</v>
      </c>
      <c r="R57" s="101"/>
    </row>
    <row r="58" spans="1:18" ht="12" customHeight="1">
      <c r="A58" s="434" t="s">
        <v>56</v>
      </c>
      <c r="C58" s="784">
        <f t="shared" si="0"/>
        <v>1238</v>
      </c>
      <c r="D58" s="809">
        <f t="shared" si="1"/>
        <v>0.9818424386646174</v>
      </c>
      <c r="F58" s="784">
        <v>852</v>
      </c>
      <c r="G58" s="809">
        <f t="shared" si="2"/>
        <v>68.820678513731821</v>
      </c>
      <c r="H58" s="434"/>
      <c r="I58" s="784">
        <v>65</v>
      </c>
      <c r="J58" s="809">
        <f t="shared" si="3"/>
        <v>5.2504038772213244</v>
      </c>
      <c r="K58" s="434"/>
      <c r="L58" s="784">
        <v>94</v>
      </c>
      <c r="M58" s="809">
        <f t="shared" si="4"/>
        <v>7.5928917609046849</v>
      </c>
      <c r="N58" s="434"/>
      <c r="O58" s="809">
        <v>227</v>
      </c>
      <c r="P58" s="436">
        <f t="shared" si="5"/>
        <v>18.336025848142164</v>
      </c>
      <c r="R58" s="101"/>
    </row>
    <row r="59" spans="1:18" ht="8.1" customHeight="1">
      <c r="C59" s="784" t="str">
        <f t="shared" si="0"/>
        <v/>
      </c>
      <c r="D59" s="809" t="str">
        <f t="shared" si="1"/>
        <v/>
      </c>
      <c r="G59" s="809" t="str">
        <f t="shared" si="2"/>
        <v/>
      </c>
      <c r="J59" s="809" t="str">
        <f t="shared" si="3"/>
        <v/>
      </c>
      <c r="M59" s="809" t="str">
        <f t="shared" si="4"/>
        <v/>
      </c>
      <c r="P59" s="436" t="str">
        <f t="shared" si="5"/>
        <v/>
      </c>
      <c r="R59" s="101"/>
    </row>
    <row r="60" spans="1:18" ht="12" customHeight="1">
      <c r="A60" s="63" t="s">
        <v>333</v>
      </c>
      <c r="C60" s="784">
        <f t="shared" si="0"/>
        <v>19856.830000000002</v>
      </c>
      <c r="D60" s="809">
        <f t="shared" si="1"/>
        <v>15.748205485742112</v>
      </c>
      <c r="F60" s="809">
        <f>SUM(F61+F63+F70+F72)</f>
        <v>14181.109999999999</v>
      </c>
      <c r="G60" s="809">
        <f t="shared" si="2"/>
        <v>71.416787070242322</v>
      </c>
      <c r="I60" s="809">
        <f>SUM(I61+I63+I70+I72)</f>
        <v>1408.5</v>
      </c>
      <c r="J60" s="809">
        <f t="shared" si="3"/>
        <v>7.0932772250152709</v>
      </c>
      <c r="L60" s="809">
        <f>SUM(L61+L63+L70+L72)</f>
        <v>1181</v>
      </c>
      <c r="M60" s="809">
        <f t="shared" si="4"/>
        <v>5.9475757207973272</v>
      </c>
      <c r="O60" s="809">
        <f>SUM(O61+O63+O70+O72)</f>
        <v>3086.2200000000003</v>
      </c>
      <c r="P60" s="436">
        <f t="shared" si="5"/>
        <v>15.542359983945071</v>
      </c>
      <c r="R60" s="101"/>
    </row>
    <row r="61" spans="1:18" ht="12" customHeight="1">
      <c r="A61" s="434" t="s">
        <v>334</v>
      </c>
      <c r="C61" s="784">
        <f t="shared" si="0"/>
        <v>1827.5</v>
      </c>
      <c r="D61" s="809">
        <f t="shared" si="1"/>
        <v>1.4493675740384395</v>
      </c>
      <c r="F61" s="784">
        <v>992</v>
      </c>
      <c r="G61" s="809">
        <f t="shared" si="2"/>
        <v>54.281805745554038</v>
      </c>
      <c r="H61" s="434"/>
      <c r="I61" s="784">
        <v>286</v>
      </c>
      <c r="J61" s="809">
        <f t="shared" si="3"/>
        <v>15.649794801641587</v>
      </c>
      <c r="K61" s="434"/>
      <c r="L61" s="784">
        <v>202</v>
      </c>
      <c r="M61" s="809">
        <f t="shared" si="4"/>
        <v>11.053351573187415</v>
      </c>
      <c r="O61" s="809">
        <v>347.5</v>
      </c>
      <c r="P61" s="436">
        <f t="shared" si="5"/>
        <v>19.015047879616965</v>
      </c>
      <c r="R61" s="101"/>
    </row>
    <row r="62" spans="1:18" ht="8.1" customHeight="1">
      <c r="C62" s="784" t="str">
        <f t="shared" si="0"/>
        <v/>
      </c>
      <c r="D62" s="809" t="str">
        <f t="shared" si="1"/>
        <v/>
      </c>
      <c r="G62" s="809" t="str">
        <f t="shared" si="2"/>
        <v/>
      </c>
      <c r="J62" s="809" t="str">
        <f t="shared" si="3"/>
        <v/>
      </c>
      <c r="M62" s="809" t="str">
        <f t="shared" si="4"/>
        <v/>
      </c>
      <c r="P62" s="436" t="str">
        <f t="shared" si="5"/>
        <v/>
      </c>
      <c r="R62" s="101"/>
    </row>
    <row r="63" spans="1:18" ht="10.5" customHeight="1">
      <c r="A63" s="434" t="s">
        <v>60</v>
      </c>
      <c r="C63" s="784">
        <f t="shared" si="0"/>
        <v>12184.64</v>
      </c>
      <c r="D63" s="809">
        <f t="shared" si="1"/>
        <v>9.6634867947095664</v>
      </c>
      <c r="F63" s="809">
        <f>SUM(F64:F68)</f>
        <v>9694.4399999999987</v>
      </c>
      <c r="G63" s="809">
        <f t="shared" si="2"/>
        <v>79.562793812537748</v>
      </c>
      <c r="H63" s="809" t="s">
        <v>253</v>
      </c>
      <c r="I63" s="809">
        <f>SUM(I64:I68)</f>
        <v>361.5</v>
      </c>
      <c r="J63" s="809">
        <f t="shared" si="3"/>
        <v>2.9668500669695619</v>
      </c>
      <c r="K63" s="809" t="s">
        <v>253</v>
      </c>
      <c r="L63" s="809">
        <f>SUM(L64:L68)</f>
        <v>476</v>
      </c>
      <c r="M63" s="809">
        <f t="shared" si="4"/>
        <v>3.9065577645297687</v>
      </c>
      <c r="N63" s="809" t="s">
        <v>253</v>
      </c>
      <c r="O63" s="809">
        <f>SUM(O64:O68)</f>
        <v>1652.7</v>
      </c>
      <c r="P63" s="436">
        <f t="shared" si="5"/>
        <v>13.56379835596292</v>
      </c>
      <c r="Q63" s="434" t="s">
        <v>253</v>
      </c>
      <c r="R63" s="101"/>
    </row>
    <row r="64" spans="1:18" ht="14.25" customHeight="1">
      <c r="A64" s="434" t="s">
        <v>335</v>
      </c>
      <c r="C64" s="784">
        <f t="shared" si="0"/>
        <v>6019.94</v>
      </c>
      <c r="D64" s="809">
        <f t="shared" si="1"/>
        <v>4.7743397174593509</v>
      </c>
      <c r="F64" s="784">
        <v>5276.94</v>
      </c>
      <c r="G64" s="809">
        <f t="shared" si="2"/>
        <v>87.657684295856768</v>
      </c>
      <c r="H64" s="434"/>
      <c r="I64" s="784">
        <v>139</v>
      </c>
      <c r="J64" s="809">
        <f t="shared" si="3"/>
        <v>2.3089931128881682</v>
      </c>
      <c r="K64" s="434"/>
      <c r="L64" s="784">
        <v>33</v>
      </c>
      <c r="M64" s="809">
        <f t="shared" si="4"/>
        <v>0.54817822104539249</v>
      </c>
      <c r="O64" s="809">
        <v>571</v>
      </c>
      <c r="P64" s="436">
        <f t="shared" si="5"/>
        <v>9.4851443702096709</v>
      </c>
      <c r="R64" s="101"/>
    </row>
    <row r="65" spans="1:18" ht="12" customHeight="1">
      <c r="A65" s="434" t="s">
        <v>62</v>
      </c>
      <c r="C65" s="784">
        <f t="shared" si="0"/>
        <v>2321.6999999999998</v>
      </c>
      <c r="D65" s="809">
        <f t="shared" si="1"/>
        <v>1.8413114619124733</v>
      </c>
      <c r="F65" s="784">
        <v>1727</v>
      </c>
      <c r="G65" s="809">
        <f t="shared" si="2"/>
        <v>74.385148813369511</v>
      </c>
      <c r="H65" s="434"/>
      <c r="I65" s="784">
        <v>115</v>
      </c>
      <c r="J65" s="809">
        <f t="shared" si="3"/>
        <v>4.9532670026273848</v>
      </c>
      <c r="K65" s="434"/>
      <c r="L65" s="784">
        <v>70</v>
      </c>
      <c r="M65" s="809">
        <f t="shared" si="4"/>
        <v>3.0150320885558002</v>
      </c>
      <c r="O65" s="809">
        <v>409.7</v>
      </c>
      <c r="P65" s="436">
        <f t="shared" si="5"/>
        <v>17.646552095447301</v>
      </c>
      <c r="R65" s="101"/>
    </row>
    <row r="66" spans="1:18" ht="12" customHeight="1">
      <c r="A66" s="434" t="s">
        <v>63</v>
      </c>
      <c r="C66" s="784">
        <f t="shared" si="0"/>
        <v>725</v>
      </c>
      <c r="D66" s="809">
        <f t="shared" si="1"/>
        <v>0.5749885040644972</v>
      </c>
      <c r="F66" s="784">
        <v>442.5</v>
      </c>
      <c r="G66" s="809">
        <f t="shared" si="2"/>
        <v>61.03448275862069</v>
      </c>
      <c r="H66" s="434"/>
      <c r="I66" s="784">
        <v>55</v>
      </c>
      <c r="J66" s="809">
        <f t="shared" si="3"/>
        <v>7.5862068965517242</v>
      </c>
      <c r="K66" s="434"/>
      <c r="L66" s="784">
        <v>82.5</v>
      </c>
      <c r="M66" s="809">
        <f t="shared" si="4"/>
        <v>11.379310344827587</v>
      </c>
      <c r="O66" s="809">
        <v>145</v>
      </c>
      <c r="P66" s="436">
        <f t="shared" si="5"/>
        <v>20</v>
      </c>
      <c r="R66" s="101"/>
    </row>
    <row r="67" spans="1:18" ht="12" customHeight="1">
      <c r="A67" s="434" t="s">
        <v>64</v>
      </c>
      <c r="C67" s="784">
        <f t="shared" si="0"/>
        <v>1244.5</v>
      </c>
      <c r="D67" s="809">
        <f>IF(A67&lt;&gt;0,C67/$C$11*100,"")</f>
        <v>0.9869975080114024</v>
      </c>
      <c r="F67" s="784">
        <v>664.5</v>
      </c>
      <c r="G67" s="809">
        <f t="shared" si="2"/>
        <v>53.394937725994374</v>
      </c>
      <c r="H67" s="434"/>
      <c r="I67" s="784">
        <v>42.5</v>
      </c>
      <c r="J67" s="809">
        <f t="shared" si="3"/>
        <v>3.4150261149055847</v>
      </c>
      <c r="K67" s="434"/>
      <c r="L67" s="784">
        <v>225.5</v>
      </c>
      <c r="M67" s="809">
        <f t="shared" si="4"/>
        <v>18.119726797910808</v>
      </c>
      <c r="N67" s="434"/>
      <c r="O67" s="809">
        <v>312</v>
      </c>
      <c r="P67" s="436">
        <f t="shared" si="5"/>
        <v>25.070309361189231</v>
      </c>
      <c r="R67" s="101"/>
    </row>
    <row r="68" spans="1:18" ht="12" customHeight="1">
      <c r="A68" s="434" t="s">
        <v>440</v>
      </c>
      <c r="C68" s="784">
        <f t="shared" si="0"/>
        <v>1873.5</v>
      </c>
      <c r="D68" s="809">
        <f t="shared" ref="D68:D134" si="6">IF(A68&lt;&gt;0,C68/$C$11*100,"")</f>
        <v>1.4858496032618422</v>
      </c>
      <c r="F68" s="784">
        <v>1583.5</v>
      </c>
      <c r="G68" s="809">
        <f t="shared" si="2"/>
        <v>84.520950093408061</v>
      </c>
      <c r="H68" s="434"/>
      <c r="I68" s="784">
        <v>10</v>
      </c>
      <c r="J68" s="809">
        <f t="shared" si="3"/>
        <v>0.53376034160661867</v>
      </c>
      <c r="K68" s="434"/>
      <c r="L68" s="784">
        <v>65</v>
      </c>
      <c r="M68" s="809">
        <f t="shared" si="4"/>
        <v>3.4694422204430211</v>
      </c>
      <c r="N68" s="434"/>
      <c r="O68" s="809">
        <v>215</v>
      </c>
      <c r="P68" s="436">
        <f t="shared" si="5"/>
        <v>11.4758473445423</v>
      </c>
      <c r="R68" s="101"/>
    </row>
    <row r="69" spans="1:18" ht="8.1" customHeight="1">
      <c r="C69" s="784" t="str">
        <f t="shared" si="0"/>
        <v/>
      </c>
      <c r="D69" s="809" t="str">
        <f t="shared" si="6"/>
        <v/>
      </c>
      <c r="F69" s="434"/>
      <c r="G69" s="809" t="str">
        <f t="shared" si="2"/>
        <v/>
      </c>
      <c r="H69" s="434"/>
      <c r="I69" s="434"/>
      <c r="J69" s="809" t="str">
        <f t="shared" si="3"/>
        <v/>
      </c>
      <c r="K69" s="434"/>
      <c r="L69" s="434"/>
      <c r="M69" s="809" t="str">
        <f t="shared" si="4"/>
        <v/>
      </c>
      <c r="N69" s="434"/>
      <c r="O69" s="434"/>
      <c r="P69" s="436" t="str">
        <f t="shared" si="5"/>
        <v/>
      </c>
      <c r="R69" s="101"/>
    </row>
    <row r="70" spans="1:18" ht="12" customHeight="1">
      <c r="A70" s="434" t="s">
        <v>66</v>
      </c>
      <c r="C70" s="784">
        <f t="shared" si="0"/>
        <v>2202.11</v>
      </c>
      <c r="D70" s="809">
        <f t="shared" si="6"/>
        <v>1.7464661168075448</v>
      </c>
      <c r="F70" s="784">
        <v>917.09</v>
      </c>
      <c r="G70" s="809">
        <f t="shared" si="2"/>
        <v>41.645966822729108</v>
      </c>
      <c r="H70" s="434"/>
      <c r="I70" s="784">
        <v>680</v>
      </c>
      <c r="J70" s="809">
        <f t="shared" si="3"/>
        <v>30.879474685642407</v>
      </c>
      <c r="K70" s="434"/>
      <c r="L70" s="784">
        <v>290.5</v>
      </c>
      <c r="M70" s="809">
        <f t="shared" si="4"/>
        <v>13.191893229675175</v>
      </c>
      <c r="N70" s="434"/>
      <c r="O70" s="809">
        <v>314.52</v>
      </c>
      <c r="P70" s="436">
        <f t="shared" si="5"/>
        <v>14.282665261953307</v>
      </c>
      <c r="R70" s="101"/>
    </row>
    <row r="71" spans="1:18" ht="8.1" customHeight="1">
      <c r="C71" s="784" t="str">
        <f t="shared" si="0"/>
        <v/>
      </c>
      <c r="D71" s="809" t="str">
        <f t="shared" si="6"/>
        <v/>
      </c>
      <c r="F71" s="434"/>
      <c r="G71" s="809" t="str">
        <f t="shared" si="2"/>
        <v/>
      </c>
      <c r="H71" s="434"/>
      <c r="I71" s="434"/>
      <c r="J71" s="809" t="str">
        <f t="shared" si="3"/>
        <v/>
      </c>
      <c r="K71" s="434"/>
      <c r="L71" s="434"/>
      <c r="M71" s="809" t="str">
        <f t="shared" si="4"/>
        <v/>
      </c>
      <c r="N71" s="434"/>
      <c r="O71" s="434"/>
      <c r="P71" s="436" t="str">
        <f t="shared" si="5"/>
        <v/>
      </c>
      <c r="R71" s="101"/>
    </row>
    <row r="72" spans="1:18" ht="12" customHeight="1">
      <c r="A72" s="434" t="s">
        <v>67</v>
      </c>
      <c r="C72" s="784">
        <f t="shared" si="0"/>
        <v>3642.58</v>
      </c>
      <c r="D72" s="809">
        <f t="shared" si="6"/>
        <v>2.8888850001865607</v>
      </c>
      <c r="F72" s="784">
        <v>2577.58</v>
      </c>
      <c r="G72" s="809">
        <f t="shared" si="2"/>
        <v>70.762481537811112</v>
      </c>
      <c r="H72" s="434"/>
      <c r="I72" s="784">
        <v>81</v>
      </c>
      <c r="J72" s="809">
        <f t="shared" si="3"/>
        <v>2.2236985872650701</v>
      </c>
      <c r="K72" s="434"/>
      <c r="L72" s="784">
        <v>212.5</v>
      </c>
      <c r="M72" s="809">
        <f t="shared" si="4"/>
        <v>5.8337771579484876</v>
      </c>
      <c r="N72" s="434"/>
      <c r="O72" s="809">
        <v>771.5</v>
      </c>
      <c r="P72" s="436">
        <f t="shared" si="5"/>
        <v>21.180042716975329</v>
      </c>
      <c r="R72" s="101"/>
    </row>
    <row r="73" spans="1:18" ht="8.1" customHeight="1">
      <c r="C73" s="784" t="str">
        <f t="shared" si="0"/>
        <v/>
      </c>
      <c r="D73" s="809" t="str">
        <f t="shared" si="6"/>
        <v/>
      </c>
      <c r="G73" s="809" t="str">
        <f t="shared" si="2"/>
        <v/>
      </c>
      <c r="J73" s="809" t="str">
        <f t="shared" si="3"/>
        <v/>
      </c>
      <c r="M73" s="809" t="str">
        <f t="shared" si="4"/>
        <v/>
      </c>
      <c r="P73" s="436" t="str">
        <f t="shared" si="5"/>
        <v/>
      </c>
      <c r="R73" s="101"/>
    </row>
    <row r="74" spans="1:18" ht="12" customHeight="1">
      <c r="A74" s="63" t="s">
        <v>336</v>
      </c>
      <c r="C74" s="784">
        <f t="shared" si="0"/>
        <v>3409.2</v>
      </c>
      <c r="D74" s="809">
        <f t="shared" si="6"/>
        <v>2.7037942180092189</v>
      </c>
      <c r="F74" s="809">
        <f>SUM(F75)</f>
        <v>1467.2</v>
      </c>
      <c r="G74" s="809">
        <f t="shared" si="2"/>
        <v>43.036489499002698</v>
      </c>
      <c r="I74" s="809">
        <f>SUM(I75)</f>
        <v>860</v>
      </c>
      <c r="J74" s="809">
        <f t="shared" si="3"/>
        <v>25.225859439164616</v>
      </c>
      <c r="L74" s="809">
        <f>SUM(L75)</f>
        <v>476</v>
      </c>
      <c r="M74" s="809">
        <f t="shared" si="4"/>
        <v>13.962219875630646</v>
      </c>
      <c r="O74" s="809">
        <f>SUM(O75)</f>
        <v>606</v>
      </c>
      <c r="P74" s="436">
        <f t="shared" si="5"/>
        <v>17.775431186202042</v>
      </c>
      <c r="R74" s="101"/>
    </row>
    <row r="75" spans="1:18" ht="12" customHeight="1">
      <c r="A75" s="434" t="s">
        <v>69</v>
      </c>
      <c r="C75" s="784">
        <f t="shared" ref="C75:C142" si="7">IF(A75&lt;&gt;0,F75+I75+L75+O75,"")</f>
        <v>3409.2</v>
      </c>
      <c r="D75" s="809">
        <f t="shared" si="6"/>
        <v>2.7037942180092189</v>
      </c>
      <c r="F75" s="809">
        <f>SUM(F76:F79)</f>
        <v>1467.2</v>
      </c>
      <c r="G75" s="809">
        <f t="shared" si="2"/>
        <v>43.036489499002698</v>
      </c>
      <c r="H75" s="809" t="s">
        <v>253</v>
      </c>
      <c r="I75" s="809">
        <f>SUM(I76:I79)</f>
        <v>860</v>
      </c>
      <c r="J75" s="809">
        <f t="shared" si="3"/>
        <v>25.225859439164616</v>
      </c>
      <c r="K75" s="809" t="s">
        <v>253</v>
      </c>
      <c r="L75" s="809">
        <f>SUM(L76:L79)</f>
        <v>476</v>
      </c>
      <c r="M75" s="809">
        <f t="shared" si="4"/>
        <v>13.962219875630646</v>
      </c>
      <c r="N75" s="809" t="s">
        <v>253</v>
      </c>
      <c r="O75" s="809">
        <f>SUM(O76:O79)</f>
        <v>606</v>
      </c>
      <c r="P75" s="436">
        <f t="shared" si="5"/>
        <v>17.775431186202042</v>
      </c>
      <c r="Q75" s="434" t="s">
        <v>253</v>
      </c>
      <c r="R75" s="101"/>
    </row>
    <row r="76" spans="1:18" ht="12" customHeight="1">
      <c r="A76" s="434" t="s">
        <v>70</v>
      </c>
      <c r="C76" s="784">
        <f t="shared" si="7"/>
        <v>752</v>
      </c>
      <c r="D76" s="809">
        <f t="shared" si="6"/>
        <v>0.59640186904345094</v>
      </c>
      <c r="F76" s="784">
        <v>432</v>
      </c>
      <c r="G76" s="809">
        <f t="shared" ref="G76:G173" si="8">IF($A76&lt;&gt;0,F76/$C76*100,"")</f>
        <v>57.446808510638306</v>
      </c>
      <c r="H76" s="434"/>
      <c r="I76" s="784">
        <v>105</v>
      </c>
      <c r="J76" s="809">
        <f t="shared" ref="J76:J173" si="9">IF($A76&lt;&gt;0,I76/$C76*100,"")</f>
        <v>13.962765957446807</v>
      </c>
      <c r="K76" s="434"/>
      <c r="L76" s="784">
        <v>55</v>
      </c>
      <c r="M76" s="809">
        <f t="shared" ref="M76:M173" si="10">IF($A76&lt;&gt;0,L76/$C76*100,"")</f>
        <v>7.3138297872340425</v>
      </c>
      <c r="O76" s="809">
        <v>160</v>
      </c>
      <c r="P76" s="436">
        <f t="shared" ref="P76:P173" si="11">IF($A76&lt;&gt;0,O76/$C76*100,"")</f>
        <v>21.276595744680851</v>
      </c>
      <c r="R76" s="101"/>
    </row>
    <row r="77" spans="1:18" ht="12" customHeight="1">
      <c r="A77" s="434" t="s">
        <v>71</v>
      </c>
      <c r="C77" s="784">
        <f t="shared" si="7"/>
        <v>1343.6</v>
      </c>
      <c r="D77" s="809">
        <f t="shared" si="6"/>
        <v>1.0655924883600807</v>
      </c>
      <c r="F77" s="784">
        <v>527.6</v>
      </c>
      <c r="G77" s="809">
        <f t="shared" si="8"/>
        <v>39.267639178326888</v>
      </c>
      <c r="H77" s="434"/>
      <c r="I77" s="784">
        <v>358</v>
      </c>
      <c r="J77" s="809">
        <f t="shared" si="9"/>
        <v>26.644834772253649</v>
      </c>
      <c r="K77" s="434"/>
      <c r="L77" s="784">
        <v>258</v>
      </c>
      <c r="M77" s="809">
        <f t="shared" si="10"/>
        <v>19.202143495087824</v>
      </c>
      <c r="O77" s="809">
        <v>200</v>
      </c>
      <c r="P77" s="436">
        <f t="shared" si="11"/>
        <v>14.885382554331647</v>
      </c>
      <c r="R77" s="101"/>
    </row>
    <row r="78" spans="1:18" ht="12" customHeight="1">
      <c r="A78" s="434" t="s">
        <v>72</v>
      </c>
      <c r="C78" s="784">
        <f t="shared" si="7"/>
        <v>630.9</v>
      </c>
      <c r="D78" s="809">
        <f t="shared" si="6"/>
        <v>0.50035896167488458</v>
      </c>
      <c r="F78" s="784">
        <v>240.9</v>
      </c>
      <c r="G78" s="809">
        <f t="shared" si="8"/>
        <v>38.183547313361863</v>
      </c>
      <c r="H78" s="434"/>
      <c r="I78" s="784">
        <v>264</v>
      </c>
      <c r="J78" s="809">
        <f t="shared" si="9"/>
        <v>41.844983357108894</v>
      </c>
      <c r="K78" s="434"/>
      <c r="L78" s="784">
        <v>69</v>
      </c>
      <c r="M78" s="809">
        <f t="shared" si="10"/>
        <v>10.936757013789824</v>
      </c>
      <c r="O78" s="809">
        <v>57</v>
      </c>
      <c r="P78" s="436">
        <f t="shared" si="11"/>
        <v>9.0347123157394194</v>
      </c>
      <c r="R78" s="101"/>
    </row>
    <row r="79" spans="1:18" ht="12" customHeight="1">
      <c r="A79" s="434" t="s">
        <v>73</v>
      </c>
      <c r="C79" s="784">
        <f t="shared" si="7"/>
        <v>682.7</v>
      </c>
      <c r="D79" s="809">
        <f t="shared" si="6"/>
        <v>0.54144089893080316</v>
      </c>
      <c r="F79" s="784">
        <v>266.7</v>
      </c>
      <c r="G79" s="809">
        <f t="shared" si="8"/>
        <v>39.065475318587957</v>
      </c>
      <c r="H79" s="434"/>
      <c r="I79" s="784">
        <v>133</v>
      </c>
      <c r="J79" s="809">
        <f t="shared" si="9"/>
        <v>19.481470631316832</v>
      </c>
      <c r="K79" s="434"/>
      <c r="L79" s="784">
        <v>94</v>
      </c>
      <c r="M79" s="809">
        <f t="shared" si="10"/>
        <v>13.76885894243445</v>
      </c>
      <c r="O79" s="809">
        <v>189</v>
      </c>
      <c r="P79" s="436">
        <f t="shared" si="11"/>
        <v>27.684195107660759</v>
      </c>
      <c r="R79" s="101"/>
    </row>
    <row r="80" spans="1:18" ht="8.1" customHeight="1">
      <c r="D80" s="809" t="str">
        <f t="shared" si="6"/>
        <v/>
      </c>
      <c r="G80" s="809" t="str">
        <f t="shared" si="8"/>
        <v/>
      </c>
      <c r="J80" s="809" t="str">
        <f t="shared" si="9"/>
        <v/>
      </c>
      <c r="M80" s="809" t="str">
        <f t="shared" si="10"/>
        <v/>
      </c>
      <c r="P80" s="436" t="str">
        <f t="shared" si="11"/>
        <v/>
      </c>
      <c r="R80" s="101"/>
    </row>
    <row r="81" spans="1:18" ht="12" customHeight="1">
      <c r="A81" s="63" t="s">
        <v>396</v>
      </c>
      <c r="C81" s="784">
        <f t="shared" si="7"/>
        <v>10750.47</v>
      </c>
      <c r="D81" s="809">
        <f t="shared" si="6"/>
        <v>8.526064363158973</v>
      </c>
      <c r="F81" s="809">
        <f>SUM(F82)</f>
        <v>8079</v>
      </c>
      <c r="G81" s="809">
        <f t="shared" si="8"/>
        <v>75.150202735322267</v>
      </c>
      <c r="I81" s="809">
        <f>SUM(I82)</f>
        <v>586</v>
      </c>
      <c r="J81" s="809">
        <f t="shared" si="9"/>
        <v>5.4509244712091665</v>
      </c>
      <c r="L81" s="809">
        <f>SUM(L82)</f>
        <v>300</v>
      </c>
      <c r="M81" s="809">
        <f t="shared" si="10"/>
        <v>2.7905756678545219</v>
      </c>
      <c r="O81" s="809">
        <f>SUM(O82)</f>
        <v>1785.47</v>
      </c>
      <c r="P81" s="436">
        <f t="shared" si="11"/>
        <v>16.608297125614044</v>
      </c>
      <c r="R81" s="101"/>
    </row>
    <row r="82" spans="1:18" ht="12" customHeight="1">
      <c r="A82" s="434" t="s">
        <v>75</v>
      </c>
      <c r="C82" s="784">
        <f t="shared" si="7"/>
        <v>10750.47</v>
      </c>
      <c r="D82" s="809">
        <f t="shared" si="6"/>
        <v>8.526064363158973</v>
      </c>
      <c r="F82" s="809">
        <f>SUM(F83:F91)</f>
        <v>8079</v>
      </c>
      <c r="G82" s="809">
        <f t="shared" si="8"/>
        <v>75.150202735322267</v>
      </c>
      <c r="H82" s="809" t="s">
        <v>253</v>
      </c>
      <c r="I82" s="809">
        <f>SUM(I83:I91)</f>
        <v>586</v>
      </c>
      <c r="J82" s="809">
        <f t="shared" si="9"/>
        <v>5.4509244712091665</v>
      </c>
      <c r="K82" s="809" t="s">
        <v>253</v>
      </c>
      <c r="L82" s="809">
        <f>SUM(L83:L91)</f>
        <v>300</v>
      </c>
      <c r="M82" s="809">
        <f t="shared" si="10"/>
        <v>2.7905756678545219</v>
      </c>
      <c r="N82" s="809" t="s">
        <v>253</v>
      </c>
      <c r="O82" s="809">
        <f>SUM(O83:O91)</f>
        <v>1785.47</v>
      </c>
      <c r="P82" s="436">
        <f t="shared" si="11"/>
        <v>16.608297125614044</v>
      </c>
      <c r="Q82" s="434" t="s">
        <v>253</v>
      </c>
      <c r="R82" s="101"/>
    </row>
    <row r="83" spans="1:18" ht="12" customHeight="1">
      <c r="A83" s="434" t="s">
        <v>338</v>
      </c>
      <c r="C83" s="784">
        <f t="shared" si="7"/>
        <v>523</v>
      </c>
      <c r="D83" s="809">
        <f t="shared" si="6"/>
        <v>0.41478481051825111</v>
      </c>
      <c r="F83" s="784">
        <v>288</v>
      </c>
      <c r="G83" s="809">
        <f t="shared" si="8"/>
        <v>55.066921606118548</v>
      </c>
      <c r="H83" s="434"/>
      <c r="I83" s="784">
        <v>85</v>
      </c>
      <c r="J83" s="809">
        <f t="shared" si="9"/>
        <v>16.252390057361378</v>
      </c>
      <c r="K83" s="434"/>
      <c r="L83" s="784">
        <v>30</v>
      </c>
      <c r="M83" s="809">
        <f t="shared" si="10"/>
        <v>5.736137667304015</v>
      </c>
      <c r="O83" s="809">
        <v>120</v>
      </c>
      <c r="P83" s="436">
        <f t="shared" si="11"/>
        <v>22.94455066921606</v>
      </c>
      <c r="R83" s="101"/>
    </row>
    <row r="84" spans="1:18" ht="12" customHeight="1">
      <c r="A84" s="434" t="s">
        <v>76</v>
      </c>
      <c r="C84" s="784">
        <f t="shared" si="7"/>
        <v>1646</v>
      </c>
      <c r="D84" s="809">
        <f t="shared" si="6"/>
        <v>1.3054221761243621</v>
      </c>
      <c r="F84" s="784">
        <v>1243</v>
      </c>
      <c r="G84" s="809">
        <f t="shared" si="8"/>
        <v>75.516403402187109</v>
      </c>
      <c r="H84" s="434"/>
      <c r="I84" s="784">
        <v>45</v>
      </c>
      <c r="J84" s="809">
        <f t="shared" si="9"/>
        <v>2.7339003645200486</v>
      </c>
      <c r="K84" s="434"/>
      <c r="L84" s="784">
        <v>61</v>
      </c>
      <c r="M84" s="809">
        <f t="shared" si="10"/>
        <v>3.7059538274605104</v>
      </c>
      <c r="O84" s="809">
        <v>297</v>
      </c>
      <c r="P84" s="436">
        <f t="shared" si="11"/>
        <v>18.043742405832322</v>
      </c>
      <c r="R84" s="101"/>
    </row>
    <row r="85" spans="1:18" ht="12" customHeight="1">
      <c r="A85" s="434" t="s">
        <v>78</v>
      </c>
      <c r="C85" s="784">
        <f t="shared" si="7"/>
        <v>1561.5</v>
      </c>
      <c r="D85" s="809">
        <f t="shared" si="6"/>
        <v>1.238406274616155</v>
      </c>
      <c r="F85" s="784">
        <v>1177.5</v>
      </c>
      <c r="G85" s="809">
        <f t="shared" si="8"/>
        <v>75.408261287223823</v>
      </c>
      <c r="H85" s="434"/>
      <c r="I85" s="784">
        <v>145</v>
      </c>
      <c r="J85" s="809">
        <f t="shared" si="9"/>
        <v>9.2859430035222541</v>
      </c>
      <c r="K85" s="434"/>
      <c r="L85" s="784">
        <v>48</v>
      </c>
      <c r="M85" s="809">
        <f t="shared" si="10"/>
        <v>3.0739673390970221</v>
      </c>
      <c r="O85" s="809">
        <v>191</v>
      </c>
      <c r="P85" s="436">
        <f t="shared" si="11"/>
        <v>12.231828370156901</v>
      </c>
      <c r="R85" s="101"/>
    </row>
    <row r="86" spans="1:18" ht="12" customHeight="1">
      <c r="A86" s="434" t="s">
        <v>80</v>
      </c>
      <c r="C86" s="784">
        <f t="shared" si="7"/>
        <v>1006</v>
      </c>
      <c r="D86" s="809">
        <f t="shared" si="6"/>
        <v>0.79784611736397826</v>
      </c>
      <c r="F86" s="784">
        <v>740</v>
      </c>
      <c r="G86" s="809">
        <f t="shared" si="8"/>
        <v>73.558648111332005</v>
      </c>
      <c r="H86" s="434"/>
      <c r="I86" s="784">
        <v>45</v>
      </c>
      <c r="J86" s="809">
        <f t="shared" si="9"/>
        <v>4.4731610337972167</v>
      </c>
      <c r="K86" s="434"/>
      <c r="L86" s="784">
        <v>44</v>
      </c>
      <c r="M86" s="809">
        <f t="shared" si="10"/>
        <v>4.3737574552683895</v>
      </c>
      <c r="N86" s="434"/>
      <c r="O86" s="809">
        <v>177</v>
      </c>
      <c r="P86" s="436">
        <f t="shared" si="11"/>
        <v>17.594433399602387</v>
      </c>
      <c r="R86" s="101"/>
    </row>
    <row r="87" spans="1:18" ht="12" customHeight="1">
      <c r="A87" s="434" t="s">
        <v>79</v>
      </c>
      <c r="C87" s="784">
        <f t="shared" si="7"/>
        <v>913.47</v>
      </c>
      <c r="D87" s="809">
        <f t="shared" si="6"/>
        <v>0.72446172249351215</v>
      </c>
      <c r="F87" s="784">
        <v>731.5</v>
      </c>
      <c r="G87" s="809">
        <f t="shared" si="8"/>
        <v>80.079258213187074</v>
      </c>
      <c r="H87" s="434"/>
      <c r="I87" s="784">
        <v>5</v>
      </c>
      <c r="J87" s="809">
        <f t="shared" si="9"/>
        <v>0.54736335073948794</v>
      </c>
      <c r="K87" s="434"/>
      <c r="L87" s="784">
        <v>5</v>
      </c>
      <c r="M87" s="809">
        <f t="shared" si="10"/>
        <v>0.54736335073948794</v>
      </c>
      <c r="O87" s="809">
        <v>171.97</v>
      </c>
      <c r="P87" s="436">
        <f t="shared" si="11"/>
        <v>18.826015085333946</v>
      </c>
      <c r="R87" s="101"/>
    </row>
    <row r="88" spans="1:18" ht="12" customHeight="1">
      <c r="A88" s="434" t="s">
        <v>77</v>
      </c>
      <c r="C88" s="784">
        <f t="shared" si="7"/>
        <v>946</v>
      </c>
      <c r="D88" s="809">
        <f t="shared" si="6"/>
        <v>0.75026086185519225</v>
      </c>
      <c r="F88" s="784">
        <v>666</v>
      </c>
      <c r="G88" s="809">
        <f t="shared" si="8"/>
        <v>70.401691331923885</v>
      </c>
      <c r="H88" s="434"/>
      <c r="I88" s="784">
        <v>60</v>
      </c>
      <c r="J88" s="809">
        <f t="shared" si="9"/>
        <v>6.3424947145877377</v>
      </c>
      <c r="K88" s="434"/>
      <c r="L88" s="784">
        <v>20</v>
      </c>
      <c r="M88" s="809">
        <f t="shared" si="10"/>
        <v>2.1141649048625792</v>
      </c>
      <c r="N88" s="434"/>
      <c r="O88" s="809">
        <v>200</v>
      </c>
      <c r="P88" s="436">
        <f t="shared" si="11"/>
        <v>21.141649048625794</v>
      </c>
      <c r="R88" s="101"/>
    </row>
    <row r="89" spans="1:18" ht="12" customHeight="1">
      <c r="A89" s="434" t="s">
        <v>81</v>
      </c>
      <c r="C89" s="784">
        <f t="shared" si="7"/>
        <v>2077</v>
      </c>
      <c r="D89" s="809">
        <f t="shared" si="6"/>
        <v>1.6472429281958079</v>
      </c>
      <c r="F89" s="784">
        <v>1717.5</v>
      </c>
      <c r="G89" s="809">
        <f t="shared" si="8"/>
        <v>82.691381800674051</v>
      </c>
      <c r="H89" s="434"/>
      <c r="I89" s="784">
        <v>40</v>
      </c>
      <c r="J89" s="809">
        <f t="shared" si="9"/>
        <v>1.9258545979778527</v>
      </c>
      <c r="K89" s="434"/>
      <c r="L89" s="784">
        <v>75</v>
      </c>
      <c r="M89" s="809">
        <f t="shared" si="10"/>
        <v>3.6109773712084738</v>
      </c>
      <c r="N89" s="434"/>
      <c r="O89" s="809">
        <v>244.5</v>
      </c>
      <c r="P89" s="436">
        <f t="shared" si="11"/>
        <v>11.771786230139625</v>
      </c>
      <c r="R89" s="101"/>
    </row>
    <row r="90" spans="1:18" ht="12" customHeight="1">
      <c r="A90" s="434" t="s">
        <v>441</v>
      </c>
      <c r="C90" s="784">
        <f t="shared" si="7"/>
        <v>617</v>
      </c>
      <c r="D90" s="809">
        <f t="shared" si="6"/>
        <v>0.48933504414868251</v>
      </c>
      <c r="F90" s="784">
        <v>489</v>
      </c>
      <c r="G90" s="809">
        <f t="shared" si="8"/>
        <v>79.254457050243104</v>
      </c>
      <c r="H90" s="434"/>
      <c r="I90" s="784">
        <v>35</v>
      </c>
      <c r="J90" s="809">
        <f t="shared" si="9"/>
        <v>5.6726094003241485</v>
      </c>
      <c r="K90" s="434"/>
      <c r="L90" s="784">
        <v>0</v>
      </c>
      <c r="M90" s="809">
        <f t="shared" si="10"/>
        <v>0</v>
      </c>
      <c r="O90" s="809">
        <v>93</v>
      </c>
      <c r="P90" s="436">
        <f t="shared" si="11"/>
        <v>15.07293354943274</v>
      </c>
      <c r="R90" s="101"/>
    </row>
    <row r="91" spans="1:18" ht="12" customHeight="1">
      <c r="A91" s="434" t="s">
        <v>83</v>
      </c>
      <c r="C91" s="784">
        <f t="shared" si="7"/>
        <v>1460.5</v>
      </c>
      <c r="D91" s="809">
        <f t="shared" si="6"/>
        <v>1.1583044278430319</v>
      </c>
      <c r="F91" s="784">
        <v>1026.5</v>
      </c>
      <c r="G91" s="809">
        <f t="shared" si="8"/>
        <v>70.284149263950695</v>
      </c>
      <c r="H91" s="434"/>
      <c r="I91" s="784">
        <v>126</v>
      </c>
      <c r="J91" s="809">
        <f t="shared" si="9"/>
        <v>8.6271824717562478</v>
      </c>
      <c r="K91" s="434"/>
      <c r="L91" s="784">
        <v>17</v>
      </c>
      <c r="M91" s="809">
        <f t="shared" si="10"/>
        <v>1.1639849366655255</v>
      </c>
      <c r="O91" s="809">
        <v>291</v>
      </c>
      <c r="P91" s="436">
        <f t="shared" si="11"/>
        <v>19.924683327627523</v>
      </c>
      <c r="R91" s="101"/>
    </row>
    <row r="92" spans="1:18" ht="8.1" customHeight="1">
      <c r="C92" s="784" t="str">
        <f t="shared" si="7"/>
        <v/>
      </c>
      <c r="D92" s="809" t="str">
        <f t="shared" si="6"/>
        <v/>
      </c>
      <c r="F92" s="434"/>
      <c r="G92" s="809" t="str">
        <f t="shared" si="8"/>
        <v/>
      </c>
      <c r="H92" s="434"/>
      <c r="I92" s="434"/>
      <c r="J92" s="809" t="str">
        <f t="shared" si="9"/>
        <v/>
      </c>
      <c r="K92" s="434"/>
      <c r="L92" s="434"/>
      <c r="M92" s="809" t="str">
        <f t="shared" si="10"/>
        <v/>
      </c>
      <c r="N92" s="434"/>
      <c r="O92" s="434"/>
      <c r="P92" s="436" t="str">
        <f t="shared" si="11"/>
        <v/>
      </c>
      <c r="R92" s="101"/>
    </row>
    <row r="93" spans="1:18" ht="12" customHeight="1">
      <c r="A93" s="434" t="s">
        <v>442</v>
      </c>
      <c r="C93" s="784">
        <f>IF(A93&lt;&gt;0,F93+I93+L93+O93,"")</f>
        <v>4990</v>
      </c>
      <c r="D93" s="809">
        <f t="shared" si="6"/>
        <v>3.9575070831473673</v>
      </c>
      <c r="F93" s="784">
        <v>4710</v>
      </c>
      <c r="G93" s="809">
        <f t="shared" si="8"/>
        <v>94.388777555110224</v>
      </c>
      <c r="H93" s="434"/>
      <c r="I93" s="784">
        <v>30</v>
      </c>
      <c r="J93" s="809">
        <f t="shared" si="9"/>
        <v>0.60120240480961928</v>
      </c>
      <c r="K93" s="434"/>
      <c r="L93" s="784">
        <v>70</v>
      </c>
      <c r="M93" s="809">
        <f t="shared" si="10"/>
        <v>1.402805611222445</v>
      </c>
      <c r="O93" s="809">
        <v>180</v>
      </c>
      <c r="P93" s="436">
        <f t="shared" si="11"/>
        <v>3.6072144288577155</v>
      </c>
      <c r="R93" s="101"/>
    </row>
    <row r="94" spans="1:18" ht="12" customHeight="1">
      <c r="A94" s="434" t="s">
        <v>443</v>
      </c>
      <c r="C94" s="784">
        <f>IF(A94&lt;&gt;0,F94+I94+L94+O94,"")</f>
        <v>1270</v>
      </c>
      <c r="D94" s="809">
        <f t="shared" si="6"/>
        <v>1.0072212416026365</v>
      </c>
      <c r="F94" s="784">
        <v>920</v>
      </c>
      <c r="G94" s="809">
        <f t="shared" si="8"/>
        <v>72.440944881889763</v>
      </c>
      <c r="H94" s="434"/>
      <c r="I94" s="784">
        <v>40</v>
      </c>
      <c r="J94" s="809">
        <f t="shared" si="9"/>
        <v>3.1496062992125982</v>
      </c>
      <c r="K94" s="434"/>
      <c r="L94" s="784">
        <v>100</v>
      </c>
      <c r="M94" s="809">
        <f t="shared" si="10"/>
        <v>7.8740157480314963</v>
      </c>
      <c r="N94" s="434"/>
      <c r="O94" s="809">
        <v>210</v>
      </c>
      <c r="P94" s="436">
        <f t="shared" si="11"/>
        <v>16.535433070866144</v>
      </c>
      <c r="R94" s="101"/>
    </row>
    <row r="95" spans="1:18" ht="12" customHeight="1">
      <c r="A95" s="434" t="s">
        <v>444</v>
      </c>
      <c r="C95" s="784">
        <f>IF(A95&lt;&gt;0,F95+I95+L95+O95,"")</f>
        <v>2257</v>
      </c>
      <c r="D95" s="809">
        <f t="shared" si="6"/>
        <v>1.7899986947221658</v>
      </c>
      <c r="F95" s="784">
        <v>2022</v>
      </c>
      <c r="G95" s="809">
        <f t="shared" si="8"/>
        <v>89.587948604342046</v>
      </c>
      <c r="H95" s="434"/>
      <c r="I95" s="784">
        <v>35</v>
      </c>
      <c r="J95" s="809">
        <f t="shared" si="9"/>
        <v>1.5507310589277801</v>
      </c>
      <c r="K95" s="434"/>
      <c r="L95" s="784">
        <v>75</v>
      </c>
      <c r="M95" s="809">
        <f t="shared" si="10"/>
        <v>3.3229951262738151</v>
      </c>
      <c r="O95" s="809">
        <v>125</v>
      </c>
      <c r="P95" s="436">
        <f t="shared" si="11"/>
        <v>5.5383252104563585</v>
      </c>
      <c r="R95" s="101"/>
    </row>
    <row r="96" spans="1:18" ht="12.75" customHeight="1">
      <c r="C96" s="784" t="str">
        <f>IF(A96&lt;&gt;0,F96+I96+L96+O96,"")</f>
        <v/>
      </c>
      <c r="D96" s="809" t="str">
        <f t="shared" si="6"/>
        <v/>
      </c>
      <c r="G96" s="809" t="str">
        <f t="shared" si="8"/>
        <v/>
      </c>
      <c r="J96" s="809" t="str">
        <f t="shared" si="9"/>
        <v/>
      </c>
      <c r="M96" s="809" t="str">
        <f t="shared" si="10"/>
        <v/>
      </c>
      <c r="P96" s="436" t="str">
        <f t="shared" si="11"/>
        <v/>
      </c>
      <c r="R96" s="101"/>
    </row>
    <row r="97" spans="18:18" ht="12.75" customHeight="1">
      <c r="R97" s="101"/>
    </row>
    <row r="98" spans="18:18" ht="12.75" customHeight="1">
      <c r="R98" s="101"/>
    </row>
    <row r="99" spans="18:18" ht="12.75" customHeight="1">
      <c r="R99" s="101"/>
    </row>
    <row r="100" spans="18:18" ht="12.75" customHeight="1">
      <c r="R100" s="101"/>
    </row>
    <row r="101" spans="18:18" ht="12.75" customHeight="1">
      <c r="R101" s="101"/>
    </row>
    <row r="102" spans="18:18" ht="12.75" customHeight="1">
      <c r="R102" s="101"/>
    </row>
    <row r="103" spans="18:18" ht="12.75" customHeight="1">
      <c r="R103" s="101"/>
    </row>
    <row r="104" spans="18:18" ht="12.75" customHeight="1">
      <c r="R104" s="101"/>
    </row>
    <row r="105" spans="18:18" ht="12.75" customHeight="1">
      <c r="R105" s="101"/>
    </row>
    <row r="106" spans="18:18" ht="12.75" customHeight="1">
      <c r="R106" s="101"/>
    </row>
    <row r="107" spans="18:18" ht="12.75" customHeight="1">
      <c r="R107" s="101"/>
    </row>
    <row r="108" spans="18:18" ht="12.75" customHeight="1">
      <c r="R108" s="101"/>
    </row>
    <row r="109" spans="18:18" ht="12.75" customHeight="1">
      <c r="R109" s="101"/>
    </row>
    <row r="110" spans="18:18" ht="12.75" customHeight="1">
      <c r="R110" s="101"/>
    </row>
    <row r="111" spans="18:18" ht="12.75" customHeight="1">
      <c r="R111" s="101"/>
    </row>
    <row r="112" spans="18:18" ht="12.75" customHeight="1">
      <c r="R112" s="101"/>
    </row>
    <row r="113" spans="1:18" ht="12.75" customHeight="1">
      <c r="R113" s="101"/>
    </row>
    <row r="114" spans="1:18" ht="12.75" customHeight="1">
      <c r="R114" s="101"/>
    </row>
    <row r="115" spans="1:18" ht="12.75" customHeight="1">
      <c r="R115" s="101"/>
    </row>
    <row r="116" spans="1:18" ht="12.75" customHeight="1">
      <c r="R116" s="101"/>
    </row>
    <row r="117" spans="1:18" ht="12.75" customHeight="1">
      <c r="R117" s="101"/>
    </row>
    <row r="118" spans="1:18" ht="12.75" customHeight="1">
      <c r="R118" s="101"/>
    </row>
    <row r="119" spans="1:18" ht="12.75" customHeight="1">
      <c r="R119" s="101"/>
    </row>
    <row r="120" spans="1:18" ht="12.75" customHeight="1">
      <c r="R120" s="101"/>
    </row>
    <row r="121" spans="1:18" ht="12.75" customHeight="1">
      <c r="R121" s="101"/>
    </row>
    <row r="122" spans="1:18" ht="12.75" customHeight="1">
      <c r="R122" s="101"/>
    </row>
    <row r="123" spans="1:18" ht="12.75" customHeight="1">
      <c r="R123" s="101"/>
    </row>
    <row r="124" spans="1:18" ht="12.75" customHeight="1">
      <c r="R124" s="101"/>
    </row>
    <row r="125" spans="1:18" ht="12.75" customHeight="1">
      <c r="R125" s="101"/>
    </row>
    <row r="126" spans="1:18" ht="12" customHeight="1" thickBot="1">
      <c r="A126" s="455"/>
      <c r="B126" s="784"/>
      <c r="D126" s="784"/>
      <c r="E126" s="784"/>
      <c r="R126" s="101"/>
    </row>
    <row r="127" spans="1:18" ht="12" customHeight="1">
      <c r="A127" s="486"/>
      <c r="B127" s="786"/>
      <c r="C127" s="786"/>
      <c r="D127" s="786"/>
      <c r="E127" s="786"/>
      <c r="F127" s="816"/>
      <c r="G127" s="816"/>
      <c r="H127" s="816"/>
      <c r="I127" s="816"/>
      <c r="J127" s="816"/>
      <c r="K127" s="816"/>
      <c r="L127" s="816"/>
      <c r="M127" s="816"/>
      <c r="N127" s="816"/>
      <c r="O127" s="816"/>
      <c r="P127" s="439"/>
      <c r="Q127" s="437"/>
      <c r="R127" s="101"/>
    </row>
    <row r="128" spans="1:18" ht="12" customHeight="1">
      <c r="A128" s="453" t="s">
        <v>434</v>
      </c>
      <c r="B128" s="784"/>
      <c r="C128" s="1272" t="s">
        <v>435</v>
      </c>
      <c r="D128" s="1272"/>
      <c r="E128" s="817"/>
      <c r="F128" s="1273" t="s">
        <v>12</v>
      </c>
      <c r="G128" s="1273"/>
      <c r="H128" s="785"/>
      <c r="I128" s="1273" t="s">
        <v>86</v>
      </c>
      <c r="J128" s="1273"/>
      <c r="K128" s="785"/>
      <c r="L128" s="1273" t="s">
        <v>150</v>
      </c>
      <c r="M128" s="1273"/>
      <c r="N128" s="785"/>
      <c r="O128" s="785" t="s">
        <v>436</v>
      </c>
      <c r="P128" s="442"/>
      <c r="Q128" s="440"/>
      <c r="R128" s="101"/>
    </row>
    <row r="129" spans="1:18" ht="12" customHeight="1">
      <c r="A129" s="455" t="s">
        <v>437</v>
      </c>
      <c r="B129" s="784"/>
      <c r="C129" s="818" t="s">
        <v>323</v>
      </c>
      <c r="D129" s="818" t="s">
        <v>324</v>
      </c>
      <c r="E129" s="817"/>
      <c r="F129" s="819" t="s">
        <v>323</v>
      </c>
      <c r="G129" s="819" t="s">
        <v>324</v>
      </c>
      <c r="H129" s="785"/>
      <c r="I129" s="819" t="s">
        <v>323</v>
      </c>
      <c r="J129" s="819" t="s">
        <v>324</v>
      </c>
      <c r="K129" s="785"/>
      <c r="L129" s="819" t="s">
        <v>323</v>
      </c>
      <c r="M129" s="819" t="s">
        <v>324</v>
      </c>
      <c r="N129" s="785"/>
      <c r="O129" s="819" t="s">
        <v>323</v>
      </c>
      <c r="P129" s="444" t="s">
        <v>324</v>
      </c>
      <c r="Q129" s="440"/>
      <c r="R129" s="101"/>
    </row>
    <row r="130" spans="1:18" ht="12" customHeight="1" thickBot="1">
      <c r="A130" s="503"/>
      <c r="B130" s="787"/>
      <c r="C130" s="787"/>
      <c r="D130" s="787"/>
      <c r="E130" s="787"/>
      <c r="F130" s="820"/>
      <c r="G130" s="820"/>
      <c r="H130" s="820"/>
      <c r="I130" s="820"/>
      <c r="J130" s="820"/>
      <c r="K130" s="820"/>
      <c r="L130" s="820"/>
      <c r="M130" s="820"/>
      <c r="N130" s="820"/>
      <c r="O130" s="820"/>
      <c r="P130" s="447"/>
      <c r="Q130" s="445"/>
      <c r="R130" s="101"/>
    </row>
    <row r="131" spans="1:18" ht="12" customHeight="1">
      <c r="R131" s="101"/>
    </row>
    <row r="132" spans="1:18" ht="12" customHeight="1">
      <c r="A132" s="63" t="s">
        <v>445</v>
      </c>
      <c r="C132" s="784">
        <f>IF(A132&lt;&gt;0,F132+I132+L132+O132,"")</f>
        <v>12268.477500000001</v>
      </c>
      <c r="D132" s="809">
        <f t="shared" si="6"/>
        <v>9.7299772756881975</v>
      </c>
      <c r="F132" s="809">
        <f>SUM(F133+F147+F183+F187)</f>
        <v>3164.1175000000003</v>
      </c>
      <c r="G132" s="809">
        <f t="shared" si="8"/>
        <v>25.790628869800674</v>
      </c>
      <c r="I132" s="809">
        <f>SUM(I133+I147+I183+I187)</f>
        <v>6289.67</v>
      </c>
      <c r="J132" s="809">
        <f t="shared" si="9"/>
        <v>51.266915556555404</v>
      </c>
      <c r="L132" s="809">
        <f>SUM(L133+L147+L183+L187)</f>
        <v>843</v>
      </c>
      <c r="M132" s="809">
        <f t="shared" si="10"/>
        <v>6.8712682563912262</v>
      </c>
      <c r="O132" s="809">
        <f>SUM(O133+O147+O183+O187)</f>
        <v>1971.69</v>
      </c>
      <c r="P132" s="436">
        <f t="shared" si="11"/>
        <v>16.07118731725269</v>
      </c>
      <c r="R132" s="101"/>
    </row>
    <row r="133" spans="1:18" ht="12" customHeight="1">
      <c r="A133" s="434" t="s">
        <v>446</v>
      </c>
      <c r="C133" s="784">
        <f t="shared" si="7"/>
        <v>3613.04</v>
      </c>
      <c r="D133" s="809">
        <f t="shared" si="6"/>
        <v>2.8654571927244015</v>
      </c>
      <c r="F133" s="809">
        <f>SUM(F134:F145)</f>
        <v>434.5</v>
      </c>
      <c r="G133" s="809">
        <f t="shared" si="8"/>
        <v>12.025884020104954</v>
      </c>
      <c r="I133" s="809">
        <f>SUM(I134:I145)</f>
        <v>2579</v>
      </c>
      <c r="J133" s="809">
        <f t="shared" si="9"/>
        <v>71.380333458804785</v>
      </c>
      <c r="L133" s="809">
        <f>SUM(L134:L145)</f>
        <v>184</v>
      </c>
      <c r="M133" s="809">
        <f t="shared" si="10"/>
        <v>5.0926643491353545</v>
      </c>
      <c r="O133" s="809">
        <f>SUM(O134:O145)</f>
        <v>415.54</v>
      </c>
      <c r="P133" s="436">
        <f t="shared" si="11"/>
        <v>11.50111817195492</v>
      </c>
      <c r="R133" s="101"/>
    </row>
    <row r="134" spans="1:18" ht="12" customHeight="1">
      <c r="A134" s="434" t="s">
        <v>447</v>
      </c>
      <c r="C134" s="784">
        <f t="shared" si="7"/>
        <v>175</v>
      </c>
      <c r="D134" s="809">
        <f t="shared" si="6"/>
        <v>0.13879032856729243</v>
      </c>
      <c r="F134" s="784">
        <v>10</v>
      </c>
      <c r="G134" s="809">
        <f t="shared" si="8"/>
        <v>5.7142857142857144</v>
      </c>
      <c r="H134" s="434"/>
      <c r="I134" s="784">
        <v>140</v>
      </c>
      <c r="J134" s="809">
        <f t="shared" si="9"/>
        <v>80</v>
      </c>
      <c r="K134" s="434"/>
      <c r="L134" s="784">
        <v>0</v>
      </c>
      <c r="M134" s="809">
        <f t="shared" si="10"/>
        <v>0</v>
      </c>
      <c r="N134" s="434"/>
      <c r="O134" s="809">
        <v>25</v>
      </c>
      <c r="P134" s="436">
        <f t="shared" si="11"/>
        <v>14.285714285714285</v>
      </c>
      <c r="R134" s="101"/>
    </row>
    <row r="135" spans="1:18" ht="12" customHeight="1">
      <c r="A135" s="42" t="s">
        <v>448</v>
      </c>
      <c r="C135" s="784">
        <f t="shared" si="7"/>
        <v>80</v>
      </c>
      <c r="F135" s="784">
        <v>10</v>
      </c>
      <c r="G135" s="809">
        <f t="shared" si="8"/>
        <v>12.5</v>
      </c>
      <c r="H135" s="434"/>
      <c r="I135" s="784">
        <v>40</v>
      </c>
      <c r="J135" s="809">
        <f t="shared" si="9"/>
        <v>50</v>
      </c>
      <c r="K135" s="434"/>
      <c r="L135" s="784">
        <v>10</v>
      </c>
      <c r="M135" s="809">
        <f t="shared" si="10"/>
        <v>12.5</v>
      </c>
      <c r="O135" s="809">
        <v>20</v>
      </c>
      <c r="P135" s="436">
        <f t="shared" si="11"/>
        <v>25</v>
      </c>
      <c r="R135" s="101"/>
    </row>
    <row r="136" spans="1:18" ht="12" customHeight="1">
      <c r="A136" s="42" t="s">
        <v>449</v>
      </c>
      <c r="C136" s="784">
        <f t="shared" si="7"/>
        <v>40</v>
      </c>
      <c r="F136" s="784">
        <v>0</v>
      </c>
      <c r="G136" s="809">
        <f t="shared" si="8"/>
        <v>0</v>
      </c>
      <c r="H136" s="434"/>
      <c r="I136" s="784">
        <v>5</v>
      </c>
      <c r="J136" s="809">
        <f t="shared" si="9"/>
        <v>12.5</v>
      </c>
      <c r="K136" s="434"/>
      <c r="L136" s="784">
        <v>15</v>
      </c>
      <c r="M136" s="809">
        <f t="shared" si="10"/>
        <v>37.5</v>
      </c>
      <c r="O136" s="809">
        <v>20</v>
      </c>
      <c r="P136" s="436">
        <f t="shared" si="11"/>
        <v>50</v>
      </c>
      <c r="R136" s="101"/>
    </row>
    <row r="137" spans="1:18" ht="12" customHeight="1">
      <c r="A137" s="434" t="s">
        <v>450</v>
      </c>
      <c r="C137" s="784">
        <f t="shared" si="7"/>
        <v>558</v>
      </c>
      <c r="D137" s="809">
        <f t="shared" ref="D137:D190" si="12">IF(A137&lt;&gt;0,C137/$C$11*100,"")</f>
        <v>0.44254287623170963</v>
      </c>
      <c r="F137" s="784">
        <v>133.5</v>
      </c>
      <c r="G137" s="809">
        <f t="shared" si="8"/>
        <v>23.9247311827957</v>
      </c>
      <c r="H137" s="434"/>
      <c r="I137" s="784">
        <v>360.5</v>
      </c>
      <c r="J137" s="809">
        <f t="shared" si="9"/>
        <v>64.605734767025098</v>
      </c>
      <c r="K137" s="434"/>
      <c r="L137" s="784">
        <v>22</v>
      </c>
      <c r="M137" s="809">
        <f t="shared" si="10"/>
        <v>3.9426523297491038</v>
      </c>
      <c r="O137" s="809">
        <v>42</v>
      </c>
      <c r="P137" s="436">
        <f t="shared" si="11"/>
        <v>7.5268817204301079</v>
      </c>
      <c r="R137" s="101"/>
    </row>
    <row r="138" spans="1:18" ht="12" customHeight="1">
      <c r="A138" s="434" t="s">
        <v>451</v>
      </c>
      <c r="C138" s="784">
        <f t="shared" si="7"/>
        <v>320</v>
      </c>
      <c r="D138" s="809">
        <f t="shared" si="12"/>
        <v>0.25378802938019185</v>
      </c>
      <c r="F138" s="784">
        <v>45</v>
      </c>
      <c r="G138" s="809">
        <f t="shared" si="8"/>
        <v>14.0625</v>
      </c>
      <c r="H138" s="434"/>
      <c r="I138" s="784">
        <v>255</v>
      </c>
      <c r="J138" s="809">
        <f t="shared" si="9"/>
        <v>79.6875</v>
      </c>
      <c r="K138" s="434"/>
      <c r="L138" s="784">
        <v>0</v>
      </c>
      <c r="M138" s="809">
        <f t="shared" si="10"/>
        <v>0</v>
      </c>
      <c r="O138" s="809">
        <v>20</v>
      </c>
      <c r="P138" s="436">
        <f t="shared" si="11"/>
        <v>6.25</v>
      </c>
      <c r="R138" s="101"/>
    </row>
    <row r="139" spans="1:18" ht="12" customHeight="1">
      <c r="A139" s="434" t="s">
        <v>452</v>
      </c>
      <c r="C139" s="784">
        <f t="shared" si="7"/>
        <v>420</v>
      </c>
      <c r="D139" s="809">
        <f t="shared" si="12"/>
        <v>0.33309678856150188</v>
      </c>
      <c r="F139" s="784">
        <v>122</v>
      </c>
      <c r="G139" s="809">
        <f t="shared" si="8"/>
        <v>29.047619047619051</v>
      </c>
      <c r="H139" s="434"/>
      <c r="I139" s="784">
        <v>214</v>
      </c>
      <c r="J139" s="809">
        <f t="shared" si="9"/>
        <v>50.952380952380949</v>
      </c>
      <c r="K139" s="434"/>
      <c r="L139" s="784">
        <v>10</v>
      </c>
      <c r="M139" s="809">
        <f t="shared" si="10"/>
        <v>2.3809523809523809</v>
      </c>
      <c r="O139" s="809">
        <v>74</v>
      </c>
      <c r="P139" s="436">
        <f t="shared" si="11"/>
        <v>17.61904761904762</v>
      </c>
      <c r="R139" s="101"/>
    </row>
    <row r="140" spans="1:18" ht="12" customHeight="1">
      <c r="A140" s="434" t="s">
        <v>453</v>
      </c>
      <c r="C140" s="784">
        <f t="shared" si="7"/>
        <v>30</v>
      </c>
      <c r="F140" s="784">
        <v>0</v>
      </c>
      <c r="G140" s="809">
        <f t="shared" si="8"/>
        <v>0</v>
      </c>
      <c r="H140" s="434"/>
      <c r="I140" s="784">
        <v>10</v>
      </c>
      <c r="J140" s="809">
        <f t="shared" si="9"/>
        <v>33.333333333333329</v>
      </c>
      <c r="K140" s="434"/>
      <c r="L140" s="784">
        <v>0</v>
      </c>
      <c r="M140" s="809">
        <f t="shared" si="10"/>
        <v>0</v>
      </c>
      <c r="O140" s="809">
        <v>20</v>
      </c>
      <c r="P140" s="436">
        <f t="shared" si="11"/>
        <v>66.666666666666657</v>
      </c>
      <c r="R140" s="101"/>
    </row>
    <row r="141" spans="1:18" ht="12" customHeight="1">
      <c r="A141" s="434" t="s">
        <v>454</v>
      </c>
      <c r="C141" s="784">
        <f t="shared" si="7"/>
        <v>635.54</v>
      </c>
      <c r="D141" s="809">
        <f t="shared" si="12"/>
        <v>0.50403888810089725</v>
      </c>
      <c r="F141" s="784">
        <v>0</v>
      </c>
      <c r="G141" s="809">
        <f t="shared" si="8"/>
        <v>0</v>
      </c>
      <c r="H141" s="434"/>
      <c r="I141" s="784">
        <v>535</v>
      </c>
      <c r="J141" s="809">
        <f t="shared" si="9"/>
        <v>84.180382037322602</v>
      </c>
      <c r="K141" s="434"/>
      <c r="L141" s="784">
        <v>65</v>
      </c>
      <c r="M141" s="809">
        <f t="shared" si="10"/>
        <v>10.227523051263493</v>
      </c>
      <c r="N141" s="434"/>
      <c r="O141" s="809">
        <v>35.54</v>
      </c>
      <c r="P141" s="436">
        <f t="shared" si="11"/>
        <v>5.5920949114139162</v>
      </c>
      <c r="R141" s="101"/>
    </row>
    <row r="142" spans="1:18" ht="12" customHeight="1">
      <c r="A142" s="434" t="s">
        <v>455</v>
      </c>
      <c r="C142" s="784">
        <f t="shared" si="7"/>
        <v>704.5</v>
      </c>
      <c r="D142" s="809">
        <f t="shared" si="12"/>
        <v>0.55873020843232868</v>
      </c>
      <c r="F142" s="784">
        <v>84</v>
      </c>
      <c r="G142" s="809">
        <f t="shared" si="8"/>
        <v>11.923349893541518</v>
      </c>
      <c r="H142" s="434"/>
      <c r="I142" s="784">
        <v>524.5</v>
      </c>
      <c r="J142" s="809">
        <f t="shared" si="9"/>
        <v>74.449964513839603</v>
      </c>
      <c r="K142" s="434"/>
      <c r="L142" s="784">
        <v>32</v>
      </c>
      <c r="M142" s="809">
        <f t="shared" si="10"/>
        <v>4.5422285308729595</v>
      </c>
      <c r="O142" s="809">
        <v>64</v>
      </c>
      <c r="P142" s="436">
        <f t="shared" si="11"/>
        <v>9.084457061745919</v>
      </c>
      <c r="R142" s="101"/>
    </row>
    <row r="143" spans="1:18" ht="12" customHeight="1">
      <c r="A143" s="434" t="s">
        <v>456</v>
      </c>
      <c r="C143" s="784">
        <f>IF(A143&lt;&gt;0,F143+I143+L143+O143,"")</f>
        <v>480</v>
      </c>
      <c r="D143" s="809">
        <f>IF(A143&lt;&gt;0,C143/$C$11*100,"")</f>
        <v>0.38068204407028783</v>
      </c>
      <c r="F143" s="784">
        <v>20</v>
      </c>
      <c r="G143" s="809">
        <f t="shared" si="8"/>
        <v>4.1666666666666661</v>
      </c>
      <c r="H143" s="434"/>
      <c r="I143" s="784">
        <v>395</v>
      </c>
      <c r="J143" s="809">
        <f t="shared" si="9"/>
        <v>82.291666666666657</v>
      </c>
      <c r="K143" s="434"/>
      <c r="L143" s="784">
        <v>30</v>
      </c>
      <c r="M143" s="809">
        <f t="shared" si="10"/>
        <v>6.25</v>
      </c>
      <c r="N143" s="434"/>
      <c r="O143" s="809">
        <v>35</v>
      </c>
      <c r="P143" s="436">
        <f t="shared" si="11"/>
        <v>7.291666666666667</v>
      </c>
      <c r="R143" s="101"/>
    </row>
    <row r="144" spans="1:18" ht="12" customHeight="1">
      <c r="A144" s="434" t="s">
        <v>457</v>
      </c>
      <c r="C144" s="784">
        <f>IF(A144&lt;&gt;0,F144+I144+L144+O144,"")</f>
        <v>50</v>
      </c>
      <c r="D144" s="809">
        <f>IF(A144&lt;&gt;0,C144/$C$11*100,"")</f>
        <v>3.965437959065498E-2</v>
      </c>
      <c r="F144" s="784">
        <v>10</v>
      </c>
      <c r="G144" s="809">
        <f t="shared" si="8"/>
        <v>20</v>
      </c>
      <c r="H144" s="434"/>
      <c r="I144" s="784">
        <v>10</v>
      </c>
      <c r="J144" s="809">
        <f t="shared" si="9"/>
        <v>20</v>
      </c>
      <c r="K144" s="434"/>
      <c r="L144" s="784">
        <v>0</v>
      </c>
      <c r="M144" s="809">
        <f t="shared" si="10"/>
        <v>0</v>
      </c>
      <c r="O144" s="809">
        <v>30</v>
      </c>
      <c r="P144" s="436">
        <f t="shared" si="11"/>
        <v>60</v>
      </c>
      <c r="R144" s="101"/>
    </row>
    <row r="145" spans="1:18" ht="12" customHeight="1">
      <c r="A145" s="42" t="s">
        <v>458</v>
      </c>
      <c r="C145" s="784">
        <f t="shared" ref="C145:C185" si="13">IF(A145&lt;&gt;0,F145+I145+L145+O145,"")</f>
        <v>120</v>
      </c>
      <c r="D145" s="809">
        <f t="shared" si="12"/>
        <v>9.5170511017571957E-2</v>
      </c>
      <c r="F145" s="784">
        <v>0</v>
      </c>
      <c r="G145" s="809">
        <f t="shared" si="8"/>
        <v>0</v>
      </c>
      <c r="H145" s="434"/>
      <c r="I145" s="784">
        <v>90</v>
      </c>
      <c r="J145" s="809">
        <f t="shared" si="9"/>
        <v>75</v>
      </c>
      <c r="K145" s="434"/>
      <c r="L145" s="784">
        <v>0</v>
      </c>
      <c r="M145" s="809">
        <f t="shared" si="10"/>
        <v>0</v>
      </c>
      <c r="O145" s="809">
        <v>30</v>
      </c>
      <c r="P145" s="436">
        <f t="shared" si="11"/>
        <v>25</v>
      </c>
      <c r="R145" s="101"/>
    </row>
    <row r="146" spans="1:18" ht="8.1" customHeight="1">
      <c r="C146" s="784" t="str">
        <f t="shared" si="13"/>
        <v/>
      </c>
      <c r="D146" s="809" t="str">
        <f t="shared" si="12"/>
        <v/>
      </c>
      <c r="G146" s="809" t="str">
        <f t="shared" si="8"/>
        <v/>
      </c>
      <c r="J146" s="809" t="str">
        <f t="shared" si="9"/>
        <v/>
      </c>
      <c r="M146" s="809" t="str">
        <f t="shared" si="10"/>
        <v/>
      </c>
      <c r="P146" s="436" t="str">
        <f t="shared" si="11"/>
        <v/>
      </c>
      <c r="R146" s="101"/>
    </row>
    <row r="147" spans="1:18" ht="12" customHeight="1">
      <c r="A147" s="434" t="s">
        <v>459</v>
      </c>
      <c r="C147" s="784">
        <f t="shared" si="13"/>
        <v>5464.7000000000007</v>
      </c>
      <c r="D147" s="809">
        <f t="shared" si="12"/>
        <v>4.3339857629810465</v>
      </c>
      <c r="F147" s="809">
        <f>SUM(F148:F181)</f>
        <v>665.03000000000009</v>
      </c>
      <c r="G147" s="809">
        <f t="shared" si="8"/>
        <v>12.169561000603876</v>
      </c>
      <c r="I147" s="809">
        <f>SUM(I148:I181)</f>
        <v>3168.02</v>
      </c>
      <c r="J147" s="809">
        <f t="shared" si="9"/>
        <v>57.972441305103658</v>
      </c>
      <c r="L147" s="809">
        <f>SUM(L148:L181)</f>
        <v>495</v>
      </c>
      <c r="M147" s="809">
        <f t="shared" si="10"/>
        <v>9.0581367687155723</v>
      </c>
      <c r="O147" s="809">
        <f>SUM(O148:O181)</f>
        <v>1136.6500000000001</v>
      </c>
      <c r="P147" s="436">
        <f t="shared" si="11"/>
        <v>20.799860925576883</v>
      </c>
      <c r="R147" s="101"/>
    </row>
    <row r="148" spans="1:18" ht="12" customHeight="1">
      <c r="A148" s="434" t="s">
        <v>460</v>
      </c>
      <c r="C148" s="784">
        <f t="shared" si="13"/>
        <v>416</v>
      </c>
      <c r="D148" s="809">
        <f t="shared" si="12"/>
        <v>0.32992443819424944</v>
      </c>
      <c r="F148" s="784">
        <v>21</v>
      </c>
      <c r="G148" s="809">
        <f t="shared" si="8"/>
        <v>5.0480769230769234</v>
      </c>
      <c r="H148" s="434"/>
      <c r="I148" s="784">
        <v>253</v>
      </c>
      <c r="J148" s="809">
        <f t="shared" si="9"/>
        <v>60.817307692307686</v>
      </c>
      <c r="K148" s="434"/>
      <c r="L148" s="784">
        <v>100</v>
      </c>
      <c r="M148" s="809">
        <f t="shared" si="10"/>
        <v>24.03846153846154</v>
      </c>
      <c r="O148" s="809">
        <v>42</v>
      </c>
      <c r="P148" s="436">
        <f t="shared" si="11"/>
        <v>10.096153846153847</v>
      </c>
      <c r="R148" s="101"/>
    </row>
    <row r="149" spans="1:18" ht="12" customHeight="1">
      <c r="A149" s="434" t="s">
        <v>461</v>
      </c>
      <c r="C149" s="784">
        <f t="shared" si="13"/>
        <v>589.75</v>
      </c>
      <c r="D149" s="809">
        <f t="shared" si="12"/>
        <v>0.46772340727177553</v>
      </c>
      <c r="F149" s="784">
        <v>100.75</v>
      </c>
      <c r="G149" s="809">
        <f t="shared" si="8"/>
        <v>17.08350996184824</v>
      </c>
      <c r="H149" s="434"/>
      <c r="I149" s="784">
        <v>410</v>
      </c>
      <c r="J149" s="809">
        <f t="shared" si="9"/>
        <v>69.520983467571</v>
      </c>
      <c r="K149" s="434"/>
      <c r="L149" s="784">
        <v>5</v>
      </c>
      <c r="M149" s="809">
        <f t="shared" si="10"/>
        <v>0.84781687155574392</v>
      </c>
      <c r="O149" s="809">
        <v>74</v>
      </c>
      <c r="P149" s="436">
        <f t="shared" si="11"/>
        <v>12.54768969902501</v>
      </c>
      <c r="R149" s="101"/>
    </row>
    <row r="150" spans="1:18" ht="12" customHeight="1">
      <c r="A150" s="434" t="s">
        <v>462</v>
      </c>
      <c r="C150" s="784">
        <f t="shared" si="13"/>
        <v>190</v>
      </c>
      <c r="D150" s="809">
        <f t="shared" si="12"/>
        <v>0.15068664244448893</v>
      </c>
      <c r="F150" s="784">
        <v>0</v>
      </c>
      <c r="G150" s="809">
        <f t="shared" si="8"/>
        <v>0</v>
      </c>
      <c r="H150" s="434"/>
      <c r="I150" s="784">
        <v>190</v>
      </c>
      <c r="J150" s="809">
        <f t="shared" si="9"/>
        <v>100</v>
      </c>
      <c r="K150" s="434"/>
      <c r="L150" s="784">
        <v>0</v>
      </c>
      <c r="M150" s="809">
        <f t="shared" si="10"/>
        <v>0</v>
      </c>
      <c r="N150" s="434"/>
      <c r="O150" s="809">
        <v>0</v>
      </c>
      <c r="P150" s="436">
        <f t="shared" si="11"/>
        <v>0</v>
      </c>
      <c r="R150" s="101"/>
    </row>
    <row r="151" spans="1:18" ht="12" customHeight="1">
      <c r="A151" s="434" t="s">
        <v>463</v>
      </c>
      <c r="C151" s="784">
        <f t="shared" si="13"/>
        <v>373.1</v>
      </c>
      <c r="D151" s="809">
        <f t="shared" si="12"/>
        <v>0.29590098050546754</v>
      </c>
      <c r="F151" s="784">
        <v>20.3</v>
      </c>
      <c r="G151" s="809">
        <f t="shared" si="8"/>
        <v>5.4409005628517821</v>
      </c>
      <c r="H151" s="434"/>
      <c r="I151" s="784">
        <v>265</v>
      </c>
      <c r="J151" s="809">
        <f t="shared" si="9"/>
        <v>71.026534441168593</v>
      </c>
      <c r="K151" s="434"/>
      <c r="L151" s="784">
        <v>0</v>
      </c>
      <c r="M151" s="809">
        <f t="shared" si="10"/>
        <v>0</v>
      </c>
      <c r="N151" s="434"/>
      <c r="O151" s="809">
        <v>87.8</v>
      </c>
      <c r="P151" s="436">
        <f t="shared" si="11"/>
        <v>23.532564995979627</v>
      </c>
      <c r="R151" s="101"/>
    </row>
    <row r="152" spans="1:18" ht="12" customHeight="1">
      <c r="A152" s="434" t="s">
        <v>464</v>
      </c>
      <c r="C152" s="784">
        <f t="shared" si="13"/>
        <v>140</v>
      </c>
      <c r="D152" s="809">
        <f t="shared" si="12"/>
        <v>0.11103226285383394</v>
      </c>
      <c r="F152" s="784">
        <v>7.5</v>
      </c>
      <c r="G152" s="809">
        <f t="shared" si="8"/>
        <v>5.3571428571428568</v>
      </c>
      <c r="H152" s="434"/>
      <c r="I152" s="784">
        <v>92.5</v>
      </c>
      <c r="J152" s="809">
        <f t="shared" si="9"/>
        <v>66.071428571428569</v>
      </c>
      <c r="K152" s="434"/>
      <c r="L152" s="784">
        <v>0</v>
      </c>
      <c r="M152" s="809">
        <f t="shared" si="10"/>
        <v>0</v>
      </c>
      <c r="O152" s="809">
        <v>40</v>
      </c>
      <c r="P152" s="436">
        <f t="shared" si="11"/>
        <v>28.571428571428569</v>
      </c>
      <c r="R152" s="101"/>
    </row>
    <row r="153" spans="1:18" ht="12" customHeight="1">
      <c r="A153" s="434" t="s">
        <v>465</v>
      </c>
      <c r="C153" s="784">
        <f t="shared" si="13"/>
        <v>85</v>
      </c>
      <c r="D153" s="809">
        <f t="shared" si="12"/>
        <v>6.7412445304113472E-2</v>
      </c>
      <c r="F153" s="784">
        <v>25</v>
      </c>
      <c r="G153" s="809">
        <f t="shared" si="8"/>
        <v>29.411764705882355</v>
      </c>
      <c r="H153" s="434"/>
      <c r="I153" s="784">
        <v>40</v>
      </c>
      <c r="J153" s="809">
        <f t="shared" si="9"/>
        <v>47.058823529411761</v>
      </c>
      <c r="K153" s="434"/>
      <c r="L153" s="784">
        <v>0</v>
      </c>
      <c r="M153" s="809">
        <f t="shared" si="10"/>
        <v>0</v>
      </c>
      <c r="O153" s="809">
        <v>20</v>
      </c>
      <c r="P153" s="436">
        <f t="shared" si="11"/>
        <v>23.52941176470588</v>
      </c>
      <c r="R153" s="101"/>
    </row>
    <row r="154" spans="1:18" ht="12" customHeight="1">
      <c r="A154" s="434" t="s">
        <v>466</v>
      </c>
      <c r="C154" s="784">
        <f t="shared" si="13"/>
        <v>448.15</v>
      </c>
      <c r="D154" s="809">
        <f t="shared" si="12"/>
        <v>0.35542220427104054</v>
      </c>
      <c r="F154" s="784">
        <v>112.78</v>
      </c>
      <c r="G154" s="809">
        <f t="shared" si="8"/>
        <v>25.165681133549032</v>
      </c>
      <c r="H154" s="434"/>
      <c r="I154" s="784">
        <v>269.02</v>
      </c>
      <c r="J154" s="809">
        <f t="shared" si="9"/>
        <v>60.029008144594442</v>
      </c>
      <c r="K154" s="434"/>
      <c r="L154" s="784">
        <v>36</v>
      </c>
      <c r="M154" s="809">
        <f t="shared" si="10"/>
        <v>8.0330246569229065</v>
      </c>
      <c r="O154" s="809">
        <v>30.35</v>
      </c>
      <c r="P154" s="436">
        <f t="shared" si="11"/>
        <v>6.7722860649336161</v>
      </c>
      <c r="R154" s="101"/>
    </row>
    <row r="155" spans="1:18" ht="12" customHeight="1">
      <c r="A155" s="434" t="s">
        <v>467</v>
      </c>
      <c r="C155" s="784">
        <f t="shared" si="13"/>
        <v>34</v>
      </c>
      <c r="D155" s="809">
        <f t="shared" si="12"/>
        <v>2.6964978121645389E-2</v>
      </c>
      <c r="F155" s="784">
        <v>0</v>
      </c>
      <c r="G155" s="809">
        <f t="shared" si="8"/>
        <v>0</v>
      </c>
      <c r="H155" s="434"/>
      <c r="I155" s="784">
        <v>19</v>
      </c>
      <c r="J155" s="809">
        <f t="shared" si="9"/>
        <v>55.882352941176471</v>
      </c>
      <c r="K155" s="434"/>
      <c r="L155" s="784">
        <v>9</v>
      </c>
      <c r="M155" s="809">
        <f t="shared" si="10"/>
        <v>26.47058823529412</v>
      </c>
      <c r="N155" s="434"/>
      <c r="O155" s="809">
        <v>6</v>
      </c>
      <c r="P155" s="436">
        <f t="shared" si="11"/>
        <v>17.647058823529413</v>
      </c>
      <c r="R155" s="101"/>
    </row>
    <row r="156" spans="1:18" ht="12" customHeight="1">
      <c r="A156" s="434" t="s">
        <v>468</v>
      </c>
      <c r="C156" s="784">
        <f t="shared" si="13"/>
        <v>160</v>
      </c>
      <c r="D156" s="809">
        <f t="shared" si="12"/>
        <v>0.12689401469009592</v>
      </c>
      <c r="F156" s="784">
        <v>10</v>
      </c>
      <c r="G156" s="809">
        <f t="shared" si="8"/>
        <v>6.25</v>
      </c>
      <c r="H156" s="434"/>
      <c r="I156" s="784">
        <v>130</v>
      </c>
      <c r="J156" s="809">
        <f t="shared" si="9"/>
        <v>81.25</v>
      </c>
      <c r="K156" s="434"/>
      <c r="L156" s="784">
        <v>0</v>
      </c>
      <c r="M156" s="809">
        <f t="shared" si="10"/>
        <v>0</v>
      </c>
      <c r="O156" s="809">
        <v>20</v>
      </c>
      <c r="P156" s="436">
        <f t="shared" si="11"/>
        <v>12.5</v>
      </c>
      <c r="R156" s="101"/>
    </row>
    <row r="157" spans="1:18" ht="12" customHeight="1">
      <c r="A157" s="434" t="s">
        <v>469</v>
      </c>
      <c r="C157" s="784">
        <f t="shared" si="13"/>
        <v>103</v>
      </c>
      <c r="D157" s="809">
        <f t="shared" si="12"/>
        <v>8.1688021956749263E-2</v>
      </c>
      <c r="F157" s="784">
        <v>0</v>
      </c>
      <c r="G157" s="809">
        <f t="shared" si="8"/>
        <v>0</v>
      </c>
      <c r="H157" s="434"/>
      <c r="I157" s="784">
        <v>30</v>
      </c>
      <c r="J157" s="809">
        <f t="shared" si="9"/>
        <v>29.126213592233007</v>
      </c>
      <c r="K157" s="434"/>
      <c r="L157" s="784">
        <v>25</v>
      </c>
      <c r="M157" s="809">
        <f t="shared" si="10"/>
        <v>24.271844660194176</v>
      </c>
      <c r="O157" s="809">
        <v>48</v>
      </c>
      <c r="P157" s="436">
        <f t="shared" si="11"/>
        <v>46.601941747572816</v>
      </c>
      <c r="R157" s="101"/>
    </row>
    <row r="158" spans="1:18" ht="12" customHeight="1">
      <c r="A158" s="434" t="s">
        <v>470</v>
      </c>
      <c r="C158" s="784">
        <f t="shared" si="13"/>
        <v>135</v>
      </c>
      <c r="D158" s="809">
        <f t="shared" si="12"/>
        <v>0.10706682489476846</v>
      </c>
      <c r="F158" s="784">
        <v>30</v>
      </c>
      <c r="G158" s="809">
        <f t="shared" si="8"/>
        <v>22.222222222222221</v>
      </c>
      <c r="H158" s="434"/>
      <c r="I158" s="784">
        <v>20</v>
      </c>
      <c r="J158" s="809">
        <f t="shared" si="9"/>
        <v>14.814814814814813</v>
      </c>
      <c r="K158" s="434"/>
      <c r="L158" s="784">
        <v>0</v>
      </c>
      <c r="M158" s="809">
        <f t="shared" si="10"/>
        <v>0</v>
      </c>
      <c r="O158" s="809">
        <v>85</v>
      </c>
      <c r="P158" s="436">
        <f t="shared" si="11"/>
        <v>62.962962962962962</v>
      </c>
      <c r="R158" s="101"/>
    </row>
    <row r="159" spans="1:18" ht="12" customHeight="1">
      <c r="A159" s="434" t="s">
        <v>471</v>
      </c>
      <c r="C159" s="784">
        <f t="shared" si="13"/>
        <v>691.8</v>
      </c>
      <c r="D159" s="809">
        <f t="shared" si="12"/>
        <v>0.54865799601630227</v>
      </c>
      <c r="F159" s="784">
        <v>177.3</v>
      </c>
      <c r="G159" s="809">
        <f t="shared" si="8"/>
        <v>25.628794449262799</v>
      </c>
      <c r="H159" s="434"/>
      <c r="I159" s="784">
        <v>231</v>
      </c>
      <c r="J159" s="809">
        <f t="shared" si="9"/>
        <v>33.39115351257589</v>
      </c>
      <c r="K159" s="434"/>
      <c r="L159" s="784">
        <v>172</v>
      </c>
      <c r="M159" s="809">
        <f t="shared" si="10"/>
        <v>24.862677074298929</v>
      </c>
      <c r="O159" s="809">
        <v>111.5</v>
      </c>
      <c r="P159" s="436">
        <f t="shared" si="11"/>
        <v>16.117374963862389</v>
      </c>
      <c r="R159" s="101"/>
    </row>
    <row r="160" spans="1:18" ht="12" customHeight="1">
      <c r="A160" s="434" t="s">
        <v>472</v>
      </c>
      <c r="C160" s="784">
        <f t="shared" si="13"/>
        <v>168</v>
      </c>
      <c r="D160" s="809">
        <f t="shared" si="12"/>
        <v>0.13323871542460075</v>
      </c>
      <c r="F160" s="784">
        <v>5</v>
      </c>
      <c r="G160" s="809">
        <f t="shared" si="8"/>
        <v>2.9761904761904758</v>
      </c>
      <c r="H160" s="434"/>
      <c r="I160" s="784">
        <v>70</v>
      </c>
      <c r="J160" s="809">
        <f t="shared" si="9"/>
        <v>41.666666666666671</v>
      </c>
      <c r="K160" s="434"/>
      <c r="L160" s="784">
        <v>53</v>
      </c>
      <c r="M160" s="809">
        <f t="shared" si="10"/>
        <v>31.547619047619047</v>
      </c>
      <c r="O160" s="809">
        <v>40</v>
      </c>
      <c r="P160" s="436">
        <f t="shared" si="11"/>
        <v>23.809523809523807</v>
      </c>
      <c r="R160" s="101"/>
    </row>
    <row r="161" spans="1:18" ht="12" customHeight="1">
      <c r="A161" s="434" t="s">
        <v>473</v>
      </c>
      <c r="C161" s="784">
        <f t="shared" si="13"/>
        <v>40</v>
      </c>
      <c r="D161" s="809">
        <f t="shared" si="12"/>
        <v>3.1723503672523981E-2</v>
      </c>
      <c r="F161" s="784">
        <v>15</v>
      </c>
      <c r="G161" s="809">
        <f t="shared" si="8"/>
        <v>37.5</v>
      </c>
      <c r="H161" s="434"/>
      <c r="I161" s="784">
        <v>0</v>
      </c>
      <c r="J161" s="809">
        <f t="shared" si="9"/>
        <v>0</v>
      </c>
      <c r="K161" s="434"/>
      <c r="L161" s="784">
        <v>0</v>
      </c>
      <c r="M161" s="809">
        <f t="shared" si="10"/>
        <v>0</v>
      </c>
      <c r="O161" s="809">
        <v>25</v>
      </c>
      <c r="P161" s="436">
        <f t="shared" si="11"/>
        <v>62.5</v>
      </c>
      <c r="R161" s="101"/>
    </row>
    <row r="162" spans="1:18" ht="12" customHeight="1">
      <c r="A162" s="434" t="s">
        <v>474</v>
      </c>
      <c r="C162" s="784">
        <f t="shared" si="13"/>
        <v>240</v>
      </c>
      <c r="D162" s="809">
        <f t="shared" si="12"/>
        <v>0.19034102203514391</v>
      </c>
      <c r="F162" s="784">
        <v>10</v>
      </c>
      <c r="G162" s="809">
        <f t="shared" si="8"/>
        <v>4.1666666666666661</v>
      </c>
      <c r="H162" s="434"/>
      <c r="I162" s="784">
        <v>120</v>
      </c>
      <c r="J162" s="809">
        <f t="shared" si="9"/>
        <v>50</v>
      </c>
      <c r="K162" s="434"/>
      <c r="L162" s="784">
        <v>0</v>
      </c>
      <c r="M162" s="809">
        <f t="shared" si="10"/>
        <v>0</v>
      </c>
      <c r="O162" s="809">
        <v>110</v>
      </c>
      <c r="P162" s="436">
        <f t="shared" si="11"/>
        <v>45.833333333333329</v>
      </c>
      <c r="R162" s="101"/>
    </row>
    <row r="163" spans="1:18" ht="12" hidden="1" customHeight="1">
      <c r="A163" s="434" t="s">
        <v>475</v>
      </c>
      <c r="C163" s="784">
        <f t="shared" si="13"/>
        <v>0</v>
      </c>
      <c r="D163" s="809">
        <f t="shared" si="12"/>
        <v>0</v>
      </c>
      <c r="F163" s="434"/>
      <c r="G163" s="809" t="e">
        <f t="shared" si="8"/>
        <v>#DIV/0!</v>
      </c>
      <c r="H163" s="434"/>
      <c r="I163" s="434"/>
      <c r="J163" s="809" t="e">
        <f t="shared" si="9"/>
        <v>#DIV/0!</v>
      </c>
      <c r="K163" s="434"/>
      <c r="L163" s="434"/>
      <c r="M163" s="809" t="e">
        <f t="shared" si="10"/>
        <v>#DIV/0!</v>
      </c>
      <c r="N163" s="434"/>
      <c r="O163" s="434"/>
      <c r="P163" s="436" t="e">
        <f t="shared" si="11"/>
        <v>#DIV/0!</v>
      </c>
      <c r="R163" s="101"/>
    </row>
    <row r="164" spans="1:18" ht="12" customHeight="1">
      <c r="A164" s="434" t="s">
        <v>476</v>
      </c>
      <c r="C164" s="784">
        <f t="shared" si="13"/>
        <v>20</v>
      </c>
      <c r="D164" s="809">
        <f t="shared" si="12"/>
        <v>1.5861751836261991E-2</v>
      </c>
      <c r="F164" s="784">
        <v>0</v>
      </c>
      <c r="G164" s="809">
        <f t="shared" si="8"/>
        <v>0</v>
      </c>
      <c r="H164" s="434"/>
      <c r="I164" s="784">
        <v>0</v>
      </c>
      <c r="J164" s="809">
        <f t="shared" si="9"/>
        <v>0</v>
      </c>
      <c r="K164" s="434"/>
      <c r="L164" s="784">
        <v>0</v>
      </c>
      <c r="M164" s="809">
        <f t="shared" si="10"/>
        <v>0</v>
      </c>
      <c r="O164" s="809">
        <v>20</v>
      </c>
      <c r="P164" s="436">
        <f t="shared" si="11"/>
        <v>100</v>
      </c>
      <c r="R164" s="101"/>
    </row>
    <row r="165" spans="1:18" ht="12" customHeight="1">
      <c r="A165" s="434" t="s">
        <v>477</v>
      </c>
      <c r="C165" s="784">
        <f t="shared" si="13"/>
        <v>275.5</v>
      </c>
      <c r="D165" s="809">
        <f t="shared" si="12"/>
        <v>0.21849563154450893</v>
      </c>
      <c r="F165" s="784">
        <v>25</v>
      </c>
      <c r="G165" s="809">
        <f t="shared" si="8"/>
        <v>9.0744101633393832</v>
      </c>
      <c r="H165" s="434"/>
      <c r="I165" s="784">
        <v>203.5</v>
      </c>
      <c r="J165" s="809">
        <f t="shared" si="9"/>
        <v>73.865698729582576</v>
      </c>
      <c r="K165" s="434"/>
      <c r="L165" s="784">
        <v>0</v>
      </c>
      <c r="M165" s="809">
        <f t="shared" si="10"/>
        <v>0</v>
      </c>
      <c r="O165" s="809">
        <v>47</v>
      </c>
      <c r="P165" s="436">
        <f t="shared" si="11"/>
        <v>17.059891107078041</v>
      </c>
      <c r="R165" s="101"/>
    </row>
    <row r="166" spans="1:18" ht="12" customHeight="1">
      <c r="A166" s="434" t="s">
        <v>478</v>
      </c>
      <c r="C166" s="784">
        <f t="shared" si="13"/>
        <v>75</v>
      </c>
      <c r="D166" s="809">
        <f t="shared" si="12"/>
        <v>5.9481569385982466E-2</v>
      </c>
      <c r="F166" s="784">
        <v>15</v>
      </c>
      <c r="G166" s="809">
        <f t="shared" si="8"/>
        <v>20</v>
      </c>
      <c r="H166" s="434"/>
      <c r="I166" s="784">
        <v>40</v>
      </c>
      <c r="J166" s="809">
        <f t="shared" si="9"/>
        <v>53.333333333333336</v>
      </c>
      <c r="K166" s="434"/>
      <c r="L166" s="784">
        <v>0</v>
      </c>
      <c r="M166" s="809">
        <f t="shared" si="10"/>
        <v>0</v>
      </c>
      <c r="O166" s="809">
        <v>20</v>
      </c>
      <c r="P166" s="436">
        <f t="shared" si="11"/>
        <v>26.666666666666668</v>
      </c>
      <c r="R166" s="101"/>
    </row>
    <row r="167" spans="1:18" ht="12" customHeight="1">
      <c r="A167" s="42" t="s">
        <v>479</v>
      </c>
      <c r="C167" s="784">
        <f t="shared" si="13"/>
        <v>60</v>
      </c>
      <c r="D167" s="809">
        <f t="shared" si="12"/>
        <v>4.7585255508785979E-2</v>
      </c>
      <c r="F167" s="784">
        <v>0</v>
      </c>
      <c r="G167" s="809">
        <f t="shared" si="8"/>
        <v>0</v>
      </c>
      <c r="H167" s="434"/>
      <c r="I167" s="784">
        <v>20</v>
      </c>
      <c r="J167" s="809">
        <f t="shared" si="9"/>
        <v>33.333333333333329</v>
      </c>
      <c r="K167" s="434"/>
      <c r="L167" s="784">
        <v>0</v>
      </c>
      <c r="M167" s="809">
        <f t="shared" si="10"/>
        <v>0</v>
      </c>
      <c r="N167" s="434"/>
      <c r="O167" s="809">
        <v>40</v>
      </c>
      <c r="P167" s="436">
        <f t="shared" si="11"/>
        <v>66.666666666666657</v>
      </c>
      <c r="R167" s="101"/>
    </row>
    <row r="168" spans="1:18" ht="12" customHeight="1">
      <c r="A168" s="434" t="s">
        <v>480</v>
      </c>
      <c r="C168" s="784">
        <f t="shared" si="13"/>
        <v>100</v>
      </c>
      <c r="D168" s="809">
        <f t="shared" si="12"/>
        <v>7.930875918130996E-2</v>
      </c>
      <c r="F168" s="784">
        <v>0</v>
      </c>
      <c r="G168" s="809">
        <f t="shared" si="8"/>
        <v>0</v>
      </c>
      <c r="H168" s="434"/>
      <c r="I168" s="784">
        <v>90</v>
      </c>
      <c r="J168" s="809">
        <f t="shared" si="9"/>
        <v>90</v>
      </c>
      <c r="K168" s="434"/>
      <c r="L168" s="784">
        <v>0</v>
      </c>
      <c r="M168" s="809">
        <f t="shared" si="10"/>
        <v>0</v>
      </c>
      <c r="O168" s="809">
        <v>10</v>
      </c>
      <c r="P168" s="436">
        <f t="shared" si="11"/>
        <v>10</v>
      </c>
      <c r="R168" s="101"/>
    </row>
    <row r="169" spans="1:18" ht="12" customHeight="1">
      <c r="A169" s="434" t="s">
        <v>481</v>
      </c>
      <c r="C169" s="784">
        <f t="shared" si="13"/>
        <v>145</v>
      </c>
      <c r="D169" s="809">
        <f t="shared" si="12"/>
        <v>0.11499770081289944</v>
      </c>
      <c r="F169" s="784">
        <v>0</v>
      </c>
      <c r="G169" s="809">
        <f t="shared" si="8"/>
        <v>0</v>
      </c>
      <c r="H169" s="434"/>
      <c r="I169" s="784">
        <v>70</v>
      </c>
      <c r="J169" s="809">
        <f t="shared" si="9"/>
        <v>48.275862068965516</v>
      </c>
      <c r="K169" s="434"/>
      <c r="L169" s="784">
        <v>55</v>
      </c>
      <c r="M169" s="809">
        <f t="shared" si="10"/>
        <v>37.931034482758619</v>
      </c>
      <c r="O169" s="809">
        <v>20</v>
      </c>
      <c r="P169" s="436">
        <f t="shared" si="11"/>
        <v>13.793103448275861</v>
      </c>
      <c r="R169" s="101"/>
    </row>
    <row r="170" spans="1:18" ht="12" customHeight="1">
      <c r="A170" s="42" t="s">
        <v>482</v>
      </c>
      <c r="C170" s="784">
        <f t="shared" si="13"/>
        <v>115</v>
      </c>
      <c r="D170" s="809">
        <f t="shared" si="12"/>
        <v>9.1205073058506447E-2</v>
      </c>
      <c r="F170" s="784">
        <v>8</v>
      </c>
      <c r="G170" s="809">
        <f t="shared" si="8"/>
        <v>6.9565217391304346</v>
      </c>
      <c r="H170" s="434"/>
      <c r="I170" s="784">
        <v>87</v>
      </c>
      <c r="J170" s="809">
        <f t="shared" si="9"/>
        <v>75.65217391304347</v>
      </c>
      <c r="K170" s="434"/>
      <c r="L170" s="784">
        <v>0</v>
      </c>
      <c r="M170" s="809">
        <f t="shared" si="10"/>
        <v>0</v>
      </c>
      <c r="O170" s="809">
        <v>20</v>
      </c>
      <c r="P170" s="436">
        <f t="shared" si="11"/>
        <v>17.391304347826086</v>
      </c>
      <c r="R170" s="101"/>
    </row>
    <row r="171" spans="1:18" ht="12" customHeight="1">
      <c r="A171" s="42" t="s">
        <v>483</v>
      </c>
      <c r="C171" s="784">
        <f t="shared" si="13"/>
        <v>55</v>
      </c>
      <c r="D171" s="809">
        <f t="shared" si="12"/>
        <v>4.3619817549720483E-2</v>
      </c>
      <c r="F171" s="784">
        <v>0</v>
      </c>
      <c r="G171" s="809">
        <f t="shared" si="8"/>
        <v>0</v>
      </c>
      <c r="H171" s="434"/>
      <c r="I171" s="784">
        <v>35</v>
      </c>
      <c r="J171" s="809">
        <f t="shared" si="9"/>
        <v>63.636363636363633</v>
      </c>
      <c r="K171" s="434"/>
      <c r="L171" s="784">
        <v>0</v>
      </c>
      <c r="M171" s="809">
        <f t="shared" si="10"/>
        <v>0</v>
      </c>
      <c r="O171" s="809">
        <v>20</v>
      </c>
      <c r="P171" s="436">
        <f t="shared" si="11"/>
        <v>36.363636363636367</v>
      </c>
      <c r="R171" s="101"/>
    </row>
    <row r="172" spans="1:18" ht="12" customHeight="1">
      <c r="A172" s="42" t="s">
        <v>484</v>
      </c>
      <c r="C172" s="784">
        <f t="shared" si="13"/>
        <v>60</v>
      </c>
      <c r="D172" s="809">
        <f t="shared" si="12"/>
        <v>4.7585255508785979E-2</v>
      </c>
      <c r="F172" s="784">
        <v>0</v>
      </c>
      <c r="G172" s="809">
        <f t="shared" si="8"/>
        <v>0</v>
      </c>
      <c r="H172" s="434"/>
      <c r="I172" s="784">
        <v>40</v>
      </c>
      <c r="J172" s="809">
        <f t="shared" si="9"/>
        <v>66.666666666666657</v>
      </c>
      <c r="K172" s="434"/>
      <c r="L172" s="784">
        <v>0</v>
      </c>
      <c r="M172" s="809">
        <f t="shared" si="10"/>
        <v>0</v>
      </c>
      <c r="N172" s="434"/>
      <c r="O172" s="809">
        <v>20</v>
      </c>
      <c r="P172" s="436">
        <f t="shared" si="11"/>
        <v>33.333333333333329</v>
      </c>
      <c r="R172" s="101"/>
    </row>
    <row r="173" spans="1:18" ht="12" customHeight="1">
      <c r="A173" s="42" t="s">
        <v>485</v>
      </c>
      <c r="C173" s="784">
        <f t="shared" si="13"/>
        <v>40</v>
      </c>
      <c r="D173" s="809">
        <f t="shared" si="12"/>
        <v>3.1723503672523981E-2</v>
      </c>
      <c r="F173" s="784">
        <v>0</v>
      </c>
      <c r="G173" s="809">
        <f t="shared" si="8"/>
        <v>0</v>
      </c>
      <c r="H173" s="434"/>
      <c r="I173" s="784">
        <v>30</v>
      </c>
      <c r="J173" s="809">
        <f t="shared" si="9"/>
        <v>75</v>
      </c>
      <c r="K173" s="434"/>
      <c r="L173" s="784">
        <v>0</v>
      </c>
      <c r="M173" s="809">
        <f t="shared" si="10"/>
        <v>0</v>
      </c>
      <c r="O173" s="809">
        <v>10</v>
      </c>
      <c r="P173" s="436">
        <f t="shared" si="11"/>
        <v>25</v>
      </c>
      <c r="R173" s="101"/>
    </row>
    <row r="174" spans="1:18" ht="12" customHeight="1">
      <c r="A174" s="434" t="s">
        <v>486</v>
      </c>
      <c r="C174" s="784">
        <f t="shared" si="13"/>
        <v>40</v>
      </c>
      <c r="D174" s="809">
        <f t="shared" si="12"/>
        <v>3.1723503672523981E-2</v>
      </c>
      <c r="F174" s="784">
        <v>0</v>
      </c>
      <c r="G174" s="809">
        <f t="shared" ref="G174:G194" si="14">IF($A174&lt;&gt;0,F174/$C174*100,"")</f>
        <v>0</v>
      </c>
      <c r="H174" s="434"/>
      <c r="I174" s="784">
        <v>20</v>
      </c>
      <c r="J174" s="809">
        <f t="shared" ref="J174:J194" si="15">IF($A174&lt;&gt;0,I174/$C174*100,"")</f>
        <v>50</v>
      </c>
      <c r="K174" s="434"/>
      <c r="L174" s="784">
        <v>0</v>
      </c>
      <c r="M174" s="809">
        <f t="shared" ref="M174:M194" si="16">IF($A174&lt;&gt;0,L174/$C174*100,"")</f>
        <v>0</v>
      </c>
      <c r="O174" s="809">
        <v>20</v>
      </c>
      <c r="P174" s="436">
        <f t="shared" ref="P174:P194" si="17">IF($A174&lt;&gt;0,O174/$C174*100,"")</f>
        <v>50</v>
      </c>
      <c r="R174" s="101"/>
    </row>
    <row r="175" spans="1:18" ht="12" customHeight="1">
      <c r="A175" s="42" t="s">
        <v>487</v>
      </c>
      <c r="C175" s="784">
        <f t="shared" si="13"/>
        <v>66.400000000000006</v>
      </c>
      <c r="D175" s="809">
        <f t="shared" si="12"/>
        <v>5.2661016096389818E-2</v>
      </c>
      <c r="F175" s="784">
        <v>6.4</v>
      </c>
      <c r="G175" s="809">
        <f t="shared" si="14"/>
        <v>9.6385542168674689</v>
      </c>
      <c r="H175" s="434"/>
      <c r="I175" s="784">
        <v>25</v>
      </c>
      <c r="J175" s="809">
        <f t="shared" si="15"/>
        <v>37.650602409638552</v>
      </c>
      <c r="K175" s="434"/>
      <c r="L175" s="784">
        <v>15</v>
      </c>
      <c r="M175" s="809">
        <f t="shared" si="16"/>
        <v>22.590361445783131</v>
      </c>
      <c r="N175" s="434"/>
      <c r="O175" s="809">
        <v>20</v>
      </c>
      <c r="P175" s="436">
        <f t="shared" si="17"/>
        <v>30.120481927710841</v>
      </c>
      <c r="R175" s="101"/>
    </row>
    <row r="176" spans="1:18" ht="12" customHeight="1">
      <c r="A176" s="42" t="s">
        <v>488</v>
      </c>
      <c r="C176" s="784">
        <f t="shared" si="13"/>
        <v>20</v>
      </c>
      <c r="D176" s="809">
        <f t="shared" si="12"/>
        <v>1.5861751836261991E-2</v>
      </c>
      <c r="F176" s="784">
        <v>0</v>
      </c>
      <c r="G176" s="809">
        <f t="shared" si="14"/>
        <v>0</v>
      </c>
      <c r="H176" s="434"/>
      <c r="I176" s="784">
        <v>0</v>
      </c>
      <c r="J176" s="809">
        <f t="shared" si="15"/>
        <v>0</v>
      </c>
      <c r="K176" s="434"/>
      <c r="L176" s="784">
        <v>0</v>
      </c>
      <c r="M176" s="809">
        <f t="shared" si="16"/>
        <v>0</v>
      </c>
      <c r="O176" s="809">
        <v>20</v>
      </c>
      <c r="P176" s="436">
        <f t="shared" si="17"/>
        <v>100</v>
      </c>
      <c r="R176" s="101"/>
    </row>
    <row r="177" spans="1:18" ht="12" customHeight="1">
      <c r="A177" s="42" t="s">
        <v>489</v>
      </c>
      <c r="C177" s="784">
        <f t="shared" si="13"/>
        <v>150</v>
      </c>
      <c r="D177" s="809">
        <f t="shared" si="12"/>
        <v>0.11896313877196493</v>
      </c>
      <c r="F177" s="784">
        <v>20</v>
      </c>
      <c r="G177" s="809">
        <f t="shared" si="14"/>
        <v>13.333333333333334</v>
      </c>
      <c r="H177" s="434"/>
      <c r="I177" s="784">
        <v>110</v>
      </c>
      <c r="J177" s="809">
        <f t="shared" si="15"/>
        <v>73.333333333333329</v>
      </c>
      <c r="K177" s="434"/>
      <c r="L177" s="784">
        <v>0</v>
      </c>
      <c r="M177" s="809">
        <f t="shared" si="16"/>
        <v>0</v>
      </c>
      <c r="O177" s="809">
        <v>20</v>
      </c>
      <c r="P177" s="436">
        <f t="shared" si="17"/>
        <v>13.333333333333334</v>
      </c>
      <c r="R177" s="101"/>
    </row>
    <row r="178" spans="1:18" ht="12" customHeight="1">
      <c r="A178" s="42" t="s">
        <v>2264</v>
      </c>
      <c r="C178" s="784">
        <f t="shared" ref="C178" si="18">IF(A178&lt;&gt;0,F178+I178+L178+O178,"")</f>
        <v>90</v>
      </c>
      <c r="D178" s="809">
        <f t="shared" ref="D178" si="19">IF(A178&lt;&gt;0,C178/$C$11*100,"")</f>
        <v>7.1377883263178968E-2</v>
      </c>
      <c r="F178" s="784">
        <v>0</v>
      </c>
      <c r="G178" s="809">
        <f t="shared" si="14"/>
        <v>0</v>
      </c>
      <c r="H178" s="434"/>
      <c r="I178" s="784">
        <v>70</v>
      </c>
      <c r="J178" s="809">
        <f t="shared" si="15"/>
        <v>77.777777777777786</v>
      </c>
      <c r="K178" s="434"/>
      <c r="L178" s="784">
        <v>0</v>
      </c>
      <c r="M178" s="809">
        <f t="shared" si="16"/>
        <v>0</v>
      </c>
      <c r="O178" s="809">
        <v>20</v>
      </c>
      <c r="P178" s="436">
        <f t="shared" si="17"/>
        <v>22.222222222222221</v>
      </c>
      <c r="R178" s="101"/>
    </row>
    <row r="179" spans="1:18" ht="12" customHeight="1">
      <c r="A179" s="42" t="s">
        <v>490</v>
      </c>
      <c r="C179" s="784">
        <f t="shared" si="13"/>
        <v>89</v>
      </c>
      <c r="D179" s="809">
        <f t="shared" si="12"/>
        <v>7.0584795671365871E-2</v>
      </c>
      <c r="F179" s="784">
        <v>30</v>
      </c>
      <c r="G179" s="809">
        <f t="shared" si="14"/>
        <v>33.707865168539328</v>
      </c>
      <c r="H179" s="434"/>
      <c r="I179" s="784">
        <v>24</v>
      </c>
      <c r="J179" s="809">
        <f t="shared" si="15"/>
        <v>26.966292134831459</v>
      </c>
      <c r="K179" s="434"/>
      <c r="L179" s="784">
        <v>25</v>
      </c>
      <c r="M179" s="809">
        <f t="shared" si="16"/>
        <v>28.08988764044944</v>
      </c>
      <c r="O179" s="809">
        <v>10</v>
      </c>
      <c r="P179" s="436">
        <f t="shared" si="17"/>
        <v>11.235955056179774</v>
      </c>
      <c r="R179" s="101"/>
    </row>
    <row r="180" spans="1:18" ht="12" customHeight="1">
      <c r="A180" s="42" t="s">
        <v>491</v>
      </c>
      <c r="C180" s="784">
        <f t="shared" si="13"/>
        <v>210</v>
      </c>
      <c r="D180" s="809">
        <f t="shared" si="12"/>
        <v>0.16654839428075094</v>
      </c>
      <c r="F180" s="784">
        <v>26</v>
      </c>
      <c r="G180" s="809">
        <f t="shared" si="14"/>
        <v>12.380952380952381</v>
      </c>
      <c r="H180" s="434"/>
      <c r="I180" s="784">
        <v>164</v>
      </c>
      <c r="J180" s="809">
        <f t="shared" si="15"/>
        <v>78.095238095238102</v>
      </c>
      <c r="K180" s="434"/>
      <c r="L180" s="784">
        <v>0</v>
      </c>
      <c r="M180" s="809">
        <f t="shared" si="16"/>
        <v>0</v>
      </c>
      <c r="O180" s="809">
        <v>20</v>
      </c>
      <c r="P180" s="436">
        <f t="shared" si="17"/>
        <v>9.5238095238095237</v>
      </c>
      <c r="R180" s="101"/>
    </row>
    <row r="181" spans="1:18" ht="12" customHeight="1">
      <c r="A181" s="42" t="s">
        <v>492</v>
      </c>
      <c r="C181" s="784">
        <f t="shared" si="13"/>
        <v>40</v>
      </c>
      <c r="D181" s="809">
        <f t="shared" si="12"/>
        <v>3.1723503672523981E-2</v>
      </c>
      <c r="F181" s="784">
        <v>0</v>
      </c>
      <c r="G181" s="809">
        <f t="shared" si="14"/>
        <v>0</v>
      </c>
      <c r="H181" s="434"/>
      <c r="I181" s="784">
        <v>0</v>
      </c>
      <c r="J181" s="809">
        <f t="shared" si="15"/>
        <v>0</v>
      </c>
      <c r="K181" s="434"/>
      <c r="L181" s="784">
        <v>0</v>
      </c>
      <c r="M181" s="809">
        <f t="shared" si="16"/>
        <v>0</v>
      </c>
      <c r="O181" s="809">
        <v>40</v>
      </c>
      <c r="P181" s="436">
        <f t="shared" si="17"/>
        <v>100</v>
      </c>
      <c r="R181" s="101"/>
    </row>
    <row r="182" spans="1:18" ht="8.1" customHeight="1">
      <c r="A182" s="809"/>
      <c r="C182" s="784" t="str">
        <f t="shared" si="13"/>
        <v/>
      </c>
      <c r="D182" s="809" t="str">
        <f t="shared" si="12"/>
        <v/>
      </c>
      <c r="G182" s="809" t="str">
        <f t="shared" si="14"/>
        <v/>
      </c>
      <c r="J182" s="809" t="str">
        <f t="shared" si="15"/>
        <v/>
      </c>
      <c r="M182" s="809" t="str">
        <f t="shared" si="16"/>
        <v/>
      </c>
      <c r="P182" s="436" t="str">
        <f t="shared" si="17"/>
        <v/>
      </c>
      <c r="R182" s="101"/>
    </row>
    <row r="183" spans="1:18" ht="12" customHeight="1">
      <c r="A183" s="434" t="s">
        <v>344</v>
      </c>
      <c r="C183" s="784">
        <f t="shared" si="13"/>
        <v>985.8</v>
      </c>
      <c r="D183" s="809">
        <f t="shared" si="12"/>
        <v>0.78182574800935367</v>
      </c>
      <c r="F183" s="809">
        <f>SUM(F184:F185)</f>
        <v>238.14999999999998</v>
      </c>
      <c r="G183" s="809">
        <f t="shared" si="14"/>
        <v>24.15804422803814</v>
      </c>
      <c r="I183" s="809">
        <f>SUM(I184:I185)</f>
        <v>489.15</v>
      </c>
      <c r="J183" s="809">
        <f t="shared" si="15"/>
        <v>49.619598295800365</v>
      </c>
      <c r="L183" s="809">
        <f>SUM(L184:L185)</f>
        <v>149</v>
      </c>
      <c r="M183" s="809">
        <f t="shared" si="16"/>
        <v>15.114627713532158</v>
      </c>
      <c r="O183" s="809">
        <f>SUM(O184:O185)</f>
        <v>109.5</v>
      </c>
      <c r="P183" s="436">
        <f t="shared" si="17"/>
        <v>11.107729762629337</v>
      </c>
      <c r="R183" s="101"/>
    </row>
    <row r="184" spans="1:18" ht="12" customHeight="1">
      <c r="A184" s="434" t="s">
        <v>493</v>
      </c>
      <c r="C184" s="784">
        <f t="shared" si="13"/>
        <v>119.95</v>
      </c>
      <c r="D184" s="809">
        <f t="shared" si="12"/>
        <v>9.5130856637981306E-2</v>
      </c>
      <c r="F184" s="784">
        <v>37.950000000000003</v>
      </c>
      <c r="G184" s="809">
        <f t="shared" si="14"/>
        <v>31.638182576073365</v>
      </c>
      <c r="H184" s="434"/>
      <c r="I184" s="784">
        <v>38</v>
      </c>
      <c r="J184" s="809">
        <f t="shared" si="15"/>
        <v>31.679866611087952</v>
      </c>
      <c r="K184" s="434"/>
      <c r="L184" s="784">
        <v>24</v>
      </c>
      <c r="M184" s="809">
        <f t="shared" si="16"/>
        <v>20.008336807002916</v>
      </c>
      <c r="O184" s="809">
        <v>20</v>
      </c>
      <c r="P184" s="436">
        <f t="shared" si="17"/>
        <v>16.673614005835766</v>
      </c>
      <c r="R184" s="101"/>
    </row>
    <row r="185" spans="1:18" ht="12" customHeight="1">
      <c r="A185" s="434" t="s">
        <v>494</v>
      </c>
      <c r="C185" s="784">
        <f t="shared" si="13"/>
        <v>865.84999999999991</v>
      </c>
      <c r="D185" s="809">
        <f t="shared" si="12"/>
        <v>0.68669489137137218</v>
      </c>
      <c r="F185" s="784">
        <v>200.2</v>
      </c>
      <c r="G185" s="809">
        <f t="shared" si="14"/>
        <v>23.121787838540165</v>
      </c>
      <c r="H185" s="434"/>
      <c r="I185" s="784">
        <v>451.15</v>
      </c>
      <c r="J185" s="809">
        <f t="shared" si="15"/>
        <v>52.10486804873824</v>
      </c>
      <c r="K185" s="434"/>
      <c r="L185" s="784">
        <v>125</v>
      </c>
      <c r="M185" s="809">
        <f t="shared" si="16"/>
        <v>14.436680718369235</v>
      </c>
      <c r="O185" s="809">
        <v>89.5</v>
      </c>
      <c r="P185" s="436">
        <f t="shared" si="17"/>
        <v>10.336663394352371</v>
      </c>
      <c r="R185" s="101"/>
    </row>
    <row r="186" spans="1:18" ht="6" customHeight="1">
      <c r="D186" s="809" t="str">
        <f t="shared" si="12"/>
        <v/>
      </c>
      <c r="F186" s="434"/>
      <c r="G186" s="809" t="str">
        <f t="shared" si="14"/>
        <v/>
      </c>
      <c r="H186" s="434"/>
      <c r="I186" s="434"/>
      <c r="J186" s="809" t="str">
        <f t="shared" si="15"/>
        <v/>
      </c>
      <c r="K186" s="434"/>
      <c r="L186" s="434"/>
      <c r="M186" s="809" t="str">
        <f t="shared" si="16"/>
        <v/>
      </c>
      <c r="N186" s="434"/>
      <c r="O186" s="434"/>
      <c r="P186" s="436" t="str">
        <f t="shared" si="17"/>
        <v/>
      </c>
      <c r="R186" s="101"/>
    </row>
    <row r="187" spans="1:18" ht="12.75" customHeight="1">
      <c r="A187" s="434" t="s">
        <v>149</v>
      </c>
      <c r="C187" s="784">
        <f>IF(A187&lt;&gt;0,F187+I187+L187+O187,"")</f>
        <v>2204.9375</v>
      </c>
      <c r="D187" s="809">
        <f t="shared" si="12"/>
        <v>1.7487085719733964</v>
      </c>
      <c r="F187" s="784">
        <v>1826.4375</v>
      </c>
      <c r="G187" s="809">
        <f t="shared" si="14"/>
        <v>82.833980555004388</v>
      </c>
      <c r="H187" s="434"/>
      <c r="I187" s="784">
        <v>53.5</v>
      </c>
      <c r="J187" s="809">
        <f t="shared" si="15"/>
        <v>2.4263726296096828</v>
      </c>
      <c r="K187" s="434"/>
      <c r="L187" s="784">
        <v>15</v>
      </c>
      <c r="M187" s="809">
        <f t="shared" si="16"/>
        <v>0.68029139147935025</v>
      </c>
      <c r="N187" s="434"/>
      <c r="O187" s="809">
        <v>310</v>
      </c>
      <c r="P187" s="436">
        <f t="shared" si="17"/>
        <v>14.059355423906572</v>
      </c>
      <c r="R187" s="101"/>
    </row>
    <row r="188" spans="1:18" ht="8.1" customHeight="1">
      <c r="D188" s="809" t="str">
        <f t="shared" si="12"/>
        <v/>
      </c>
      <c r="G188" s="809" t="str">
        <f t="shared" si="14"/>
        <v/>
      </c>
      <c r="J188" s="809" t="str">
        <f t="shared" si="15"/>
        <v/>
      </c>
      <c r="M188" s="809" t="str">
        <f t="shared" si="16"/>
        <v/>
      </c>
      <c r="P188" s="436" t="str">
        <f t="shared" si="17"/>
        <v/>
      </c>
      <c r="R188" s="101"/>
    </row>
    <row r="189" spans="1:18" ht="12.75" customHeight="1">
      <c r="A189" s="63" t="s">
        <v>346</v>
      </c>
      <c r="C189" s="784">
        <f t="shared" ref="C189:C194" si="20">IF(A189&lt;&gt;0,F189+I189+L189+O189,"")</f>
        <v>25819.499920000002</v>
      </c>
      <c r="D189" s="809">
        <f t="shared" si="12"/>
        <v>20.477125013371321</v>
      </c>
      <c r="F189" s="809">
        <f>SUM(F190:F194)</f>
        <v>20680.499920000002</v>
      </c>
      <c r="G189" s="809">
        <f t="shared" si="14"/>
        <v>80.096438676493165</v>
      </c>
      <c r="H189" s="809" t="s">
        <v>253</v>
      </c>
      <c r="I189" s="809">
        <f>SUM(I190:I194)</f>
        <v>660</v>
      </c>
      <c r="J189" s="809">
        <f t="shared" si="15"/>
        <v>2.5562075254941652</v>
      </c>
      <c r="K189" s="809" t="s">
        <v>253</v>
      </c>
      <c r="L189" s="809">
        <f>SUM(L190:L194)</f>
        <v>1893</v>
      </c>
      <c r="M189" s="809">
        <f t="shared" si="16"/>
        <v>7.3316679481219005</v>
      </c>
      <c r="N189" s="809" t="s">
        <v>253</v>
      </c>
      <c r="O189" s="809">
        <f>SUM(O190:O194)</f>
        <v>2586</v>
      </c>
      <c r="P189" s="436">
        <f t="shared" si="17"/>
        <v>10.015685849890774</v>
      </c>
      <c r="Q189" s="434" t="s">
        <v>253</v>
      </c>
      <c r="R189" s="101"/>
    </row>
    <row r="190" spans="1:18" ht="12" customHeight="1">
      <c r="A190" s="434" t="s">
        <v>347</v>
      </c>
      <c r="C190" s="784">
        <f t="shared" si="20"/>
        <v>9172.5</v>
      </c>
      <c r="D190" s="809">
        <f t="shared" si="12"/>
        <v>7.2745959359056558</v>
      </c>
      <c r="F190" s="784">
        <v>7107.5</v>
      </c>
      <c r="G190" s="809">
        <f t="shared" si="14"/>
        <v>77.487053693104386</v>
      </c>
      <c r="H190" s="434"/>
      <c r="I190" s="784">
        <v>420</v>
      </c>
      <c r="J190" s="809">
        <f t="shared" si="15"/>
        <v>4.5789043336058866</v>
      </c>
      <c r="K190" s="434"/>
      <c r="L190" s="784">
        <v>585</v>
      </c>
      <c r="M190" s="809">
        <f t="shared" si="16"/>
        <v>6.3777596075224858</v>
      </c>
      <c r="O190" s="809">
        <v>1060</v>
      </c>
      <c r="P190" s="436">
        <f t="shared" si="17"/>
        <v>11.556282365767238</v>
      </c>
      <c r="R190" s="101"/>
    </row>
    <row r="191" spans="1:18" ht="12" customHeight="1">
      <c r="A191" s="434" t="s">
        <v>348</v>
      </c>
      <c r="C191" s="784">
        <f t="shared" si="20"/>
        <v>5551</v>
      </c>
      <c r="D191" s="809">
        <f>IF(A191&lt;&gt;0,C191/$C$11*100,"")</f>
        <v>4.4024292221545167</v>
      </c>
      <c r="F191" s="784">
        <v>4514</v>
      </c>
      <c r="G191" s="809">
        <f t="shared" si="14"/>
        <v>81.318681318681314</v>
      </c>
      <c r="H191" s="434"/>
      <c r="I191" s="784">
        <v>65</v>
      </c>
      <c r="J191" s="809">
        <f t="shared" si="15"/>
        <v>1.1709601873536302</v>
      </c>
      <c r="K191" s="434"/>
      <c r="L191" s="784">
        <v>435</v>
      </c>
      <c r="M191" s="809">
        <f t="shared" si="16"/>
        <v>7.8364258692127544</v>
      </c>
      <c r="N191" s="434"/>
      <c r="O191" s="809">
        <v>537</v>
      </c>
      <c r="P191" s="436">
        <f t="shared" si="17"/>
        <v>9.6739326247522968</v>
      </c>
      <c r="R191" s="101"/>
    </row>
    <row r="192" spans="1:18" ht="12" customHeight="1">
      <c r="A192" s="434" t="s">
        <v>349</v>
      </c>
      <c r="C192" s="784">
        <f t="shared" si="20"/>
        <v>4452</v>
      </c>
      <c r="D192" s="809">
        <f>IF(A192&lt;&gt;0,C192/$C$11*100,"")</f>
        <v>3.5308259587519193</v>
      </c>
      <c r="F192" s="784">
        <v>3775</v>
      </c>
      <c r="G192" s="809">
        <f t="shared" si="14"/>
        <v>84.793351302785268</v>
      </c>
      <c r="H192" s="434"/>
      <c r="I192" s="784">
        <v>10</v>
      </c>
      <c r="J192" s="809">
        <f t="shared" si="15"/>
        <v>0.22461814914645103</v>
      </c>
      <c r="K192" s="434"/>
      <c r="L192" s="784">
        <v>253</v>
      </c>
      <c r="M192" s="809">
        <f t="shared" si="16"/>
        <v>5.6828391734052106</v>
      </c>
      <c r="O192" s="809">
        <v>414</v>
      </c>
      <c r="P192" s="436">
        <f t="shared" si="17"/>
        <v>9.2991913746630726</v>
      </c>
      <c r="R192" s="101"/>
    </row>
    <row r="193" spans="1:18" ht="12" customHeight="1">
      <c r="A193" s="434" t="s">
        <v>350</v>
      </c>
      <c r="C193" s="784">
        <f t="shared" si="20"/>
        <v>3523.9999200000002</v>
      </c>
      <c r="D193" s="809">
        <f>IF(A193&lt;&gt;0,C193/$C$11*100,"")</f>
        <v>2.794840610102356</v>
      </c>
      <c r="F193" s="784">
        <v>2878.9999200000002</v>
      </c>
      <c r="G193" s="809">
        <f t="shared" si="14"/>
        <v>81.696934885287959</v>
      </c>
      <c r="H193" s="434"/>
      <c r="I193" s="784">
        <v>85</v>
      </c>
      <c r="J193" s="809">
        <f t="shared" si="15"/>
        <v>2.412031836822516</v>
      </c>
      <c r="K193" s="434"/>
      <c r="L193" s="784">
        <v>270</v>
      </c>
      <c r="M193" s="809">
        <f t="shared" si="16"/>
        <v>7.661748187553874</v>
      </c>
      <c r="N193" s="434"/>
      <c r="O193" s="809">
        <v>290</v>
      </c>
      <c r="P193" s="436">
        <f t="shared" si="17"/>
        <v>8.2292850903356438</v>
      </c>
      <c r="R193" s="101"/>
    </row>
    <row r="194" spans="1:18" ht="12" customHeight="1">
      <c r="A194" s="42" t="s">
        <v>378</v>
      </c>
      <c r="C194" s="784">
        <f t="shared" si="20"/>
        <v>3120</v>
      </c>
      <c r="D194" s="809">
        <f>IF(A194&lt;&gt;0,C194/$C$11*100,"")</f>
        <v>2.474433286456871</v>
      </c>
      <c r="F194" s="784">
        <v>2405</v>
      </c>
      <c r="G194" s="809">
        <f t="shared" si="14"/>
        <v>77.083333333333343</v>
      </c>
      <c r="H194" s="434"/>
      <c r="I194" s="784">
        <v>80</v>
      </c>
      <c r="J194" s="809">
        <f t="shared" si="15"/>
        <v>2.5641025641025639</v>
      </c>
      <c r="K194" s="434"/>
      <c r="L194" s="784">
        <v>350</v>
      </c>
      <c r="M194" s="809">
        <f t="shared" si="16"/>
        <v>11.217948717948719</v>
      </c>
      <c r="N194" s="434"/>
      <c r="O194" s="809">
        <v>285</v>
      </c>
      <c r="P194" s="436">
        <f t="shared" si="17"/>
        <v>9.1346153846153832</v>
      </c>
      <c r="R194" s="101"/>
    </row>
    <row r="195" spans="1:18" ht="9.75" customHeight="1" thickBot="1">
      <c r="A195" s="445"/>
      <c r="B195" s="820"/>
      <c r="C195" s="787"/>
      <c r="D195" s="820"/>
      <c r="E195" s="820"/>
      <c r="F195" s="820"/>
      <c r="G195" s="820"/>
      <c r="H195" s="820"/>
      <c r="I195" s="820"/>
      <c r="J195" s="820"/>
      <c r="K195" s="820"/>
      <c r="L195" s="820"/>
      <c r="M195" s="820"/>
      <c r="N195" s="820"/>
      <c r="O195" s="820"/>
      <c r="P195" s="447"/>
      <c r="Q195" s="445"/>
      <c r="R195" s="101"/>
    </row>
    <row r="196" spans="1:18" ht="9.75" customHeight="1">
      <c r="A196" s="440"/>
      <c r="B196" s="785"/>
      <c r="C196" s="817"/>
      <c r="D196" s="785"/>
      <c r="E196" s="785"/>
      <c r="F196" s="785"/>
      <c r="G196" s="785"/>
      <c r="H196" s="785"/>
      <c r="I196" s="785"/>
      <c r="J196" s="785"/>
      <c r="K196" s="785"/>
      <c r="L196" s="785"/>
      <c r="M196" s="785"/>
      <c r="N196" s="785"/>
      <c r="O196" s="785"/>
      <c r="P196" s="442"/>
      <c r="Q196" s="440"/>
      <c r="R196" s="101"/>
    </row>
    <row r="197" spans="1:18" ht="12" customHeight="1">
      <c r="A197" s="440" t="s">
        <v>495</v>
      </c>
      <c r="B197" s="785"/>
      <c r="C197" s="817"/>
      <c r="D197" s="785"/>
      <c r="E197" s="785"/>
      <c r="F197" s="785"/>
      <c r="G197" s="785"/>
      <c r="H197" s="785"/>
      <c r="I197" s="785"/>
      <c r="J197" s="785"/>
      <c r="K197" s="785"/>
      <c r="L197" s="785"/>
      <c r="M197" s="785"/>
      <c r="N197" s="785"/>
      <c r="O197" s="785"/>
      <c r="P197" s="442"/>
      <c r="Q197" s="440"/>
      <c r="R197" s="101"/>
    </row>
    <row r="198" spans="1:18" ht="8.1" customHeight="1">
      <c r="A198" s="440"/>
      <c r="B198" s="785"/>
      <c r="C198" s="817"/>
      <c r="D198" s="785"/>
      <c r="E198" s="785"/>
      <c r="F198" s="785"/>
      <c r="G198" s="785"/>
      <c r="H198" s="785"/>
      <c r="I198" s="785"/>
      <c r="J198" s="785"/>
      <c r="K198" s="785"/>
      <c r="L198" s="785"/>
      <c r="M198" s="785"/>
      <c r="N198" s="785"/>
      <c r="O198" s="785"/>
      <c r="P198" s="442"/>
      <c r="Q198" s="440"/>
      <c r="R198" s="101"/>
    </row>
    <row r="199" spans="1:18" ht="13.35" customHeight="1">
      <c r="A199" s="66" t="s">
        <v>2112</v>
      </c>
      <c r="B199" s="785"/>
      <c r="C199" s="817"/>
      <c r="D199" s="785"/>
      <c r="E199" s="785"/>
      <c r="F199" s="785"/>
      <c r="G199" s="785"/>
      <c r="H199" s="785"/>
      <c r="I199" s="785"/>
      <c r="J199" s="785"/>
      <c r="K199" s="785"/>
      <c r="L199" s="785"/>
      <c r="M199" s="785"/>
      <c r="N199" s="785"/>
      <c r="O199" s="785"/>
      <c r="P199" s="442"/>
      <c r="Q199" s="440"/>
      <c r="R199" s="101"/>
    </row>
    <row r="200" spans="1:18" ht="8.1" customHeight="1">
      <c r="R200" s="101"/>
    </row>
    <row r="201" spans="1:18">
      <c r="A201" s="434" t="s">
        <v>354</v>
      </c>
      <c r="R201" s="101"/>
    </row>
    <row r="202" spans="1:18" ht="12" customHeight="1">
      <c r="A202" s="434" t="s">
        <v>385</v>
      </c>
      <c r="R202" s="101"/>
    </row>
    <row r="203" spans="1:18">
      <c r="R203" s="101"/>
    </row>
    <row r="204" spans="1:18">
      <c r="R204" s="101"/>
    </row>
    <row r="205" spans="1:18">
      <c r="R205" s="101"/>
    </row>
    <row r="206" spans="1:18">
      <c r="R206" s="101"/>
    </row>
    <row r="207" spans="1:18">
      <c r="R207" s="101"/>
    </row>
    <row r="208" spans="1:18">
      <c r="R208" s="101"/>
    </row>
    <row r="209" spans="18:18">
      <c r="R209" s="101"/>
    </row>
    <row r="210" spans="18:18">
      <c r="R210" s="101"/>
    </row>
  </sheetData>
  <mergeCells count="8">
    <mergeCell ref="C7:D7"/>
    <mergeCell ref="F7:G7"/>
    <mergeCell ref="I7:J7"/>
    <mergeCell ref="L7:M7"/>
    <mergeCell ref="C128:D128"/>
    <mergeCell ref="F128:G128"/>
    <mergeCell ref="I128:J128"/>
    <mergeCell ref="L128:M128"/>
  </mergeCells>
  <printOptions horizontalCentered="1" verticalCentered="1"/>
  <pageMargins left="0" right="0" top="0" bottom="0" header="0.31496062992125984" footer="0.31496062992125984"/>
  <pageSetup scale="55" orientation="portrait" r:id="rId1"/>
</worksheet>
</file>

<file path=xl/worksheets/sheet25.xml><?xml version="1.0" encoding="utf-8"?>
<worksheet xmlns="http://schemas.openxmlformats.org/spreadsheetml/2006/main" xmlns:r="http://schemas.openxmlformats.org/officeDocument/2006/relationships">
  <dimension ref="A1:Q28"/>
  <sheetViews>
    <sheetView workbookViewId="0">
      <selection activeCell="A3" sqref="A3"/>
    </sheetView>
  </sheetViews>
  <sheetFormatPr baseColWidth="10" defaultRowHeight="15"/>
  <cols>
    <col min="1" max="1" width="22" customWidth="1"/>
    <col min="2" max="2" width="2.7109375" customWidth="1"/>
    <col min="3" max="4" width="10.7109375" customWidth="1"/>
    <col min="5" max="5" width="2.42578125" customWidth="1"/>
    <col min="6" max="7" width="10.7109375" customWidth="1"/>
    <col min="8" max="8" width="2.42578125" customWidth="1"/>
    <col min="9" max="10" width="10.7109375" customWidth="1"/>
    <col min="11" max="11" width="3.42578125" customWidth="1"/>
    <col min="12" max="13" width="10.7109375" customWidth="1"/>
    <col min="14" max="14" width="3" customWidth="1"/>
    <col min="15" max="16" width="10.7109375" customWidth="1"/>
    <col min="17" max="17" width="2.7109375" customWidth="1"/>
    <col min="257" max="257" width="22" customWidth="1"/>
    <col min="258" max="258" width="2.7109375" customWidth="1"/>
    <col min="261" max="261" width="2.42578125" customWidth="1"/>
    <col min="264" max="264" width="2.42578125" customWidth="1"/>
    <col min="267" max="267" width="3.42578125" customWidth="1"/>
    <col min="270" max="270" width="3" customWidth="1"/>
    <col min="273" max="273" width="2.7109375" customWidth="1"/>
    <col min="513" max="513" width="22" customWidth="1"/>
    <col min="514" max="514" width="2.7109375" customWidth="1"/>
    <col min="517" max="517" width="2.42578125" customWidth="1"/>
    <col min="520" max="520" width="2.42578125" customWidth="1"/>
    <col min="523" max="523" width="3.42578125" customWidth="1"/>
    <col min="526" max="526" width="3" customWidth="1"/>
    <col min="529" max="529" width="2.7109375" customWidth="1"/>
    <col min="769" max="769" width="22" customWidth="1"/>
    <col min="770" max="770" width="2.7109375" customWidth="1"/>
    <col min="773" max="773" width="2.42578125" customWidth="1"/>
    <col min="776" max="776" width="2.42578125" customWidth="1"/>
    <col min="779" max="779" width="3.42578125" customWidth="1"/>
    <col min="782" max="782" width="3" customWidth="1"/>
    <col min="785" max="785" width="2.7109375" customWidth="1"/>
    <col min="1025" max="1025" width="22" customWidth="1"/>
    <col min="1026" max="1026" width="2.7109375" customWidth="1"/>
    <col min="1029" max="1029" width="2.42578125" customWidth="1"/>
    <col min="1032" max="1032" width="2.42578125" customWidth="1"/>
    <col min="1035" max="1035" width="3.42578125" customWidth="1"/>
    <col min="1038" max="1038" width="3" customWidth="1"/>
    <col min="1041" max="1041" width="2.7109375" customWidth="1"/>
    <col min="1281" max="1281" width="22" customWidth="1"/>
    <col min="1282" max="1282" width="2.7109375" customWidth="1"/>
    <col min="1285" max="1285" width="2.42578125" customWidth="1"/>
    <col min="1288" max="1288" width="2.42578125" customWidth="1"/>
    <col min="1291" max="1291" width="3.42578125" customWidth="1"/>
    <col min="1294" max="1294" width="3" customWidth="1"/>
    <col min="1297" max="1297" width="2.7109375" customWidth="1"/>
    <col min="1537" max="1537" width="22" customWidth="1"/>
    <col min="1538" max="1538" width="2.7109375" customWidth="1"/>
    <col min="1541" max="1541" width="2.42578125" customWidth="1"/>
    <col min="1544" max="1544" width="2.42578125" customWidth="1"/>
    <col min="1547" max="1547" width="3.42578125" customWidth="1"/>
    <col min="1550" max="1550" width="3" customWidth="1"/>
    <col min="1553" max="1553" width="2.7109375" customWidth="1"/>
    <col min="1793" max="1793" width="22" customWidth="1"/>
    <col min="1794" max="1794" width="2.7109375" customWidth="1"/>
    <col min="1797" max="1797" width="2.42578125" customWidth="1"/>
    <col min="1800" max="1800" width="2.42578125" customWidth="1"/>
    <col min="1803" max="1803" width="3.42578125" customWidth="1"/>
    <col min="1806" max="1806" width="3" customWidth="1"/>
    <col min="1809" max="1809" width="2.7109375" customWidth="1"/>
    <col min="2049" max="2049" width="22" customWidth="1"/>
    <col min="2050" max="2050" width="2.7109375" customWidth="1"/>
    <col min="2053" max="2053" width="2.42578125" customWidth="1"/>
    <col min="2056" max="2056" width="2.42578125" customWidth="1"/>
    <col min="2059" max="2059" width="3.42578125" customWidth="1"/>
    <col min="2062" max="2062" width="3" customWidth="1"/>
    <col min="2065" max="2065" width="2.7109375" customWidth="1"/>
    <col min="2305" max="2305" width="22" customWidth="1"/>
    <col min="2306" max="2306" width="2.7109375" customWidth="1"/>
    <col min="2309" max="2309" width="2.42578125" customWidth="1"/>
    <col min="2312" max="2312" width="2.42578125" customWidth="1"/>
    <col min="2315" max="2315" width="3.42578125" customWidth="1"/>
    <col min="2318" max="2318" width="3" customWidth="1"/>
    <col min="2321" max="2321" width="2.7109375" customWidth="1"/>
    <col min="2561" max="2561" width="22" customWidth="1"/>
    <col min="2562" max="2562" width="2.7109375" customWidth="1"/>
    <col min="2565" max="2565" width="2.42578125" customWidth="1"/>
    <col min="2568" max="2568" width="2.42578125" customWidth="1"/>
    <col min="2571" max="2571" width="3.42578125" customWidth="1"/>
    <col min="2574" max="2574" width="3" customWidth="1"/>
    <col min="2577" max="2577" width="2.7109375" customWidth="1"/>
    <col min="2817" max="2817" width="22" customWidth="1"/>
    <col min="2818" max="2818" width="2.7109375" customWidth="1"/>
    <col min="2821" max="2821" width="2.42578125" customWidth="1"/>
    <col min="2824" max="2824" width="2.42578125" customWidth="1"/>
    <col min="2827" max="2827" width="3.42578125" customWidth="1"/>
    <col min="2830" max="2830" width="3" customWidth="1"/>
    <col min="2833" max="2833" width="2.7109375" customWidth="1"/>
    <col min="3073" max="3073" width="22" customWidth="1"/>
    <col min="3074" max="3074" width="2.7109375" customWidth="1"/>
    <col min="3077" max="3077" width="2.42578125" customWidth="1"/>
    <col min="3080" max="3080" width="2.42578125" customWidth="1"/>
    <col min="3083" max="3083" width="3.42578125" customWidth="1"/>
    <col min="3086" max="3086" width="3" customWidth="1"/>
    <col min="3089" max="3089" width="2.7109375" customWidth="1"/>
    <col min="3329" max="3329" width="22" customWidth="1"/>
    <col min="3330" max="3330" width="2.7109375" customWidth="1"/>
    <col min="3333" max="3333" width="2.42578125" customWidth="1"/>
    <col min="3336" max="3336" width="2.42578125" customWidth="1"/>
    <col min="3339" max="3339" width="3.42578125" customWidth="1"/>
    <col min="3342" max="3342" width="3" customWidth="1"/>
    <col min="3345" max="3345" width="2.7109375" customWidth="1"/>
    <col min="3585" max="3585" width="22" customWidth="1"/>
    <col min="3586" max="3586" width="2.7109375" customWidth="1"/>
    <col min="3589" max="3589" width="2.42578125" customWidth="1"/>
    <col min="3592" max="3592" width="2.42578125" customWidth="1"/>
    <col min="3595" max="3595" width="3.42578125" customWidth="1"/>
    <col min="3598" max="3598" width="3" customWidth="1"/>
    <col min="3601" max="3601" width="2.7109375" customWidth="1"/>
    <col min="3841" max="3841" width="22" customWidth="1"/>
    <col min="3842" max="3842" width="2.7109375" customWidth="1"/>
    <col min="3845" max="3845" width="2.42578125" customWidth="1"/>
    <col min="3848" max="3848" width="2.42578125" customWidth="1"/>
    <col min="3851" max="3851" width="3.42578125" customWidth="1"/>
    <col min="3854" max="3854" width="3" customWidth="1"/>
    <col min="3857" max="3857" width="2.7109375" customWidth="1"/>
    <col min="4097" max="4097" width="22" customWidth="1"/>
    <col min="4098" max="4098" width="2.7109375" customWidth="1"/>
    <col min="4101" max="4101" width="2.42578125" customWidth="1"/>
    <col min="4104" max="4104" width="2.42578125" customWidth="1"/>
    <col min="4107" max="4107" width="3.42578125" customWidth="1"/>
    <col min="4110" max="4110" width="3" customWidth="1"/>
    <col min="4113" max="4113" width="2.7109375" customWidth="1"/>
    <col min="4353" max="4353" width="22" customWidth="1"/>
    <col min="4354" max="4354" width="2.7109375" customWidth="1"/>
    <col min="4357" max="4357" width="2.42578125" customWidth="1"/>
    <col min="4360" max="4360" width="2.42578125" customWidth="1"/>
    <col min="4363" max="4363" width="3.42578125" customWidth="1"/>
    <col min="4366" max="4366" width="3" customWidth="1"/>
    <col min="4369" max="4369" width="2.7109375" customWidth="1"/>
    <col min="4609" max="4609" width="22" customWidth="1"/>
    <col min="4610" max="4610" width="2.7109375" customWidth="1"/>
    <col min="4613" max="4613" width="2.42578125" customWidth="1"/>
    <col min="4616" max="4616" width="2.42578125" customWidth="1"/>
    <col min="4619" max="4619" width="3.42578125" customWidth="1"/>
    <col min="4622" max="4622" width="3" customWidth="1"/>
    <col min="4625" max="4625" width="2.7109375" customWidth="1"/>
    <col min="4865" max="4865" width="22" customWidth="1"/>
    <col min="4866" max="4866" width="2.7109375" customWidth="1"/>
    <col min="4869" max="4869" width="2.42578125" customWidth="1"/>
    <col min="4872" max="4872" width="2.42578125" customWidth="1"/>
    <col min="4875" max="4875" width="3.42578125" customWidth="1"/>
    <col min="4878" max="4878" width="3" customWidth="1"/>
    <col min="4881" max="4881" width="2.7109375" customWidth="1"/>
    <col min="5121" max="5121" width="22" customWidth="1"/>
    <col min="5122" max="5122" width="2.7109375" customWidth="1"/>
    <col min="5125" max="5125" width="2.42578125" customWidth="1"/>
    <col min="5128" max="5128" width="2.42578125" customWidth="1"/>
    <col min="5131" max="5131" width="3.42578125" customWidth="1"/>
    <col min="5134" max="5134" width="3" customWidth="1"/>
    <col min="5137" max="5137" width="2.7109375" customWidth="1"/>
    <col min="5377" max="5377" width="22" customWidth="1"/>
    <col min="5378" max="5378" width="2.7109375" customWidth="1"/>
    <col min="5381" max="5381" width="2.42578125" customWidth="1"/>
    <col min="5384" max="5384" width="2.42578125" customWidth="1"/>
    <col min="5387" max="5387" width="3.42578125" customWidth="1"/>
    <col min="5390" max="5390" width="3" customWidth="1"/>
    <col min="5393" max="5393" width="2.7109375" customWidth="1"/>
    <col min="5633" max="5633" width="22" customWidth="1"/>
    <col min="5634" max="5634" width="2.7109375" customWidth="1"/>
    <col min="5637" max="5637" width="2.42578125" customWidth="1"/>
    <col min="5640" max="5640" width="2.42578125" customWidth="1"/>
    <col min="5643" max="5643" width="3.42578125" customWidth="1"/>
    <col min="5646" max="5646" width="3" customWidth="1"/>
    <col min="5649" max="5649" width="2.7109375" customWidth="1"/>
    <col min="5889" max="5889" width="22" customWidth="1"/>
    <col min="5890" max="5890" width="2.7109375" customWidth="1"/>
    <col min="5893" max="5893" width="2.42578125" customWidth="1"/>
    <col min="5896" max="5896" width="2.42578125" customWidth="1"/>
    <col min="5899" max="5899" width="3.42578125" customWidth="1"/>
    <col min="5902" max="5902" width="3" customWidth="1"/>
    <col min="5905" max="5905" width="2.7109375" customWidth="1"/>
    <col min="6145" max="6145" width="22" customWidth="1"/>
    <col min="6146" max="6146" width="2.7109375" customWidth="1"/>
    <col min="6149" max="6149" width="2.42578125" customWidth="1"/>
    <col min="6152" max="6152" width="2.42578125" customWidth="1"/>
    <col min="6155" max="6155" width="3.42578125" customWidth="1"/>
    <col min="6158" max="6158" width="3" customWidth="1"/>
    <col min="6161" max="6161" width="2.7109375" customWidth="1"/>
    <col min="6401" max="6401" width="22" customWidth="1"/>
    <col min="6402" max="6402" width="2.7109375" customWidth="1"/>
    <col min="6405" max="6405" width="2.42578125" customWidth="1"/>
    <col min="6408" max="6408" width="2.42578125" customWidth="1"/>
    <col min="6411" max="6411" width="3.42578125" customWidth="1"/>
    <col min="6414" max="6414" width="3" customWidth="1"/>
    <col min="6417" max="6417" width="2.7109375" customWidth="1"/>
    <col min="6657" max="6657" width="22" customWidth="1"/>
    <col min="6658" max="6658" width="2.7109375" customWidth="1"/>
    <col min="6661" max="6661" width="2.42578125" customWidth="1"/>
    <col min="6664" max="6664" width="2.42578125" customWidth="1"/>
    <col min="6667" max="6667" width="3.42578125" customWidth="1"/>
    <col min="6670" max="6670" width="3" customWidth="1"/>
    <col min="6673" max="6673" width="2.7109375" customWidth="1"/>
    <col min="6913" max="6913" width="22" customWidth="1"/>
    <col min="6914" max="6914" width="2.7109375" customWidth="1"/>
    <col min="6917" max="6917" width="2.42578125" customWidth="1"/>
    <col min="6920" max="6920" width="2.42578125" customWidth="1"/>
    <col min="6923" max="6923" width="3.42578125" customWidth="1"/>
    <col min="6926" max="6926" width="3" customWidth="1"/>
    <col min="6929" max="6929" width="2.7109375" customWidth="1"/>
    <col min="7169" max="7169" width="22" customWidth="1"/>
    <col min="7170" max="7170" width="2.7109375" customWidth="1"/>
    <col min="7173" max="7173" width="2.42578125" customWidth="1"/>
    <col min="7176" max="7176" width="2.42578125" customWidth="1"/>
    <col min="7179" max="7179" width="3.42578125" customWidth="1"/>
    <col min="7182" max="7182" width="3" customWidth="1"/>
    <col min="7185" max="7185" width="2.7109375" customWidth="1"/>
    <col min="7425" max="7425" width="22" customWidth="1"/>
    <col min="7426" max="7426" width="2.7109375" customWidth="1"/>
    <col min="7429" max="7429" width="2.42578125" customWidth="1"/>
    <col min="7432" max="7432" width="2.42578125" customWidth="1"/>
    <col min="7435" max="7435" width="3.42578125" customWidth="1"/>
    <col min="7438" max="7438" width="3" customWidth="1"/>
    <col min="7441" max="7441" width="2.7109375" customWidth="1"/>
    <col min="7681" max="7681" width="22" customWidth="1"/>
    <col min="7682" max="7682" width="2.7109375" customWidth="1"/>
    <col min="7685" max="7685" width="2.42578125" customWidth="1"/>
    <col min="7688" max="7688" width="2.42578125" customWidth="1"/>
    <col min="7691" max="7691" width="3.42578125" customWidth="1"/>
    <col min="7694" max="7694" width="3" customWidth="1"/>
    <col min="7697" max="7697" width="2.7109375" customWidth="1"/>
    <col min="7937" max="7937" width="22" customWidth="1"/>
    <col min="7938" max="7938" width="2.7109375" customWidth="1"/>
    <col min="7941" max="7941" width="2.42578125" customWidth="1"/>
    <col min="7944" max="7944" width="2.42578125" customWidth="1"/>
    <col min="7947" max="7947" width="3.42578125" customWidth="1"/>
    <col min="7950" max="7950" width="3" customWidth="1"/>
    <col min="7953" max="7953" width="2.7109375" customWidth="1"/>
    <col min="8193" max="8193" width="22" customWidth="1"/>
    <col min="8194" max="8194" width="2.7109375" customWidth="1"/>
    <col min="8197" max="8197" width="2.42578125" customWidth="1"/>
    <col min="8200" max="8200" width="2.42578125" customWidth="1"/>
    <col min="8203" max="8203" width="3.42578125" customWidth="1"/>
    <col min="8206" max="8206" width="3" customWidth="1"/>
    <col min="8209" max="8209" width="2.7109375" customWidth="1"/>
    <col min="8449" max="8449" width="22" customWidth="1"/>
    <col min="8450" max="8450" width="2.7109375" customWidth="1"/>
    <col min="8453" max="8453" width="2.42578125" customWidth="1"/>
    <col min="8456" max="8456" width="2.42578125" customWidth="1"/>
    <col min="8459" max="8459" width="3.42578125" customWidth="1"/>
    <col min="8462" max="8462" width="3" customWidth="1"/>
    <col min="8465" max="8465" width="2.7109375" customWidth="1"/>
    <col min="8705" max="8705" width="22" customWidth="1"/>
    <col min="8706" max="8706" width="2.7109375" customWidth="1"/>
    <col min="8709" max="8709" width="2.42578125" customWidth="1"/>
    <col min="8712" max="8712" width="2.42578125" customWidth="1"/>
    <col min="8715" max="8715" width="3.42578125" customWidth="1"/>
    <col min="8718" max="8718" width="3" customWidth="1"/>
    <col min="8721" max="8721" width="2.7109375" customWidth="1"/>
    <col min="8961" max="8961" width="22" customWidth="1"/>
    <col min="8962" max="8962" width="2.7109375" customWidth="1"/>
    <col min="8965" max="8965" width="2.42578125" customWidth="1"/>
    <col min="8968" max="8968" width="2.42578125" customWidth="1"/>
    <col min="8971" max="8971" width="3.42578125" customWidth="1"/>
    <col min="8974" max="8974" width="3" customWidth="1"/>
    <col min="8977" max="8977" width="2.7109375" customWidth="1"/>
    <col min="9217" max="9217" width="22" customWidth="1"/>
    <col min="9218" max="9218" width="2.7109375" customWidth="1"/>
    <col min="9221" max="9221" width="2.42578125" customWidth="1"/>
    <col min="9224" max="9224" width="2.42578125" customWidth="1"/>
    <col min="9227" max="9227" width="3.42578125" customWidth="1"/>
    <col min="9230" max="9230" width="3" customWidth="1"/>
    <col min="9233" max="9233" width="2.7109375" customWidth="1"/>
    <col min="9473" max="9473" width="22" customWidth="1"/>
    <col min="9474" max="9474" width="2.7109375" customWidth="1"/>
    <col min="9477" max="9477" width="2.42578125" customWidth="1"/>
    <col min="9480" max="9480" width="2.42578125" customWidth="1"/>
    <col min="9483" max="9483" width="3.42578125" customWidth="1"/>
    <col min="9486" max="9486" width="3" customWidth="1"/>
    <col min="9489" max="9489" width="2.7109375" customWidth="1"/>
    <col min="9729" max="9729" width="22" customWidth="1"/>
    <col min="9730" max="9730" width="2.7109375" customWidth="1"/>
    <col min="9733" max="9733" width="2.42578125" customWidth="1"/>
    <col min="9736" max="9736" width="2.42578125" customWidth="1"/>
    <col min="9739" max="9739" width="3.42578125" customWidth="1"/>
    <col min="9742" max="9742" width="3" customWidth="1"/>
    <col min="9745" max="9745" width="2.7109375" customWidth="1"/>
    <col min="9985" max="9985" width="22" customWidth="1"/>
    <col min="9986" max="9986" width="2.7109375" customWidth="1"/>
    <col min="9989" max="9989" width="2.42578125" customWidth="1"/>
    <col min="9992" max="9992" width="2.42578125" customWidth="1"/>
    <col min="9995" max="9995" width="3.42578125" customWidth="1"/>
    <col min="9998" max="9998" width="3" customWidth="1"/>
    <col min="10001" max="10001" width="2.7109375" customWidth="1"/>
    <col min="10241" max="10241" width="22" customWidth="1"/>
    <col min="10242" max="10242" width="2.7109375" customWidth="1"/>
    <col min="10245" max="10245" width="2.42578125" customWidth="1"/>
    <col min="10248" max="10248" width="2.42578125" customWidth="1"/>
    <col min="10251" max="10251" width="3.42578125" customWidth="1"/>
    <col min="10254" max="10254" width="3" customWidth="1"/>
    <col min="10257" max="10257" width="2.7109375" customWidth="1"/>
    <col min="10497" max="10497" width="22" customWidth="1"/>
    <col min="10498" max="10498" width="2.7109375" customWidth="1"/>
    <col min="10501" max="10501" width="2.42578125" customWidth="1"/>
    <col min="10504" max="10504" width="2.42578125" customWidth="1"/>
    <col min="10507" max="10507" width="3.42578125" customWidth="1"/>
    <col min="10510" max="10510" width="3" customWidth="1"/>
    <col min="10513" max="10513" width="2.7109375" customWidth="1"/>
    <col min="10753" max="10753" width="22" customWidth="1"/>
    <col min="10754" max="10754" width="2.7109375" customWidth="1"/>
    <col min="10757" max="10757" width="2.42578125" customWidth="1"/>
    <col min="10760" max="10760" width="2.42578125" customWidth="1"/>
    <col min="10763" max="10763" width="3.42578125" customWidth="1"/>
    <col min="10766" max="10766" width="3" customWidth="1"/>
    <col min="10769" max="10769" width="2.7109375" customWidth="1"/>
    <col min="11009" max="11009" width="22" customWidth="1"/>
    <col min="11010" max="11010" width="2.7109375" customWidth="1"/>
    <col min="11013" max="11013" width="2.42578125" customWidth="1"/>
    <col min="11016" max="11016" width="2.42578125" customWidth="1"/>
    <col min="11019" max="11019" width="3.42578125" customWidth="1"/>
    <col min="11022" max="11022" width="3" customWidth="1"/>
    <col min="11025" max="11025" width="2.7109375" customWidth="1"/>
    <col min="11265" max="11265" width="22" customWidth="1"/>
    <col min="11266" max="11266" width="2.7109375" customWidth="1"/>
    <col min="11269" max="11269" width="2.42578125" customWidth="1"/>
    <col min="11272" max="11272" width="2.42578125" customWidth="1"/>
    <col min="11275" max="11275" width="3.42578125" customWidth="1"/>
    <col min="11278" max="11278" width="3" customWidth="1"/>
    <col min="11281" max="11281" width="2.7109375" customWidth="1"/>
    <col min="11521" max="11521" width="22" customWidth="1"/>
    <col min="11522" max="11522" width="2.7109375" customWidth="1"/>
    <col min="11525" max="11525" width="2.42578125" customWidth="1"/>
    <col min="11528" max="11528" width="2.42578125" customWidth="1"/>
    <col min="11531" max="11531" width="3.42578125" customWidth="1"/>
    <col min="11534" max="11534" width="3" customWidth="1"/>
    <col min="11537" max="11537" width="2.7109375" customWidth="1"/>
    <col min="11777" max="11777" width="22" customWidth="1"/>
    <col min="11778" max="11778" width="2.7109375" customWidth="1"/>
    <col min="11781" max="11781" width="2.42578125" customWidth="1"/>
    <col min="11784" max="11784" width="2.42578125" customWidth="1"/>
    <col min="11787" max="11787" width="3.42578125" customWidth="1"/>
    <col min="11790" max="11790" width="3" customWidth="1"/>
    <col min="11793" max="11793" width="2.7109375" customWidth="1"/>
    <col min="12033" max="12033" width="22" customWidth="1"/>
    <col min="12034" max="12034" width="2.7109375" customWidth="1"/>
    <col min="12037" max="12037" width="2.42578125" customWidth="1"/>
    <col min="12040" max="12040" width="2.42578125" customWidth="1"/>
    <col min="12043" max="12043" width="3.42578125" customWidth="1"/>
    <col min="12046" max="12046" width="3" customWidth="1"/>
    <col min="12049" max="12049" width="2.7109375" customWidth="1"/>
    <col min="12289" max="12289" width="22" customWidth="1"/>
    <col min="12290" max="12290" width="2.7109375" customWidth="1"/>
    <col min="12293" max="12293" width="2.42578125" customWidth="1"/>
    <col min="12296" max="12296" width="2.42578125" customWidth="1"/>
    <col min="12299" max="12299" width="3.42578125" customWidth="1"/>
    <col min="12302" max="12302" width="3" customWidth="1"/>
    <col min="12305" max="12305" width="2.7109375" customWidth="1"/>
    <col min="12545" max="12545" width="22" customWidth="1"/>
    <col min="12546" max="12546" width="2.7109375" customWidth="1"/>
    <col min="12549" max="12549" width="2.42578125" customWidth="1"/>
    <col min="12552" max="12552" width="2.42578125" customWidth="1"/>
    <col min="12555" max="12555" width="3.42578125" customWidth="1"/>
    <col min="12558" max="12558" width="3" customWidth="1"/>
    <col min="12561" max="12561" width="2.7109375" customWidth="1"/>
    <col min="12801" max="12801" width="22" customWidth="1"/>
    <col min="12802" max="12802" width="2.7109375" customWidth="1"/>
    <col min="12805" max="12805" width="2.42578125" customWidth="1"/>
    <col min="12808" max="12808" width="2.42578125" customWidth="1"/>
    <col min="12811" max="12811" width="3.42578125" customWidth="1"/>
    <col min="12814" max="12814" width="3" customWidth="1"/>
    <col min="12817" max="12817" width="2.7109375" customWidth="1"/>
    <col min="13057" max="13057" width="22" customWidth="1"/>
    <col min="13058" max="13058" width="2.7109375" customWidth="1"/>
    <col min="13061" max="13061" width="2.42578125" customWidth="1"/>
    <col min="13064" max="13064" width="2.42578125" customWidth="1"/>
    <col min="13067" max="13067" width="3.42578125" customWidth="1"/>
    <col min="13070" max="13070" width="3" customWidth="1"/>
    <col min="13073" max="13073" width="2.7109375" customWidth="1"/>
    <col min="13313" max="13313" width="22" customWidth="1"/>
    <col min="13314" max="13314" width="2.7109375" customWidth="1"/>
    <col min="13317" max="13317" width="2.42578125" customWidth="1"/>
    <col min="13320" max="13320" width="2.42578125" customWidth="1"/>
    <col min="13323" max="13323" width="3.42578125" customWidth="1"/>
    <col min="13326" max="13326" width="3" customWidth="1"/>
    <col min="13329" max="13329" width="2.7109375" customWidth="1"/>
    <col min="13569" max="13569" width="22" customWidth="1"/>
    <col min="13570" max="13570" width="2.7109375" customWidth="1"/>
    <col min="13573" max="13573" width="2.42578125" customWidth="1"/>
    <col min="13576" max="13576" width="2.42578125" customWidth="1"/>
    <col min="13579" max="13579" width="3.42578125" customWidth="1"/>
    <col min="13582" max="13582" width="3" customWidth="1"/>
    <col min="13585" max="13585" width="2.7109375" customWidth="1"/>
    <col min="13825" max="13825" width="22" customWidth="1"/>
    <col min="13826" max="13826" width="2.7109375" customWidth="1"/>
    <col min="13829" max="13829" width="2.42578125" customWidth="1"/>
    <col min="13832" max="13832" width="2.42578125" customWidth="1"/>
    <col min="13835" max="13835" width="3.42578125" customWidth="1"/>
    <col min="13838" max="13838" width="3" customWidth="1"/>
    <col min="13841" max="13841" width="2.7109375" customWidth="1"/>
    <col min="14081" max="14081" width="22" customWidth="1"/>
    <col min="14082" max="14082" width="2.7109375" customWidth="1"/>
    <col min="14085" max="14085" width="2.42578125" customWidth="1"/>
    <col min="14088" max="14088" width="2.42578125" customWidth="1"/>
    <col min="14091" max="14091" width="3.42578125" customWidth="1"/>
    <col min="14094" max="14094" width="3" customWidth="1"/>
    <col min="14097" max="14097" width="2.7109375" customWidth="1"/>
    <col min="14337" max="14337" width="22" customWidth="1"/>
    <col min="14338" max="14338" width="2.7109375" customWidth="1"/>
    <col min="14341" max="14341" width="2.42578125" customWidth="1"/>
    <col min="14344" max="14344" width="2.42578125" customWidth="1"/>
    <col min="14347" max="14347" width="3.42578125" customWidth="1"/>
    <col min="14350" max="14350" width="3" customWidth="1"/>
    <col min="14353" max="14353" width="2.7109375" customWidth="1"/>
    <col min="14593" max="14593" width="22" customWidth="1"/>
    <col min="14594" max="14594" width="2.7109375" customWidth="1"/>
    <col min="14597" max="14597" width="2.42578125" customWidth="1"/>
    <col min="14600" max="14600" width="2.42578125" customWidth="1"/>
    <col min="14603" max="14603" width="3.42578125" customWidth="1"/>
    <col min="14606" max="14606" width="3" customWidth="1"/>
    <col min="14609" max="14609" width="2.7109375" customWidth="1"/>
    <col min="14849" max="14849" width="22" customWidth="1"/>
    <col min="14850" max="14850" width="2.7109375" customWidth="1"/>
    <col min="14853" max="14853" width="2.42578125" customWidth="1"/>
    <col min="14856" max="14856" width="2.42578125" customWidth="1"/>
    <col min="14859" max="14859" width="3.42578125" customWidth="1"/>
    <col min="14862" max="14862" width="3" customWidth="1"/>
    <col min="14865" max="14865" width="2.7109375" customWidth="1"/>
    <col min="15105" max="15105" width="22" customWidth="1"/>
    <col min="15106" max="15106" width="2.7109375" customWidth="1"/>
    <col min="15109" max="15109" width="2.42578125" customWidth="1"/>
    <col min="15112" max="15112" width="2.42578125" customWidth="1"/>
    <col min="15115" max="15115" width="3.42578125" customWidth="1"/>
    <col min="15118" max="15118" width="3" customWidth="1"/>
    <col min="15121" max="15121" width="2.7109375" customWidth="1"/>
    <col min="15361" max="15361" width="22" customWidth="1"/>
    <col min="15362" max="15362" width="2.7109375" customWidth="1"/>
    <col min="15365" max="15365" width="2.42578125" customWidth="1"/>
    <col min="15368" max="15368" width="2.42578125" customWidth="1"/>
    <col min="15371" max="15371" width="3.42578125" customWidth="1"/>
    <col min="15374" max="15374" width="3" customWidth="1"/>
    <col min="15377" max="15377" width="2.7109375" customWidth="1"/>
    <col min="15617" max="15617" width="22" customWidth="1"/>
    <col min="15618" max="15618" width="2.7109375" customWidth="1"/>
    <col min="15621" max="15621" width="2.42578125" customWidth="1"/>
    <col min="15624" max="15624" width="2.42578125" customWidth="1"/>
    <col min="15627" max="15627" width="3.42578125" customWidth="1"/>
    <col min="15630" max="15630" width="3" customWidth="1"/>
    <col min="15633" max="15633" width="2.7109375" customWidth="1"/>
    <col min="15873" max="15873" width="22" customWidth="1"/>
    <col min="15874" max="15874" width="2.7109375" customWidth="1"/>
    <col min="15877" max="15877" width="2.42578125" customWidth="1"/>
    <col min="15880" max="15880" width="2.42578125" customWidth="1"/>
    <col min="15883" max="15883" width="3.42578125" customWidth="1"/>
    <col min="15886" max="15886" width="3" customWidth="1"/>
    <col min="15889" max="15889" width="2.7109375" customWidth="1"/>
    <col min="16129" max="16129" width="22" customWidth="1"/>
    <col min="16130" max="16130" width="2.7109375" customWidth="1"/>
    <col min="16133" max="16133" width="2.42578125" customWidth="1"/>
    <col min="16136" max="16136" width="2.42578125" customWidth="1"/>
    <col min="16139" max="16139" width="3.42578125" customWidth="1"/>
    <col min="16142" max="16142" width="3" customWidth="1"/>
    <col min="16145" max="16145" width="2.7109375" customWidth="1"/>
  </cols>
  <sheetData>
    <row r="1" spans="1:17">
      <c r="A1" t="s">
        <v>253</v>
      </c>
    </row>
    <row r="2" spans="1:17">
      <c r="A2" t="s">
        <v>496</v>
      </c>
    </row>
    <row r="3" spans="1:17">
      <c r="A3" t="s">
        <v>497</v>
      </c>
    </row>
    <row r="5" spans="1:17">
      <c r="A5" s="42" t="s">
        <v>498</v>
      </c>
    </row>
    <row r="7" spans="1:17" ht="15.75" thickBot="1">
      <c r="E7" s="60"/>
      <c r="H7" s="60"/>
      <c r="K7" s="60"/>
      <c r="N7" s="60"/>
      <c r="Q7" s="60"/>
    </row>
    <row r="8" spans="1:17">
      <c r="A8" s="6"/>
      <c r="B8" s="6"/>
      <c r="C8" s="68"/>
      <c r="D8" s="38"/>
      <c r="F8" s="68"/>
      <c r="G8" s="38"/>
      <c r="I8" s="68"/>
      <c r="J8" s="38"/>
      <c r="L8" s="68"/>
      <c r="M8" s="38"/>
      <c r="O8" s="68"/>
      <c r="P8" s="38"/>
    </row>
    <row r="9" spans="1:17">
      <c r="A9" s="102" t="s">
        <v>499</v>
      </c>
      <c r="C9" s="1274">
        <v>2013</v>
      </c>
      <c r="D9" s="1274"/>
      <c r="F9" s="1274">
        <v>2014</v>
      </c>
      <c r="G9" s="1274"/>
      <c r="I9" s="1274">
        <v>2015</v>
      </c>
      <c r="J9" s="1274"/>
      <c r="L9" s="1274">
        <v>2016</v>
      </c>
      <c r="M9" s="1274"/>
      <c r="O9" s="1274">
        <v>2017</v>
      </c>
      <c r="P9" s="1274"/>
    </row>
    <row r="10" spans="1:17">
      <c r="A10" s="102" t="s">
        <v>500</v>
      </c>
      <c r="C10" s="99" t="s">
        <v>9</v>
      </c>
      <c r="D10" s="56" t="s">
        <v>10</v>
      </c>
      <c r="F10" s="99" t="s">
        <v>9</v>
      </c>
      <c r="G10" s="56" t="s">
        <v>10</v>
      </c>
      <c r="I10" s="99" t="s">
        <v>9</v>
      </c>
      <c r="J10" s="56" t="s">
        <v>10</v>
      </c>
      <c r="L10" s="99" t="s">
        <v>9</v>
      </c>
      <c r="M10" s="56" t="s">
        <v>10</v>
      </c>
      <c r="O10" s="99" t="s">
        <v>9</v>
      </c>
      <c r="P10" s="56" t="s">
        <v>10</v>
      </c>
    </row>
    <row r="11" spans="1:17" ht="15.75" thickBot="1">
      <c r="A11" s="15"/>
      <c r="B11" s="15"/>
      <c r="C11" s="77"/>
      <c r="D11" s="60"/>
      <c r="E11" s="60"/>
      <c r="F11" s="77"/>
      <c r="G11" s="60"/>
      <c r="H11" s="60"/>
      <c r="I11" s="77"/>
      <c r="J11" s="60"/>
      <c r="K11" s="60"/>
      <c r="L11" s="77"/>
      <c r="M11" s="60"/>
      <c r="N11" s="60"/>
      <c r="O11" s="77"/>
      <c r="P11" s="60"/>
      <c r="Q11" s="60"/>
    </row>
    <row r="12" spans="1:17">
      <c r="C12" s="31"/>
      <c r="D12" s="43"/>
      <c r="F12" s="31"/>
      <c r="G12" s="43"/>
      <c r="I12" s="31"/>
      <c r="J12" s="43"/>
      <c r="L12" s="31"/>
      <c r="M12" s="43"/>
      <c r="O12" s="31"/>
      <c r="P12" s="43"/>
    </row>
    <row r="13" spans="1:17">
      <c r="A13" s="103" t="s">
        <v>501</v>
      </c>
      <c r="C13" s="31">
        <f>SUM(C15:C21)</f>
        <v>131620.4571</v>
      </c>
      <c r="D13" s="43">
        <f>SUM(D14:D21)</f>
        <v>99.999999999999986</v>
      </c>
      <c r="F13" s="31">
        <f>SUM(F15:F21)</f>
        <v>132270.06519999998</v>
      </c>
      <c r="G13" s="43">
        <f>SUM(G14:G21)</f>
        <v>100</v>
      </c>
      <c r="I13" s="31">
        <f>SUM(I15:I21)</f>
        <v>124606.38375000001</v>
      </c>
      <c r="J13" s="43">
        <f>SUM(J14:J21)</f>
        <v>100</v>
      </c>
      <c r="L13" s="31">
        <f>SUM(L15:L21)</f>
        <v>122239.73097</v>
      </c>
      <c r="M13" s="43">
        <f>SUM(M14:M21)</f>
        <v>100</v>
      </c>
      <c r="O13" s="31">
        <f>SUM(O15:O21)</f>
        <v>126089.47742</v>
      </c>
      <c r="P13" s="43">
        <f>SUM(P14:P21)</f>
        <v>100</v>
      </c>
    </row>
    <row r="14" spans="1:17">
      <c r="A14" s="24"/>
      <c r="C14" s="31"/>
      <c r="D14" s="43" t="str">
        <f t="shared" ref="D14:D21" si="0">IF($A14&lt;&gt;0,C14/C$13*100,"")</f>
        <v/>
      </c>
      <c r="F14" s="31"/>
      <c r="G14" s="43" t="str">
        <f>IF($A14&lt;&gt;0,F14/F$13*100,"")</f>
        <v/>
      </c>
      <c r="I14" s="31"/>
      <c r="J14" s="43" t="str">
        <f>IF($A14&lt;&gt;0,I14/I$13*100,"")</f>
        <v/>
      </c>
      <c r="L14" s="31"/>
      <c r="M14" s="43" t="str">
        <f>IF($A14&lt;&gt;0,L14/L$13*100,"")</f>
        <v/>
      </c>
      <c r="O14" s="31"/>
      <c r="P14" s="43" t="str">
        <f>IF($A14&lt;&gt;0,O14/O$13*100,"")</f>
        <v/>
      </c>
    </row>
    <row r="15" spans="1:17">
      <c r="A15" s="104" t="s">
        <v>502</v>
      </c>
      <c r="C15" s="31">
        <v>92336.127099999998</v>
      </c>
      <c r="D15" s="43">
        <f>IF($A15&lt;&gt;0,C15/C$13*100,"")</f>
        <v>70.153325048739703</v>
      </c>
      <c r="F15" s="31">
        <v>93036.595199999996</v>
      </c>
      <c r="G15" s="43">
        <f>IF($A15&lt;&gt;0,F15/F$13*100,"")</f>
        <v>70.33836042896273</v>
      </c>
      <c r="I15" s="31">
        <v>86974.033750000002</v>
      </c>
      <c r="J15" s="43">
        <f>IF($A15&lt;&gt;0,I15/I$13*100,"")</f>
        <v>69.799019225610095</v>
      </c>
      <c r="L15" s="31">
        <v>84003.720969999995</v>
      </c>
      <c r="M15" s="43">
        <f>IF($A15&lt;&gt;0,L15/L$13*100,"")</f>
        <v>68.720472716531205</v>
      </c>
      <c r="O15" s="31">
        <v>87833.927419999993</v>
      </c>
      <c r="P15" s="43">
        <f>IF($A15&lt;&gt;0,O15/O$13*100,"")</f>
        <v>69.65999797701437</v>
      </c>
    </row>
    <row r="16" spans="1:17">
      <c r="A16" s="103"/>
      <c r="C16" s="31"/>
      <c r="D16" s="43" t="str">
        <f t="shared" si="0"/>
        <v/>
      </c>
      <c r="F16" s="31"/>
      <c r="G16" s="43" t="str">
        <f t="shared" ref="G16:G21" si="1">IF($A16&lt;&gt;0,F16/F$13*100,"")</f>
        <v/>
      </c>
      <c r="I16" s="31"/>
      <c r="J16" s="43" t="str">
        <f t="shared" ref="J16:J21" si="2">IF($A16&lt;&gt;0,I16/I$13*100,"")</f>
        <v/>
      </c>
      <c r="L16" s="31"/>
      <c r="M16" s="43" t="str">
        <f t="shared" ref="M16:M21" si="3">IF($A16&lt;&gt;0,L16/L$13*100,"")</f>
        <v/>
      </c>
      <c r="O16" s="31"/>
      <c r="P16" s="43" t="str">
        <f t="shared" ref="P16:P21" si="4">IF($A16&lt;&gt;0,O16/O$13*100,"")</f>
        <v/>
      </c>
    </row>
    <row r="17" spans="1:17">
      <c r="A17" s="104" t="s">
        <v>503</v>
      </c>
      <c r="C17" s="31">
        <v>12359.7</v>
      </c>
      <c r="D17" s="43">
        <f t="shared" si="0"/>
        <v>9.3904095703068347</v>
      </c>
      <c r="F17" s="31">
        <v>12846.34</v>
      </c>
      <c r="G17" s="43">
        <f t="shared" si="1"/>
        <v>9.7122050862949152</v>
      </c>
      <c r="I17" s="31">
        <v>13278.3</v>
      </c>
      <c r="J17" s="43">
        <f t="shared" si="2"/>
        <v>10.656195614054965</v>
      </c>
      <c r="L17" s="31">
        <v>13770.849999999999</v>
      </c>
      <c r="M17" s="43">
        <f t="shared" si="3"/>
        <v>11.265445277672962</v>
      </c>
      <c r="O17" s="31">
        <v>13400.17</v>
      </c>
      <c r="P17" s="43">
        <f t="shared" si="4"/>
        <v>10.627508555186143</v>
      </c>
    </row>
    <row r="18" spans="1:17">
      <c r="A18" s="103"/>
      <c r="C18" s="31"/>
      <c r="D18" s="43" t="str">
        <f t="shared" si="0"/>
        <v/>
      </c>
      <c r="F18" s="31"/>
      <c r="G18" s="43" t="str">
        <f t="shared" si="1"/>
        <v/>
      </c>
      <c r="I18" s="31"/>
      <c r="J18" s="43" t="str">
        <f t="shared" si="2"/>
        <v/>
      </c>
      <c r="L18" s="31"/>
      <c r="M18" s="43" t="str">
        <f t="shared" si="3"/>
        <v/>
      </c>
      <c r="O18" s="31"/>
      <c r="P18" s="43" t="str">
        <f t="shared" si="4"/>
        <v/>
      </c>
    </row>
    <row r="19" spans="1:17">
      <c r="A19" s="104" t="s">
        <v>504</v>
      </c>
      <c r="C19" s="31">
        <v>6731.35</v>
      </c>
      <c r="D19" s="43">
        <f t="shared" si="0"/>
        <v>5.1142125990990808</v>
      </c>
      <c r="F19" s="31">
        <v>6675</v>
      </c>
      <c r="G19" s="43">
        <f t="shared" si="1"/>
        <v>5.0464933164635655</v>
      </c>
      <c r="I19" s="31">
        <v>6794</v>
      </c>
      <c r="J19" s="43">
        <f t="shared" si="2"/>
        <v>5.4523691287205018</v>
      </c>
      <c r="L19" s="31">
        <v>6813.25</v>
      </c>
      <c r="M19" s="43">
        <f t="shared" si="3"/>
        <v>5.5736788243358486</v>
      </c>
      <c r="O19" s="31">
        <v>7071.5</v>
      </c>
      <c r="P19" s="43">
        <f t="shared" si="4"/>
        <v>5.6083189055063345</v>
      </c>
    </row>
    <row r="20" spans="1:17">
      <c r="A20" s="103"/>
      <c r="C20" s="31"/>
      <c r="D20" s="43" t="str">
        <f t="shared" si="0"/>
        <v/>
      </c>
      <c r="F20" s="31"/>
      <c r="G20" s="43" t="str">
        <f t="shared" si="1"/>
        <v/>
      </c>
      <c r="I20" s="31"/>
      <c r="J20" s="43" t="str">
        <f t="shared" si="2"/>
        <v/>
      </c>
      <c r="L20" s="31"/>
      <c r="M20" s="43" t="str">
        <f t="shared" si="3"/>
        <v/>
      </c>
      <c r="O20" s="31"/>
      <c r="P20" s="43" t="str">
        <f t="shared" si="4"/>
        <v/>
      </c>
    </row>
    <row r="21" spans="1:17">
      <c r="A21" s="104" t="s">
        <v>505</v>
      </c>
      <c r="C21" s="31">
        <v>20193.28</v>
      </c>
      <c r="D21" s="43">
        <f t="shared" si="0"/>
        <v>15.342052781854379</v>
      </c>
      <c r="F21" s="31">
        <v>19712.13</v>
      </c>
      <c r="G21" s="43">
        <f t="shared" si="1"/>
        <v>14.902941168278794</v>
      </c>
      <c r="I21" s="31">
        <v>17560.05</v>
      </c>
      <c r="J21" s="43">
        <f t="shared" si="2"/>
        <v>14.09241603161443</v>
      </c>
      <c r="L21" s="31">
        <v>17651.910000000003</v>
      </c>
      <c r="M21" s="43">
        <f t="shared" si="3"/>
        <v>14.440403181459981</v>
      </c>
      <c r="O21" s="31">
        <v>17783.88</v>
      </c>
      <c r="P21" s="43">
        <f t="shared" si="4"/>
        <v>14.104174562293148</v>
      </c>
    </row>
    <row r="22" spans="1:17" ht="15.75" thickBot="1">
      <c r="A22" s="105"/>
      <c r="B22" s="15"/>
      <c r="C22" s="60"/>
      <c r="D22" s="60"/>
      <c r="E22" s="60"/>
      <c r="F22" s="60"/>
      <c r="G22" s="60"/>
      <c r="H22" s="60"/>
      <c r="I22" s="60"/>
      <c r="J22" s="60"/>
      <c r="K22" s="60"/>
      <c r="L22" s="60"/>
      <c r="M22" s="60"/>
      <c r="N22" s="60"/>
      <c r="O22" s="60"/>
      <c r="P22" s="60"/>
      <c r="Q22" s="60"/>
    </row>
    <row r="23" spans="1:17">
      <c r="A23" s="24"/>
    </row>
    <row r="24" spans="1:17">
      <c r="A24" s="103" t="s">
        <v>506</v>
      </c>
    </row>
    <row r="25" spans="1:17">
      <c r="A25" s="103" t="s">
        <v>507</v>
      </c>
    </row>
    <row r="27" spans="1:17">
      <c r="A27" t="s">
        <v>508</v>
      </c>
    </row>
    <row r="28" spans="1:17">
      <c r="A28" t="s">
        <v>365</v>
      </c>
    </row>
  </sheetData>
  <mergeCells count="5">
    <mergeCell ref="C9:D9"/>
    <mergeCell ref="F9:G9"/>
    <mergeCell ref="I9:J9"/>
    <mergeCell ref="L9:M9"/>
    <mergeCell ref="O9:P9"/>
  </mergeCells>
  <printOptions horizontalCentered="1" verticalCentered="1"/>
  <pageMargins left="0.70866141732283472" right="0.70866141732283472" top="0.74803149606299213" bottom="0.74803149606299213" header="0.31496062992125984" footer="0.31496062992125984"/>
  <pageSetup paperSize="9" scale="85" orientation="landscape" r:id="rId1"/>
  <drawing r:id="rId2"/>
</worksheet>
</file>

<file path=xl/worksheets/sheet26.xml><?xml version="1.0" encoding="utf-8"?>
<worksheet xmlns="http://schemas.openxmlformats.org/spreadsheetml/2006/main" xmlns:r="http://schemas.openxmlformats.org/officeDocument/2006/relationships">
  <sheetPr>
    <tabColor theme="5" tint="0.59999389629810485"/>
  </sheetPr>
  <dimension ref="B2:J9"/>
  <sheetViews>
    <sheetView topLeftCell="A4" workbookViewId="0">
      <selection activeCell="K33" sqref="K33"/>
    </sheetView>
  </sheetViews>
  <sheetFormatPr baseColWidth="10" defaultRowHeight="15"/>
  <sheetData>
    <row r="2" spans="2:10">
      <c r="B2" s="31"/>
      <c r="C2" s="31"/>
      <c r="D2" s="31"/>
      <c r="E2" s="31"/>
      <c r="F2" s="31"/>
    </row>
    <row r="3" spans="2:10">
      <c r="C3" s="42" t="s">
        <v>12</v>
      </c>
      <c r="D3" s="42" t="s">
        <v>86</v>
      </c>
      <c r="E3" s="42" t="s">
        <v>150</v>
      </c>
      <c r="F3" s="42" t="s">
        <v>310</v>
      </c>
      <c r="J3" s="43"/>
    </row>
    <row r="4" spans="2:10">
      <c r="B4">
        <v>2013</v>
      </c>
      <c r="C4" s="31">
        <v>66.31</v>
      </c>
      <c r="D4" s="31">
        <v>9.9</v>
      </c>
      <c r="E4" s="31">
        <v>5.72</v>
      </c>
      <c r="F4" s="31">
        <v>18.07</v>
      </c>
      <c r="H4" s="31"/>
      <c r="J4" s="43"/>
    </row>
    <row r="5" spans="2:10">
      <c r="B5">
        <v>2014</v>
      </c>
      <c r="C5" s="31">
        <v>70.153325048739703</v>
      </c>
      <c r="D5" s="31">
        <v>9.3904095703068347</v>
      </c>
      <c r="E5" s="31">
        <v>5.1142125990990808</v>
      </c>
      <c r="F5" s="31">
        <v>15.342052781854379</v>
      </c>
      <c r="G5" s="31"/>
      <c r="H5" s="31"/>
      <c r="J5" s="43"/>
    </row>
    <row r="6" spans="2:10">
      <c r="B6">
        <v>2015</v>
      </c>
      <c r="C6" s="31">
        <v>69.8</v>
      </c>
      <c r="D6" s="31">
        <v>10.66</v>
      </c>
      <c r="E6" s="31">
        <v>5.45</v>
      </c>
      <c r="F6" s="31">
        <v>14.09</v>
      </c>
      <c r="H6" s="31"/>
      <c r="J6" s="43"/>
    </row>
    <row r="7" spans="2:10">
      <c r="B7">
        <v>2016</v>
      </c>
      <c r="C7" s="31">
        <v>68.72</v>
      </c>
      <c r="D7" s="31">
        <v>11.27</v>
      </c>
      <c r="E7" s="31">
        <v>5.57</v>
      </c>
      <c r="F7" s="31">
        <v>14.44</v>
      </c>
      <c r="H7" s="31"/>
      <c r="J7" s="43"/>
    </row>
    <row r="8" spans="2:10">
      <c r="B8">
        <v>2017</v>
      </c>
      <c r="C8" s="31">
        <v>69.66</v>
      </c>
      <c r="D8" s="31">
        <v>10.63</v>
      </c>
      <c r="E8" s="31">
        <v>5.61</v>
      </c>
      <c r="F8" s="31">
        <v>14.1</v>
      </c>
    </row>
    <row r="9" spans="2:10">
      <c r="H9"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sheetPr>
    <tabColor rgb="FFFFFF00"/>
  </sheetPr>
  <dimension ref="A1:B8"/>
  <sheetViews>
    <sheetView workbookViewId="0">
      <selection activeCell="B15" sqref="B15"/>
    </sheetView>
  </sheetViews>
  <sheetFormatPr baseColWidth="10" defaultRowHeight="15"/>
  <cols>
    <col min="1" max="1" width="14.85546875" customWidth="1"/>
    <col min="2" max="2" width="110.140625" customWidth="1"/>
  </cols>
  <sheetData>
    <row r="1" spans="1:2" ht="15.75">
      <c r="A1" s="28" t="s">
        <v>251</v>
      </c>
    </row>
    <row r="2" spans="1:2" ht="15.75">
      <c r="A2" s="26" t="s">
        <v>513</v>
      </c>
    </row>
    <row r="3" spans="1:2">
      <c r="A3" s="25"/>
    </row>
    <row r="4" spans="1:2" ht="15.75">
      <c r="A4" s="27" t="s">
        <v>514</v>
      </c>
      <c r="B4" s="29" t="s">
        <v>515</v>
      </c>
    </row>
    <row r="5" spans="1:2" ht="15.75">
      <c r="A5" s="27" t="s">
        <v>516</v>
      </c>
      <c r="B5" s="29" t="s">
        <v>517</v>
      </c>
    </row>
    <row r="6" spans="1:2" ht="15.75">
      <c r="A6" s="27" t="s">
        <v>518</v>
      </c>
      <c r="B6" s="29" t="s">
        <v>519</v>
      </c>
    </row>
    <row r="7" spans="1:2" ht="15.75">
      <c r="A7" s="27" t="s">
        <v>520</v>
      </c>
      <c r="B7" s="29" t="s">
        <v>521</v>
      </c>
    </row>
    <row r="8" spans="1:2" ht="15.75">
      <c r="A8" s="27"/>
      <c r="B8" s="27"/>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dimension ref="A1:AH256"/>
  <sheetViews>
    <sheetView topLeftCell="B1" zoomScaleNormal="100" workbookViewId="0">
      <selection activeCell="B259" sqref="B259"/>
    </sheetView>
  </sheetViews>
  <sheetFormatPr baseColWidth="10" defaultColWidth="8" defaultRowHeight="12.75"/>
  <cols>
    <col min="1" max="1" width="7.42578125" style="106" hidden="1" customWidth="1"/>
    <col min="2" max="2" width="59.85546875" style="106" customWidth="1"/>
    <col min="3" max="4" width="18.7109375" style="106" hidden="1" customWidth="1"/>
    <col min="5" max="5" width="13.85546875" style="106" hidden="1" customWidth="1"/>
    <col min="6" max="6" width="8.42578125" style="106" hidden="1" customWidth="1"/>
    <col min="7" max="7" width="2.7109375" style="106" hidden="1" customWidth="1"/>
    <col min="8" max="8" width="14.7109375" style="106" hidden="1" customWidth="1"/>
    <col min="9" max="9" width="8.140625" style="106" hidden="1" customWidth="1"/>
    <col min="10" max="10" width="9.42578125" style="106" hidden="1" customWidth="1"/>
    <col min="11" max="11" width="2.7109375" style="106" hidden="1" customWidth="1"/>
    <col min="12" max="12" width="13.7109375" style="106" hidden="1" customWidth="1"/>
    <col min="13" max="13" width="8.28515625" style="106" hidden="1" customWidth="1"/>
    <col min="14" max="14" width="9.5703125" style="106" hidden="1" customWidth="1"/>
    <col min="15" max="15" width="2.7109375" style="106" customWidth="1"/>
    <col min="16" max="16" width="13.7109375" style="167" customWidth="1"/>
    <col min="17" max="17" width="8" style="167" customWidth="1"/>
    <col min="18" max="18" width="8.140625" style="167" customWidth="1"/>
    <col min="19" max="19" width="2.7109375" style="167" customWidth="1"/>
    <col min="20" max="20" width="14.28515625" style="4" customWidth="1"/>
    <col min="21" max="21" width="8.28515625" style="4" customWidth="1"/>
    <col min="22" max="22" width="8.7109375" style="4" customWidth="1"/>
    <col min="23" max="23" width="2.7109375" style="4" customWidth="1"/>
    <col min="24" max="24" width="14.42578125" style="4" customWidth="1"/>
    <col min="25" max="25" width="9" style="4" customWidth="1"/>
    <col min="26" max="26" width="8.7109375" style="4" customWidth="1"/>
    <col min="27" max="27" width="2.7109375" style="4" customWidth="1"/>
    <col min="28" max="28" width="13.42578125" style="4" customWidth="1"/>
    <col min="29" max="30" width="8" style="4" customWidth="1"/>
    <col min="31" max="31" width="2.140625" style="4" customWidth="1"/>
    <col min="32" max="32" width="13.85546875" style="4" customWidth="1"/>
    <col min="33" max="33" width="6.140625" style="4" customWidth="1"/>
    <col min="34" max="34" width="6.28515625" style="4" customWidth="1"/>
    <col min="35" max="256" width="8" style="4"/>
    <col min="257" max="257" width="0" style="4" hidden="1" customWidth="1"/>
    <col min="258" max="258" width="59.85546875" style="4" customWidth="1"/>
    <col min="259" max="270" width="0" style="4" hidden="1" customWidth="1"/>
    <col min="271" max="271" width="2.7109375" style="4" customWidth="1"/>
    <col min="272" max="272" width="13.7109375" style="4" customWidth="1"/>
    <col min="273" max="273" width="8" style="4" customWidth="1"/>
    <col min="274" max="274" width="8.140625" style="4" customWidth="1"/>
    <col min="275" max="275" width="2.7109375" style="4" customWidth="1"/>
    <col min="276" max="276" width="14.28515625" style="4" customWidth="1"/>
    <col min="277" max="277" width="8.28515625" style="4" customWidth="1"/>
    <col min="278" max="278" width="8.7109375" style="4" customWidth="1"/>
    <col min="279" max="279" width="2.7109375" style="4" customWidth="1"/>
    <col min="280" max="280" width="14.42578125" style="4" customWidth="1"/>
    <col min="281" max="281" width="9" style="4" customWidth="1"/>
    <col min="282" max="282" width="8.7109375" style="4" customWidth="1"/>
    <col min="283" max="283" width="2.7109375" style="4" customWidth="1"/>
    <col min="284" max="284" width="13.42578125" style="4" customWidth="1"/>
    <col min="285" max="286" width="8" style="4" customWidth="1"/>
    <col min="287" max="287" width="2.140625" style="4" customWidth="1"/>
    <col min="288" max="288" width="13.85546875" style="4" customWidth="1"/>
    <col min="289" max="289" width="6.140625" style="4" customWidth="1"/>
    <col min="290" max="290" width="6.28515625" style="4" customWidth="1"/>
    <col min="291" max="512" width="8" style="4"/>
    <col min="513" max="513" width="0" style="4" hidden="1" customWidth="1"/>
    <col min="514" max="514" width="59.85546875" style="4" customWidth="1"/>
    <col min="515" max="526" width="0" style="4" hidden="1" customWidth="1"/>
    <col min="527" max="527" width="2.7109375" style="4" customWidth="1"/>
    <col min="528" max="528" width="13.7109375" style="4" customWidth="1"/>
    <col min="529" max="529" width="8" style="4" customWidth="1"/>
    <col min="530" max="530" width="8.140625" style="4" customWidth="1"/>
    <col min="531" max="531" width="2.7109375" style="4" customWidth="1"/>
    <col min="532" max="532" width="14.28515625" style="4" customWidth="1"/>
    <col min="533" max="533" width="8.28515625" style="4" customWidth="1"/>
    <col min="534" max="534" width="8.7109375" style="4" customWidth="1"/>
    <col min="535" max="535" width="2.7109375" style="4" customWidth="1"/>
    <col min="536" max="536" width="14.42578125" style="4" customWidth="1"/>
    <col min="537" max="537" width="9" style="4" customWidth="1"/>
    <col min="538" max="538" width="8.7109375" style="4" customWidth="1"/>
    <col min="539" max="539" width="2.7109375" style="4" customWidth="1"/>
    <col min="540" max="540" width="13.42578125" style="4" customWidth="1"/>
    <col min="541" max="542" width="8" style="4" customWidth="1"/>
    <col min="543" max="543" width="2.140625" style="4" customWidth="1"/>
    <col min="544" max="544" width="13.85546875" style="4" customWidth="1"/>
    <col min="545" max="545" width="6.140625" style="4" customWidth="1"/>
    <col min="546" max="546" width="6.28515625" style="4" customWidth="1"/>
    <col min="547" max="768" width="8" style="4"/>
    <col min="769" max="769" width="0" style="4" hidden="1" customWidth="1"/>
    <col min="770" max="770" width="59.85546875" style="4" customWidth="1"/>
    <col min="771" max="782" width="0" style="4" hidden="1" customWidth="1"/>
    <col min="783" max="783" width="2.7109375" style="4" customWidth="1"/>
    <col min="784" max="784" width="13.7109375" style="4" customWidth="1"/>
    <col min="785" max="785" width="8" style="4" customWidth="1"/>
    <col min="786" max="786" width="8.140625" style="4" customWidth="1"/>
    <col min="787" max="787" width="2.7109375" style="4" customWidth="1"/>
    <col min="788" max="788" width="14.28515625" style="4" customWidth="1"/>
    <col min="789" max="789" width="8.28515625" style="4" customWidth="1"/>
    <col min="790" max="790" width="8.7109375" style="4" customWidth="1"/>
    <col min="791" max="791" width="2.7109375" style="4" customWidth="1"/>
    <col min="792" max="792" width="14.42578125" style="4" customWidth="1"/>
    <col min="793" max="793" width="9" style="4" customWidth="1"/>
    <col min="794" max="794" width="8.7109375" style="4" customWidth="1"/>
    <col min="795" max="795" width="2.7109375" style="4" customWidth="1"/>
    <col min="796" max="796" width="13.42578125" style="4" customWidth="1"/>
    <col min="797" max="798" width="8" style="4" customWidth="1"/>
    <col min="799" max="799" width="2.140625" style="4" customWidth="1"/>
    <col min="800" max="800" width="13.85546875" style="4" customWidth="1"/>
    <col min="801" max="801" width="6.140625" style="4" customWidth="1"/>
    <col min="802" max="802" width="6.28515625" style="4" customWidth="1"/>
    <col min="803" max="1024" width="8" style="4"/>
    <col min="1025" max="1025" width="0" style="4" hidden="1" customWidth="1"/>
    <col min="1026" max="1026" width="59.85546875" style="4" customWidth="1"/>
    <col min="1027" max="1038" width="0" style="4" hidden="1" customWidth="1"/>
    <col min="1039" max="1039" width="2.7109375" style="4" customWidth="1"/>
    <col min="1040" max="1040" width="13.7109375" style="4" customWidth="1"/>
    <col min="1041" max="1041" width="8" style="4" customWidth="1"/>
    <col min="1042" max="1042" width="8.140625" style="4" customWidth="1"/>
    <col min="1043" max="1043" width="2.7109375" style="4" customWidth="1"/>
    <col min="1044" max="1044" width="14.28515625" style="4" customWidth="1"/>
    <col min="1045" max="1045" width="8.28515625" style="4" customWidth="1"/>
    <col min="1046" max="1046" width="8.7109375" style="4" customWidth="1"/>
    <col min="1047" max="1047" width="2.7109375" style="4" customWidth="1"/>
    <col min="1048" max="1048" width="14.42578125" style="4" customWidth="1"/>
    <col min="1049" max="1049" width="9" style="4" customWidth="1"/>
    <col min="1050" max="1050" width="8.7109375" style="4" customWidth="1"/>
    <col min="1051" max="1051" width="2.7109375" style="4" customWidth="1"/>
    <col min="1052" max="1052" width="13.42578125" style="4" customWidth="1"/>
    <col min="1053" max="1054" width="8" style="4" customWidth="1"/>
    <col min="1055" max="1055" width="2.140625" style="4" customWidth="1"/>
    <col min="1056" max="1056" width="13.85546875" style="4" customWidth="1"/>
    <col min="1057" max="1057" width="6.140625" style="4" customWidth="1"/>
    <col min="1058" max="1058" width="6.28515625" style="4" customWidth="1"/>
    <col min="1059" max="1280" width="8" style="4"/>
    <col min="1281" max="1281" width="0" style="4" hidden="1" customWidth="1"/>
    <col min="1282" max="1282" width="59.85546875" style="4" customWidth="1"/>
    <col min="1283" max="1294" width="0" style="4" hidden="1" customWidth="1"/>
    <col min="1295" max="1295" width="2.7109375" style="4" customWidth="1"/>
    <col min="1296" max="1296" width="13.7109375" style="4" customWidth="1"/>
    <col min="1297" max="1297" width="8" style="4" customWidth="1"/>
    <col min="1298" max="1298" width="8.140625" style="4" customWidth="1"/>
    <col min="1299" max="1299" width="2.7109375" style="4" customWidth="1"/>
    <col min="1300" max="1300" width="14.28515625" style="4" customWidth="1"/>
    <col min="1301" max="1301" width="8.28515625" style="4" customWidth="1"/>
    <col min="1302" max="1302" width="8.7109375" style="4" customWidth="1"/>
    <col min="1303" max="1303" width="2.7109375" style="4" customWidth="1"/>
    <col min="1304" max="1304" width="14.42578125" style="4" customWidth="1"/>
    <col min="1305" max="1305" width="9" style="4" customWidth="1"/>
    <col min="1306" max="1306" width="8.7109375" style="4" customWidth="1"/>
    <col min="1307" max="1307" width="2.7109375" style="4" customWidth="1"/>
    <col min="1308" max="1308" width="13.42578125" style="4" customWidth="1"/>
    <col min="1309" max="1310" width="8" style="4" customWidth="1"/>
    <col min="1311" max="1311" width="2.140625" style="4" customWidth="1"/>
    <col min="1312" max="1312" width="13.85546875" style="4" customWidth="1"/>
    <col min="1313" max="1313" width="6.140625" style="4" customWidth="1"/>
    <col min="1314" max="1314" width="6.28515625" style="4" customWidth="1"/>
    <col min="1315" max="1536" width="8" style="4"/>
    <col min="1537" max="1537" width="0" style="4" hidden="1" customWidth="1"/>
    <col min="1538" max="1538" width="59.85546875" style="4" customWidth="1"/>
    <col min="1539" max="1550" width="0" style="4" hidden="1" customWidth="1"/>
    <col min="1551" max="1551" width="2.7109375" style="4" customWidth="1"/>
    <col min="1552" max="1552" width="13.7109375" style="4" customWidth="1"/>
    <col min="1553" max="1553" width="8" style="4" customWidth="1"/>
    <col min="1554" max="1554" width="8.140625" style="4" customWidth="1"/>
    <col min="1555" max="1555" width="2.7109375" style="4" customWidth="1"/>
    <col min="1556" max="1556" width="14.28515625" style="4" customWidth="1"/>
    <col min="1557" max="1557" width="8.28515625" style="4" customWidth="1"/>
    <col min="1558" max="1558" width="8.7109375" style="4" customWidth="1"/>
    <col min="1559" max="1559" width="2.7109375" style="4" customWidth="1"/>
    <col min="1560" max="1560" width="14.42578125" style="4" customWidth="1"/>
    <col min="1561" max="1561" width="9" style="4" customWidth="1"/>
    <col min="1562" max="1562" width="8.7109375" style="4" customWidth="1"/>
    <col min="1563" max="1563" width="2.7109375" style="4" customWidth="1"/>
    <col min="1564" max="1564" width="13.42578125" style="4" customWidth="1"/>
    <col min="1565" max="1566" width="8" style="4" customWidth="1"/>
    <col min="1567" max="1567" width="2.140625" style="4" customWidth="1"/>
    <col min="1568" max="1568" width="13.85546875" style="4" customWidth="1"/>
    <col min="1569" max="1569" width="6.140625" style="4" customWidth="1"/>
    <col min="1570" max="1570" width="6.28515625" style="4" customWidth="1"/>
    <col min="1571" max="1792" width="8" style="4"/>
    <col min="1793" max="1793" width="0" style="4" hidden="1" customWidth="1"/>
    <col min="1794" max="1794" width="59.85546875" style="4" customWidth="1"/>
    <col min="1795" max="1806" width="0" style="4" hidden="1" customWidth="1"/>
    <col min="1807" max="1807" width="2.7109375" style="4" customWidth="1"/>
    <col min="1808" max="1808" width="13.7109375" style="4" customWidth="1"/>
    <col min="1809" max="1809" width="8" style="4" customWidth="1"/>
    <col min="1810" max="1810" width="8.140625" style="4" customWidth="1"/>
    <col min="1811" max="1811" width="2.7109375" style="4" customWidth="1"/>
    <col min="1812" max="1812" width="14.28515625" style="4" customWidth="1"/>
    <col min="1813" max="1813" width="8.28515625" style="4" customWidth="1"/>
    <col min="1814" max="1814" width="8.7109375" style="4" customWidth="1"/>
    <col min="1815" max="1815" width="2.7109375" style="4" customWidth="1"/>
    <col min="1816" max="1816" width="14.42578125" style="4" customWidth="1"/>
    <col min="1817" max="1817" width="9" style="4" customWidth="1"/>
    <col min="1818" max="1818" width="8.7109375" style="4" customWidth="1"/>
    <col min="1819" max="1819" width="2.7109375" style="4" customWidth="1"/>
    <col min="1820" max="1820" width="13.42578125" style="4" customWidth="1"/>
    <col min="1821" max="1822" width="8" style="4" customWidth="1"/>
    <col min="1823" max="1823" width="2.140625" style="4" customWidth="1"/>
    <col min="1824" max="1824" width="13.85546875" style="4" customWidth="1"/>
    <col min="1825" max="1825" width="6.140625" style="4" customWidth="1"/>
    <col min="1826" max="1826" width="6.28515625" style="4" customWidth="1"/>
    <col min="1827" max="2048" width="8" style="4"/>
    <col min="2049" max="2049" width="0" style="4" hidden="1" customWidth="1"/>
    <col min="2050" max="2050" width="59.85546875" style="4" customWidth="1"/>
    <col min="2051" max="2062" width="0" style="4" hidden="1" customWidth="1"/>
    <col min="2063" max="2063" width="2.7109375" style="4" customWidth="1"/>
    <col min="2064" max="2064" width="13.7109375" style="4" customWidth="1"/>
    <col min="2065" max="2065" width="8" style="4" customWidth="1"/>
    <col min="2066" max="2066" width="8.140625" style="4" customWidth="1"/>
    <col min="2067" max="2067" width="2.7109375" style="4" customWidth="1"/>
    <col min="2068" max="2068" width="14.28515625" style="4" customWidth="1"/>
    <col min="2069" max="2069" width="8.28515625" style="4" customWidth="1"/>
    <col min="2070" max="2070" width="8.7109375" style="4" customWidth="1"/>
    <col min="2071" max="2071" width="2.7109375" style="4" customWidth="1"/>
    <col min="2072" max="2072" width="14.42578125" style="4" customWidth="1"/>
    <col min="2073" max="2073" width="9" style="4" customWidth="1"/>
    <col min="2074" max="2074" width="8.7109375" style="4" customWidth="1"/>
    <col min="2075" max="2075" width="2.7109375" style="4" customWidth="1"/>
    <col min="2076" max="2076" width="13.42578125" style="4" customWidth="1"/>
    <col min="2077" max="2078" width="8" style="4" customWidth="1"/>
    <col min="2079" max="2079" width="2.140625" style="4" customWidth="1"/>
    <col min="2080" max="2080" width="13.85546875" style="4" customWidth="1"/>
    <col min="2081" max="2081" width="6.140625" style="4" customWidth="1"/>
    <col min="2082" max="2082" width="6.28515625" style="4" customWidth="1"/>
    <col min="2083" max="2304" width="8" style="4"/>
    <col min="2305" max="2305" width="0" style="4" hidden="1" customWidth="1"/>
    <col min="2306" max="2306" width="59.85546875" style="4" customWidth="1"/>
    <col min="2307" max="2318" width="0" style="4" hidden="1" customWidth="1"/>
    <col min="2319" max="2319" width="2.7109375" style="4" customWidth="1"/>
    <col min="2320" max="2320" width="13.7109375" style="4" customWidth="1"/>
    <col min="2321" max="2321" width="8" style="4" customWidth="1"/>
    <col min="2322" max="2322" width="8.140625" style="4" customWidth="1"/>
    <col min="2323" max="2323" width="2.7109375" style="4" customWidth="1"/>
    <col min="2324" max="2324" width="14.28515625" style="4" customWidth="1"/>
    <col min="2325" max="2325" width="8.28515625" style="4" customWidth="1"/>
    <col min="2326" max="2326" width="8.7109375" style="4" customWidth="1"/>
    <col min="2327" max="2327" width="2.7109375" style="4" customWidth="1"/>
    <col min="2328" max="2328" width="14.42578125" style="4" customWidth="1"/>
    <col min="2329" max="2329" width="9" style="4" customWidth="1"/>
    <col min="2330" max="2330" width="8.7109375" style="4" customWidth="1"/>
    <col min="2331" max="2331" width="2.7109375" style="4" customWidth="1"/>
    <col min="2332" max="2332" width="13.42578125" style="4" customWidth="1"/>
    <col min="2333" max="2334" width="8" style="4" customWidth="1"/>
    <col min="2335" max="2335" width="2.140625" style="4" customWidth="1"/>
    <col min="2336" max="2336" width="13.85546875" style="4" customWidth="1"/>
    <col min="2337" max="2337" width="6.140625" style="4" customWidth="1"/>
    <col min="2338" max="2338" width="6.28515625" style="4" customWidth="1"/>
    <col min="2339" max="2560" width="8" style="4"/>
    <col min="2561" max="2561" width="0" style="4" hidden="1" customWidth="1"/>
    <col min="2562" max="2562" width="59.85546875" style="4" customWidth="1"/>
    <col min="2563" max="2574" width="0" style="4" hidden="1" customWidth="1"/>
    <col min="2575" max="2575" width="2.7109375" style="4" customWidth="1"/>
    <col min="2576" max="2576" width="13.7109375" style="4" customWidth="1"/>
    <col min="2577" max="2577" width="8" style="4" customWidth="1"/>
    <col min="2578" max="2578" width="8.140625" style="4" customWidth="1"/>
    <col min="2579" max="2579" width="2.7109375" style="4" customWidth="1"/>
    <col min="2580" max="2580" width="14.28515625" style="4" customWidth="1"/>
    <col min="2581" max="2581" width="8.28515625" style="4" customWidth="1"/>
    <col min="2582" max="2582" width="8.7109375" style="4" customWidth="1"/>
    <col min="2583" max="2583" width="2.7109375" style="4" customWidth="1"/>
    <col min="2584" max="2584" width="14.42578125" style="4" customWidth="1"/>
    <col min="2585" max="2585" width="9" style="4" customWidth="1"/>
    <col min="2586" max="2586" width="8.7109375" style="4" customWidth="1"/>
    <col min="2587" max="2587" width="2.7109375" style="4" customWidth="1"/>
    <col min="2588" max="2588" width="13.42578125" style="4" customWidth="1"/>
    <col min="2589" max="2590" width="8" style="4" customWidth="1"/>
    <col min="2591" max="2591" width="2.140625" style="4" customWidth="1"/>
    <col min="2592" max="2592" width="13.85546875" style="4" customWidth="1"/>
    <col min="2593" max="2593" width="6.140625" style="4" customWidth="1"/>
    <col min="2594" max="2594" width="6.28515625" style="4" customWidth="1"/>
    <col min="2595" max="2816" width="8" style="4"/>
    <col min="2817" max="2817" width="0" style="4" hidden="1" customWidth="1"/>
    <col min="2818" max="2818" width="59.85546875" style="4" customWidth="1"/>
    <col min="2819" max="2830" width="0" style="4" hidden="1" customWidth="1"/>
    <col min="2831" max="2831" width="2.7109375" style="4" customWidth="1"/>
    <col min="2832" max="2832" width="13.7109375" style="4" customWidth="1"/>
    <col min="2833" max="2833" width="8" style="4" customWidth="1"/>
    <col min="2834" max="2834" width="8.140625" style="4" customWidth="1"/>
    <col min="2835" max="2835" width="2.7109375" style="4" customWidth="1"/>
    <col min="2836" max="2836" width="14.28515625" style="4" customWidth="1"/>
    <col min="2837" max="2837" width="8.28515625" style="4" customWidth="1"/>
    <col min="2838" max="2838" width="8.7109375" style="4" customWidth="1"/>
    <col min="2839" max="2839" width="2.7109375" style="4" customWidth="1"/>
    <col min="2840" max="2840" width="14.42578125" style="4" customWidth="1"/>
    <col min="2841" max="2841" width="9" style="4" customWidth="1"/>
    <col min="2842" max="2842" width="8.7109375" style="4" customWidth="1"/>
    <col min="2843" max="2843" width="2.7109375" style="4" customWidth="1"/>
    <col min="2844" max="2844" width="13.42578125" style="4" customWidth="1"/>
    <col min="2845" max="2846" width="8" style="4" customWidth="1"/>
    <col min="2847" max="2847" width="2.140625" style="4" customWidth="1"/>
    <col min="2848" max="2848" width="13.85546875" style="4" customWidth="1"/>
    <col min="2849" max="2849" width="6.140625" style="4" customWidth="1"/>
    <col min="2850" max="2850" width="6.28515625" style="4" customWidth="1"/>
    <col min="2851" max="3072" width="8" style="4"/>
    <col min="3073" max="3073" width="0" style="4" hidden="1" customWidth="1"/>
    <col min="3074" max="3074" width="59.85546875" style="4" customWidth="1"/>
    <col min="3075" max="3086" width="0" style="4" hidden="1" customWidth="1"/>
    <col min="3087" max="3087" width="2.7109375" style="4" customWidth="1"/>
    <col min="3088" max="3088" width="13.7109375" style="4" customWidth="1"/>
    <col min="3089" max="3089" width="8" style="4" customWidth="1"/>
    <col min="3090" max="3090" width="8.140625" style="4" customWidth="1"/>
    <col min="3091" max="3091" width="2.7109375" style="4" customWidth="1"/>
    <col min="3092" max="3092" width="14.28515625" style="4" customWidth="1"/>
    <col min="3093" max="3093" width="8.28515625" style="4" customWidth="1"/>
    <col min="3094" max="3094" width="8.7109375" style="4" customWidth="1"/>
    <col min="3095" max="3095" width="2.7109375" style="4" customWidth="1"/>
    <col min="3096" max="3096" width="14.42578125" style="4" customWidth="1"/>
    <col min="3097" max="3097" width="9" style="4" customWidth="1"/>
    <col min="3098" max="3098" width="8.7109375" style="4" customWidth="1"/>
    <col min="3099" max="3099" width="2.7109375" style="4" customWidth="1"/>
    <col min="3100" max="3100" width="13.42578125" style="4" customWidth="1"/>
    <col min="3101" max="3102" width="8" style="4" customWidth="1"/>
    <col min="3103" max="3103" width="2.140625" style="4" customWidth="1"/>
    <col min="3104" max="3104" width="13.85546875" style="4" customWidth="1"/>
    <col min="3105" max="3105" width="6.140625" style="4" customWidth="1"/>
    <col min="3106" max="3106" width="6.28515625" style="4" customWidth="1"/>
    <col min="3107" max="3328" width="8" style="4"/>
    <col min="3329" max="3329" width="0" style="4" hidden="1" customWidth="1"/>
    <col min="3330" max="3330" width="59.85546875" style="4" customWidth="1"/>
    <col min="3331" max="3342" width="0" style="4" hidden="1" customWidth="1"/>
    <col min="3343" max="3343" width="2.7109375" style="4" customWidth="1"/>
    <col min="3344" max="3344" width="13.7109375" style="4" customWidth="1"/>
    <col min="3345" max="3345" width="8" style="4" customWidth="1"/>
    <col min="3346" max="3346" width="8.140625" style="4" customWidth="1"/>
    <col min="3347" max="3347" width="2.7109375" style="4" customWidth="1"/>
    <col min="3348" max="3348" width="14.28515625" style="4" customWidth="1"/>
    <col min="3349" max="3349" width="8.28515625" style="4" customWidth="1"/>
    <col min="3350" max="3350" width="8.7109375" style="4" customWidth="1"/>
    <col min="3351" max="3351" width="2.7109375" style="4" customWidth="1"/>
    <col min="3352" max="3352" width="14.42578125" style="4" customWidth="1"/>
    <col min="3353" max="3353" width="9" style="4" customWidth="1"/>
    <col min="3354" max="3354" width="8.7109375" style="4" customWidth="1"/>
    <col min="3355" max="3355" width="2.7109375" style="4" customWidth="1"/>
    <col min="3356" max="3356" width="13.42578125" style="4" customWidth="1"/>
    <col min="3357" max="3358" width="8" style="4" customWidth="1"/>
    <col min="3359" max="3359" width="2.140625" style="4" customWidth="1"/>
    <col min="3360" max="3360" width="13.85546875" style="4" customWidth="1"/>
    <col min="3361" max="3361" width="6.140625" style="4" customWidth="1"/>
    <col min="3362" max="3362" width="6.28515625" style="4" customWidth="1"/>
    <col min="3363" max="3584" width="8" style="4"/>
    <col min="3585" max="3585" width="0" style="4" hidden="1" customWidth="1"/>
    <col min="3586" max="3586" width="59.85546875" style="4" customWidth="1"/>
    <col min="3587" max="3598" width="0" style="4" hidden="1" customWidth="1"/>
    <col min="3599" max="3599" width="2.7109375" style="4" customWidth="1"/>
    <col min="3600" max="3600" width="13.7109375" style="4" customWidth="1"/>
    <col min="3601" max="3601" width="8" style="4" customWidth="1"/>
    <col min="3602" max="3602" width="8.140625" style="4" customWidth="1"/>
    <col min="3603" max="3603" width="2.7109375" style="4" customWidth="1"/>
    <col min="3604" max="3604" width="14.28515625" style="4" customWidth="1"/>
    <col min="3605" max="3605" width="8.28515625" style="4" customWidth="1"/>
    <col min="3606" max="3606" width="8.7109375" style="4" customWidth="1"/>
    <col min="3607" max="3607" width="2.7109375" style="4" customWidth="1"/>
    <col min="3608" max="3608" width="14.42578125" style="4" customWidth="1"/>
    <col min="3609" max="3609" width="9" style="4" customWidth="1"/>
    <col min="3610" max="3610" width="8.7109375" style="4" customWidth="1"/>
    <col min="3611" max="3611" width="2.7109375" style="4" customWidth="1"/>
    <col min="3612" max="3612" width="13.42578125" style="4" customWidth="1"/>
    <col min="3613" max="3614" width="8" style="4" customWidth="1"/>
    <col min="3615" max="3615" width="2.140625" style="4" customWidth="1"/>
    <col min="3616" max="3616" width="13.85546875" style="4" customWidth="1"/>
    <col min="3617" max="3617" width="6.140625" style="4" customWidth="1"/>
    <col min="3618" max="3618" width="6.28515625" style="4" customWidth="1"/>
    <col min="3619" max="3840" width="8" style="4"/>
    <col min="3841" max="3841" width="0" style="4" hidden="1" customWidth="1"/>
    <col min="3842" max="3842" width="59.85546875" style="4" customWidth="1"/>
    <col min="3843" max="3854" width="0" style="4" hidden="1" customWidth="1"/>
    <col min="3855" max="3855" width="2.7109375" style="4" customWidth="1"/>
    <col min="3856" max="3856" width="13.7109375" style="4" customWidth="1"/>
    <col min="3857" max="3857" width="8" style="4" customWidth="1"/>
    <col min="3858" max="3858" width="8.140625" style="4" customWidth="1"/>
    <col min="3859" max="3859" width="2.7109375" style="4" customWidth="1"/>
    <col min="3860" max="3860" width="14.28515625" style="4" customWidth="1"/>
    <col min="3861" max="3861" width="8.28515625" style="4" customWidth="1"/>
    <col min="3862" max="3862" width="8.7109375" style="4" customWidth="1"/>
    <col min="3863" max="3863" width="2.7109375" style="4" customWidth="1"/>
    <col min="3864" max="3864" width="14.42578125" style="4" customWidth="1"/>
    <col min="3865" max="3865" width="9" style="4" customWidth="1"/>
    <col min="3866" max="3866" width="8.7109375" style="4" customWidth="1"/>
    <col min="3867" max="3867" width="2.7109375" style="4" customWidth="1"/>
    <col min="3868" max="3868" width="13.42578125" style="4" customWidth="1"/>
    <col min="3869" max="3870" width="8" style="4" customWidth="1"/>
    <col min="3871" max="3871" width="2.140625" style="4" customWidth="1"/>
    <col min="3872" max="3872" width="13.85546875" style="4" customWidth="1"/>
    <col min="3873" max="3873" width="6.140625" style="4" customWidth="1"/>
    <col min="3874" max="3874" width="6.28515625" style="4" customWidth="1"/>
    <col min="3875" max="4096" width="8" style="4"/>
    <col min="4097" max="4097" width="0" style="4" hidden="1" customWidth="1"/>
    <col min="4098" max="4098" width="59.85546875" style="4" customWidth="1"/>
    <col min="4099" max="4110" width="0" style="4" hidden="1" customWidth="1"/>
    <col min="4111" max="4111" width="2.7109375" style="4" customWidth="1"/>
    <col min="4112" max="4112" width="13.7109375" style="4" customWidth="1"/>
    <col min="4113" max="4113" width="8" style="4" customWidth="1"/>
    <col min="4114" max="4114" width="8.140625" style="4" customWidth="1"/>
    <col min="4115" max="4115" width="2.7109375" style="4" customWidth="1"/>
    <col min="4116" max="4116" width="14.28515625" style="4" customWidth="1"/>
    <col min="4117" max="4117" width="8.28515625" style="4" customWidth="1"/>
    <col min="4118" max="4118" width="8.7109375" style="4" customWidth="1"/>
    <col min="4119" max="4119" width="2.7109375" style="4" customWidth="1"/>
    <col min="4120" max="4120" width="14.42578125" style="4" customWidth="1"/>
    <col min="4121" max="4121" width="9" style="4" customWidth="1"/>
    <col min="4122" max="4122" width="8.7109375" style="4" customWidth="1"/>
    <col min="4123" max="4123" width="2.7109375" style="4" customWidth="1"/>
    <col min="4124" max="4124" width="13.42578125" style="4" customWidth="1"/>
    <col min="4125" max="4126" width="8" style="4" customWidth="1"/>
    <col min="4127" max="4127" width="2.140625" style="4" customWidth="1"/>
    <col min="4128" max="4128" width="13.85546875" style="4" customWidth="1"/>
    <col min="4129" max="4129" width="6.140625" style="4" customWidth="1"/>
    <col min="4130" max="4130" width="6.28515625" style="4" customWidth="1"/>
    <col min="4131" max="4352" width="8" style="4"/>
    <col min="4353" max="4353" width="0" style="4" hidden="1" customWidth="1"/>
    <col min="4354" max="4354" width="59.85546875" style="4" customWidth="1"/>
    <col min="4355" max="4366" width="0" style="4" hidden="1" customWidth="1"/>
    <col min="4367" max="4367" width="2.7109375" style="4" customWidth="1"/>
    <col min="4368" max="4368" width="13.7109375" style="4" customWidth="1"/>
    <col min="4369" max="4369" width="8" style="4" customWidth="1"/>
    <col min="4370" max="4370" width="8.140625" style="4" customWidth="1"/>
    <col min="4371" max="4371" width="2.7109375" style="4" customWidth="1"/>
    <col min="4372" max="4372" width="14.28515625" style="4" customWidth="1"/>
    <col min="4373" max="4373" width="8.28515625" style="4" customWidth="1"/>
    <col min="4374" max="4374" width="8.7109375" style="4" customWidth="1"/>
    <col min="4375" max="4375" width="2.7109375" style="4" customWidth="1"/>
    <col min="4376" max="4376" width="14.42578125" style="4" customWidth="1"/>
    <col min="4377" max="4377" width="9" style="4" customWidth="1"/>
    <col min="4378" max="4378" width="8.7109375" style="4" customWidth="1"/>
    <col min="4379" max="4379" width="2.7109375" style="4" customWidth="1"/>
    <col min="4380" max="4380" width="13.42578125" style="4" customWidth="1"/>
    <col min="4381" max="4382" width="8" style="4" customWidth="1"/>
    <col min="4383" max="4383" width="2.140625" style="4" customWidth="1"/>
    <col min="4384" max="4384" width="13.85546875" style="4" customWidth="1"/>
    <col min="4385" max="4385" width="6.140625" style="4" customWidth="1"/>
    <col min="4386" max="4386" width="6.28515625" style="4" customWidth="1"/>
    <col min="4387" max="4608" width="8" style="4"/>
    <col min="4609" max="4609" width="0" style="4" hidden="1" customWidth="1"/>
    <col min="4610" max="4610" width="59.85546875" style="4" customWidth="1"/>
    <col min="4611" max="4622" width="0" style="4" hidden="1" customWidth="1"/>
    <col min="4623" max="4623" width="2.7109375" style="4" customWidth="1"/>
    <col min="4624" max="4624" width="13.7109375" style="4" customWidth="1"/>
    <col min="4625" max="4625" width="8" style="4" customWidth="1"/>
    <col min="4626" max="4626" width="8.140625" style="4" customWidth="1"/>
    <col min="4627" max="4627" width="2.7109375" style="4" customWidth="1"/>
    <col min="4628" max="4628" width="14.28515625" style="4" customWidth="1"/>
    <col min="4629" max="4629" width="8.28515625" style="4" customWidth="1"/>
    <col min="4630" max="4630" width="8.7109375" style="4" customWidth="1"/>
    <col min="4631" max="4631" width="2.7109375" style="4" customWidth="1"/>
    <col min="4632" max="4632" width="14.42578125" style="4" customWidth="1"/>
    <col min="4633" max="4633" width="9" style="4" customWidth="1"/>
    <col min="4634" max="4634" width="8.7109375" style="4" customWidth="1"/>
    <col min="4635" max="4635" width="2.7109375" style="4" customWidth="1"/>
    <col min="4636" max="4636" width="13.42578125" style="4" customWidth="1"/>
    <col min="4637" max="4638" width="8" style="4" customWidth="1"/>
    <col min="4639" max="4639" width="2.140625" style="4" customWidth="1"/>
    <col min="4640" max="4640" width="13.85546875" style="4" customWidth="1"/>
    <col min="4641" max="4641" width="6.140625" style="4" customWidth="1"/>
    <col min="4642" max="4642" width="6.28515625" style="4" customWidth="1"/>
    <col min="4643" max="4864" width="8" style="4"/>
    <col min="4865" max="4865" width="0" style="4" hidden="1" customWidth="1"/>
    <col min="4866" max="4866" width="59.85546875" style="4" customWidth="1"/>
    <col min="4867" max="4878" width="0" style="4" hidden="1" customWidth="1"/>
    <col min="4879" max="4879" width="2.7109375" style="4" customWidth="1"/>
    <col min="4880" max="4880" width="13.7109375" style="4" customWidth="1"/>
    <col min="4881" max="4881" width="8" style="4" customWidth="1"/>
    <col min="4882" max="4882" width="8.140625" style="4" customWidth="1"/>
    <col min="4883" max="4883" width="2.7109375" style="4" customWidth="1"/>
    <col min="4884" max="4884" width="14.28515625" style="4" customWidth="1"/>
    <col min="4885" max="4885" width="8.28515625" style="4" customWidth="1"/>
    <col min="4886" max="4886" width="8.7109375" style="4" customWidth="1"/>
    <col min="4887" max="4887" width="2.7109375" style="4" customWidth="1"/>
    <col min="4888" max="4888" width="14.42578125" style="4" customWidth="1"/>
    <col min="4889" max="4889" width="9" style="4" customWidth="1"/>
    <col min="4890" max="4890" width="8.7109375" style="4" customWidth="1"/>
    <col min="4891" max="4891" width="2.7109375" style="4" customWidth="1"/>
    <col min="4892" max="4892" width="13.42578125" style="4" customWidth="1"/>
    <col min="4893" max="4894" width="8" style="4" customWidth="1"/>
    <col min="4895" max="4895" width="2.140625" style="4" customWidth="1"/>
    <col min="4896" max="4896" width="13.85546875" style="4" customWidth="1"/>
    <col min="4897" max="4897" width="6.140625" style="4" customWidth="1"/>
    <col min="4898" max="4898" width="6.28515625" style="4" customWidth="1"/>
    <col min="4899" max="5120" width="8" style="4"/>
    <col min="5121" max="5121" width="0" style="4" hidden="1" customWidth="1"/>
    <col min="5122" max="5122" width="59.85546875" style="4" customWidth="1"/>
    <col min="5123" max="5134" width="0" style="4" hidden="1" customWidth="1"/>
    <col min="5135" max="5135" width="2.7109375" style="4" customWidth="1"/>
    <col min="5136" max="5136" width="13.7109375" style="4" customWidth="1"/>
    <col min="5137" max="5137" width="8" style="4" customWidth="1"/>
    <col min="5138" max="5138" width="8.140625" style="4" customWidth="1"/>
    <col min="5139" max="5139" width="2.7109375" style="4" customWidth="1"/>
    <col min="5140" max="5140" width="14.28515625" style="4" customWidth="1"/>
    <col min="5141" max="5141" width="8.28515625" style="4" customWidth="1"/>
    <col min="5142" max="5142" width="8.7109375" style="4" customWidth="1"/>
    <col min="5143" max="5143" width="2.7109375" style="4" customWidth="1"/>
    <col min="5144" max="5144" width="14.42578125" style="4" customWidth="1"/>
    <col min="5145" max="5145" width="9" style="4" customWidth="1"/>
    <col min="5146" max="5146" width="8.7109375" style="4" customWidth="1"/>
    <col min="5147" max="5147" width="2.7109375" style="4" customWidth="1"/>
    <col min="5148" max="5148" width="13.42578125" style="4" customWidth="1"/>
    <col min="5149" max="5150" width="8" style="4" customWidth="1"/>
    <col min="5151" max="5151" width="2.140625" style="4" customWidth="1"/>
    <col min="5152" max="5152" width="13.85546875" style="4" customWidth="1"/>
    <col min="5153" max="5153" width="6.140625" style="4" customWidth="1"/>
    <col min="5154" max="5154" width="6.28515625" style="4" customWidth="1"/>
    <col min="5155" max="5376" width="8" style="4"/>
    <col min="5377" max="5377" width="0" style="4" hidden="1" customWidth="1"/>
    <col min="5378" max="5378" width="59.85546875" style="4" customWidth="1"/>
    <col min="5379" max="5390" width="0" style="4" hidden="1" customWidth="1"/>
    <col min="5391" max="5391" width="2.7109375" style="4" customWidth="1"/>
    <col min="5392" max="5392" width="13.7109375" style="4" customWidth="1"/>
    <col min="5393" max="5393" width="8" style="4" customWidth="1"/>
    <col min="5394" max="5394" width="8.140625" style="4" customWidth="1"/>
    <col min="5395" max="5395" width="2.7109375" style="4" customWidth="1"/>
    <col min="5396" max="5396" width="14.28515625" style="4" customWidth="1"/>
    <col min="5397" max="5397" width="8.28515625" style="4" customWidth="1"/>
    <col min="5398" max="5398" width="8.7109375" style="4" customWidth="1"/>
    <col min="5399" max="5399" width="2.7109375" style="4" customWidth="1"/>
    <col min="5400" max="5400" width="14.42578125" style="4" customWidth="1"/>
    <col min="5401" max="5401" width="9" style="4" customWidth="1"/>
    <col min="5402" max="5402" width="8.7109375" style="4" customWidth="1"/>
    <col min="5403" max="5403" width="2.7109375" style="4" customWidth="1"/>
    <col min="5404" max="5404" width="13.42578125" style="4" customWidth="1"/>
    <col min="5405" max="5406" width="8" style="4" customWidth="1"/>
    <col min="5407" max="5407" width="2.140625" style="4" customWidth="1"/>
    <col min="5408" max="5408" width="13.85546875" style="4" customWidth="1"/>
    <col min="5409" max="5409" width="6.140625" style="4" customWidth="1"/>
    <col min="5410" max="5410" width="6.28515625" style="4" customWidth="1"/>
    <col min="5411" max="5632" width="8" style="4"/>
    <col min="5633" max="5633" width="0" style="4" hidden="1" customWidth="1"/>
    <col min="5634" max="5634" width="59.85546875" style="4" customWidth="1"/>
    <col min="5635" max="5646" width="0" style="4" hidden="1" customWidth="1"/>
    <col min="5647" max="5647" width="2.7109375" style="4" customWidth="1"/>
    <col min="5648" max="5648" width="13.7109375" style="4" customWidth="1"/>
    <col min="5649" max="5649" width="8" style="4" customWidth="1"/>
    <col min="5650" max="5650" width="8.140625" style="4" customWidth="1"/>
    <col min="5651" max="5651" width="2.7109375" style="4" customWidth="1"/>
    <col min="5652" max="5652" width="14.28515625" style="4" customWidth="1"/>
    <col min="5653" max="5653" width="8.28515625" style="4" customWidth="1"/>
    <col min="5654" max="5654" width="8.7109375" style="4" customWidth="1"/>
    <col min="5655" max="5655" width="2.7109375" style="4" customWidth="1"/>
    <col min="5656" max="5656" width="14.42578125" style="4" customWidth="1"/>
    <col min="5657" max="5657" width="9" style="4" customWidth="1"/>
    <col min="5658" max="5658" width="8.7109375" style="4" customWidth="1"/>
    <col min="5659" max="5659" width="2.7109375" style="4" customWidth="1"/>
    <col min="5660" max="5660" width="13.42578125" style="4" customWidth="1"/>
    <col min="5661" max="5662" width="8" style="4" customWidth="1"/>
    <col min="5663" max="5663" width="2.140625" style="4" customWidth="1"/>
    <col min="5664" max="5664" width="13.85546875" style="4" customWidth="1"/>
    <col min="5665" max="5665" width="6.140625" style="4" customWidth="1"/>
    <col min="5666" max="5666" width="6.28515625" style="4" customWidth="1"/>
    <col min="5667" max="5888" width="8" style="4"/>
    <col min="5889" max="5889" width="0" style="4" hidden="1" customWidth="1"/>
    <col min="5890" max="5890" width="59.85546875" style="4" customWidth="1"/>
    <col min="5891" max="5902" width="0" style="4" hidden="1" customWidth="1"/>
    <col min="5903" max="5903" width="2.7109375" style="4" customWidth="1"/>
    <col min="5904" max="5904" width="13.7109375" style="4" customWidth="1"/>
    <col min="5905" max="5905" width="8" style="4" customWidth="1"/>
    <col min="5906" max="5906" width="8.140625" style="4" customWidth="1"/>
    <col min="5907" max="5907" width="2.7109375" style="4" customWidth="1"/>
    <col min="5908" max="5908" width="14.28515625" style="4" customWidth="1"/>
    <col min="5909" max="5909" width="8.28515625" style="4" customWidth="1"/>
    <col min="5910" max="5910" width="8.7109375" style="4" customWidth="1"/>
    <col min="5911" max="5911" width="2.7109375" style="4" customWidth="1"/>
    <col min="5912" max="5912" width="14.42578125" style="4" customWidth="1"/>
    <col min="5913" max="5913" width="9" style="4" customWidth="1"/>
    <col min="5914" max="5914" width="8.7109375" style="4" customWidth="1"/>
    <col min="5915" max="5915" width="2.7109375" style="4" customWidth="1"/>
    <col min="5916" max="5916" width="13.42578125" style="4" customWidth="1"/>
    <col min="5917" max="5918" width="8" style="4" customWidth="1"/>
    <col min="5919" max="5919" width="2.140625" style="4" customWidth="1"/>
    <col min="5920" max="5920" width="13.85546875" style="4" customWidth="1"/>
    <col min="5921" max="5921" width="6.140625" style="4" customWidth="1"/>
    <col min="5922" max="5922" width="6.28515625" style="4" customWidth="1"/>
    <col min="5923" max="6144" width="8" style="4"/>
    <col min="6145" max="6145" width="0" style="4" hidden="1" customWidth="1"/>
    <col min="6146" max="6146" width="59.85546875" style="4" customWidth="1"/>
    <col min="6147" max="6158" width="0" style="4" hidden="1" customWidth="1"/>
    <col min="6159" max="6159" width="2.7109375" style="4" customWidth="1"/>
    <col min="6160" max="6160" width="13.7109375" style="4" customWidth="1"/>
    <col min="6161" max="6161" width="8" style="4" customWidth="1"/>
    <col min="6162" max="6162" width="8.140625" style="4" customWidth="1"/>
    <col min="6163" max="6163" width="2.7109375" style="4" customWidth="1"/>
    <col min="6164" max="6164" width="14.28515625" style="4" customWidth="1"/>
    <col min="6165" max="6165" width="8.28515625" style="4" customWidth="1"/>
    <col min="6166" max="6166" width="8.7109375" style="4" customWidth="1"/>
    <col min="6167" max="6167" width="2.7109375" style="4" customWidth="1"/>
    <col min="6168" max="6168" width="14.42578125" style="4" customWidth="1"/>
    <col min="6169" max="6169" width="9" style="4" customWidth="1"/>
    <col min="6170" max="6170" width="8.7109375" style="4" customWidth="1"/>
    <col min="6171" max="6171" width="2.7109375" style="4" customWidth="1"/>
    <col min="6172" max="6172" width="13.42578125" style="4" customWidth="1"/>
    <col min="6173" max="6174" width="8" style="4" customWidth="1"/>
    <col min="6175" max="6175" width="2.140625" style="4" customWidth="1"/>
    <col min="6176" max="6176" width="13.85546875" style="4" customWidth="1"/>
    <col min="6177" max="6177" width="6.140625" style="4" customWidth="1"/>
    <col min="6178" max="6178" width="6.28515625" style="4" customWidth="1"/>
    <col min="6179" max="6400" width="8" style="4"/>
    <col min="6401" max="6401" width="0" style="4" hidden="1" customWidth="1"/>
    <col min="6402" max="6402" width="59.85546875" style="4" customWidth="1"/>
    <col min="6403" max="6414" width="0" style="4" hidden="1" customWidth="1"/>
    <col min="6415" max="6415" width="2.7109375" style="4" customWidth="1"/>
    <col min="6416" max="6416" width="13.7109375" style="4" customWidth="1"/>
    <col min="6417" max="6417" width="8" style="4" customWidth="1"/>
    <col min="6418" max="6418" width="8.140625" style="4" customWidth="1"/>
    <col min="6419" max="6419" width="2.7109375" style="4" customWidth="1"/>
    <col min="6420" max="6420" width="14.28515625" style="4" customWidth="1"/>
    <col min="6421" max="6421" width="8.28515625" style="4" customWidth="1"/>
    <col min="6422" max="6422" width="8.7109375" style="4" customWidth="1"/>
    <col min="6423" max="6423" width="2.7109375" style="4" customWidth="1"/>
    <col min="6424" max="6424" width="14.42578125" style="4" customWidth="1"/>
    <col min="6425" max="6425" width="9" style="4" customWidth="1"/>
    <col min="6426" max="6426" width="8.7109375" style="4" customWidth="1"/>
    <col min="6427" max="6427" width="2.7109375" style="4" customWidth="1"/>
    <col min="6428" max="6428" width="13.42578125" style="4" customWidth="1"/>
    <col min="6429" max="6430" width="8" style="4" customWidth="1"/>
    <col min="6431" max="6431" width="2.140625" style="4" customWidth="1"/>
    <col min="6432" max="6432" width="13.85546875" style="4" customWidth="1"/>
    <col min="6433" max="6433" width="6.140625" style="4" customWidth="1"/>
    <col min="6434" max="6434" width="6.28515625" style="4" customWidth="1"/>
    <col min="6435" max="6656" width="8" style="4"/>
    <col min="6657" max="6657" width="0" style="4" hidden="1" customWidth="1"/>
    <col min="6658" max="6658" width="59.85546875" style="4" customWidth="1"/>
    <col min="6659" max="6670" width="0" style="4" hidden="1" customWidth="1"/>
    <col min="6671" max="6671" width="2.7109375" style="4" customWidth="1"/>
    <col min="6672" max="6672" width="13.7109375" style="4" customWidth="1"/>
    <col min="6673" max="6673" width="8" style="4" customWidth="1"/>
    <col min="6674" max="6674" width="8.140625" style="4" customWidth="1"/>
    <col min="6675" max="6675" width="2.7109375" style="4" customWidth="1"/>
    <col min="6676" max="6676" width="14.28515625" style="4" customWidth="1"/>
    <col min="6677" max="6677" width="8.28515625" style="4" customWidth="1"/>
    <col min="6678" max="6678" width="8.7109375" style="4" customWidth="1"/>
    <col min="6679" max="6679" width="2.7109375" style="4" customWidth="1"/>
    <col min="6680" max="6680" width="14.42578125" style="4" customWidth="1"/>
    <col min="6681" max="6681" width="9" style="4" customWidth="1"/>
    <col min="6682" max="6682" width="8.7109375" style="4" customWidth="1"/>
    <col min="6683" max="6683" width="2.7109375" style="4" customWidth="1"/>
    <col min="6684" max="6684" width="13.42578125" style="4" customWidth="1"/>
    <col min="6685" max="6686" width="8" style="4" customWidth="1"/>
    <col min="6687" max="6687" width="2.140625" style="4" customWidth="1"/>
    <col min="6688" max="6688" width="13.85546875" style="4" customWidth="1"/>
    <col min="6689" max="6689" width="6.140625" style="4" customWidth="1"/>
    <col min="6690" max="6690" width="6.28515625" style="4" customWidth="1"/>
    <col min="6691" max="6912" width="8" style="4"/>
    <col min="6913" max="6913" width="0" style="4" hidden="1" customWidth="1"/>
    <col min="6914" max="6914" width="59.85546875" style="4" customWidth="1"/>
    <col min="6915" max="6926" width="0" style="4" hidden="1" customWidth="1"/>
    <col min="6927" max="6927" width="2.7109375" style="4" customWidth="1"/>
    <col min="6928" max="6928" width="13.7109375" style="4" customWidth="1"/>
    <col min="6929" max="6929" width="8" style="4" customWidth="1"/>
    <col min="6930" max="6930" width="8.140625" style="4" customWidth="1"/>
    <col min="6931" max="6931" width="2.7109375" style="4" customWidth="1"/>
    <col min="6932" max="6932" width="14.28515625" style="4" customWidth="1"/>
    <col min="6933" max="6933" width="8.28515625" style="4" customWidth="1"/>
    <col min="6934" max="6934" width="8.7109375" style="4" customWidth="1"/>
    <col min="6935" max="6935" width="2.7109375" style="4" customWidth="1"/>
    <col min="6936" max="6936" width="14.42578125" style="4" customWidth="1"/>
    <col min="6937" max="6937" width="9" style="4" customWidth="1"/>
    <col min="6938" max="6938" width="8.7109375" style="4" customWidth="1"/>
    <col min="6939" max="6939" width="2.7109375" style="4" customWidth="1"/>
    <col min="6940" max="6940" width="13.42578125" style="4" customWidth="1"/>
    <col min="6941" max="6942" width="8" style="4" customWidth="1"/>
    <col min="6943" max="6943" width="2.140625" style="4" customWidth="1"/>
    <col min="6944" max="6944" width="13.85546875" style="4" customWidth="1"/>
    <col min="6945" max="6945" width="6.140625" style="4" customWidth="1"/>
    <col min="6946" max="6946" width="6.28515625" style="4" customWidth="1"/>
    <col min="6947" max="7168" width="8" style="4"/>
    <col min="7169" max="7169" width="0" style="4" hidden="1" customWidth="1"/>
    <col min="7170" max="7170" width="59.85546875" style="4" customWidth="1"/>
    <col min="7171" max="7182" width="0" style="4" hidden="1" customWidth="1"/>
    <col min="7183" max="7183" width="2.7109375" style="4" customWidth="1"/>
    <col min="7184" max="7184" width="13.7109375" style="4" customWidth="1"/>
    <col min="7185" max="7185" width="8" style="4" customWidth="1"/>
    <col min="7186" max="7186" width="8.140625" style="4" customWidth="1"/>
    <col min="7187" max="7187" width="2.7109375" style="4" customWidth="1"/>
    <col min="7188" max="7188" width="14.28515625" style="4" customWidth="1"/>
    <col min="7189" max="7189" width="8.28515625" style="4" customWidth="1"/>
    <col min="7190" max="7190" width="8.7109375" style="4" customWidth="1"/>
    <col min="7191" max="7191" width="2.7109375" style="4" customWidth="1"/>
    <col min="7192" max="7192" width="14.42578125" style="4" customWidth="1"/>
    <col min="7193" max="7193" width="9" style="4" customWidth="1"/>
    <col min="7194" max="7194" width="8.7109375" style="4" customWidth="1"/>
    <col min="7195" max="7195" width="2.7109375" style="4" customWidth="1"/>
    <col min="7196" max="7196" width="13.42578125" style="4" customWidth="1"/>
    <col min="7197" max="7198" width="8" style="4" customWidth="1"/>
    <col min="7199" max="7199" width="2.140625" style="4" customWidth="1"/>
    <col min="7200" max="7200" width="13.85546875" style="4" customWidth="1"/>
    <col min="7201" max="7201" width="6.140625" style="4" customWidth="1"/>
    <col min="7202" max="7202" width="6.28515625" style="4" customWidth="1"/>
    <col min="7203" max="7424" width="8" style="4"/>
    <col min="7425" max="7425" width="0" style="4" hidden="1" customWidth="1"/>
    <col min="7426" max="7426" width="59.85546875" style="4" customWidth="1"/>
    <col min="7427" max="7438" width="0" style="4" hidden="1" customWidth="1"/>
    <col min="7439" max="7439" width="2.7109375" style="4" customWidth="1"/>
    <col min="7440" max="7440" width="13.7109375" style="4" customWidth="1"/>
    <col min="7441" max="7441" width="8" style="4" customWidth="1"/>
    <col min="7442" max="7442" width="8.140625" style="4" customWidth="1"/>
    <col min="7443" max="7443" width="2.7109375" style="4" customWidth="1"/>
    <col min="7444" max="7444" width="14.28515625" style="4" customWidth="1"/>
    <col min="7445" max="7445" width="8.28515625" style="4" customWidth="1"/>
    <col min="7446" max="7446" width="8.7109375" style="4" customWidth="1"/>
    <col min="7447" max="7447" width="2.7109375" style="4" customWidth="1"/>
    <col min="7448" max="7448" width="14.42578125" style="4" customWidth="1"/>
    <col min="7449" max="7449" width="9" style="4" customWidth="1"/>
    <col min="7450" max="7450" width="8.7109375" style="4" customWidth="1"/>
    <col min="7451" max="7451" width="2.7109375" style="4" customWidth="1"/>
    <col min="7452" max="7452" width="13.42578125" style="4" customWidth="1"/>
    <col min="7453" max="7454" width="8" style="4" customWidth="1"/>
    <col min="7455" max="7455" width="2.140625" style="4" customWidth="1"/>
    <col min="7456" max="7456" width="13.85546875" style="4" customWidth="1"/>
    <col min="7457" max="7457" width="6.140625" style="4" customWidth="1"/>
    <col min="7458" max="7458" width="6.28515625" style="4" customWidth="1"/>
    <col min="7459" max="7680" width="8" style="4"/>
    <col min="7681" max="7681" width="0" style="4" hidden="1" customWidth="1"/>
    <col min="7682" max="7682" width="59.85546875" style="4" customWidth="1"/>
    <col min="7683" max="7694" width="0" style="4" hidden="1" customWidth="1"/>
    <col min="7695" max="7695" width="2.7109375" style="4" customWidth="1"/>
    <col min="7696" max="7696" width="13.7109375" style="4" customWidth="1"/>
    <col min="7697" max="7697" width="8" style="4" customWidth="1"/>
    <col min="7698" max="7698" width="8.140625" style="4" customWidth="1"/>
    <col min="7699" max="7699" width="2.7109375" style="4" customWidth="1"/>
    <col min="7700" max="7700" width="14.28515625" style="4" customWidth="1"/>
    <col min="7701" max="7701" width="8.28515625" style="4" customWidth="1"/>
    <col min="7702" max="7702" width="8.7109375" style="4" customWidth="1"/>
    <col min="7703" max="7703" width="2.7109375" style="4" customWidth="1"/>
    <col min="7704" max="7704" width="14.42578125" style="4" customWidth="1"/>
    <col min="7705" max="7705" width="9" style="4" customWidth="1"/>
    <col min="7706" max="7706" width="8.7109375" style="4" customWidth="1"/>
    <col min="7707" max="7707" width="2.7109375" style="4" customWidth="1"/>
    <col min="7708" max="7708" width="13.42578125" style="4" customWidth="1"/>
    <col min="7709" max="7710" width="8" style="4" customWidth="1"/>
    <col min="7711" max="7711" width="2.140625" style="4" customWidth="1"/>
    <col min="7712" max="7712" width="13.85546875" style="4" customWidth="1"/>
    <col min="7713" max="7713" width="6.140625" style="4" customWidth="1"/>
    <col min="7714" max="7714" width="6.28515625" style="4" customWidth="1"/>
    <col min="7715" max="7936" width="8" style="4"/>
    <col min="7937" max="7937" width="0" style="4" hidden="1" customWidth="1"/>
    <col min="7938" max="7938" width="59.85546875" style="4" customWidth="1"/>
    <col min="7939" max="7950" width="0" style="4" hidden="1" customWidth="1"/>
    <col min="7951" max="7951" width="2.7109375" style="4" customWidth="1"/>
    <col min="7952" max="7952" width="13.7109375" style="4" customWidth="1"/>
    <col min="7953" max="7953" width="8" style="4" customWidth="1"/>
    <col min="7954" max="7954" width="8.140625" style="4" customWidth="1"/>
    <col min="7955" max="7955" width="2.7109375" style="4" customWidth="1"/>
    <col min="7956" max="7956" width="14.28515625" style="4" customWidth="1"/>
    <col min="7957" max="7957" width="8.28515625" style="4" customWidth="1"/>
    <col min="7958" max="7958" width="8.7109375" style="4" customWidth="1"/>
    <col min="7959" max="7959" width="2.7109375" style="4" customWidth="1"/>
    <col min="7960" max="7960" width="14.42578125" style="4" customWidth="1"/>
    <col min="7961" max="7961" width="9" style="4" customWidth="1"/>
    <col min="7962" max="7962" width="8.7109375" style="4" customWidth="1"/>
    <col min="7963" max="7963" width="2.7109375" style="4" customWidth="1"/>
    <col min="7964" max="7964" width="13.42578125" style="4" customWidth="1"/>
    <col min="7965" max="7966" width="8" style="4" customWidth="1"/>
    <col min="7967" max="7967" width="2.140625" style="4" customWidth="1"/>
    <col min="7968" max="7968" width="13.85546875" style="4" customWidth="1"/>
    <col min="7969" max="7969" width="6.140625" style="4" customWidth="1"/>
    <col min="7970" max="7970" width="6.28515625" style="4" customWidth="1"/>
    <col min="7971" max="8192" width="8" style="4"/>
    <col min="8193" max="8193" width="0" style="4" hidden="1" customWidth="1"/>
    <col min="8194" max="8194" width="59.85546875" style="4" customWidth="1"/>
    <col min="8195" max="8206" width="0" style="4" hidden="1" customWidth="1"/>
    <col min="8207" max="8207" width="2.7109375" style="4" customWidth="1"/>
    <col min="8208" max="8208" width="13.7109375" style="4" customWidth="1"/>
    <col min="8209" max="8209" width="8" style="4" customWidth="1"/>
    <col min="8210" max="8210" width="8.140625" style="4" customWidth="1"/>
    <col min="8211" max="8211" width="2.7109375" style="4" customWidth="1"/>
    <col min="8212" max="8212" width="14.28515625" style="4" customWidth="1"/>
    <col min="8213" max="8213" width="8.28515625" style="4" customWidth="1"/>
    <col min="8214" max="8214" width="8.7109375" style="4" customWidth="1"/>
    <col min="8215" max="8215" width="2.7109375" style="4" customWidth="1"/>
    <col min="8216" max="8216" width="14.42578125" style="4" customWidth="1"/>
    <col min="8217" max="8217" width="9" style="4" customWidth="1"/>
    <col min="8218" max="8218" width="8.7109375" style="4" customWidth="1"/>
    <col min="8219" max="8219" width="2.7109375" style="4" customWidth="1"/>
    <col min="8220" max="8220" width="13.42578125" style="4" customWidth="1"/>
    <col min="8221" max="8222" width="8" style="4" customWidth="1"/>
    <col min="8223" max="8223" width="2.140625" style="4" customWidth="1"/>
    <col min="8224" max="8224" width="13.85546875" style="4" customWidth="1"/>
    <col min="8225" max="8225" width="6.140625" style="4" customWidth="1"/>
    <col min="8226" max="8226" width="6.28515625" style="4" customWidth="1"/>
    <col min="8227" max="8448" width="8" style="4"/>
    <col min="8449" max="8449" width="0" style="4" hidden="1" customWidth="1"/>
    <col min="8450" max="8450" width="59.85546875" style="4" customWidth="1"/>
    <col min="8451" max="8462" width="0" style="4" hidden="1" customWidth="1"/>
    <col min="8463" max="8463" width="2.7109375" style="4" customWidth="1"/>
    <col min="8464" max="8464" width="13.7109375" style="4" customWidth="1"/>
    <col min="8465" max="8465" width="8" style="4" customWidth="1"/>
    <col min="8466" max="8466" width="8.140625" style="4" customWidth="1"/>
    <col min="8467" max="8467" width="2.7109375" style="4" customWidth="1"/>
    <col min="8468" max="8468" width="14.28515625" style="4" customWidth="1"/>
    <col min="8469" max="8469" width="8.28515625" style="4" customWidth="1"/>
    <col min="8470" max="8470" width="8.7109375" style="4" customWidth="1"/>
    <col min="8471" max="8471" width="2.7109375" style="4" customWidth="1"/>
    <col min="8472" max="8472" width="14.42578125" style="4" customWidth="1"/>
    <col min="8473" max="8473" width="9" style="4" customWidth="1"/>
    <col min="8474" max="8474" width="8.7109375" style="4" customWidth="1"/>
    <col min="8475" max="8475" width="2.7109375" style="4" customWidth="1"/>
    <col min="8476" max="8476" width="13.42578125" style="4" customWidth="1"/>
    <col min="8477" max="8478" width="8" style="4" customWidth="1"/>
    <col min="8479" max="8479" width="2.140625" style="4" customWidth="1"/>
    <col min="8480" max="8480" width="13.85546875" style="4" customWidth="1"/>
    <col min="8481" max="8481" width="6.140625" style="4" customWidth="1"/>
    <col min="8482" max="8482" width="6.28515625" style="4" customWidth="1"/>
    <col min="8483" max="8704" width="8" style="4"/>
    <col min="8705" max="8705" width="0" style="4" hidden="1" customWidth="1"/>
    <col min="8706" max="8706" width="59.85546875" style="4" customWidth="1"/>
    <col min="8707" max="8718" width="0" style="4" hidden="1" customWidth="1"/>
    <col min="8719" max="8719" width="2.7109375" style="4" customWidth="1"/>
    <col min="8720" max="8720" width="13.7109375" style="4" customWidth="1"/>
    <col min="8721" max="8721" width="8" style="4" customWidth="1"/>
    <col min="8722" max="8722" width="8.140625" style="4" customWidth="1"/>
    <col min="8723" max="8723" width="2.7109375" style="4" customWidth="1"/>
    <col min="8724" max="8724" width="14.28515625" style="4" customWidth="1"/>
    <col min="8725" max="8725" width="8.28515625" style="4" customWidth="1"/>
    <col min="8726" max="8726" width="8.7109375" style="4" customWidth="1"/>
    <col min="8727" max="8727" width="2.7109375" style="4" customWidth="1"/>
    <col min="8728" max="8728" width="14.42578125" style="4" customWidth="1"/>
    <col min="8729" max="8729" width="9" style="4" customWidth="1"/>
    <col min="8730" max="8730" width="8.7109375" style="4" customWidth="1"/>
    <col min="8731" max="8731" width="2.7109375" style="4" customWidth="1"/>
    <col min="8732" max="8732" width="13.42578125" style="4" customWidth="1"/>
    <col min="8733" max="8734" width="8" style="4" customWidth="1"/>
    <col min="8735" max="8735" width="2.140625" style="4" customWidth="1"/>
    <col min="8736" max="8736" width="13.85546875" style="4" customWidth="1"/>
    <col min="8737" max="8737" width="6.140625" style="4" customWidth="1"/>
    <col min="8738" max="8738" width="6.28515625" style="4" customWidth="1"/>
    <col min="8739" max="8960" width="8" style="4"/>
    <col min="8961" max="8961" width="0" style="4" hidden="1" customWidth="1"/>
    <col min="8962" max="8962" width="59.85546875" style="4" customWidth="1"/>
    <col min="8963" max="8974" width="0" style="4" hidden="1" customWidth="1"/>
    <col min="8975" max="8975" width="2.7109375" style="4" customWidth="1"/>
    <col min="8976" max="8976" width="13.7109375" style="4" customWidth="1"/>
    <col min="8977" max="8977" width="8" style="4" customWidth="1"/>
    <col min="8978" max="8978" width="8.140625" style="4" customWidth="1"/>
    <col min="8979" max="8979" width="2.7109375" style="4" customWidth="1"/>
    <col min="8980" max="8980" width="14.28515625" style="4" customWidth="1"/>
    <col min="8981" max="8981" width="8.28515625" style="4" customWidth="1"/>
    <col min="8982" max="8982" width="8.7109375" style="4" customWidth="1"/>
    <col min="8983" max="8983" width="2.7109375" style="4" customWidth="1"/>
    <col min="8984" max="8984" width="14.42578125" style="4" customWidth="1"/>
    <col min="8985" max="8985" width="9" style="4" customWidth="1"/>
    <col min="8986" max="8986" width="8.7109375" style="4" customWidth="1"/>
    <col min="8987" max="8987" width="2.7109375" style="4" customWidth="1"/>
    <col min="8988" max="8988" width="13.42578125" style="4" customWidth="1"/>
    <col min="8989" max="8990" width="8" style="4" customWidth="1"/>
    <col min="8991" max="8991" width="2.140625" style="4" customWidth="1"/>
    <col min="8992" max="8992" width="13.85546875" style="4" customWidth="1"/>
    <col min="8993" max="8993" width="6.140625" style="4" customWidth="1"/>
    <col min="8994" max="8994" width="6.28515625" style="4" customWidth="1"/>
    <col min="8995" max="9216" width="8" style="4"/>
    <col min="9217" max="9217" width="0" style="4" hidden="1" customWidth="1"/>
    <col min="9218" max="9218" width="59.85546875" style="4" customWidth="1"/>
    <col min="9219" max="9230" width="0" style="4" hidden="1" customWidth="1"/>
    <col min="9231" max="9231" width="2.7109375" style="4" customWidth="1"/>
    <col min="9232" max="9232" width="13.7109375" style="4" customWidth="1"/>
    <col min="9233" max="9233" width="8" style="4" customWidth="1"/>
    <col min="9234" max="9234" width="8.140625" style="4" customWidth="1"/>
    <col min="9235" max="9235" width="2.7109375" style="4" customWidth="1"/>
    <col min="9236" max="9236" width="14.28515625" style="4" customWidth="1"/>
    <col min="9237" max="9237" width="8.28515625" style="4" customWidth="1"/>
    <col min="9238" max="9238" width="8.7109375" style="4" customWidth="1"/>
    <col min="9239" max="9239" width="2.7109375" style="4" customWidth="1"/>
    <col min="9240" max="9240" width="14.42578125" style="4" customWidth="1"/>
    <col min="9241" max="9241" width="9" style="4" customWidth="1"/>
    <col min="9242" max="9242" width="8.7109375" style="4" customWidth="1"/>
    <col min="9243" max="9243" width="2.7109375" style="4" customWidth="1"/>
    <col min="9244" max="9244" width="13.42578125" style="4" customWidth="1"/>
    <col min="9245" max="9246" width="8" style="4" customWidth="1"/>
    <col min="9247" max="9247" width="2.140625" style="4" customWidth="1"/>
    <col min="9248" max="9248" width="13.85546875" style="4" customWidth="1"/>
    <col min="9249" max="9249" width="6.140625" style="4" customWidth="1"/>
    <col min="9250" max="9250" width="6.28515625" style="4" customWidth="1"/>
    <col min="9251" max="9472" width="8" style="4"/>
    <col min="9473" max="9473" width="0" style="4" hidden="1" customWidth="1"/>
    <col min="9474" max="9474" width="59.85546875" style="4" customWidth="1"/>
    <col min="9475" max="9486" width="0" style="4" hidden="1" customWidth="1"/>
    <col min="9487" max="9487" width="2.7109375" style="4" customWidth="1"/>
    <col min="9488" max="9488" width="13.7109375" style="4" customWidth="1"/>
    <col min="9489" max="9489" width="8" style="4" customWidth="1"/>
    <col min="9490" max="9490" width="8.140625" style="4" customWidth="1"/>
    <col min="9491" max="9491" width="2.7109375" style="4" customWidth="1"/>
    <col min="9492" max="9492" width="14.28515625" style="4" customWidth="1"/>
    <col min="9493" max="9493" width="8.28515625" style="4" customWidth="1"/>
    <col min="9494" max="9494" width="8.7109375" style="4" customWidth="1"/>
    <col min="9495" max="9495" width="2.7109375" style="4" customWidth="1"/>
    <col min="9496" max="9496" width="14.42578125" style="4" customWidth="1"/>
    <col min="9497" max="9497" width="9" style="4" customWidth="1"/>
    <col min="9498" max="9498" width="8.7109375" style="4" customWidth="1"/>
    <col min="9499" max="9499" width="2.7109375" style="4" customWidth="1"/>
    <col min="9500" max="9500" width="13.42578125" style="4" customWidth="1"/>
    <col min="9501" max="9502" width="8" style="4" customWidth="1"/>
    <col min="9503" max="9503" width="2.140625" style="4" customWidth="1"/>
    <col min="9504" max="9504" width="13.85546875" style="4" customWidth="1"/>
    <col min="9505" max="9505" width="6.140625" style="4" customWidth="1"/>
    <col min="9506" max="9506" width="6.28515625" style="4" customWidth="1"/>
    <col min="9507" max="9728" width="8" style="4"/>
    <col min="9729" max="9729" width="0" style="4" hidden="1" customWidth="1"/>
    <col min="9730" max="9730" width="59.85546875" style="4" customWidth="1"/>
    <col min="9731" max="9742" width="0" style="4" hidden="1" customWidth="1"/>
    <col min="9743" max="9743" width="2.7109375" style="4" customWidth="1"/>
    <col min="9744" max="9744" width="13.7109375" style="4" customWidth="1"/>
    <col min="9745" max="9745" width="8" style="4" customWidth="1"/>
    <col min="9746" max="9746" width="8.140625" style="4" customWidth="1"/>
    <col min="9747" max="9747" width="2.7109375" style="4" customWidth="1"/>
    <col min="9748" max="9748" width="14.28515625" style="4" customWidth="1"/>
    <col min="9749" max="9749" width="8.28515625" style="4" customWidth="1"/>
    <col min="9750" max="9750" width="8.7109375" style="4" customWidth="1"/>
    <col min="9751" max="9751" width="2.7109375" style="4" customWidth="1"/>
    <col min="9752" max="9752" width="14.42578125" style="4" customWidth="1"/>
    <col min="9753" max="9753" width="9" style="4" customWidth="1"/>
    <col min="9754" max="9754" width="8.7109375" style="4" customWidth="1"/>
    <col min="9755" max="9755" width="2.7109375" style="4" customWidth="1"/>
    <col min="9756" max="9756" width="13.42578125" style="4" customWidth="1"/>
    <col min="9757" max="9758" width="8" style="4" customWidth="1"/>
    <col min="9759" max="9759" width="2.140625" style="4" customWidth="1"/>
    <col min="9760" max="9760" width="13.85546875" style="4" customWidth="1"/>
    <col min="9761" max="9761" width="6.140625" style="4" customWidth="1"/>
    <col min="9762" max="9762" width="6.28515625" style="4" customWidth="1"/>
    <col min="9763" max="9984" width="8" style="4"/>
    <col min="9985" max="9985" width="0" style="4" hidden="1" customWidth="1"/>
    <col min="9986" max="9986" width="59.85546875" style="4" customWidth="1"/>
    <col min="9987" max="9998" width="0" style="4" hidden="1" customWidth="1"/>
    <col min="9999" max="9999" width="2.7109375" style="4" customWidth="1"/>
    <col min="10000" max="10000" width="13.7109375" style="4" customWidth="1"/>
    <col min="10001" max="10001" width="8" style="4" customWidth="1"/>
    <col min="10002" max="10002" width="8.140625" style="4" customWidth="1"/>
    <col min="10003" max="10003" width="2.7109375" style="4" customWidth="1"/>
    <col min="10004" max="10004" width="14.28515625" style="4" customWidth="1"/>
    <col min="10005" max="10005" width="8.28515625" style="4" customWidth="1"/>
    <col min="10006" max="10006" width="8.7109375" style="4" customWidth="1"/>
    <col min="10007" max="10007" width="2.7109375" style="4" customWidth="1"/>
    <col min="10008" max="10008" width="14.42578125" style="4" customWidth="1"/>
    <col min="10009" max="10009" width="9" style="4" customWidth="1"/>
    <col min="10010" max="10010" width="8.7109375" style="4" customWidth="1"/>
    <col min="10011" max="10011" width="2.7109375" style="4" customWidth="1"/>
    <col min="10012" max="10012" width="13.42578125" style="4" customWidth="1"/>
    <col min="10013" max="10014" width="8" style="4" customWidth="1"/>
    <col min="10015" max="10015" width="2.140625" style="4" customWidth="1"/>
    <col min="10016" max="10016" width="13.85546875" style="4" customWidth="1"/>
    <col min="10017" max="10017" width="6.140625" style="4" customWidth="1"/>
    <col min="10018" max="10018" width="6.28515625" style="4" customWidth="1"/>
    <col min="10019" max="10240" width="8" style="4"/>
    <col min="10241" max="10241" width="0" style="4" hidden="1" customWidth="1"/>
    <col min="10242" max="10242" width="59.85546875" style="4" customWidth="1"/>
    <col min="10243" max="10254" width="0" style="4" hidden="1" customWidth="1"/>
    <col min="10255" max="10255" width="2.7109375" style="4" customWidth="1"/>
    <col min="10256" max="10256" width="13.7109375" style="4" customWidth="1"/>
    <col min="10257" max="10257" width="8" style="4" customWidth="1"/>
    <col min="10258" max="10258" width="8.140625" style="4" customWidth="1"/>
    <col min="10259" max="10259" width="2.7109375" style="4" customWidth="1"/>
    <col min="10260" max="10260" width="14.28515625" style="4" customWidth="1"/>
    <col min="10261" max="10261" width="8.28515625" style="4" customWidth="1"/>
    <col min="10262" max="10262" width="8.7109375" style="4" customWidth="1"/>
    <col min="10263" max="10263" width="2.7109375" style="4" customWidth="1"/>
    <col min="10264" max="10264" width="14.42578125" style="4" customWidth="1"/>
    <col min="10265" max="10265" width="9" style="4" customWidth="1"/>
    <col min="10266" max="10266" width="8.7109375" style="4" customWidth="1"/>
    <col min="10267" max="10267" width="2.7109375" style="4" customWidth="1"/>
    <col min="10268" max="10268" width="13.42578125" style="4" customWidth="1"/>
    <col min="10269" max="10270" width="8" style="4" customWidth="1"/>
    <col min="10271" max="10271" width="2.140625" style="4" customWidth="1"/>
    <col min="10272" max="10272" width="13.85546875" style="4" customWidth="1"/>
    <col min="10273" max="10273" width="6.140625" style="4" customWidth="1"/>
    <col min="10274" max="10274" width="6.28515625" style="4" customWidth="1"/>
    <col min="10275" max="10496" width="8" style="4"/>
    <col min="10497" max="10497" width="0" style="4" hidden="1" customWidth="1"/>
    <col min="10498" max="10498" width="59.85546875" style="4" customWidth="1"/>
    <col min="10499" max="10510" width="0" style="4" hidden="1" customWidth="1"/>
    <col min="10511" max="10511" width="2.7109375" style="4" customWidth="1"/>
    <col min="10512" max="10512" width="13.7109375" style="4" customWidth="1"/>
    <col min="10513" max="10513" width="8" style="4" customWidth="1"/>
    <col min="10514" max="10514" width="8.140625" style="4" customWidth="1"/>
    <col min="10515" max="10515" width="2.7109375" style="4" customWidth="1"/>
    <col min="10516" max="10516" width="14.28515625" style="4" customWidth="1"/>
    <col min="10517" max="10517" width="8.28515625" style="4" customWidth="1"/>
    <col min="10518" max="10518" width="8.7109375" style="4" customWidth="1"/>
    <col min="10519" max="10519" width="2.7109375" style="4" customWidth="1"/>
    <col min="10520" max="10520" width="14.42578125" style="4" customWidth="1"/>
    <col min="10521" max="10521" width="9" style="4" customWidth="1"/>
    <col min="10522" max="10522" width="8.7109375" style="4" customWidth="1"/>
    <col min="10523" max="10523" width="2.7109375" style="4" customWidth="1"/>
    <col min="10524" max="10524" width="13.42578125" style="4" customWidth="1"/>
    <col min="10525" max="10526" width="8" style="4" customWidth="1"/>
    <col min="10527" max="10527" width="2.140625" style="4" customWidth="1"/>
    <col min="10528" max="10528" width="13.85546875" style="4" customWidth="1"/>
    <col min="10529" max="10529" width="6.140625" style="4" customWidth="1"/>
    <col min="10530" max="10530" width="6.28515625" style="4" customWidth="1"/>
    <col min="10531" max="10752" width="8" style="4"/>
    <col min="10753" max="10753" width="0" style="4" hidden="1" customWidth="1"/>
    <col min="10754" max="10754" width="59.85546875" style="4" customWidth="1"/>
    <col min="10755" max="10766" width="0" style="4" hidden="1" customWidth="1"/>
    <col min="10767" max="10767" width="2.7109375" style="4" customWidth="1"/>
    <col min="10768" max="10768" width="13.7109375" style="4" customWidth="1"/>
    <col min="10769" max="10769" width="8" style="4" customWidth="1"/>
    <col min="10770" max="10770" width="8.140625" style="4" customWidth="1"/>
    <col min="10771" max="10771" width="2.7109375" style="4" customWidth="1"/>
    <col min="10772" max="10772" width="14.28515625" style="4" customWidth="1"/>
    <col min="10773" max="10773" width="8.28515625" style="4" customWidth="1"/>
    <col min="10774" max="10774" width="8.7109375" style="4" customWidth="1"/>
    <col min="10775" max="10775" width="2.7109375" style="4" customWidth="1"/>
    <col min="10776" max="10776" width="14.42578125" style="4" customWidth="1"/>
    <col min="10777" max="10777" width="9" style="4" customWidth="1"/>
    <col min="10778" max="10778" width="8.7109375" style="4" customWidth="1"/>
    <col min="10779" max="10779" width="2.7109375" style="4" customWidth="1"/>
    <col min="10780" max="10780" width="13.42578125" style="4" customWidth="1"/>
    <col min="10781" max="10782" width="8" style="4" customWidth="1"/>
    <col min="10783" max="10783" width="2.140625" style="4" customWidth="1"/>
    <col min="10784" max="10784" width="13.85546875" style="4" customWidth="1"/>
    <col min="10785" max="10785" width="6.140625" style="4" customWidth="1"/>
    <col min="10786" max="10786" width="6.28515625" style="4" customWidth="1"/>
    <col min="10787" max="11008" width="8" style="4"/>
    <col min="11009" max="11009" width="0" style="4" hidden="1" customWidth="1"/>
    <col min="11010" max="11010" width="59.85546875" style="4" customWidth="1"/>
    <col min="11011" max="11022" width="0" style="4" hidden="1" customWidth="1"/>
    <col min="11023" max="11023" width="2.7109375" style="4" customWidth="1"/>
    <col min="11024" max="11024" width="13.7109375" style="4" customWidth="1"/>
    <col min="11025" max="11025" width="8" style="4" customWidth="1"/>
    <col min="11026" max="11026" width="8.140625" style="4" customWidth="1"/>
    <col min="11027" max="11027" width="2.7109375" style="4" customWidth="1"/>
    <col min="11028" max="11028" width="14.28515625" style="4" customWidth="1"/>
    <col min="11029" max="11029" width="8.28515625" style="4" customWidth="1"/>
    <col min="11030" max="11030" width="8.7109375" style="4" customWidth="1"/>
    <col min="11031" max="11031" width="2.7109375" style="4" customWidth="1"/>
    <col min="11032" max="11032" width="14.42578125" style="4" customWidth="1"/>
    <col min="11033" max="11033" width="9" style="4" customWidth="1"/>
    <col min="11034" max="11034" width="8.7109375" style="4" customWidth="1"/>
    <col min="11035" max="11035" width="2.7109375" style="4" customWidth="1"/>
    <col min="11036" max="11036" width="13.42578125" style="4" customWidth="1"/>
    <col min="11037" max="11038" width="8" style="4" customWidth="1"/>
    <col min="11039" max="11039" width="2.140625" style="4" customWidth="1"/>
    <col min="11040" max="11040" width="13.85546875" style="4" customWidth="1"/>
    <col min="11041" max="11041" width="6.140625" style="4" customWidth="1"/>
    <col min="11042" max="11042" width="6.28515625" style="4" customWidth="1"/>
    <col min="11043" max="11264" width="8" style="4"/>
    <col min="11265" max="11265" width="0" style="4" hidden="1" customWidth="1"/>
    <col min="11266" max="11266" width="59.85546875" style="4" customWidth="1"/>
    <col min="11267" max="11278" width="0" style="4" hidden="1" customWidth="1"/>
    <col min="11279" max="11279" width="2.7109375" style="4" customWidth="1"/>
    <col min="11280" max="11280" width="13.7109375" style="4" customWidth="1"/>
    <col min="11281" max="11281" width="8" style="4" customWidth="1"/>
    <col min="11282" max="11282" width="8.140625" style="4" customWidth="1"/>
    <col min="11283" max="11283" width="2.7109375" style="4" customWidth="1"/>
    <col min="11284" max="11284" width="14.28515625" style="4" customWidth="1"/>
    <col min="11285" max="11285" width="8.28515625" style="4" customWidth="1"/>
    <col min="11286" max="11286" width="8.7109375" style="4" customWidth="1"/>
    <col min="11287" max="11287" width="2.7109375" style="4" customWidth="1"/>
    <col min="11288" max="11288" width="14.42578125" style="4" customWidth="1"/>
    <col min="11289" max="11289" width="9" style="4" customWidth="1"/>
    <col min="11290" max="11290" width="8.7109375" style="4" customWidth="1"/>
    <col min="11291" max="11291" width="2.7109375" style="4" customWidth="1"/>
    <col min="11292" max="11292" width="13.42578125" style="4" customWidth="1"/>
    <col min="11293" max="11294" width="8" style="4" customWidth="1"/>
    <col min="11295" max="11295" width="2.140625" style="4" customWidth="1"/>
    <col min="11296" max="11296" width="13.85546875" style="4" customWidth="1"/>
    <col min="11297" max="11297" width="6.140625" style="4" customWidth="1"/>
    <col min="11298" max="11298" width="6.28515625" style="4" customWidth="1"/>
    <col min="11299" max="11520" width="8" style="4"/>
    <col min="11521" max="11521" width="0" style="4" hidden="1" customWidth="1"/>
    <col min="11522" max="11522" width="59.85546875" style="4" customWidth="1"/>
    <col min="11523" max="11534" width="0" style="4" hidden="1" customWidth="1"/>
    <col min="11535" max="11535" width="2.7109375" style="4" customWidth="1"/>
    <col min="11536" max="11536" width="13.7109375" style="4" customWidth="1"/>
    <col min="11537" max="11537" width="8" style="4" customWidth="1"/>
    <col min="11538" max="11538" width="8.140625" style="4" customWidth="1"/>
    <col min="11539" max="11539" width="2.7109375" style="4" customWidth="1"/>
    <col min="11540" max="11540" width="14.28515625" style="4" customWidth="1"/>
    <col min="11541" max="11541" width="8.28515625" style="4" customWidth="1"/>
    <col min="11542" max="11542" width="8.7109375" style="4" customWidth="1"/>
    <col min="11543" max="11543" width="2.7109375" style="4" customWidth="1"/>
    <col min="11544" max="11544" width="14.42578125" style="4" customWidth="1"/>
    <col min="11545" max="11545" width="9" style="4" customWidth="1"/>
    <col min="11546" max="11546" width="8.7109375" style="4" customWidth="1"/>
    <col min="11547" max="11547" width="2.7109375" style="4" customWidth="1"/>
    <col min="11548" max="11548" width="13.42578125" style="4" customWidth="1"/>
    <col min="11549" max="11550" width="8" style="4" customWidth="1"/>
    <col min="11551" max="11551" width="2.140625" style="4" customWidth="1"/>
    <col min="11552" max="11552" width="13.85546875" style="4" customWidth="1"/>
    <col min="11553" max="11553" width="6.140625" style="4" customWidth="1"/>
    <col min="11554" max="11554" width="6.28515625" style="4" customWidth="1"/>
    <col min="11555" max="11776" width="8" style="4"/>
    <col min="11777" max="11777" width="0" style="4" hidden="1" customWidth="1"/>
    <col min="11778" max="11778" width="59.85546875" style="4" customWidth="1"/>
    <col min="11779" max="11790" width="0" style="4" hidden="1" customWidth="1"/>
    <col min="11791" max="11791" width="2.7109375" style="4" customWidth="1"/>
    <col min="11792" max="11792" width="13.7109375" style="4" customWidth="1"/>
    <col min="11793" max="11793" width="8" style="4" customWidth="1"/>
    <col min="11794" max="11794" width="8.140625" style="4" customWidth="1"/>
    <col min="11795" max="11795" width="2.7109375" style="4" customWidth="1"/>
    <col min="11796" max="11796" width="14.28515625" style="4" customWidth="1"/>
    <col min="11797" max="11797" width="8.28515625" style="4" customWidth="1"/>
    <col min="11798" max="11798" width="8.7109375" style="4" customWidth="1"/>
    <col min="11799" max="11799" width="2.7109375" style="4" customWidth="1"/>
    <col min="11800" max="11800" width="14.42578125" style="4" customWidth="1"/>
    <col min="11801" max="11801" width="9" style="4" customWidth="1"/>
    <col min="11802" max="11802" width="8.7109375" style="4" customWidth="1"/>
    <col min="11803" max="11803" width="2.7109375" style="4" customWidth="1"/>
    <col min="11804" max="11804" width="13.42578125" style="4" customWidth="1"/>
    <col min="11805" max="11806" width="8" style="4" customWidth="1"/>
    <col min="11807" max="11807" width="2.140625" style="4" customWidth="1"/>
    <col min="11808" max="11808" width="13.85546875" style="4" customWidth="1"/>
    <col min="11809" max="11809" width="6.140625" style="4" customWidth="1"/>
    <col min="11810" max="11810" width="6.28515625" style="4" customWidth="1"/>
    <col min="11811" max="12032" width="8" style="4"/>
    <col min="12033" max="12033" width="0" style="4" hidden="1" customWidth="1"/>
    <col min="12034" max="12034" width="59.85546875" style="4" customWidth="1"/>
    <col min="12035" max="12046" width="0" style="4" hidden="1" customWidth="1"/>
    <col min="12047" max="12047" width="2.7109375" style="4" customWidth="1"/>
    <col min="12048" max="12048" width="13.7109375" style="4" customWidth="1"/>
    <col min="12049" max="12049" width="8" style="4" customWidth="1"/>
    <col min="12050" max="12050" width="8.140625" style="4" customWidth="1"/>
    <col min="12051" max="12051" width="2.7109375" style="4" customWidth="1"/>
    <col min="12052" max="12052" width="14.28515625" style="4" customWidth="1"/>
    <col min="12053" max="12053" width="8.28515625" style="4" customWidth="1"/>
    <col min="12054" max="12054" width="8.7109375" style="4" customWidth="1"/>
    <col min="12055" max="12055" width="2.7109375" style="4" customWidth="1"/>
    <col min="12056" max="12056" width="14.42578125" style="4" customWidth="1"/>
    <col min="12057" max="12057" width="9" style="4" customWidth="1"/>
    <col min="12058" max="12058" width="8.7109375" style="4" customWidth="1"/>
    <col min="12059" max="12059" width="2.7109375" style="4" customWidth="1"/>
    <col min="12060" max="12060" width="13.42578125" style="4" customWidth="1"/>
    <col min="12061" max="12062" width="8" style="4" customWidth="1"/>
    <col min="12063" max="12063" width="2.140625" style="4" customWidth="1"/>
    <col min="12064" max="12064" width="13.85546875" style="4" customWidth="1"/>
    <col min="12065" max="12065" width="6.140625" style="4" customWidth="1"/>
    <col min="12066" max="12066" width="6.28515625" style="4" customWidth="1"/>
    <col min="12067" max="12288" width="8" style="4"/>
    <col min="12289" max="12289" width="0" style="4" hidden="1" customWidth="1"/>
    <col min="12290" max="12290" width="59.85546875" style="4" customWidth="1"/>
    <col min="12291" max="12302" width="0" style="4" hidden="1" customWidth="1"/>
    <col min="12303" max="12303" width="2.7109375" style="4" customWidth="1"/>
    <col min="12304" max="12304" width="13.7109375" style="4" customWidth="1"/>
    <col min="12305" max="12305" width="8" style="4" customWidth="1"/>
    <col min="12306" max="12306" width="8.140625" style="4" customWidth="1"/>
    <col min="12307" max="12307" width="2.7109375" style="4" customWidth="1"/>
    <col min="12308" max="12308" width="14.28515625" style="4" customWidth="1"/>
    <col min="12309" max="12309" width="8.28515625" style="4" customWidth="1"/>
    <col min="12310" max="12310" width="8.7109375" style="4" customWidth="1"/>
    <col min="12311" max="12311" width="2.7109375" style="4" customWidth="1"/>
    <col min="12312" max="12312" width="14.42578125" style="4" customWidth="1"/>
    <col min="12313" max="12313" width="9" style="4" customWidth="1"/>
    <col min="12314" max="12314" width="8.7109375" style="4" customWidth="1"/>
    <col min="12315" max="12315" width="2.7109375" style="4" customWidth="1"/>
    <col min="12316" max="12316" width="13.42578125" style="4" customWidth="1"/>
    <col min="12317" max="12318" width="8" style="4" customWidth="1"/>
    <col min="12319" max="12319" width="2.140625" style="4" customWidth="1"/>
    <col min="12320" max="12320" width="13.85546875" style="4" customWidth="1"/>
    <col min="12321" max="12321" width="6.140625" style="4" customWidth="1"/>
    <col min="12322" max="12322" width="6.28515625" style="4" customWidth="1"/>
    <col min="12323" max="12544" width="8" style="4"/>
    <col min="12545" max="12545" width="0" style="4" hidden="1" customWidth="1"/>
    <col min="12546" max="12546" width="59.85546875" style="4" customWidth="1"/>
    <col min="12547" max="12558" width="0" style="4" hidden="1" customWidth="1"/>
    <col min="12559" max="12559" width="2.7109375" style="4" customWidth="1"/>
    <col min="12560" max="12560" width="13.7109375" style="4" customWidth="1"/>
    <col min="12561" max="12561" width="8" style="4" customWidth="1"/>
    <col min="12562" max="12562" width="8.140625" style="4" customWidth="1"/>
    <col min="12563" max="12563" width="2.7109375" style="4" customWidth="1"/>
    <col min="12564" max="12564" width="14.28515625" style="4" customWidth="1"/>
    <col min="12565" max="12565" width="8.28515625" style="4" customWidth="1"/>
    <col min="12566" max="12566" width="8.7109375" style="4" customWidth="1"/>
    <col min="12567" max="12567" width="2.7109375" style="4" customWidth="1"/>
    <col min="12568" max="12568" width="14.42578125" style="4" customWidth="1"/>
    <col min="12569" max="12569" width="9" style="4" customWidth="1"/>
    <col min="12570" max="12570" width="8.7109375" style="4" customWidth="1"/>
    <col min="12571" max="12571" width="2.7109375" style="4" customWidth="1"/>
    <col min="12572" max="12572" width="13.42578125" style="4" customWidth="1"/>
    <col min="12573" max="12574" width="8" style="4" customWidth="1"/>
    <col min="12575" max="12575" width="2.140625" style="4" customWidth="1"/>
    <col min="12576" max="12576" width="13.85546875" style="4" customWidth="1"/>
    <col min="12577" max="12577" width="6.140625" style="4" customWidth="1"/>
    <col min="12578" max="12578" width="6.28515625" style="4" customWidth="1"/>
    <col min="12579" max="12800" width="8" style="4"/>
    <col min="12801" max="12801" width="0" style="4" hidden="1" customWidth="1"/>
    <col min="12802" max="12802" width="59.85546875" style="4" customWidth="1"/>
    <col min="12803" max="12814" width="0" style="4" hidden="1" customWidth="1"/>
    <col min="12815" max="12815" width="2.7109375" style="4" customWidth="1"/>
    <col min="12816" max="12816" width="13.7109375" style="4" customWidth="1"/>
    <col min="12817" max="12817" width="8" style="4" customWidth="1"/>
    <col min="12818" max="12818" width="8.140625" style="4" customWidth="1"/>
    <col min="12819" max="12819" width="2.7109375" style="4" customWidth="1"/>
    <col min="12820" max="12820" width="14.28515625" style="4" customWidth="1"/>
    <col min="12821" max="12821" width="8.28515625" style="4" customWidth="1"/>
    <col min="12822" max="12822" width="8.7109375" style="4" customWidth="1"/>
    <col min="12823" max="12823" width="2.7109375" style="4" customWidth="1"/>
    <col min="12824" max="12824" width="14.42578125" style="4" customWidth="1"/>
    <col min="12825" max="12825" width="9" style="4" customWidth="1"/>
    <col min="12826" max="12826" width="8.7109375" style="4" customWidth="1"/>
    <col min="12827" max="12827" width="2.7109375" style="4" customWidth="1"/>
    <col min="12828" max="12828" width="13.42578125" style="4" customWidth="1"/>
    <col min="12829" max="12830" width="8" style="4" customWidth="1"/>
    <col min="12831" max="12831" width="2.140625" style="4" customWidth="1"/>
    <col min="12832" max="12832" width="13.85546875" style="4" customWidth="1"/>
    <col min="12833" max="12833" width="6.140625" style="4" customWidth="1"/>
    <col min="12834" max="12834" width="6.28515625" style="4" customWidth="1"/>
    <col min="12835" max="13056" width="8" style="4"/>
    <col min="13057" max="13057" width="0" style="4" hidden="1" customWidth="1"/>
    <col min="13058" max="13058" width="59.85546875" style="4" customWidth="1"/>
    <col min="13059" max="13070" width="0" style="4" hidden="1" customWidth="1"/>
    <col min="13071" max="13071" width="2.7109375" style="4" customWidth="1"/>
    <col min="13072" max="13072" width="13.7109375" style="4" customWidth="1"/>
    <col min="13073" max="13073" width="8" style="4" customWidth="1"/>
    <col min="13074" max="13074" width="8.140625" style="4" customWidth="1"/>
    <col min="13075" max="13075" width="2.7109375" style="4" customWidth="1"/>
    <col min="13076" max="13076" width="14.28515625" style="4" customWidth="1"/>
    <col min="13077" max="13077" width="8.28515625" style="4" customWidth="1"/>
    <col min="13078" max="13078" width="8.7109375" style="4" customWidth="1"/>
    <col min="13079" max="13079" width="2.7109375" style="4" customWidth="1"/>
    <col min="13080" max="13080" width="14.42578125" style="4" customWidth="1"/>
    <col min="13081" max="13081" width="9" style="4" customWidth="1"/>
    <col min="13082" max="13082" width="8.7109375" style="4" customWidth="1"/>
    <col min="13083" max="13083" width="2.7109375" style="4" customWidth="1"/>
    <col min="13084" max="13084" width="13.42578125" style="4" customWidth="1"/>
    <col min="13085" max="13086" width="8" style="4" customWidth="1"/>
    <col min="13087" max="13087" width="2.140625" style="4" customWidth="1"/>
    <col min="13088" max="13088" width="13.85546875" style="4" customWidth="1"/>
    <col min="13089" max="13089" width="6.140625" style="4" customWidth="1"/>
    <col min="13090" max="13090" width="6.28515625" style="4" customWidth="1"/>
    <col min="13091" max="13312" width="8" style="4"/>
    <col min="13313" max="13313" width="0" style="4" hidden="1" customWidth="1"/>
    <col min="13314" max="13314" width="59.85546875" style="4" customWidth="1"/>
    <col min="13315" max="13326" width="0" style="4" hidden="1" customWidth="1"/>
    <col min="13327" max="13327" width="2.7109375" style="4" customWidth="1"/>
    <col min="13328" max="13328" width="13.7109375" style="4" customWidth="1"/>
    <col min="13329" max="13329" width="8" style="4" customWidth="1"/>
    <col min="13330" max="13330" width="8.140625" style="4" customWidth="1"/>
    <col min="13331" max="13331" width="2.7109375" style="4" customWidth="1"/>
    <col min="13332" max="13332" width="14.28515625" style="4" customWidth="1"/>
    <col min="13333" max="13333" width="8.28515625" style="4" customWidth="1"/>
    <col min="13334" max="13334" width="8.7109375" style="4" customWidth="1"/>
    <col min="13335" max="13335" width="2.7109375" style="4" customWidth="1"/>
    <col min="13336" max="13336" width="14.42578125" style="4" customWidth="1"/>
    <col min="13337" max="13337" width="9" style="4" customWidth="1"/>
    <col min="13338" max="13338" width="8.7109375" style="4" customWidth="1"/>
    <col min="13339" max="13339" width="2.7109375" style="4" customWidth="1"/>
    <col min="13340" max="13340" width="13.42578125" style="4" customWidth="1"/>
    <col min="13341" max="13342" width="8" style="4" customWidth="1"/>
    <col min="13343" max="13343" width="2.140625" style="4" customWidth="1"/>
    <col min="13344" max="13344" width="13.85546875" style="4" customWidth="1"/>
    <col min="13345" max="13345" width="6.140625" style="4" customWidth="1"/>
    <col min="13346" max="13346" width="6.28515625" style="4" customWidth="1"/>
    <col min="13347" max="13568" width="8" style="4"/>
    <col min="13569" max="13569" width="0" style="4" hidden="1" customWidth="1"/>
    <col min="13570" max="13570" width="59.85546875" style="4" customWidth="1"/>
    <col min="13571" max="13582" width="0" style="4" hidden="1" customWidth="1"/>
    <col min="13583" max="13583" width="2.7109375" style="4" customWidth="1"/>
    <col min="13584" max="13584" width="13.7109375" style="4" customWidth="1"/>
    <col min="13585" max="13585" width="8" style="4" customWidth="1"/>
    <col min="13586" max="13586" width="8.140625" style="4" customWidth="1"/>
    <col min="13587" max="13587" width="2.7109375" style="4" customWidth="1"/>
    <col min="13588" max="13588" width="14.28515625" style="4" customWidth="1"/>
    <col min="13589" max="13589" width="8.28515625" style="4" customWidth="1"/>
    <col min="13590" max="13590" width="8.7109375" style="4" customWidth="1"/>
    <col min="13591" max="13591" width="2.7109375" style="4" customWidth="1"/>
    <col min="13592" max="13592" width="14.42578125" style="4" customWidth="1"/>
    <col min="13593" max="13593" width="9" style="4" customWidth="1"/>
    <col min="13594" max="13594" width="8.7109375" style="4" customWidth="1"/>
    <col min="13595" max="13595" width="2.7109375" style="4" customWidth="1"/>
    <col min="13596" max="13596" width="13.42578125" style="4" customWidth="1"/>
    <col min="13597" max="13598" width="8" style="4" customWidth="1"/>
    <col min="13599" max="13599" width="2.140625" style="4" customWidth="1"/>
    <col min="13600" max="13600" width="13.85546875" style="4" customWidth="1"/>
    <col min="13601" max="13601" width="6.140625" style="4" customWidth="1"/>
    <col min="13602" max="13602" width="6.28515625" style="4" customWidth="1"/>
    <col min="13603" max="13824" width="8" style="4"/>
    <col min="13825" max="13825" width="0" style="4" hidden="1" customWidth="1"/>
    <col min="13826" max="13826" width="59.85546875" style="4" customWidth="1"/>
    <col min="13827" max="13838" width="0" style="4" hidden="1" customWidth="1"/>
    <col min="13839" max="13839" width="2.7109375" style="4" customWidth="1"/>
    <col min="13840" max="13840" width="13.7109375" style="4" customWidth="1"/>
    <col min="13841" max="13841" width="8" style="4" customWidth="1"/>
    <col min="13842" max="13842" width="8.140625" style="4" customWidth="1"/>
    <col min="13843" max="13843" width="2.7109375" style="4" customWidth="1"/>
    <col min="13844" max="13844" width="14.28515625" style="4" customWidth="1"/>
    <col min="13845" max="13845" width="8.28515625" style="4" customWidth="1"/>
    <col min="13846" max="13846" width="8.7109375" style="4" customWidth="1"/>
    <col min="13847" max="13847" width="2.7109375" style="4" customWidth="1"/>
    <col min="13848" max="13848" width="14.42578125" style="4" customWidth="1"/>
    <col min="13849" max="13849" width="9" style="4" customWidth="1"/>
    <col min="13850" max="13850" width="8.7109375" style="4" customWidth="1"/>
    <col min="13851" max="13851" width="2.7109375" style="4" customWidth="1"/>
    <col min="13852" max="13852" width="13.42578125" style="4" customWidth="1"/>
    <col min="13853" max="13854" width="8" style="4" customWidth="1"/>
    <col min="13855" max="13855" width="2.140625" style="4" customWidth="1"/>
    <col min="13856" max="13856" width="13.85546875" style="4" customWidth="1"/>
    <col min="13857" max="13857" width="6.140625" style="4" customWidth="1"/>
    <col min="13858" max="13858" width="6.28515625" style="4" customWidth="1"/>
    <col min="13859" max="14080" width="8" style="4"/>
    <col min="14081" max="14081" width="0" style="4" hidden="1" customWidth="1"/>
    <col min="14082" max="14082" width="59.85546875" style="4" customWidth="1"/>
    <col min="14083" max="14094" width="0" style="4" hidden="1" customWidth="1"/>
    <col min="14095" max="14095" width="2.7109375" style="4" customWidth="1"/>
    <col min="14096" max="14096" width="13.7109375" style="4" customWidth="1"/>
    <col min="14097" max="14097" width="8" style="4" customWidth="1"/>
    <col min="14098" max="14098" width="8.140625" style="4" customWidth="1"/>
    <col min="14099" max="14099" width="2.7109375" style="4" customWidth="1"/>
    <col min="14100" max="14100" width="14.28515625" style="4" customWidth="1"/>
    <col min="14101" max="14101" width="8.28515625" style="4" customWidth="1"/>
    <col min="14102" max="14102" width="8.7109375" style="4" customWidth="1"/>
    <col min="14103" max="14103" width="2.7109375" style="4" customWidth="1"/>
    <col min="14104" max="14104" width="14.42578125" style="4" customWidth="1"/>
    <col min="14105" max="14105" width="9" style="4" customWidth="1"/>
    <col min="14106" max="14106" width="8.7109375" style="4" customWidth="1"/>
    <col min="14107" max="14107" width="2.7109375" style="4" customWidth="1"/>
    <col min="14108" max="14108" width="13.42578125" style="4" customWidth="1"/>
    <col min="14109" max="14110" width="8" style="4" customWidth="1"/>
    <col min="14111" max="14111" width="2.140625" style="4" customWidth="1"/>
    <col min="14112" max="14112" width="13.85546875" style="4" customWidth="1"/>
    <col min="14113" max="14113" width="6.140625" style="4" customWidth="1"/>
    <col min="14114" max="14114" width="6.28515625" style="4" customWidth="1"/>
    <col min="14115" max="14336" width="8" style="4"/>
    <col min="14337" max="14337" width="0" style="4" hidden="1" customWidth="1"/>
    <col min="14338" max="14338" width="59.85546875" style="4" customWidth="1"/>
    <col min="14339" max="14350" width="0" style="4" hidden="1" customWidth="1"/>
    <col min="14351" max="14351" width="2.7109375" style="4" customWidth="1"/>
    <col min="14352" max="14352" width="13.7109375" style="4" customWidth="1"/>
    <col min="14353" max="14353" width="8" style="4" customWidth="1"/>
    <col min="14354" max="14354" width="8.140625" style="4" customWidth="1"/>
    <col min="14355" max="14355" width="2.7109375" style="4" customWidth="1"/>
    <col min="14356" max="14356" width="14.28515625" style="4" customWidth="1"/>
    <col min="14357" max="14357" width="8.28515625" style="4" customWidth="1"/>
    <col min="14358" max="14358" width="8.7109375" style="4" customWidth="1"/>
    <col min="14359" max="14359" width="2.7109375" style="4" customWidth="1"/>
    <col min="14360" max="14360" width="14.42578125" style="4" customWidth="1"/>
    <col min="14361" max="14361" width="9" style="4" customWidth="1"/>
    <col min="14362" max="14362" width="8.7109375" style="4" customWidth="1"/>
    <col min="14363" max="14363" width="2.7109375" style="4" customWidth="1"/>
    <col min="14364" max="14364" width="13.42578125" style="4" customWidth="1"/>
    <col min="14365" max="14366" width="8" style="4" customWidth="1"/>
    <col min="14367" max="14367" width="2.140625" style="4" customWidth="1"/>
    <col min="14368" max="14368" width="13.85546875" style="4" customWidth="1"/>
    <col min="14369" max="14369" width="6.140625" style="4" customWidth="1"/>
    <col min="14370" max="14370" width="6.28515625" style="4" customWidth="1"/>
    <col min="14371" max="14592" width="8" style="4"/>
    <col min="14593" max="14593" width="0" style="4" hidden="1" customWidth="1"/>
    <col min="14594" max="14594" width="59.85546875" style="4" customWidth="1"/>
    <col min="14595" max="14606" width="0" style="4" hidden="1" customWidth="1"/>
    <col min="14607" max="14607" width="2.7109375" style="4" customWidth="1"/>
    <col min="14608" max="14608" width="13.7109375" style="4" customWidth="1"/>
    <col min="14609" max="14609" width="8" style="4" customWidth="1"/>
    <col min="14610" max="14610" width="8.140625" style="4" customWidth="1"/>
    <col min="14611" max="14611" width="2.7109375" style="4" customWidth="1"/>
    <col min="14612" max="14612" width="14.28515625" style="4" customWidth="1"/>
    <col min="14613" max="14613" width="8.28515625" style="4" customWidth="1"/>
    <col min="14614" max="14614" width="8.7109375" style="4" customWidth="1"/>
    <col min="14615" max="14615" width="2.7109375" style="4" customWidth="1"/>
    <col min="14616" max="14616" width="14.42578125" style="4" customWidth="1"/>
    <col min="14617" max="14617" width="9" style="4" customWidth="1"/>
    <col min="14618" max="14618" width="8.7109375" style="4" customWidth="1"/>
    <col min="14619" max="14619" width="2.7109375" style="4" customWidth="1"/>
    <col min="14620" max="14620" width="13.42578125" style="4" customWidth="1"/>
    <col min="14621" max="14622" width="8" style="4" customWidth="1"/>
    <col min="14623" max="14623" width="2.140625" style="4" customWidth="1"/>
    <col min="14624" max="14624" width="13.85546875" style="4" customWidth="1"/>
    <col min="14625" max="14625" width="6.140625" style="4" customWidth="1"/>
    <col min="14626" max="14626" width="6.28515625" style="4" customWidth="1"/>
    <col min="14627" max="14848" width="8" style="4"/>
    <col min="14849" max="14849" width="0" style="4" hidden="1" customWidth="1"/>
    <col min="14850" max="14850" width="59.85546875" style="4" customWidth="1"/>
    <col min="14851" max="14862" width="0" style="4" hidden="1" customWidth="1"/>
    <col min="14863" max="14863" width="2.7109375" style="4" customWidth="1"/>
    <col min="14864" max="14864" width="13.7109375" style="4" customWidth="1"/>
    <col min="14865" max="14865" width="8" style="4" customWidth="1"/>
    <col min="14866" max="14866" width="8.140625" style="4" customWidth="1"/>
    <col min="14867" max="14867" width="2.7109375" style="4" customWidth="1"/>
    <col min="14868" max="14868" width="14.28515625" style="4" customWidth="1"/>
    <col min="14869" max="14869" width="8.28515625" style="4" customWidth="1"/>
    <col min="14870" max="14870" width="8.7109375" style="4" customWidth="1"/>
    <col min="14871" max="14871" width="2.7109375" style="4" customWidth="1"/>
    <col min="14872" max="14872" width="14.42578125" style="4" customWidth="1"/>
    <col min="14873" max="14873" width="9" style="4" customWidth="1"/>
    <col min="14874" max="14874" width="8.7109375" style="4" customWidth="1"/>
    <col min="14875" max="14875" width="2.7109375" style="4" customWidth="1"/>
    <col min="14876" max="14876" width="13.42578125" style="4" customWidth="1"/>
    <col min="14877" max="14878" width="8" style="4" customWidth="1"/>
    <col min="14879" max="14879" width="2.140625" style="4" customWidth="1"/>
    <col min="14880" max="14880" width="13.85546875" style="4" customWidth="1"/>
    <col min="14881" max="14881" width="6.140625" style="4" customWidth="1"/>
    <col min="14882" max="14882" width="6.28515625" style="4" customWidth="1"/>
    <col min="14883" max="15104" width="8" style="4"/>
    <col min="15105" max="15105" width="0" style="4" hidden="1" customWidth="1"/>
    <col min="15106" max="15106" width="59.85546875" style="4" customWidth="1"/>
    <col min="15107" max="15118" width="0" style="4" hidden="1" customWidth="1"/>
    <col min="15119" max="15119" width="2.7109375" style="4" customWidth="1"/>
    <col min="15120" max="15120" width="13.7109375" style="4" customWidth="1"/>
    <col min="15121" max="15121" width="8" style="4" customWidth="1"/>
    <col min="15122" max="15122" width="8.140625" style="4" customWidth="1"/>
    <col min="15123" max="15123" width="2.7109375" style="4" customWidth="1"/>
    <col min="15124" max="15124" width="14.28515625" style="4" customWidth="1"/>
    <col min="15125" max="15125" width="8.28515625" style="4" customWidth="1"/>
    <col min="15126" max="15126" width="8.7109375" style="4" customWidth="1"/>
    <col min="15127" max="15127" width="2.7109375" style="4" customWidth="1"/>
    <col min="15128" max="15128" width="14.42578125" style="4" customWidth="1"/>
    <col min="15129" max="15129" width="9" style="4" customWidth="1"/>
    <col min="15130" max="15130" width="8.7109375" style="4" customWidth="1"/>
    <col min="15131" max="15131" width="2.7109375" style="4" customWidth="1"/>
    <col min="15132" max="15132" width="13.42578125" style="4" customWidth="1"/>
    <col min="15133" max="15134" width="8" style="4" customWidth="1"/>
    <col min="15135" max="15135" width="2.140625" style="4" customWidth="1"/>
    <col min="15136" max="15136" width="13.85546875" style="4" customWidth="1"/>
    <col min="15137" max="15137" width="6.140625" style="4" customWidth="1"/>
    <col min="15138" max="15138" width="6.28515625" style="4" customWidth="1"/>
    <col min="15139" max="15360" width="8" style="4"/>
    <col min="15361" max="15361" width="0" style="4" hidden="1" customWidth="1"/>
    <col min="15362" max="15362" width="59.85546875" style="4" customWidth="1"/>
    <col min="15363" max="15374" width="0" style="4" hidden="1" customWidth="1"/>
    <col min="15375" max="15375" width="2.7109375" style="4" customWidth="1"/>
    <col min="15376" max="15376" width="13.7109375" style="4" customWidth="1"/>
    <col min="15377" max="15377" width="8" style="4" customWidth="1"/>
    <col min="15378" max="15378" width="8.140625" style="4" customWidth="1"/>
    <col min="15379" max="15379" width="2.7109375" style="4" customWidth="1"/>
    <col min="15380" max="15380" width="14.28515625" style="4" customWidth="1"/>
    <col min="15381" max="15381" width="8.28515625" style="4" customWidth="1"/>
    <col min="15382" max="15382" width="8.7109375" style="4" customWidth="1"/>
    <col min="15383" max="15383" width="2.7109375" style="4" customWidth="1"/>
    <col min="15384" max="15384" width="14.42578125" style="4" customWidth="1"/>
    <col min="15385" max="15385" width="9" style="4" customWidth="1"/>
    <col min="15386" max="15386" width="8.7109375" style="4" customWidth="1"/>
    <col min="15387" max="15387" width="2.7109375" style="4" customWidth="1"/>
    <col min="15388" max="15388" width="13.42578125" style="4" customWidth="1"/>
    <col min="15389" max="15390" width="8" style="4" customWidth="1"/>
    <col min="15391" max="15391" width="2.140625" style="4" customWidth="1"/>
    <col min="15392" max="15392" width="13.85546875" style="4" customWidth="1"/>
    <col min="15393" max="15393" width="6.140625" style="4" customWidth="1"/>
    <col min="15394" max="15394" width="6.28515625" style="4" customWidth="1"/>
    <col min="15395" max="15616" width="8" style="4"/>
    <col min="15617" max="15617" width="0" style="4" hidden="1" customWidth="1"/>
    <col min="15618" max="15618" width="59.85546875" style="4" customWidth="1"/>
    <col min="15619" max="15630" width="0" style="4" hidden="1" customWidth="1"/>
    <col min="15631" max="15631" width="2.7109375" style="4" customWidth="1"/>
    <col min="15632" max="15632" width="13.7109375" style="4" customWidth="1"/>
    <col min="15633" max="15633" width="8" style="4" customWidth="1"/>
    <col min="15634" max="15634" width="8.140625" style="4" customWidth="1"/>
    <col min="15635" max="15635" width="2.7109375" style="4" customWidth="1"/>
    <col min="15636" max="15636" width="14.28515625" style="4" customWidth="1"/>
    <col min="15637" max="15637" width="8.28515625" style="4" customWidth="1"/>
    <col min="15638" max="15638" width="8.7109375" style="4" customWidth="1"/>
    <col min="15639" max="15639" width="2.7109375" style="4" customWidth="1"/>
    <col min="15640" max="15640" width="14.42578125" style="4" customWidth="1"/>
    <col min="15641" max="15641" width="9" style="4" customWidth="1"/>
    <col min="15642" max="15642" width="8.7109375" style="4" customWidth="1"/>
    <col min="15643" max="15643" width="2.7109375" style="4" customWidth="1"/>
    <col min="15644" max="15644" width="13.42578125" style="4" customWidth="1"/>
    <col min="15645" max="15646" width="8" style="4" customWidth="1"/>
    <col min="15647" max="15647" width="2.140625" style="4" customWidth="1"/>
    <col min="15648" max="15648" width="13.85546875" style="4" customWidth="1"/>
    <col min="15649" max="15649" width="6.140625" style="4" customWidth="1"/>
    <col min="15650" max="15650" width="6.28515625" style="4" customWidth="1"/>
    <col min="15651" max="15872" width="8" style="4"/>
    <col min="15873" max="15873" width="0" style="4" hidden="1" customWidth="1"/>
    <col min="15874" max="15874" width="59.85546875" style="4" customWidth="1"/>
    <col min="15875" max="15886" width="0" style="4" hidden="1" customWidth="1"/>
    <col min="15887" max="15887" width="2.7109375" style="4" customWidth="1"/>
    <col min="15888" max="15888" width="13.7109375" style="4" customWidth="1"/>
    <col min="15889" max="15889" width="8" style="4" customWidth="1"/>
    <col min="15890" max="15890" width="8.140625" style="4" customWidth="1"/>
    <col min="15891" max="15891" width="2.7109375" style="4" customWidth="1"/>
    <col min="15892" max="15892" width="14.28515625" style="4" customWidth="1"/>
    <col min="15893" max="15893" width="8.28515625" style="4" customWidth="1"/>
    <col min="15894" max="15894" width="8.7109375" style="4" customWidth="1"/>
    <col min="15895" max="15895" width="2.7109375" style="4" customWidth="1"/>
    <col min="15896" max="15896" width="14.42578125" style="4" customWidth="1"/>
    <col min="15897" max="15897" width="9" style="4" customWidth="1"/>
    <col min="15898" max="15898" width="8.7109375" style="4" customWidth="1"/>
    <col min="15899" max="15899" width="2.7109375" style="4" customWidth="1"/>
    <col min="15900" max="15900" width="13.42578125" style="4" customWidth="1"/>
    <col min="15901" max="15902" width="8" style="4" customWidth="1"/>
    <col min="15903" max="15903" width="2.140625" style="4" customWidth="1"/>
    <col min="15904" max="15904" width="13.85546875" style="4" customWidth="1"/>
    <col min="15905" max="15905" width="6.140625" style="4" customWidth="1"/>
    <col min="15906" max="15906" width="6.28515625" style="4" customWidth="1"/>
    <col min="15907" max="16128" width="8" style="4"/>
    <col min="16129" max="16129" width="0" style="4" hidden="1" customWidth="1"/>
    <col min="16130" max="16130" width="59.85546875" style="4" customWidth="1"/>
    <col min="16131" max="16142" width="0" style="4" hidden="1" customWidth="1"/>
    <col min="16143" max="16143" width="2.7109375" style="4" customWidth="1"/>
    <col min="16144" max="16144" width="13.7109375" style="4" customWidth="1"/>
    <col min="16145" max="16145" width="8" style="4" customWidth="1"/>
    <col min="16146" max="16146" width="8.140625" style="4" customWidth="1"/>
    <col min="16147" max="16147" width="2.7109375" style="4" customWidth="1"/>
    <col min="16148" max="16148" width="14.28515625" style="4" customWidth="1"/>
    <col min="16149" max="16149" width="8.28515625" style="4" customWidth="1"/>
    <col min="16150" max="16150" width="8.7109375" style="4" customWidth="1"/>
    <col min="16151" max="16151" width="2.7109375" style="4" customWidth="1"/>
    <col min="16152" max="16152" width="14.42578125" style="4" customWidth="1"/>
    <col min="16153" max="16153" width="9" style="4" customWidth="1"/>
    <col min="16154" max="16154" width="8.7109375" style="4" customWidth="1"/>
    <col min="16155" max="16155" width="2.7109375" style="4" customWidth="1"/>
    <col min="16156" max="16156" width="13.42578125" style="4" customWidth="1"/>
    <col min="16157" max="16158" width="8" style="4" customWidth="1"/>
    <col min="16159" max="16159" width="2.140625" style="4" customWidth="1"/>
    <col min="16160" max="16160" width="13.85546875" style="4" customWidth="1"/>
    <col min="16161" max="16161" width="6.140625" style="4" customWidth="1"/>
    <col min="16162" max="16162" width="6.28515625" style="4" customWidth="1"/>
    <col min="16163" max="16384" width="8" style="4"/>
  </cols>
  <sheetData>
    <row r="1" spans="1:34">
      <c r="B1" s="107" t="s">
        <v>0</v>
      </c>
      <c r="P1" s="4"/>
      <c r="Q1" s="4"/>
      <c r="R1" s="4"/>
      <c r="S1" s="4"/>
    </row>
    <row r="2" spans="1:34">
      <c r="B2" s="107" t="s">
        <v>522</v>
      </c>
      <c r="P2" s="4"/>
      <c r="Q2" s="4"/>
      <c r="R2" s="4"/>
      <c r="S2" s="4"/>
    </row>
    <row r="3" spans="1:34" ht="6.75" customHeight="1">
      <c r="A3" s="4"/>
      <c r="B3" s="107"/>
      <c r="C3" s="107"/>
      <c r="D3" s="107"/>
      <c r="E3" s="107"/>
      <c r="F3" s="107"/>
      <c r="G3" s="107"/>
      <c r="H3" s="107"/>
      <c r="I3" s="107"/>
      <c r="J3" s="107"/>
      <c r="K3" s="107"/>
      <c r="L3" s="107"/>
      <c r="M3" s="107"/>
      <c r="N3" s="107"/>
      <c r="O3" s="107"/>
      <c r="P3" s="4"/>
      <c r="Q3" s="4"/>
      <c r="R3" s="4"/>
      <c r="S3" s="4"/>
    </row>
    <row r="4" spans="1:34">
      <c r="B4" s="19" t="s">
        <v>684</v>
      </c>
      <c r="C4" s="107"/>
      <c r="D4" s="107"/>
      <c r="E4" s="107"/>
      <c r="F4" s="107"/>
      <c r="G4" s="107"/>
      <c r="H4" s="107"/>
      <c r="I4" s="107"/>
      <c r="J4" s="107"/>
      <c r="K4" s="107"/>
      <c r="L4" s="107"/>
      <c r="M4" s="107"/>
      <c r="N4" s="107"/>
      <c r="O4" s="107"/>
      <c r="P4" s="4"/>
      <c r="Q4" s="4"/>
      <c r="R4" s="4"/>
      <c r="S4" s="4"/>
    </row>
    <row r="5" spans="1:34" ht="6.75" customHeight="1">
      <c r="A5" s="108"/>
      <c r="B5" s="109"/>
      <c r="C5" s="110"/>
      <c r="D5" s="110"/>
      <c r="E5" s="110"/>
      <c r="F5" s="110"/>
      <c r="G5" s="110"/>
      <c r="H5" s="110"/>
      <c r="I5" s="110"/>
      <c r="J5" s="110"/>
      <c r="K5" s="110"/>
      <c r="L5" s="110"/>
      <c r="M5" s="110"/>
      <c r="N5" s="110"/>
      <c r="O5" s="110"/>
      <c r="P5" s="111"/>
      <c r="Q5" s="111"/>
      <c r="R5" s="111"/>
      <c r="S5" s="111"/>
      <c r="T5" s="111"/>
      <c r="U5" s="111"/>
      <c r="V5" s="111"/>
      <c r="W5" s="111"/>
      <c r="X5" s="111"/>
      <c r="Y5" s="111"/>
      <c r="Z5" s="111"/>
      <c r="AA5" s="111"/>
      <c r="AB5" s="111"/>
      <c r="AC5" s="111"/>
      <c r="AD5" s="111"/>
      <c r="AF5" s="111"/>
      <c r="AG5" s="111"/>
      <c r="AH5" s="111"/>
    </row>
    <row r="6" spans="1:34" s="78" customFormat="1" ht="6.75" customHeight="1">
      <c r="A6" s="112"/>
      <c r="B6" s="113"/>
      <c r="C6" s="113"/>
      <c r="D6" s="113"/>
      <c r="E6" s="113"/>
      <c r="F6" s="113"/>
      <c r="G6" s="113"/>
      <c r="H6" s="113"/>
      <c r="I6" s="113"/>
      <c r="J6" s="113"/>
      <c r="K6" s="113"/>
      <c r="L6" s="113"/>
      <c r="M6" s="113"/>
      <c r="N6" s="113"/>
      <c r="O6" s="113"/>
      <c r="P6" s="97"/>
      <c r="Q6" s="97"/>
      <c r="R6" s="97"/>
      <c r="S6" s="97"/>
      <c r="T6" s="114"/>
      <c r="U6" s="115"/>
      <c r="V6" s="115"/>
      <c r="W6" s="115"/>
      <c r="X6" s="115"/>
      <c r="Y6" s="115"/>
      <c r="Z6" s="115"/>
      <c r="AA6" s="115"/>
      <c r="AB6" s="115"/>
      <c r="AC6" s="115"/>
      <c r="AD6" s="115"/>
      <c r="AF6" s="115"/>
      <c r="AG6" s="115"/>
      <c r="AH6" s="115"/>
    </row>
    <row r="7" spans="1:34" s="78" customFormat="1" ht="11.1" customHeight="1">
      <c r="A7" s="112"/>
      <c r="B7" s="116" t="s">
        <v>523</v>
      </c>
      <c r="C7" s="117" t="s">
        <v>524</v>
      </c>
      <c r="D7" s="117" t="s">
        <v>524</v>
      </c>
      <c r="E7" s="1275" t="s">
        <v>525</v>
      </c>
      <c r="F7" s="1275"/>
      <c r="G7" s="117"/>
      <c r="H7" s="1275" t="s">
        <v>526</v>
      </c>
      <c r="I7" s="1275"/>
      <c r="J7" s="1275"/>
      <c r="K7" s="117"/>
      <c r="L7" s="1275" t="s">
        <v>527</v>
      </c>
      <c r="M7" s="1275"/>
      <c r="N7" s="1275"/>
      <c r="O7" s="117"/>
      <c r="P7" s="1275" t="s">
        <v>528</v>
      </c>
      <c r="Q7" s="1275"/>
      <c r="R7" s="1275"/>
      <c r="S7" s="115"/>
      <c r="T7" s="1275" t="s">
        <v>529</v>
      </c>
      <c r="U7" s="1275"/>
      <c r="V7" s="1275"/>
      <c r="X7" s="1275" t="s">
        <v>530</v>
      </c>
      <c r="Y7" s="1275"/>
      <c r="Z7" s="1275"/>
      <c r="AB7" s="1275" t="s">
        <v>531</v>
      </c>
      <c r="AC7" s="1275"/>
      <c r="AD7" s="1275"/>
      <c r="AF7" s="1275" t="s">
        <v>685</v>
      </c>
      <c r="AG7" s="1275"/>
      <c r="AH7" s="1275"/>
    </row>
    <row r="8" spans="1:34" s="123" customFormat="1" ht="11.1" customHeight="1">
      <c r="A8" s="118"/>
      <c r="B8" s="119" t="s">
        <v>532</v>
      </c>
      <c r="C8" s="120">
        <v>2008</v>
      </c>
      <c r="D8" s="120">
        <v>2009</v>
      </c>
      <c r="E8" s="121" t="s">
        <v>9</v>
      </c>
      <c r="F8" s="121" t="s">
        <v>533</v>
      </c>
      <c r="G8" s="120"/>
      <c r="H8" s="121" t="s">
        <v>9</v>
      </c>
      <c r="I8" s="121" t="s">
        <v>533</v>
      </c>
      <c r="J8" s="121" t="s">
        <v>534</v>
      </c>
      <c r="K8" s="120"/>
      <c r="L8" s="121" t="s">
        <v>9</v>
      </c>
      <c r="M8" s="121" t="s">
        <v>533</v>
      </c>
      <c r="N8" s="121" t="s">
        <v>534</v>
      </c>
      <c r="O8" s="120"/>
      <c r="P8" s="121" t="s">
        <v>9</v>
      </c>
      <c r="Q8" s="121" t="s">
        <v>533</v>
      </c>
      <c r="R8" s="121" t="s">
        <v>534</v>
      </c>
      <c r="S8" s="122"/>
      <c r="T8" s="121" t="s">
        <v>9</v>
      </c>
      <c r="U8" s="121" t="s">
        <v>533</v>
      </c>
      <c r="V8" s="121" t="s">
        <v>534</v>
      </c>
      <c r="X8" s="121" t="s">
        <v>9</v>
      </c>
      <c r="Y8" s="121" t="s">
        <v>533</v>
      </c>
      <c r="Z8" s="121" t="s">
        <v>534</v>
      </c>
      <c r="AB8" s="121" t="s">
        <v>9</v>
      </c>
      <c r="AC8" s="121" t="s">
        <v>533</v>
      </c>
      <c r="AD8" s="121" t="s">
        <v>534</v>
      </c>
      <c r="AF8" s="121" t="s">
        <v>9</v>
      </c>
      <c r="AG8" s="121" t="s">
        <v>533</v>
      </c>
      <c r="AH8" s="121" t="s">
        <v>534</v>
      </c>
    </row>
    <row r="9" spans="1:34" s="78" customFormat="1" ht="11.1" customHeight="1" thickBot="1">
      <c r="A9" s="124"/>
      <c r="B9" s="125"/>
      <c r="C9" s="126"/>
      <c r="D9" s="126"/>
      <c r="E9" s="126"/>
      <c r="F9" s="126"/>
      <c r="G9" s="126"/>
      <c r="H9" s="126"/>
      <c r="I9" s="126"/>
      <c r="J9" s="126"/>
      <c r="K9" s="126"/>
      <c r="L9" s="126"/>
      <c r="M9" s="126"/>
      <c r="N9" s="126"/>
      <c r="O9" s="126"/>
      <c r="P9" s="127"/>
      <c r="Q9" s="126"/>
      <c r="R9" s="126"/>
      <c r="S9" s="128"/>
      <c r="T9" s="129"/>
      <c r="U9" s="126"/>
      <c r="V9" s="126"/>
      <c r="X9" s="129"/>
      <c r="Y9" s="126"/>
      <c r="Z9" s="126"/>
      <c r="AB9" s="129"/>
      <c r="AC9" s="126"/>
      <c r="AD9" s="126"/>
      <c r="AF9" s="129"/>
      <c r="AG9" s="126"/>
      <c r="AH9" s="126"/>
    </row>
    <row r="10" spans="1:34" ht="11.1" customHeight="1">
      <c r="A10" s="130"/>
      <c r="B10" s="107"/>
      <c r="C10" s="131"/>
      <c r="D10" s="131"/>
      <c r="E10" s="131"/>
      <c r="F10" s="131"/>
      <c r="G10" s="131"/>
      <c r="H10" s="131"/>
      <c r="I10" s="131"/>
      <c r="J10" s="131"/>
      <c r="K10" s="131"/>
      <c r="L10" s="131"/>
      <c r="M10" s="131"/>
      <c r="N10" s="131"/>
      <c r="O10" s="131"/>
      <c r="P10" s="114"/>
      <c r="Q10" s="114"/>
      <c r="R10" s="114"/>
      <c r="S10" s="132"/>
      <c r="T10" s="114"/>
      <c r="U10" s="97"/>
      <c r="V10" s="97"/>
      <c r="X10" s="114"/>
      <c r="Y10" s="97"/>
      <c r="Z10" s="97"/>
      <c r="AB10" s="114"/>
      <c r="AC10" s="97"/>
      <c r="AD10" s="97"/>
      <c r="AF10" s="114"/>
      <c r="AG10" s="97"/>
      <c r="AH10" s="97"/>
    </row>
    <row r="11" spans="1:34" s="9" customFormat="1" ht="11.1" customHeight="1">
      <c r="A11" s="133" t="s">
        <v>535</v>
      </c>
      <c r="B11" s="134" t="s">
        <v>536</v>
      </c>
      <c r="C11" s="131">
        <f>SUM(C13+C221+C233)</f>
        <v>131038099.00399999</v>
      </c>
      <c r="D11" s="131">
        <f>SUM(D13+D221+D233)</f>
        <v>159520052.57100004</v>
      </c>
      <c r="E11" s="131">
        <v>181527087.47000003</v>
      </c>
      <c r="F11" s="135">
        <v>1</v>
      </c>
      <c r="G11" s="135"/>
      <c r="H11" s="131">
        <v>202597770.63827997</v>
      </c>
      <c r="I11" s="135">
        <v>1</v>
      </c>
      <c r="J11" s="135">
        <v>0.11607459504776212</v>
      </c>
      <c r="K11" s="135"/>
      <c r="L11" s="131">
        <v>224662008.60092998</v>
      </c>
      <c r="M11" s="135">
        <v>1</v>
      </c>
      <c r="N11" s="135">
        <v>0.10890661774380384</v>
      </c>
      <c r="O11" s="135"/>
      <c r="P11" s="131">
        <v>249118323.36250001</v>
      </c>
      <c r="Q11" s="135">
        <v>1</v>
      </c>
      <c r="R11" s="135">
        <v>0.10885825740573746</v>
      </c>
      <c r="S11" s="135"/>
      <c r="T11" s="136">
        <v>267020207.86085001</v>
      </c>
      <c r="U11" s="135">
        <v>1</v>
      </c>
      <c r="V11" s="135">
        <v>7.1860970548924222E-2</v>
      </c>
      <c r="X11" s="136">
        <f>+X13+X221+X233</f>
        <v>298055159.70216</v>
      </c>
      <c r="Y11" s="135">
        <v>1</v>
      </c>
      <c r="Z11" s="135">
        <f>IF(C11&lt;&gt;0,(X11-T11)/T11,"")</f>
        <v>0.11622697806258535</v>
      </c>
      <c r="AB11" s="136">
        <f>+AB13+AB221+AB233</f>
        <v>333079759.08392</v>
      </c>
      <c r="AC11" s="135">
        <v>1</v>
      </c>
      <c r="AD11" s="135">
        <f>IF(C11&lt;&gt;0,(AB11-X11)/X11,"")</f>
        <v>0.11751046154261956</v>
      </c>
      <c r="AF11" s="170">
        <v>375575442.93955004</v>
      </c>
      <c r="AG11" s="170">
        <v>1</v>
      </c>
      <c r="AH11" s="170">
        <v>0.12758410769993137</v>
      </c>
    </row>
    <row r="12" spans="1:34" ht="11.1" customHeight="1">
      <c r="A12" s="130"/>
      <c r="B12" s="137"/>
      <c r="C12" s="107"/>
      <c r="D12" s="107"/>
      <c r="E12" s="107"/>
      <c r="F12" s="135" t="s">
        <v>11</v>
      </c>
      <c r="G12" s="135"/>
      <c r="H12" s="107"/>
      <c r="I12" s="135" t="s">
        <v>11</v>
      </c>
      <c r="J12" s="135" t="s">
        <v>11</v>
      </c>
      <c r="K12" s="135"/>
      <c r="L12" s="107"/>
      <c r="M12" s="135" t="s">
        <v>11</v>
      </c>
      <c r="N12" s="135" t="s">
        <v>11</v>
      </c>
      <c r="O12" s="135"/>
      <c r="P12" s="131" t="s">
        <v>11</v>
      </c>
      <c r="Q12" s="135" t="s">
        <v>11</v>
      </c>
      <c r="R12" s="135" t="s">
        <v>11</v>
      </c>
      <c r="S12" s="135"/>
      <c r="T12" s="131" t="s">
        <v>11</v>
      </c>
      <c r="U12" s="135" t="s">
        <v>11</v>
      </c>
      <c r="V12" s="135" t="s">
        <v>11</v>
      </c>
      <c r="X12" s="131" t="s">
        <v>11</v>
      </c>
      <c r="Y12" s="135" t="s">
        <v>11</v>
      </c>
      <c r="Z12" s="135" t="str">
        <f t="shared" ref="Z12:Z75" si="0">IF(C12&lt;&gt;0,(X12-T12)/T12,"")</f>
        <v/>
      </c>
      <c r="AB12" s="131" t="s">
        <v>11</v>
      </c>
      <c r="AC12" s="135" t="s">
        <v>11</v>
      </c>
      <c r="AD12" s="135" t="str">
        <f t="shared" ref="AD12:AD75" si="1">IF(C12&lt;&gt;0,(AB12-X12)/X12,"")</f>
        <v/>
      </c>
      <c r="AF12" s="18"/>
      <c r="AG12" s="18" t="s">
        <v>11</v>
      </c>
      <c r="AH12" s="18" t="s">
        <v>11</v>
      </c>
    </row>
    <row r="13" spans="1:34" s="9" customFormat="1" ht="11.1" customHeight="1">
      <c r="A13" s="133" t="s">
        <v>537</v>
      </c>
      <c r="B13" s="134" t="s">
        <v>538</v>
      </c>
      <c r="C13" s="131">
        <f>SUM(C15+C38+C179)</f>
        <v>106580529.05399999</v>
      </c>
      <c r="D13" s="131">
        <f>SUM(D15+D38+D179)</f>
        <v>132712919.90100002</v>
      </c>
      <c r="E13" s="131">
        <v>151828770.21000001</v>
      </c>
      <c r="F13" s="135">
        <v>0.8363973240913255</v>
      </c>
      <c r="G13" s="135"/>
      <c r="H13" s="131">
        <v>166597091.22757998</v>
      </c>
      <c r="I13" s="135">
        <v>0.82230466160964844</v>
      </c>
      <c r="J13" s="135">
        <v>9.7269582024232693E-2</v>
      </c>
      <c r="K13" s="135"/>
      <c r="L13" s="131">
        <v>184886134.40783998</v>
      </c>
      <c r="M13" s="135">
        <v>0.82295237881655203</v>
      </c>
      <c r="N13" s="135">
        <v>0.10978008706812445</v>
      </c>
      <c r="O13" s="135"/>
      <c r="P13" s="131">
        <v>206136285.43446001</v>
      </c>
      <c r="Q13" s="135">
        <v>0.82746336219718586</v>
      </c>
      <c r="R13" s="135">
        <v>0.11493642340828199</v>
      </c>
      <c r="S13" s="135"/>
      <c r="T13" s="136">
        <v>221935203.82312</v>
      </c>
      <c r="U13" s="135">
        <v>0.8311550859805158</v>
      </c>
      <c r="V13" s="135">
        <v>7.6643073078384208E-2</v>
      </c>
      <c r="X13" s="136">
        <f>+X15+X38+X179</f>
        <v>249805651.55084002</v>
      </c>
      <c r="Y13" s="135">
        <f>+X13/X11</f>
        <v>0.8381188629663896</v>
      </c>
      <c r="Z13" s="135">
        <f t="shared" si="0"/>
        <v>0.12557921072283995</v>
      </c>
      <c r="AB13" s="136">
        <f>+AB15+AB38+AB179</f>
        <v>271263906.36694998</v>
      </c>
      <c r="AC13" s="135">
        <f>+AB13/AB11</f>
        <v>0.8144112602729624</v>
      </c>
      <c r="AD13" s="135">
        <f t="shared" si="1"/>
        <v>8.5899797233942116E-2</v>
      </c>
      <c r="AF13" s="170">
        <v>299337537.76995003</v>
      </c>
      <c r="AG13" s="170">
        <v>0.79701041001801942</v>
      </c>
      <c r="AH13" s="170">
        <v>0.10349195283291278</v>
      </c>
    </row>
    <row r="14" spans="1:34" ht="11.1" customHeight="1">
      <c r="A14" s="130"/>
      <c r="B14" s="137"/>
      <c r="C14" s="107"/>
      <c r="D14" s="107"/>
      <c r="E14" s="107"/>
      <c r="F14" s="135" t="s">
        <v>11</v>
      </c>
      <c r="G14" s="135"/>
      <c r="H14" s="107"/>
      <c r="I14" s="135" t="s">
        <v>11</v>
      </c>
      <c r="J14" s="135" t="s">
        <v>11</v>
      </c>
      <c r="K14" s="135"/>
      <c r="L14" s="107"/>
      <c r="M14" s="135" t="s">
        <v>11</v>
      </c>
      <c r="N14" s="135" t="s">
        <v>11</v>
      </c>
      <c r="O14" s="135"/>
      <c r="P14" s="131" t="s">
        <v>11</v>
      </c>
      <c r="Q14" s="135" t="s">
        <v>11</v>
      </c>
      <c r="R14" s="135" t="s">
        <v>11</v>
      </c>
      <c r="S14" s="135"/>
      <c r="T14" s="131" t="s">
        <v>11</v>
      </c>
      <c r="U14" s="135" t="s">
        <v>11</v>
      </c>
      <c r="V14" s="135" t="s">
        <v>11</v>
      </c>
      <c r="X14" s="131" t="s">
        <v>11</v>
      </c>
      <c r="Y14" s="135" t="s">
        <v>11</v>
      </c>
      <c r="Z14" s="135" t="str">
        <f t="shared" si="0"/>
        <v/>
      </c>
      <c r="AB14" s="131" t="s">
        <v>11</v>
      </c>
      <c r="AC14" s="135" t="s">
        <v>11</v>
      </c>
      <c r="AD14" s="135" t="str">
        <f t="shared" si="1"/>
        <v/>
      </c>
      <c r="AF14" s="18"/>
      <c r="AG14" s="18" t="s">
        <v>11</v>
      </c>
      <c r="AH14" s="18" t="s">
        <v>11</v>
      </c>
    </row>
    <row r="15" spans="1:34" s="9" customFormat="1" ht="11.1" customHeight="1">
      <c r="A15" s="133" t="s">
        <v>539</v>
      </c>
      <c r="B15" s="134" t="s">
        <v>540</v>
      </c>
      <c r="C15" s="131">
        <f>SUM(C17+C31)</f>
        <v>610749.68999999994</v>
      </c>
      <c r="D15" s="131">
        <f>SUM(D17+D31)</f>
        <v>567680.08900000004</v>
      </c>
      <c r="E15" s="131">
        <v>553856.99</v>
      </c>
      <c r="F15" s="135">
        <v>3.0510983111076075E-3</v>
      </c>
      <c r="G15" s="135"/>
      <c r="H15" s="131">
        <v>559248.75523000001</v>
      </c>
      <c r="I15" s="135">
        <v>2.7603894824118681E-3</v>
      </c>
      <c r="J15" s="135">
        <v>9.7349411984491152E-3</v>
      </c>
      <c r="K15" s="135"/>
      <c r="L15" s="131">
        <v>573578.57757000008</v>
      </c>
      <c r="M15" s="135">
        <v>2.5530733083974832E-3</v>
      </c>
      <c r="N15" s="135">
        <v>2.5623342396366537E-2</v>
      </c>
      <c r="O15" s="135"/>
      <c r="P15" s="131">
        <v>527864.39349999989</v>
      </c>
      <c r="Q15" s="135">
        <v>2.1189304197904687E-3</v>
      </c>
      <c r="R15" s="135">
        <v>-7.9699950203285255E-2</v>
      </c>
      <c r="S15" s="135"/>
      <c r="T15" s="136">
        <v>550952.65290999995</v>
      </c>
      <c r="U15" s="135">
        <v>2.0633369186691414E-3</v>
      </c>
      <c r="V15" s="135">
        <v>4.3738997542367979E-2</v>
      </c>
      <c r="X15" s="136">
        <f>+X17+X31</f>
        <v>596515.40727999993</v>
      </c>
      <c r="Y15" s="135">
        <f>+X15/$X$11</f>
        <v>2.0013591037178645E-3</v>
      </c>
      <c r="Z15" s="135">
        <f t="shared" si="0"/>
        <v>8.2698130464293848E-2</v>
      </c>
      <c r="AB15" s="136">
        <f>+AB17+AB31</f>
        <v>583889.26518999995</v>
      </c>
      <c r="AC15" s="135">
        <f>+AB15/$X$11</f>
        <v>1.958997340537462E-3</v>
      </c>
      <c r="AD15" s="135">
        <f t="shared" si="1"/>
        <v>-2.1166497857235331E-2</v>
      </c>
      <c r="AF15" s="170">
        <v>522712.80794999999</v>
      </c>
      <c r="AG15" s="170">
        <v>1.3917651374084437E-3</v>
      </c>
      <c r="AH15" s="170">
        <v>-0.10477407427604084</v>
      </c>
    </row>
    <row r="16" spans="1:34" ht="11.1" customHeight="1">
      <c r="A16" s="130"/>
      <c r="B16" s="137"/>
      <c r="C16" s="138"/>
      <c r="D16" s="138"/>
      <c r="E16" s="138"/>
      <c r="F16" s="135" t="s">
        <v>11</v>
      </c>
      <c r="G16" s="135"/>
      <c r="H16" s="138"/>
      <c r="I16" s="135" t="s">
        <v>11</v>
      </c>
      <c r="J16" s="135" t="s">
        <v>11</v>
      </c>
      <c r="K16" s="135"/>
      <c r="L16" s="138"/>
      <c r="M16" s="135" t="s">
        <v>11</v>
      </c>
      <c r="N16" s="135" t="s">
        <v>11</v>
      </c>
      <c r="O16" s="135"/>
      <c r="P16" s="131" t="s">
        <v>11</v>
      </c>
      <c r="Q16" s="135" t="s">
        <v>11</v>
      </c>
      <c r="R16" s="135" t="s">
        <v>11</v>
      </c>
      <c r="S16" s="135"/>
      <c r="T16" s="131" t="s">
        <v>11</v>
      </c>
      <c r="U16" s="135" t="s">
        <v>11</v>
      </c>
      <c r="V16" s="135" t="s">
        <v>11</v>
      </c>
      <c r="X16" s="131" t="s">
        <v>11</v>
      </c>
      <c r="Y16" s="135"/>
      <c r="Z16" s="135" t="str">
        <f t="shared" si="0"/>
        <v/>
      </c>
      <c r="AB16" s="131" t="s">
        <v>11</v>
      </c>
      <c r="AC16" s="135"/>
      <c r="AD16" s="135" t="str">
        <f t="shared" si="1"/>
        <v/>
      </c>
      <c r="AF16" s="18"/>
      <c r="AG16" s="18" t="s">
        <v>11</v>
      </c>
      <c r="AH16" s="18" t="s">
        <v>11</v>
      </c>
    </row>
    <row r="17" spans="1:34" s="9" customFormat="1" ht="11.1" customHeight="1">
      <c r="A17" s="133" t="s">
        <v>541</v>
      </c>
      <c r="B17" s="134" t="s">
        <v>542</v>
      </c>
      <c r="C17" s="131">
        <f>SUM(C19)</f>
        <v>325505.93</v>
      </c>
      <c r="D17" s="131">
        <f>SUM(D19)</f>
        <v>401618.609</v>
      </c>
      <c r="E17" s="131">
        <v>427756.85</v>
      </c>
      <c r="F17" s="135">
        <v>2.3564353726035128E-3</v>
      </c>
      <c r="G17" s="135"/>
      <c r="H17" s="131">
        <v>419554.96762999997</v>
      </c>
      <c r="I17" s="135">
        <v>2.0708765269637519E-3</v>
      </c>
      <c r="J17" s="135">
        <v>-1.9174169554502768E-2</v>
      </c>
      <c r="K17" s="135"/>
      <c r="L17" s="131">
        <v>426252.59764000005</v>
      </c>
      <c r="M17" s="135">
        <v>1.8973060923583125E-3</v>
      </c>
      <c r="N17" s="135">
        <v>1.5963653220063011E-2</v>
      </c>
      <c r="O17" s="135"/>
      <c r="P17" s="131">
        <v>411115.91571999993</v>
      </c>
      <c r="Q17" s="135">
        <v>1.6502837293175423E-3</v>
      </c>
      <c r="R17" s="135">
        <v>-3.5511060821227181E-2</v>
      </c>
      <c r="S17" s="135"/>
      <c r="T17" s="136">
        <v>513191.59084999998</v>
      </c>
      <c r="U17" s="135">
        <v>1.9219204230319347E-3</v>
      </c>
      <c r="V17" s="135">
        <v>0.24828928102000572</v>
      </c>
      <c r="X17" s="136">
        <f>+X19</f>
        <v>418210.33757999999</v>
      </c>
      <c r="Y17" s="135">
        <f t="shared" ref="Y17:Y79" si="2">+X17/$X$11</f>
        <v>1.4031306755363955E-3</v>
      </c>
      <c r="Z17" s="135">
        <f t="shared" si="0"/>
        <v>-0.18507951993656482</v>
      </c>
      <c r="AB17" s="136">
        <f>+AB19</f>
        <v>485574.79655999993</v>
      </c>
      <c r="AC17" s="135">
        <f>+AB17/$X$11</f>
        <v>1.6291440720074238E-3</v>
      </c>
      <c r="AD17" s="135">
        <f t="shared" si="1"/>
        <v>0.16107793836424167</v>
      </c>
      <c r="AF17" s="170">
        <v>412193.47209</v>
      </c>
      <c r="AG17" s="170">
        <v>1.0974984649258438E-3</v>
      </c>
      <c r="AH17" s="170">
        <v>-0.1511225973626755</v>
      </c>
    </row>
    <row r="18" spans="1:34" ht="11.1" customHeight="1">
      <c r="A18" s="130"/>
      <c r="B18" s="19"/>
      <c r="C18" s="107"/>
      <c r="D18" s="107"/>
      <c r="E18" s="107"/>
      <c r="F18" s="135" t="s">
        <v>11</v>
      </c>
      <c r="G18" s="135"/>
      <c r="H18" s="107"/>
      <c r="I18" s="135" t="s">
        <v>11</v>
      </c>
      <c r="J18" s="135" t="s">
        <v>11</v>
      </c>
      <c r="K18" s="135"/>
      <c r="L18" s="107"/>
      <c r="M18" s="135" t="s">
        <v>11</v>
      </c>
      <c r="N18" s="135" t="s">
        <v>11</v>
      </c>
      <c r="O18" s="135"/>
      <c r="P18" s="131" t="s">
        <v>11</v>
      </c>
      <c r="Q18" s="135" t="s">
        <v>11</v>
      </c>
      <c r="R18" s="135" t="s">
        <v>11</v>
      </c>
      <c r="S18" s="135"/>
      <c r="T18" s="131" t="s">
        <v>11</v>
      </c>
      <c r="U18" s="135" t="s">
        <v>11</v>
      </c>
      <c r="V18" s="135" t="s">
        <v>11</v>
      </c>
      <c r="X18" s="131"/>
      <c r="Y18" s="135"/>
      <c r="Z18" s="135" t="str">
        <f t="shared" si="0"/>
        <v/>
      </c>
      <c r="AB18" s="131"/>
      <c r="AC18" s="135"/>
      <c r="AD18" s="135" t="str">
        <f t="shared" si="1"/>
        <v/>
      </c>
      <c r="AF18" s="18"/>
      <c r="AG18" s="18" t="s">
        <v>11</v>
      </c>
      <c r="AH18" s="18" t="s">
        <v>11</v>
      </c>
    </row>
    <row r="19" spans="1:34" ht="11.1" customHeight="1">
      <c r="A19" s="139" t="s">
        <v>543</v>
      </c>
      <c r="B19" s="140" t="s">
        <v>544</v>
      </c>
      <c r="C19" s="131">
        <f>SUM(C21)</f>
        <v>325505.93</v>
      </c>
      <c r="D19" s="131">
        <f>SUM(D21)</f>
        <v>401618.609</v>
      </c>
      <c r="E19" s="131">
        <v>427756.85</v>
      </c>
      <c r="F19" s="135">
        <v>2.3564353726035128E-3</v>
      </c>
      <c r="G19" s="135"/>
      <c r="H19" s="131">
        <v>419554.96762999997</v>
      </c>
      <c r="I19" s="135">
        <v>2.0708765269637519E-3</v>
      </c>
      <c r="J19" s="135">
        <v>-1.9174169554502768E-2</v>
      </c>
      <c r="K19" s="135"/>
      <c r="L19" s="131">
        <v>426252.59764000005</v>
      </c>
      <c r="M19" s="135">
        <v>1.8973060923583125E-3</v>
      </c>
      <c r="N19" s="135">
        <v>1.5963653220063011E-2</v>
      </c>
      <c r="O19" s="135"/>
      <c r="P19" s="131">
        <v>411115.91571999993</v>
      </c>
      <c r="Q19" s="135">
        <v>1.6502837293175423E-3</v>
      </c>
      <c r="R19" s="135">
        <v>-3.5511060821227181E-2</v>
      </c>
      <c r="S19" s="135"/>
      <c r="T19" s="136">
        <v>513191.59084999998</v>
      </c>
      <c r="U19" s="135">
        <v>1.9219204230319347E-3</v>
      </c>
      <c r="V19" s="135">
        <v>0.24828928102000572</v>
      </c>
      <c r="X19" s="136">
        <f>+X21</f>
        <v>418210.33757999999</v>
      </c>
      <c r="Y19" s="135">
        <f t="shared" si="2"/>
        <v>1.4031306755363955E-3</v>
      </c>
      <c r="Z19" s="135">
        <f t="shared" si="0"/>
        <v>-0.18507951993656482</v>
      </c>
      <c r="AB19" s="136">
        <f>+AB21</f>
        <v>485574.79655999993</v>
      </c>
      <c r="AC19" s="135">
        <f>+AB19/$X$11</f>
        <v>1.6291440720074238E-3</v>
      </c>
      <c r="AD19" s="135">
        <f t="shared" si="1"/>
        <v>0.16107793836424167</v>
      </c>
      <c r="AF19" s="18">
        <v>412193.47209</v>
      </c>
      <c r="AG19" s="18">
        <v>1.0974984649258438E-3</v>
      </c>
      <c r="AH19" s="18">
        <v>-0.1511225973626755</v>
      </c>
    </row>
    <row r="20" spans="1:34" ht="11.1" customHeight="1">
      <c r="A20" s="130"/>
      <c r="B20" s="107"/>
      <c r="C20" s="107"/>
      <c r="D20" s="107"/>
      <c r="E20" s="107"/>
      <c r="F20" s="135" t="s">
        <v>11</v>
      </c>
      <c r="G20" s="135"/>
      <c r="H20" s="107"/>
      <c r="I20" s="135" t="s">
        <v>11</v>
      </c>
      <c r="J20" s="135" t="s">
        <v>11</v>
      </c>
      <c r="K20" s="135"/>
      <c r="L20" s="107"/>
      <c r="M20" s="135" t="s">
        <v>11</v>
      </c>
      <c r="N20" s="135" t="s">
        <v>11</v>
      </c>
      <c r="O20" s="135"/>
      <c r="P20" s="131" t="s">
        <v>11</v>
      </c>
      <c r="Q20" s="135" t="s">
        <v>11</v>
      </c>
      <c r="R20" s="135" t="s">
        <v>11</v>
      </c>
      <c r="S20" s="135"/>
      <c r="T20" s="131" t="s">
        <v>11</v>
      </c>
      <c r="U20" s="135" t="s">
        <v>11</v>
      </c>
      <c r="V20" s="135" t="s">
        <v>11</v>
      </c>
      <c r="X20" s="131" t="s">
        <v>11</v>
      </c>
      <c r="Y20" s="135"/>
      <c r="Z20" s="135" t="str">
        <f t="shared" si="0"/>
        <v/>
      </c>
      <c r="AB20" s="131" t="s">
        <v>11</v>
      </c>
      <c r="AC20" s="135"/>
      <c r="AD20" s="135" t="str">
        <f t="shared" si="1"/>
        <v/>
      </c>
      <c r="AF20" s="18"/>
      <c r="AG20" s="18" t="s">
        <v>11</v>
      </c>
      <c r="AH20" s="18" t="s">
        <v>11</v>
      </c>
    </row>
    <row r="21" spans="1:34" ht="11.1" customHeight="1">
      <c r="A21" s="139" t="s">
        <v>545</v>
      </c>
      <c r="B21" s="140" t="s">
        <v>546</v>
      </c>
      <c r="C21" s="131">
        <f>C23+C27</f>
        <v>325505.93</v>
      </c>
      <c r="D21" s="131">
        <f>D23+D27</f>
        <v>401618.609</v>
      </c>
      <c r="E21" s="131">
        <v>427756.85</v>
      </c>
      <c r="F21" s="135">
        <v>2.3564353726035128E-3</v>
      </c>
      <c r="G21" s="135"/>
      <c r="H21" s="131">
        <v>419554.96762999997</v>
      </c>
      <c r="I21" s="135">
        <v>2.0708765269637519E-3</v>
      </c>
      <c r="J21" s="135">
        <v>-1.9174169554502768E-2</v>
      </c>
      <c r="K21" s="135"/>
      <c r="L21" s="131">
        <v>426252.59764000005</v>
      </c>
      <c r="M21" s="135">
        <v>1.8973060923583125E-3</v>
      </c>
      <c r="N21" s="135">
        <v>1.5963653220063011E-2</v>
      </c>
      <c r="O21" s="135"/>
      <c r="P21" s="131">
        <v>411115.91571999993</v>
      </c>
      <c r="Q21" s="135">
        <v>1.6502837293175423E-3</v>
      </c>
      <c r="R21" s="135">
        <v>-3.5511060821227181E-2</v>
      </c>
      <c r="S21" s="135"/>
      <c r="T21" s="136">
        <v>513191.59084999998</v>
      </c>
      <c r="U21" s="135">
        <v>1.9219204230319347E-3</v>
      </c>
      <c r="V21" s="135">
        <v>0.24828928102000572</v>
      </c>
      <c r="X21" s="136">
        <f>+X23+X27</f>
        <v>418210.33757999999</v>
      </c>
      <c r="Y21" s="135">
        <f t="shared" si="2"/>
        <v>1.4031306755363955E-3</v>
      </c>
      <c r="Z21" s="135">
        <f t="shared" si="0"/>
        <v>-0.18507951993656482</v>
      </c>
      <c r="AB21" s="136">
        <f>+AB23+AB27</f>
        <v>485574.79655999993</v>
      </c>
      <c r="AC21" s="135">
        <f>+AB21/$X$11</f>
        <v>1.6291440720074238E-3</v>
      </c>
      <c r="AD21" s="135">
        <f t="shared" si="1"/>
        <v>0.16107793836424167</v>
      </c>
      <c r="AF21" s="18">
        <v>412193.47209</v>
      </c>
      <c r="AG21" s="18">
        <v>1.0974984649258438E-3</v>
      </c>
      <c r="AH21" s="18">
        <v>-0.1511225973626755</v>
      </c>
    </row>
    <row r="22" spans="1:34" ht="11.1" customHeight="1">
      <c r="A22" s="130"/>
      <c r="B22" s="107"/>
      <c r="C22" s="138"/>
      <c r="D22" s="138"/>
      <c r="E22" s="138"/>
      <c r="F22" s="135" t="s">
        <v>11</v>
      </c>
      <c r="G22" s="135"/>
      <c r="H22" s="138"/>
      <c r="I22" s="135" t="s">
        <v>11</v>
      </c>
      <c r="J22" s="135" t="s">
        <v>11</v>
      </c>
      <c r="K22" s="135"/>
      <c r="L22" s="138"/>
      <c r="M22" s="135" t="s">
        <v>11</v>
      </c>
      <c r="N22" s="135" t="s">
        <v>11</v>
      </c>
      <c r="O22" s="135"/>
      <c r="P22" s="131" t="s">
        <v>11</v>
      </c>
      <c r="Q22" s="135" t="s">
        <v>11</v>
      </c>
      <c r="R22" s="135" t="s">
        <v>11</v>
      </c>
      <c r="S22" s="135"/>
      <c r="T22" s="131" t="s">
        <v>11</v>
      </c>
      <c r="U22" s="135" t="s">
        <v>11</v>
      </c>
      <c r="V22" s="135" t="s">
        <v>11</v>
      </c>
      <c r="X22" s="131" t="s">
        <v>11</v>
      </c>
      <c r="Y22" s="135"/>
      <c r="Z22" s="135" t="str">
        <f t="shared" si="0"/>
        <v/>
      </c>
      <c r="AB22" s="131" t="s">
        <v>11</v>
      </c>
      <c r="AC22" s="135"/>
      <c r="AD22" s="135" t="str">
        <f t="shared" si="1"/>
        <v/>
      </c>
      <c r="AF22" s="18"/>
      <c r="AG22" s="18" t="s">
        <v>11</v>
      </c>
      <c r="AH22" s="18" t="s">
        <v>11</v>
      </c>
    </row>
    <row r="23" spans="1:34" ht="11.1" customHeight="1">
      <c r="A23" s="139" t="s">
        <v>547</v>
      </c>
      <c r="B23" s="141" t="s">
        <v>548</v>
      </c>
      <c r="C23" s="131">
        <f>SUM(C25)</f>
        <v>111136.32000000001</v>
      </c>
      <c r="D23" s="131">
        <f>SUM(D25)</f>
        <v>154823.37400000001</v>
      </c>
      <c r="E23" s="131">
        <v>208288.51</v>
      </c>
      <c r="F23" s="135">
        <v>1.1474238522910399E-3</v>
      </c>
      <c r="G23" s="135"/>
      <c r="H23" s="131">
        <v>188259.42484999998</v>
      </c>
      <c r="I23" s="135">
        <v>9.2922752435474812E-4</v>
      </c>
      <c r="J23" s="135">
        <v>-9.616029780039248E-2</v>
      </c>
      <c r="K23" s="135"/>
      <c r="L23" s="131">
        <v>168208.26256</v>
      </c>
      <c r="M23" s="135">
        <v>7.4871698872233672E-4</v>
      </c>
      <c r="N23" s="135">
        <v>-0.10650814590545044</v>
      </c>
      <c r="O23" s="135"/>
      <c r="P23" s="131">
        <v>127476.85356999999</v>
      </c>
      <c r="Q23" s="135">
        <v>5.1171207259814592E-4</v>
      </c>
      <c r="R23" s="135">
        <v>-0.24214868146248814</v>
      </c>
      <c r="S23" s="135"/>
      <c r="T23" s="136">
        <v>220272.30533</v>
      </c>
      <c r="U23" s="135">
        <v>8.2492747307270713E-4</v>
      </c>
      <c r="V23" s="135">
        <v>0.72793961539883978</v>
      </c>
      <c r="X23" s="136">
        <f>+X25</f>
        <v>108370.63258999999</v>
      </c>
      <c r="Y23" s="135">
        <f t="shared" si="2"/>
        <v>3.6359254004625314E-4</v>
      </c>
      <c r="Z23" s="135">
        <f t="shared" si="0"/>
        <v>-0.50801517046073952</v>
      </c>
      <c r="AB23" s="136">
        <f>+AB25</f>
        <v>162142.14291999998</v>
      </c>
      <c r="AC23" s="135">
        <f>+AB23/$X$11</f>
        <v>5.440004564323767E-4</v>
      </c>
      <c r="AD23" s="135">
        <f t="shared" si="1"/>
        <v>0.49618156732031304</v>
      </c>
      <c r="AF23" s="18">
        <v>120672.56678000001</v>
      </c>
      <c r="AG23" s="18">
        <v>3.2130047117969482E-4</v>
      </c>
      <c r="AH23" s="18">
        <v>-0.25576062702255531</v>
      </c>
    </row>
    <row r="24" spans="1:34" ht="11.1" customHeight="1">
      <c r="A24" s="139"/>
      <c r="B24" s="134"/>
      <c r="C24" s="131"/>
      <c r="D24" s="131"/>
      <c r="E24" s="131"/>
      <c r="F24" s="135" t="s">
        <v>11</v>
      </c>
      <c r="G24" s="135"/>
      <c r="H24" s="131"/>
      <c r="I24" s="135" t="s">
        <v>11</v>
      </c>
      <c r="J24" s="135" t="s">
        <v>11</v>
      </c>
      <c r="K24" s="135"/>
      <c r="L24" s="131"/>
      <c r="M24" s="135" t="s">
        <v>11</v>
      </c>
      <c r="N24" s="135" t="s">
        <v>11</v>
      </c>
      <c r="O24" s="135"/>
      <c r="P24" s="131" t="s">
        <v>11</v>
      </c>
      <c r="Q24" s="135" t="s">
        <v>11</v>
      </c>
      <c r="R24" s="135" t="s">
        <v>11</v>
      </c>
      <c r="S24" s="135"/>
      <c r="T24" s="131" t="s">
        <v>11</v>
      </c>
      <c r="U24" s="135" t="s">
        <v>11</v>
      </c>
      <c r="V24" s="135" t="s">
        <v>11</v>
      </c>
      <c r="X24" s="131" t="s">
        <v>11</v>
      </c>
      <c r="Y24" s="135"/>
      <c r="Z24" s="135" t="str">
        <f t="shared" si="0"/>
        <v/>
      </c>
      <c r="AB24" s="131" t="s">
        <v>11</v>
      </c>
      <c r="AC24" s="135"/>
      <c r="AD24" s="135" t="str">
        <f t="shared" si="1"/>
        <v/>
      </c>
      <c r="AF24" s="18"/>
      <c r="AG24" s="18" t="s">
        <v>11</v>
      </c>
      <c r="AH24" s="18" t="s">
        <v>11</v>
      </c>
    </row>
    <row r="25" spans="1:34" s="97" customFormat="1" ht="11.1" customHeight="1">
      <c r="A25" s="139" t="s">
        <v>547</v>
      </c>
      <c r="B25" s="142" t="s">
        <v>549</v>
      </c>
      <c r="C25" s="143">
        <v>111136.32000000001</v>
      </c>
      <c r="D25" s="143">
        <v>154823.37400000001</v>
      </c>
      <c r="E25" s="143">
        <v>208288.51</v>
      </c>
      <c r="F25" s="135">
        <v>1.1474238522910399E-3</v>
      </c>
      <c r="G25" s="135"/>
      <c r="H25" s="143">
        <v>188259.42484999998</v>
      </c>
      <c r="I25" s="135">
        <v>9.2922752435474812E-4</v>
      </c>
      <c r="J25" s="135">
        <v>-9.616029780039248E-2</v>
      </c>
      <c r="K25" s="135"/>
      <c r="L25" s="143">
        <v>168208.26256</v>
      </c>
      <c r="M25" s="135">
        <v>7.4871698872233672E-4</v>
      </c>
      <c r="N25" s="135">
        <v>-0.10650814590545044</v>
      </c>
      <c r="O25" s="135"/>
      <c r="P25" s="143">
        <v>127476.85356999999</v>
      </c>
      <c r="Q25" s="135">
        <v>5.1171207259814592E-4</v>
      </c>
      <c r="R25" s="135">
        <v>-0.24214868146248814</v>
      </c>
      <c r="S25" s="135"/>
      <c r="T25" s="143">
        <v>220272.30533</v>
      </c>
      <c r="U25" s="135">
        <v>8.2492747307270713E-4</v>
      </c>
      <c r="V25" s="135">
        <v>0.72793961539883978</v>
      </c>
      <c r="X25" s="143">
        <v>108370.63258999999</v>
      </c>
      <c r="Y25" s="135">
        <f t="shared" si="2"/>
        <v>3.6359254004625314E-4</v>
      </c>
      <c r="Z25" s="135">
        <f t="shared" si="0"/>
        <v>-0.50801517046073952</v>
      </c>
      <c r="AB25" s="143">
        <f>162142142.92/1000</f>
        <v>162142.14291999998</v>
      </c>
      <c r="AC25" s="135">
        <f>+AB25/$X$11</f>
        <v>5.440004564323767E-4</v>
      </c>
      <c r="AD25" s="135">
        <f t="shared" si="1"/>
        <v>0.49618156732031304</v>
      </c>
      <c r="AF25" s="156">
        <v>120672.56678000001</v>
      </c>
      <c r="AG25" s="156">
        <v>3.2130047117969482E-4</v>
      </c>
      <c r="AH25" s="156">
        <v>-0.25576062702255531</v>
      </c>
    </row>
    <row r="26" spans="1:34" s="97" customFormat="1" ht="11.1" customHeight="1">
      <c r="A26" s="139"/>
      <c r="B26" s="142"/>
      <c r="C26" s="143"/>
      <c r="D26" s="143"/>
      <c r="E26" s="143"/>
      <c r="F26" s="135" t="s">
        <v>11</v>
      </c>
      <c r="G26" s="135"/>
      <c r="H26" s="143"/>
      <c r="I26" s="135" t="s">
        <v>11</v>
      </c>
      <c r="J26" s="135" t="s">
        <v>11</v>
      </c>
      <c r="K26" s="135"/>
      <c r="L26" s="143"/>
      <c r="M26" s="135" t="s">
        <v>11</v>
      </c>
      <c r="N26" s="135" t="s">
        <v>11</v>
      </c>
      <c r="O26" s="135"/>
      <c r="P26" s="131" t="s">
        <v>11</v>
      </c>
      <c r="Q26" s="135" t="s">
        <v>11</v>
      </c>
      <c r="R26" s="135" t="s">
        <v>11</v>
      </c>
      <c r="S26" s="135"/>
      <c r="T26" s="131" t="s">
        <v>11</v>
      </c>
      <c r="U26" s="135" t="s">
        <v>11</v>
      </c>
      <c r="V26" s="135" t="s">
        <v>11</v>
      </c>
      <c r="X26" s="131" t="s">
        <v>11</v>
      </c>
      <c r="Y26" s="135"/>
      <c r="Z26" s="135" t="str">
        <f t="shared" si="0"/>
        <v/>
      </c>
      <c r="AB26" s="131" t="s">
        <v>11</v>
      </c>
      <c r="AC26" s="135"/>
      <c r="AD26" s="135" t="str">
        <f t="shared" si="1"/>
        <v/>
      </c>
      <c r="AF26" s="156"/>
      <c r="AG26" s="156" t="s">
        <v>11</v>
      </c>
      <c r="AH26" s="156" t="s">
        <v>11</v>
      </c>
    </row>
    <row r="27" spans="1:34" s="97" customFormat="1" ht="11.1" customHeight="1">
      <c r="A27" s="139" t="s">
        <v>547</v>
      </c>
      <c r="B27" s="144" t="s">
        <v>550</v>
      </c>
      <c r="C27" s="131">
        <f>SUM(C29)</f>
        <v>214369.61</v>
      </c>
      <c r="D27" s="131">
        <f>SUM(D29)</f>
        <v>246795.23499999999</v>
      </c>
      <c r="E27" s="131">
        <v>219468.34</v>
      </c>
      <c r="F27" s="135">
        <v>1.2090115203124729E-3</v>
      </c>
      <c r="G27" s="135"/>
      <c r="H27" s="131">
        <v>231295.54277999999</v>
      </c>
      <c r="I27" s="135">
        <v>1.1416490026090035E-3</v>
      </c>
      <c r="J27" s="135">
        <v>5.3890245763921998E-2</v>
      </c>
      <c r="K27" s="135"/>
      <c r="L27" s="131">
        <v>258044.33508000002</v>
      </c>
      <c r="M27" s="135">
        <v>1.1485891036359757E-3</v>
      </c>
      <c r="N27" s="135">
        <v>0.11564767733307563</v>
      </c>
      <c r="O27" s="135"/>
      <c r="P27" s="131">
        <v>283639.06214999995</v>
      </c>
      <c r="Q27" s="135">
        <v>1.1385716567193964E-3</v>
      </c>
      <c r="R27" s="135">
        <v>9.9187324000214724E-2</v>
      </c>
      <c r="S27" s="135"/>
      <c r="T27" s="136">
        <v>292919.28551999998</v>
      </c>
      <c r="U27" s="135">
        <v>1.0969929499592276E-3</v>
      </c>
      <c r="V27" s="135">
        <v>3.2718424957604249E-2</v>
      </c>
      <c r="X27" s="136">
        <f>+X29</f>
        <v>309839.70499</v>
      </c>
      <c r="Y27" s="135">
        <f t="shared" si="2"/>
        <v>1.0395381354901423E-3</v>
      </c>
      <c r="Z27" s="135">
        <f t="shared" si="0"/>
        <v>5.7764784725465708E-2</v>
      </c>
      <c r="AB27" s="136">
        <f>+AB29</f>
        <v>323432.65363999997</v>
      </c>
      <c r="AC27" s="135">
        <f>+AB27/$X$11</f>
        <v>1.0851436155750471E-3</v>
      </c>
      <c r="AD27" s="135">
        <f t="shared" si="1"/>
        <v>4.3870906249535338E-2</v>
      </c>
      <c r="AF27" s="156">
        <v>291520.90531</v>
      </c>
      <c r="AG27" s="156">
        <v>7.7619799374614902E-4</v>
      </c>
      <c r="AH27" s="156">
        <v>-9.8665821063075684E-2</v>
      </c>
    </row>
    <row r="28" spans="1:34" s="97" customFormat="1" ht="6.75" customHeight="1">
      <c r="A28" s="139"/>
      <c r="B28" s="134"/>
      <c r="C28" s="143"/>
      <c r="D28" s="143"/>
      <c r="E28" s="143"/>
      <c r="F28" s="135" t="s">
        <v>11</v>
      </c>
      <c r="G28" s="135"/>
      <c r="H28" s="143"/>
      <c r="I28" s="135" t="s">
        <v>11</v>
      </c>
      <c r="J28" s="135" t="s">
        <v>11</v>
      </c>
      <c r="K28" s="135"/>
      <c r="L28" s="143"/>
      <c r="M28" s="135" t="s">
        <v>11</v>
      </c>
      <c r="N28" s="135" t="s">
        <v>11</v>
      </c>
      <c r="O28" s="135"/>
      <c r="P28" s="131" t="s">
        <v>11</v>
      </c>
      <c r="Q28" s="135" t="s">
        <v>11</v>
      </c>
      <c r="R28" s="135" t="s">
        <v>11</v>
      </c>
      <c r="S28" s="135"/>
      <c r="T28" s="131" t="s">
        <v>11</v>
      </c>
      <c r="U28" s="135" t="s">
        <v>11</v>
      </c>
      <c r="V28" s="135" t="s">
        <v>11</v>
      </c>
      <c r="X28" s="131" t="s">
        <v>11</v>
      </c>
      <c r="Y28" s="135"/>
      <c r="Z28" s="135" t="str">
        <f t="shared" si="0"/>
        <v/>
      </c>
      <c r="AB28" s="131" t="s">
        <v>11</v>
      </c>
      <c r="AC28" s="135"/>
      <c r="AD28" s="135" t="str">
        <f t="shared" si="1"/>
        <v/>
      </c>
      <c r="AF28" s="156"/>
      <c r="AG28" s="156" t="s">
        <v>11</v>
      </c>
      <c r="AH28" s="156" t="s">
        <v>11</v>
      </c>
    </row>
    <row r="29" spans="1:34" ht="11.1" customHeight="1">
      <c r="A29" s="139" t="s">
        <v>547</v>
      </c>
      <c r="B29" s="142" t="s">
        <v>551</v>
      </c>
      <c r="C29" s="143">
        <v>214369.61</v>
      </c>
      <c r="D29" s="143">
        <v>246795.23499999999</v>
      </c>
      <c r="E29" s="143">
        <v>219468.34</v>
      </c>
      <c r="F29" s="135">
        <v>1.2090115203124729E-3</v>
      </c>
      <c r="G29" s="135"/>
      <c r="H29" s="143">
        <v>231295.54277999999</v>
      </c>
      <c r="I29" s="135">
        <v>1.1416490026090035E-3</v>
      </c>
      <c r="J29" s="135">
        <v>5.3890245763921998E-2</v>
      </c>
      <c r="K29" s="135"/>
      <c r="L29" s="143">
        <v>258044.33508000002</v>
      </c>
      <c r="M29" s="135">
        <v>1.1485891036359757E-3</v>
      </c>
      <c r="N29" s="135">
        <v>0.11564767733307563</v>
      </c>
      <c r="O29" s="135"/>
      <c r="P29" s="143">
        <v>283639.06214999995</v>
      </c>
      <c r="Q29" s="135">
        <v>1.1385716567193964E-3</v>
      </c>
      <c r="R29" s="135">
        <v>9.9187324000214724E-2</v>
      </c>
      <c r="S29" s="135"/>
      <c r="T29" s="143">
        <v>292919.28551999998</v>
      </c>
      <c r="U29" s="135">
        <v>1.0969929499592276E-3</v>
      </c>
      <c r="V29" s="135">
        <v>3.2718424957604249E-2</v>
      </c>
      <c r="X29" s="143">
        <v>309839.70499</v>
      </c>
      <c r="Y29" s="135">
        <f t="shared" si="2"/>
        <v>1.0395381354901423E-3</v>
      </c>
      <c r="Z29" s="135">
        <f t="shared" si="0"/>
        <v>5.7764784725465708E-2</v>
      </c>
      <c r="AB29" s="143">
        <f>323432653.64/1000</f>
        <v>323432.65363999997</v>
      </c>
      <c r="AC29" s="135">
        <f>+AB29/$X$11</f>
        <v>1.0851436155750471E-3</v>
      </c>
      <c r="AD29" s="135">
        <f t="shared" si="1"/>
        <v>4.3870906249535338E-2</v>
      </c>
      <c r="AF29" s="18">
        <v>291520.90531</v>
      </c>
      <c r="AG29" s="18">
        <v>7.7619799374614902E-4</v>
      </c>
      <c r="AH29" s="18">
        <v>-9.8665821063075684E-2</v>
      </c>
    </row>
    <row r="30" spans="1:34" ht="6.75" customHeight="1">
      <c r="A30" s="139"/>
      <c r="B30" s="142"/>
      <c r="C30" s="107"/>
      <c r="D30" s="107"/>
      <c r="E30" s="107"/>
      <c r="F30" s="135" t="s">
        <v>11</v>
      </c>
      <c r="G30" s="135"/>
      <c r="H30" s="107"/>
      <c r="I30" s="135" t="s">
        <v>11</v>
      </c>
      <c r="J30" s="135" t="s">
        <v>11</v>
      </c>
      <c r="K30" s="135"/>
      <c r="L30" s="107"/>
      <c r="M30" s="135" t="s">
        <v>11</v>
      </c>
      <c r="N30" s="135" t="s">
        <v>11</v>
      </c>
      <c r="O30" s="135"/>
      <c r="P30" s="131" t="s">
        <v>11</v>
      </c>
      <c r="Q30" s="135" t="s">
        <v>11</v>
      </c>
      <c r="R30" s="135" t="s">
        <v>11</v>
      </c>
      <c r="S30" s="135"/>
      <c r="T30" s="131" t="s">
        <v>11</v>
      </c>
      <c r="U30" s="135" t="s">
        <v>11</v>
      </c>
      <c r="V30" s="135" t="s">
        <v>11</v>
      </c>
      <c r="X30" s="131" t="s">
        <v>11</v>
      </c>
      <c r="Y30" s="135"/>
      <c r="Z30" s="135" t="str">
        <f t="shared" si="0"/>
        <v/>
      </c>
      <c r="AB30" s="131" t="s">
        <v>11</v>
      </c>
      <c r="AC30" s="135"/>
      <c r="AD30" s="135" t="str">
        <f t="shared" si="1"/>
        <v/>
      </c>
      <c r="AF30" s="18"/>
      <c r="AG30" s="18" t="s">
        <v>11</v>
      </c>
      <c r="AH30" s="18" t="s">
        <v>11</v>
      </c>
    </row>
    <row r="31" spans="1:34" s="9" customFormat="1" ht="11.1" customHeight="1">
      <c r="A31" s="133" t="s">
        <v>541</v>
      </c>
      <c r="B31" s="134" t="s">
        <v>552</v>
      </c>
      <c r="C31" s="131">
        <f>SUM(C33)</f>
        <v>285243.76</v>
      </c>
      <c r="D31" s="131">
        <f>SUM(D33)</f>
        <v>166061.48000000001</v>
      </c>
      <c r="E31" s="131">
        <v>126100.14</v>
      </c>
      <c r="F31" s="135">
        <v>6.946629385040944E-4</v>
      </c>
      <c r="G31" s="135"/>
      <c r="H31" s="131">
        <v>139693.78759999998</v>
      </c>
      <c r="I31" s="135">
        <v>6.8951295544811611E-4</v>
      </c>
      <c r="J31" s="135">
        <v>0.10780041639922035</v>
      </c>
      <c r="K31" s="135"/>
      <c r="L31" s="131">
        <v>147325.97993</v>
      </c>
      <c r="M31" s="135">
        <v>6.5576721603917041E-4</v>
      </c>
      <c r="N31" s="135">
        <v>5.4635159237389173E-2</v>
      </c>
      <c r="O31" s="135"/>
      <c r="P31" s="131">
        <v>116748.47777999999</v>
      </c>
      <c r="Q31" s="135">
        <v>4.6864669047292664E-4</v>
      </c>
      <c r="R31" s="135">
        <v>-0.20754996616705698</v>
      </c>
      <c r="S31" s="135"/>
      <c r="T31" s="136">
        <v>37761.062060000004</v>
      </c>
      <c r="U31" s="135">
        <v>1.4141649563720701E-4</v>
      </c>
      <c r="V31" s="135">
        <v>-0.67656056183313429</v>
      </c>
      <c r="X31" s="136">
        <f>+X33</f>
        <v>178305.06969999999</v>
      </c>
      <c r="Y31" s="135">
        <f t="shared" si="2"/>
        <v>5.9822842818146936E-4</v>
      </c>
      <c r="Z31" s="135">
        <f t="shared" si="0"/>
        <v>3.7219294154567004</v>
      </c>
      <c r="AB31" s="136">
        <f>+AB33</f>
        <v>98314.468630000003</v>
      </c>
      <c r="AC31" s="135">
        <f>+AB31/$X$11</f>
        <v>3.2985326853003817E-4</v>
      </c>
      <c r="AD31" s="135">
        <f t="shared" si="1"/>
        <v>-0.44861652674590213</v>
      </c>
      <c r="AF31" s="170">
        <v>110519.33586000001</v>
      </c>
      <c r="AG31" s="170">
        <v>2.9426667248260005E-4</v>
      </c>
      <c r="AH31" s="170">
        <v>0.12414110964615202</v>
      </c>
    </row>
    <row r="32" spans="1:34" s="9" customFormat="1" ht="7.5" customHeight="1">
      <c r="A32" s="133"/>
      <c r="B32" s="134"/>
      <c r="C32" s="107"/>
      <c r="D32" s="107"/>
      <c r="E32" s="107"/>
      <c r="F32" s="135" t="s">
        <v>11</v>
      </c>
      <c r="G32" s="135"/>
      <c r="H32" s="107"/>
      <c r="I32" s="135" t="s">
        <v>11</v>
      </c>
      <c r="J32" s="135" t="s">
        <v>11</v>
      </c>
      <c r="K32" s="135"/>
      <c r="L32" s="107"/>
      <c r="M32" s="135" t="s">
        <v>11</v>
      </c>
      <c r="N32" s="135" t="s">
        <v>11</v>
      </c>
      <c r="O32" s="135"/>
      <c r="P32" s="131" t="s">
        <v>11</v>
      </c>
      <c r="Q32" s="135" t="s">
        <v>11</v>
      </c>
      <c r="R32" s="135" t="s">
        <v>11</v>
      </c>
      <c r="S32" s="135"/>
      <c r="T32" s="131" t="s">
        <v>11</v>
      </c>
      <c r="U32" s="135" t="s">
        <v>11</v>
      </c>
      <c r="V32" s="135" t="s">
        <v>11</v>
      </c>
      <c r="X32" s="131" t="s">
        <v>11</v>
      </c>
      <c r="Y32" s="135"/>
      <c r="Z32" s="135" t="str">
        <f t="shared" si="0"/>
        <v/>
      </c>
      <c r="AB32" s="131" t="s">
        <v>11</v>
      </c>
      <c r="AC32" s="135"/>
      <c r="AD32" s="135" t="str">
        <f t="shared" si="1"/>
        <v/>
      </c>
      <c r="AF32" s="170"/>
      <c r="AG32" s="170" t="s">
        <v>11</v>
      </c>
      <c r="AH32" s="170" t="s">
        <v>11</v>
      </c>
    </row>
    <row r="33" spans="1:34" s="9" customFormat="1" ht="11.1" customHeight="1">
      <c r="A33" s="133" t="s">
        <v>541</v>
      </c>
      <c r="B33" s="90" t="s">
        <v>553</v>
      </c>
      <c r="C33" s="131">
        <f>SUM(C35:C37)</f>
        <v>285243.76</v>
      </c>
      <c r="D33" s="131">
        <f>SUM(D35:D37)</f>
        <v>166061.48000000001</v>
      </c>
      <c r="E33" s="131">
        <v>126100.14</v>
      </c>
      <c r="F33" s="135">
        <v>6.946629385040944E-4</v>
      </c>
      <c r="G33" s="135"/>
      <c r="H33" s="131">
        <v>139693.78759999998</v>
      </c>
      <c r="I33" s="135">
        <v>6.8951295544811611E-4</v>
      </c>
      <c r="J33" s="135">
        <v>0.10780041639922035</v>
      </c>
      <c r="K33" s="135"/>
      <c r="L33" s="131">
        <v>147325.97993</v>
      </c>
      <c r="M33" s="135">
        <v>6.5576721603917041E-4</v>
      </c>
      <c r="N33" s="135">
        <v>5.4635159237389173E-2</v>
      </c>
      <c r="O33" s="135"/>
      <c r="P33" s="131">
        <v>116748.47777999999</v>
      </c>
      <c r="Q33" s="135">
        <v>4.6864669047292664E-4</v>
      </c>
      <c r="R33" s="135">
        <v>-0.20754996616705698</v>
      </c>
      <c r="S33" s="135"/>
      <c r="T33" s="136">
        <v>37761.062060000004</v>
      </c>
      <c r="U33" s="135">
        <v>1.4141649563720701E-4</v>
      </c>
      <c r="V33" s="135">
        <v>-0.67656056183313429</v>
      </c>
      <c r="X33" s="136">
        <f>SUM(X35:X36)</f>
        <v>178305.06969999999</v>
      </c>
      <c r="Y33" s="135">
        <f t="shared" si="2"/>
        <v>5.9822842818146936E-4</v>
      </c>
      <c r="Z33" s="135">
        <f t="shared" si="0"/>
        <v>3.7219294154567004</v>
      </c>
      <c r="AB33" s="136">
        <f>SUM(AB35:AB36)</f>
        <v>98314.468630000003</v>
      </c>
      <c r="AC33" s="135">
        <f>+AB33/$X$11</f>
        <v>3.2985326853003817E-4</v>
      </c>
      <c r="AD33" s="135">
        <f t="shared" si="1"/>
        <v>-0.44861652674590213</v>
      </c>
      <c r="AF33" s="170">
        <v>110519.33586000001</v>
      </c>
      <c r="AG33" s="170">
        <v>2.9426667248260005E-4</v>
      </c>
      <c r="AH33" s="170">
        <v>0.12414110964615202</v>
      </c>
    </row>
    <row r="34" spans="1:34" ht="5.25" customHeight="1">
      <c r="A34" s="130"/>
      <c r="B34" s="90"/>
      <c r="C34" s="107"/>
      <c r="D34" s="107"/>
      <c r="E34" s="107"/>
      <c r="F34" s="135" t="s">
        <v>11</v>
      </c>
      <c r="G34" s="135"/>
      <c r="H34" s="107"/>
      <c r="I34" s="135" t="s">
        <v>11</v>
      </c>
      <c r="J34" s="135" t="s">
        <v>11</v>
      </c>
      <c r="K34" s="135"/>
      <c r="L34" s="107"/>
      <c r="M34" s="135" t="s">
        <v>11</v>
      </c>
      <c r="N34" s="135" t="s">
        <v>11</v>
      </c>
      <c r="O34" s="135"/>
      <c r="P34" s="131" t="s">
        <v>11</v>
      </c>
      <c r="Q34" s="135" t="s">
        <v>11</v>
      </c>
      <c r="R34" s="135" t="s">
        <v>11</v>
      </c>
      <c r="S34" s="135"/>
      <c r="T34" s="131" t="s">
        <v>11</v>
      </c>
      <c r="U34" s="135" t="s">
        <v>11</v>
      </c>
      <c r="V34" s="135" t="s">
        <v>11</v>
      </c>
      <c r="X34" s="131" t="s">
        <v>11</v>
      </c>
      <c r="Y34" s="135"/>
      <c r="Z34" s="135" t="str">
        <f t="shared" si="0"/>
        <v/>
      </c>
      <c r="AB34" s="131" t="s">
        <v>11</v>
      </c>
      <c r="AC34" s="135"/>
      <c r="AD34" s="135" t="str">
        <f t="shared" si="1"/>
        <v/>
      </c>
      <c r="AF34" s="18"/>
      <c r="AG34" s="18" t="s">
        <v>11</v>
      </c>
      <c r="AH34" s="18" t="s">
        <v>11</v>
      </c>
    </row>
    <row r="35" spans="1:34" ht="11.1" customHeight="1">
      <c r="A35" s="139" t="s">
        <v>547</v>
      </c>
      <c r="B35" s="142" t="s">
        <v>554</v>
      </c>
      <c r="C35" s="143">
        <v>285243.76</v>
      </c>
      <c r="D35" s="143">
        <v>166061.48000000001</v>
      </c>
      <c r="E35" s="143">
        <v>126100.14</v>
      </c>
      <c r="F35" s="135">
        <v>6.946629385040944E-4</v>
      </c>
      <c r="G35" s="135"/>
      <c r="H35" s="143">
        <v>139693.78759999998</v>
      </c>
      <c r="I35" s="135">
        <v>6.8951295544811611E-4</v>
      </c>
      <c r="J35" s="135">
        <v>0.10780041639922035</v>
      </c>
      <c r="K35" s="135"/>
      <c r="L35" s="143">
        <v>147325.97993</v>
      </c>
      <c r="M35" s="135">
        <v>6.5576721603917041E-4</v>
      </c>
      <c r="N35" s="135">
        <v>5.4635159237389173E-2</v>
      </c>
      <c r="O35" s="135"/>
      <c r="P35" s="143">
        <v>115043.14543999999</v>
      </c>
      <c r="Q35" s="135">
        <v>4.6180121914435432E-4</v>
      </c>
      <c r="R35" s="135">
        <v>-0.21912519777800746</v>
      </c>
      <c r="S35" s="135"/>
      <c r="T35" s="143">
        <v>37472.135350000004</v>
      </c>
      <c r="U35" s="135">
        <v>1.4033445502194928E-4</v>
      </c>
      <c r="V35" s="135">
        <v>-0.6742775485955107</v>
      </c>
      <c r="X35" s="143">
        <v>177709.50401999999</v>
      </c>
      <c r="Y35" s="135">
        <f t="shared" si="2"/>
        <v>5.9623025549224249E-4</v>
      </c>
      <c r="Z35" s="135">
        <f t="shared" si="0"/>
        <v>3.7424440150032705</v>
      </c>
      <c r="AB35" s="143">
        <f>98021258.59/1000</f>
        <v>98021.258589999998</v>
      </c>
      <c r="AC35" s="135">
        <f>+AB35/$X$11</f>
        <v>3.2886952431204514E-4</v>
      </c>
      <c r="AD35" s="135">
        <f t="shared" si="1"/>
        <v>-0.44841859116905547</v>
      </c>
      <c r="AF35" s="18">
        <v>109611.62152</v>
      </c>
      <c r="AG35" s="18">
        <v>2.9184980962038647E-4</v>
      </c>
      <c r="AH35" s="18">
        <v>0.11824335962140398</v>
      </c>
    </row>
    <row r="36" spans="1:34" ht="11.1" customHeight="1">
      <c r="A36" s="139"/>
      <c r="B36" s="142" t="s">
        <v>555</v>
      </c>
      <c r="C36" s="143">
        <v>0</v>
      </c>
      <c r="D36" s="143">
        <v>0</v>
      </c>
      <c r="E36" s="143">
        <v>0</v>
      </c>
      <c r="F36" s="135">
        <v>0</v>
      </c>
      <c r="G36" s="135"/>
      <c r="H36" s="143">
        <v>0</v>
      </c>
      <c r="I36" s="135" t="s">
        <v>11</v>
      </c>
      <c r="J36" s="135">
        <v>0</v>
      </c>
      <c r="K36" s="135"/>
      <c r="L36" s="143">
        <v>0</v>
      </c>
      <c r="M36" s="135" t="s">
        <v>11</v>
      </c>
      <c r="N36" s="135">
        <v>0</v>
      </c>
      <c r="O36" s="135"/>
      <c r="P36" s="143">
        <v>1705.3323400000002</v>
      </c>
      <c r="Q36" s="135">
        <v>6.8454713285723132E-6</v>
      </c>
      <c r="R36" s="135">
        <v>0</v>
      </c>
      <c r="S36" s="135"/>
      <c r="T36" s="143">
        <v>288.92671000000001</v>
      </c>
      <c r="U36" s="135">
        <v>1.0820406152577259E-6</v>
      </c>
      <c r="V36" s="135">
        <v>-0.83057454361066074</v>
      </c>
      <c r="X36" s="143">
        <v>595.56568000000004</v>
      </c>
      <c r="Y36" s="135">
        <f t="shared" si="2"/>
        <v>1.9981726892268389E-6</v>
      </c>
      <c r="Z36" s="135" t="str">
        <f t="shared" si="0"/>
        <v/>
      </c>
      <c r="AB36" s="143">
        <f>293210.04/1000</f>
        <v>293.21003999999999</v>
      </c>
      <c r="AC36" s="135">
        <f>+AB36/$X$11</f>
        <v>9.8374421799306671E-7</v>
      </c>
      <c r="AD36" s="135" t="str">
        <f t="shared" si="1"/>
        <v/>
      </c>
      <c r="AF36" s="18">
        <v>907.71433999999999</v>
      </c>
      <c r="AG36" s="18">
        <v>2.4168628622135428E-6</v>
      </c>
      <c r="AH36" s="18">
        <v>2.0957819179725226</v>
      </c>
    </row>
    <row r="37" spans="1:34" ht="11.1" customHeight="1">
      <c r="A37" s="130"/>
      <c r="B37" s="142"/>
      <c r="C37" s="107"/>
      <c r="D37" s="107"/>
      <c r="E37" s="107"/>
      <c r="F37" s="135" t="s">
        <v>11</v>
      </c>
      <c r="G37" s="135"/>
      <c r="H37" s="107"/>
      <c r="I37" s="135" t="s">
        <v>11</v>
      </c>
      <c r="J37" s="135" t="s">
        <v>11</v>
      </c>
      <c r="K37" s="135"/>
      <c r="L37" s="107"/>
      <c r="M37" s="135" t="s">
        <v>11</v>
      </c>
      <c r="N37" s="135" t="s">
        <v>11</v>
      </c>
      <c r="O37" s="135"/>
      <c r="P37" s="131" t="s">
        <v>11</v>
      </c>
      <c r="Q37" s="135" t="s">
        <v>11</v>
      </c>
      <c r="R37" s="135" t="s">
        <v>11</v>
      </c>
      <c r="S37" s="135"/>
      <c r="T37" s="131" t="s">
        <v>11</v>
      </c>
      <c r="U37" s="135" t="s">
        <v>11</v>
      </c>
      <c r="V37" s="135" t="s">
        <v>11</v>
      </c>
      <c r="X37" s="131" t="s">
        <v>11</v>
      </c>
      <c r="Y37" s="135"/>
      <c r="Z37" s="135" t="str">
        <f t="shared" si="0"/>
        <v/>
      </c>
      <c r="AB37" s="131" t="s">
        <v>11</v>
      </c>
      <c r="AC37" s="135"/>
      <c r="AD37" s="135" t="str">
        <f t="shared" si="1"/>
        <v/>
      </c>
      <c r="AF37" s="18"/>
      <c r="AG37" s="18" t="s">
        <v>11</v>
      </c>
      <c r="AH37" s="18" t="s">
        <v>11</v>
      </c>
    </row>
    <row r="38" spans="1:34" s="9" customFormat="1">
      <c r="A38" s="133" t="s">
        <v>539</v>
      </c>
      <c r="B38" s="134" t="s">
        <v>556</v>
      </c>
      <c r="C38" s="131">
        <f>SUM(C40+C94+C125+C137+C147)</f>
        <v>15207293.16</v>
      </c>
      <c r="D38" s="131">
        <f>SUM(D40+D94+D125+D137+D147)</f>
        <v>16735580.68</v>
      </c>
      <c r="E38" s="131">
        <v>18835921.23</v>
      </c>
      <c r="F38" s="135">
        <v>0.10376369440242855</v>
      </c>
      <c r="G38" s="135"/>
      <c r="H38" s="131">
        <v>20923017.91612</v>
      </c>
      <c r="I38" s="135">
        <v>0.10327368287519885</v>
      </c>
      <c r="J38" s="135">
        <v>0.11080406743238433</v>
      </c>
      <c r="K38" s="135"/>
      <c r="L38" s="131">
        <v>22704077.321349997</v>
      </c>
      <c r="M38" s="135">
        <v>0.10105881925804172</v>
      </c>
      <c r="N38" s="135">
        <v>8.5124402816564596E-2</v>
      </c>
      <c r="O38" s="135"/>
      <c r="P38" s="131">
        <v>23761864.921979997</v>
      </c>
      <c r="Q38" s="135">
        <v>9.5383850538377904E-2</v>
      </c>
      <c r="R38" s="135">
        <v>4.6590204290543863E-2</v>
      </c>
      <c r="S38" s="135"/>
      <c r="T38" s="136">
        <v>15226397.202379998</v>
      </c>
      <c r="U38" s="135">
        <v>5.702338906991939E-2</v>
      </c>
      <c r="V38" s="135">
        <v>-0.3592086626039438</v>
      </c>
      <c r="X38" s="136">
        <f>+X40+X94+X125+X137+X147</f>
        <v>16632615.41726</v>
      </c>
      <c r="Y38" s="135">
        <f t="shared" si="2"/>
        <v>5.5803816427404271E-2</v>
      </c>
      <c r="Z38" s="135">
        <f t="shared" si="0"/>
        <v>9.2353968978308304E-2</v>
      </c>
      <c r="AB38" s="136">
        <f>+AB40+AB94+AB125+AB137+AB147</f>
        <v>16905815.423720002</v>
      </c>
      <c r="AC38" s="135">
        <f>+AB38/$X$11</f>
        <v>5.6720425308569106E-2</v>
      </c>
      <c r="AD38" s="135">
        <f t="shared" si="1"/>
        <v>1.6425559036042914E-2</v>
      </c>
      <c r="AF38" s="170">
        <v>19905776.668120001</v>
      </c>
      <c r="AG38" s="170">
        <v>5.3000740709567354E-2</v>
      </c>
      <c r="AH38" s="170">
        <v>0.17745143722501844</v>
      </c>
    </row>
    <row r="39" spans="1:34" ht="11.1" customHeight="1">
      <c r="A39" s="130"/>
      <c r="B39" s="134"/>
      <c r="C39" s="107"/>
      <c r="D39" s="107"/>
      <c r="E39" s="107"/>
      <c r="F39" s="135" t="s">
        <v>11</v>
      </c>
      <c r="G39" s="135"/>
      <c r="H39" s="107"/>
      <c r="I39" s="135" t="s">
        <v>11</v>
      </c>
      <c r="J39" s="135" t="s">
        <v>11</v>
      </c>
      <c r="K39" s="135"/>
      <c r="L39" s="107"/>
      <c r="M39" s="135" t="s">
        <v>11</v>
      </c>
      <c r="N39" s="135" t="s">
        <v>11</v>
      </c>
      <c r="O39" s="135"/>
      <c r="P39" s="131" t="s">
        <v>11</v>
      </c>
      <c r="Q39" s="135" t="s">
        <v>11</v>
      </c>
      <c r="R39" s="135" t="s">
        <v>11</v>
      </c>
      <c r="S39" s="135"/>
      <c r="T39" s="131" t="s">
        <v>11</v>
      </c>
      <c r="U39" s="135" t="s">
        <v>11</v>
      </c>
      <c r="V39" s="135" t="s">
        <v>11</v>
      </c>
      <c r="X39" s="131" t="s">
        <v>11</v>
      </c>
      <c r="Y39" s="135"/>
      <c r="Z39" s="135" t="str">
        <f t="shared" si="0"/>
        <v/>
      </c>
      <c r="AB39" s="131" t="s">
        <v>11</v>
      </c>
      <c r="AC39" s="135"/>
      <c r="AD39" s="135" t="str">
        <f t="shared" si="1"/>
        <v/>
      </c>
      <c r="AF39" s="18"/>
      <c r="AG39" s="18" t="s">
        <v>11</v>
      </c>
      <c r="AH39" s="18" t="s">
        <v>11</v>
      </c>
    </row>
    <row r="40" spans="1:34" s="9" customFormat="1" ht="11.1" customHeight="1">
      <c r="A40" s="133" t="s">
        <v>541</v>
      </c>
      <c r="B40" s="134" t="s">
        <v>557</v>
      </c>
      <c r="C40" s="131">
        <f>SUM(C42+C53)</f>
        <v>8141533.04</v>
      </c>
      <c r="D40" s="131">
        <f>SUM(D42+D53)</f>
        <v>8474683.5399999991</v>
      </c>
      <c r="E40" s="131">
        <v>9998089.0600000005</v>
      </c>
      <c r="F40" s="135">
        <v>5.507767022181926E-2</v>
      </c>
      <c r="G40" s="135"/>
      <c r="H40" s="131">
        <v>11406311.646839999</v>
      </c>
      <c r="I40" s="135">
        <v>5.630028213491519E-2</v>
      </c>
      <c r="J40" s="135">
        <v>0.14084917411607834</v>
      </c>
      <c r="K40" s="135"/>
      <c r="L40" s="131">
        <v>12132906.895529998</v>
      </c>
      <c r="M40" s="135">
        <v>5.4005156328330695E-2</v>
      </c>
      <c r="N40" s="135">
        <v>6.3701156972271189E-2</v>
      </c>
      <c r="O40" s="135"/>
      <c r="P40" s="131">
        <v>12928861.388079997</v>
      </c>
      <c r="Q40" s="135">
        <v>5.1898476248440378E-2</v>
      </c>
      <c r="R40" s="135">
        <v>6.56029506699045E-2</v>
      </c>
      <c r="S40" s="135"/>
      <c r="T40" s="136">
        <v>4544285.53761</v>
      </c>
      <c r="U40" s="135">
        <v>1.7018507977411678E-2</v>
      </c>
      <c r="V40" s="135">
        <v>-0.64851618396963495</v>
      </c>
      <c r="X40" s="136">
        <f>+X42+X53</f>
        <v>3989438.2129799998</v>
      </c>
      <c r="Y40" s="135">
        <f t="shared" si="2"/>
        <v>1.3384899013211373E-2</v>
      </c>
      <c r="Z40" s="135">
        <f t="shared" si="0"/>
        <v>-0.12209781274479815</v>
      </c>
      <c r="AB40" s="136">
        <f>+AB42+AB53</f>
        <v>4422395.91555</v>
      </c>
      <c r="AC40" s="135">
        <f>+AB40/$X$11</f>
        <v>1.4837508332246969E-2</v>
      </c>
      <c r="AD40" s="135">
        <f t="shared" si="1"/>
        <v>0.10852598272140998</v>
      </c>
      <c r="AF40" s="170">
        <v>5141764.5852799993</v>
      </c>
      <c r="AG40" s="170">
        <v>1.369036416501699E-2</v>
      </c>
      <c r="AH40" s="170">
        <v>0.1626649181726493</v>
      </c>
    </row>
    <row r="41" spans="1:34" ht="11.1" customHeight="1">
      <c r="A41" s="130"/>
      <c r="B41" s="134"/>
      <c r="C41" s="107"/>
      <c r="D41" s="107"/>
      <c r="E41" s="107"/>
      <c r="F41" s="135" t="s">
        <v>11</v>
      </c>
      <c r="G41" s="135"/>
      <c r="H41" s="138"/>
      <c r="I41" s="135" t="s">
        <v>11</v>
      </c>
      <c r="J41" s="135" t="s">
        <v>11</v>
      </c>
      <c r="K41" s="135"/>
      <c r="L41" s="138"/>
      <c r="M41" s="135" t="s">
        <v>11</v>
      </c>
      <c r="N41" s="135" t="s">
        <v>11</v>
      </c>
      <c r="O41" s="135"/>
      <c r="P41" s="131" t="s">
        <v>11</v>
      </c>
      <c r="Q41" s="135" t="s">
        <v>11</v>
      </c>
      <c r="R41" s="135" t="s">
        <v>11</v>
      </c>
      <c r="S41" s="135"/>
      <c r="T41" s="131" t="s">
        <v>11</v>
      </c>
      <c r="U41" s="135" t="s">
        <v>11</v>
      </c>
      <c r="V41" s="135" t="s">
        <v>11</v>
      </c>
      <c r="X41" s="131" t="s">
        <v>11</v>
      </c>
      <c r="Y41" s="135"/>
      <c r="Z41" s="135" t="str">
        <f t="shared" si="0"/>
        <v/>
      </c>
      <c r="AB41" s="131" t="s">
        <v>11</v>
      </c>
      <c r="AC41" s="135"/>
      <c r="AD41" s="135" t="str">
        <f t="shared" si="1"/>
        <v/>
      </c>
      <c r="AF41" s="18"/>
      <c r="AG41" s="18" t="s">
        <v>11</v>
      </c>
      <c r="AH41" s="18" t="s">
        <v>11</v>
      </c>
    </row>
    <row r="42" spans="1:34" ht="11.1" customHeight="1">
      <c r="A42" s="139" t="s">
        <v>543</v>
      </c>
      <c r="B42" s="134" t="s">
        <v>558</v>
      </c>
      <c r="C42" s="131">
        <f>SUM(C44+C49)</f>
        <v>540960.32999999996</v>
      </c>
      <c r="D42" s="131">
        <f>SUM(D44+D49)</f>
        <v>516292.88</v>
      </c>
      <c r="E42" s="131">
        <v>722682.14</v>
      </c>
      <c r="F42" s="135">
        <v>3.9811256274325099E-3</v>
      </c>
      <c r="G42" s="135"/>
      <c r="H42" s="131">
        <v>682664.07070000004</v>
      </c>
      <c r="I42" s="135">
        <v>3.3695537149756455E-3</v>
      </c>
      <c r="J42" s="135">
        <v>-5.5374371504462491E-2</v>
      </c>
      <c r="K42" s="135"/>
      <c r="L42" s="131">
        <v>774169.15894999995</v>
      </c>
      <c r="M42" s="135">
        <v>3.4459282358022831E-3</v>
      </c>
      <c r="N42" s="135">
        <v>0.1340411663326167</v>
      </c>
      <c r="O42" s="135"/>
      <c r="P42" s="131">
        <v>622023.64780000004</v>
      </c>
      <c r="Q42" s="135">
        <v>2.496900426288088E-3</v>
      </c>
      <c r="R42" s="135">
        <v>-0.19652747644501078</v>
      </c>
      <c r="S42" s="135"/>
      <c r="T42" s="136">
        <v>643640.18280999991</v>
      </c>
      <c r="U42" s="135">
        <v>2.4104549538266208E-3</v>
      </c>
      <c r="V42" s="135">
        <v>3.4751950486857155E-2</v>
      </c>
      <c r="X42" s="136">
        <f>+X44+X49</f>
        <v>889144.01008000004</v>
      </c>
      <c r="Y42" s="135">
        <f t="shared" si="2"/>
        <v>2.9831525512542785E-3</v>
      </c>
      <c r="Z42" s="135">
        <f t="shared" si="0"/>
        <v>0.38143023668625098</v>
      </c>
      <c r="AB42" s="136">
        <f>+AB44+AB49</f>
        <v>746324.34912000003</v>
      </c>
      <c r="AC42" s="135">
        <f>+AB42/$X$11</f>
        <v>2.5039806385696714E-3</v>
      </c>
      <c r="AD42" s="135">
        <f t="shared" si="1"/>
        <v>-0.16062601709159569</v>
      </c>
      <c r="AF42" s="18">
        <v>792973.53376999986</v>
      </c>
      <c r="AG42" s="18">
        <v>2.1113561833637543E-3</v>
      </c>
      <c r="AH42" s="18">
        <v>6.2505242800940969E-2</v>
      </c>
    </row>
    <row r="43" spans="1:34" ht="11.1" customHeight="1">
      <c r="A43" s="130"/>
      <c r="B43" s="134"/>
      <c r="C43" s="145"/>
      <c r="D43" s="145"/>
      <c r="E43" s="145"/>
      <c r="F43" s="135" t="s">
        <v>11</v>
      </c>
      <c r="G43" s="135"/>
      <c r="H43" s="146"/>
      <c r="I43" s="135" t="s">
        <v>11</v>
      </c>
      <c r="J43" s="135" t="s">
        <v>11</v>
      </c>
      <c r="K43" s="135"/>
      <c r="L43" s="146"/>
      <c r="M43" s="135" t="s">
        <v>11</v>
      </c>
      <c r="N43" s="135" t="s">
        <v>11</v>
      </c>
      <c r="O43" s="135"/>
      <c r="P43" s="131" t="s">
        <v>11</v>
      </c>
      <c r="Q43" s="135" t="s">
        <v>11</v>
      </c>
      <c r="R43" s="135" t="s">
        <v>11</v>
      </c>
      <c r="S43" s="135"/>
      <c r="T43" s="131" t="s">
        <v>11</v>
      </c>
      <c r="U43" s="135" t="s">
        <v>11</v>
      </c>
      <c r="V43" s="135" t="s">
        <v>11</v>
      </c>
      <c r="X43" s="131" t="s">
        <v>11</v>
      </c>
      <c r="Y43" s="135"/>
      <c r="Z43" s="135" t="str">
        <f t="shared" si="0"/>
        <v/>
      </c>
      <c r="AB43" s="131" t="s">
        <v>11</v>
      </c>
      <c r="AC43" s="135"/>
      <c r="AD43" s="135" t="str">
        <f t="shared" si="1"/>
        <v/>
      </c>
      <c r="AF43" s="18"/>
      <c r="AG43" s="18" t="s">
        <v>11</v>
      </c>
      <c r="AH43" s="18" t="s">
        <v>11</v>
      </c>
    </row>
    <row r="44" spans="1:34" ht="11.1" customHeight="1">
      <c r="A44" s="139" t="s">
        <v>547</v>
      </c>
      <c r="B44" s="134" t="s">
        <v>559</v>
      </c>
      <c r="C44" s="131">
        <f>SUM(C46:C47)</f>
        <v>111810.73000000001</v>
      </c>
      <c r="D44" s="131">
        <f>SUM(D46:D47)</f>
        <v>116652.88</v>
      </c>
      <c r="E44" s="131">
        <v>111137.29000000001</v>
      </c>
      <c r="F44" s="135">
        <v>6.1223529528818695E-4</v>
      </c>
      <c r="G44" s="135"/>
      <c r="H44" s="131">
        <v>108426.99247</v>
      </c>
      <c r="I44" s="135">
        <v>5.3518354189388692E-4</v>
      </c>
      <c r="J44" s="135">
        <v>-2.4386931964959831E-2</v>
      </c>
      <c r="K44" s="135"/>
      <c r="L44" s="131">
        <v>116908.24356</v>
      </c>
      <c r="M44" s="135">
        <v>5.2037389093082323E-4</v>
      </c>
      <c r="N44" s="135">
        <v>7.8220846090023485E-2</v>
      </c>
      <c r="O44" s="135"/>
      <c r="P44" s="131">
        <v>122535.43939</v>
      </c>
      <c r="Q44" s="135">
        <v>4.9187646149855772E-4</v>
      </c>
      <c r="R44" s="135">
        <v>4.813343917113929E-2</v>
      </c>
      <c r="S44" s="135"/>
      <c r="T44" s="136">
        <v>131405.08785000001</v>
      </c>
      <c r="U44" s="135">
        <v>4.9211664129359843E-4</v>
      </c>
      <c r="V44" s="135">
        <v>7.2384352675066627E-2</v>
      </c>
      <c r="X44" s="136">
        <f>SUM(X46:X47)</f>
        <v>117850.91593</v>
      </c>
      <c r="Y44" s="135">
        <f t="shared" si="2"/>
        <v>3.9539968389665133E-4</v>
      </c>
      <c r="Z44" s="135">
        <f t="shared" si="0"/>
        <v>-0.10314799937938633</v>
      </c>
      <c r="AB44" s="136">
        <f>SUM(AB46:AB47)</f>
        <v>132985.34042999998</v>
      </c>
      <c r="AC44" s="135">
        <f>+AB44/$X$11</f>
        <v>4.4617694443836948E-4</v>
      </c>
      <c r="AD44" s="135">
        <f t="shared" si="1"/>
        <v>0.12842008380307698</v>
      </c>
      <c r="AF44" s="18">
        <v>116889.09396999999</v>
      </c>
      <c r="AG44" s="18">
        <v>3.1122666874898322E-4</v>
      </c>
      <c r="AH44" s="18">
        <v>-0.12103775053666641</v>
      </c>
    </row>
    <row r="45" spans="1:34" ht="11.1" customHeight="1">
      <c r="A45" s="107"/>
      <c r="B45" s="134"/>
      <c r="C45" s="107"/>
      <c r="D45" s="107"/>
      <c r="E45" s="107"/>
      <c r="F45" s="135" t="s">
        <v>11</v>
      </c>
      <c r="G45" s="135"/>
      <c r="H45" s="138"/>
      <c r="I45" s="135" t="s">
        <v>11</v>
      </c>
      <c r="J45" s="135" t="s">
        <v>11</v>
      </c>
      <c r="K45" s="135"/>
      <c r="L45" s="138"/>
      <c r="M45" s="135" t="s">
        <v>11</v>
      </c>
      <c r="N45" s="135" t="s">
        <v>11</v>
      </c>
      <c r="O45" s="135"/>
      <c r="P45" s="131" t="s">
        <v>11</v>
      </c>
      <c r="Q45" s="135" t="s">
        <v>11</v>
      </c>
      <c r="R45" s="135" t="s">
        <v>11</v>
      </c>
      <c r="S45" s="135"/>
      <c r="T45" s="131" t="s">
        <v>11</v>
      </c>
      <c r="U45" s="135" t="s">
        <v>11</v>
      </c>
      <c r="V45" s="135" t="s">
        <v>11</v>
      </c>
      <c r="X45" s="131" t="s">
        <v>11</v>
      </c>
      <c r="Y45" s="135"/>
      <c r="Z45" s="135" t="str">
        <f t="shared" si="0"/>
        <v/>
      </c>
      <c r="AB45" s="131" t="s">
        <v>11</v>
      </c>
      <c r="AC45" s="135"/>
      <c r="AD45" s="135" t="str">
        <f t="shared" si="1"/>
        <v/>
      </c>
      <c r="AF45" s="18"/>
      <c r="AG45" s="18" t="s">
        <v>11</v>
      </c>
      <c r="AH45" s="18" t="s">
        <v>11</v>
      </c>
    </row>
    <row r="46" spans="1:34" ht="11.1" customHeight="1">
      <c r="A46" s="130"/>
      <c r="B46" s="142" t="s">
        <v>560</v>
      </c>
      <c r="C46" s="143">
        <v>57588.23</v>
      </c>
      <c r="D46" s="143">
        <v>61806.83</v>
      </c>
      <c r="E46" s="143">
        <v>54465.33</v>
      </c>
      <c r="F46" s="135">
        <v>3.0003968420967025E-4</v>
      </c>
      <c r="G46" s="135"/>
      <c r="H46" s="143">
        <v>50451.484920000003</v>
      </c>
      <c r="I46" s="135">
        <v>2.4902290267584716E-4</v>
      </c>
      <c r="J46" s="135">
        <v>-7.3695414679393279E-2</v>
      </c>
      <c r="K46" s="135"/>
      <c r="L46" s="143">
        <v>58381.708610000001</v>
      </c>
      <c r="M46" s="135">
        <v>2.5986462496961014E-4</v>
      </c>
      <c r="N46" s="135">
        <v>0.15718513939827161</v>
      </c>
      <c r="O46" s="135"/>
      <c r="P46" s="143">
        <v>66523.389389999997</v>
      </c>
      <c r="Q46" s="135">
        <v>2.6703531274654453E-4</v>
      </c>
      <c r="R46" s="135">
        <v>0.13945602096690665</v>
      </c>
      <c r="S46" s="135"/>
      <c r="T46" s="143">
        <v>63731.041960000002</v>
      </c>
      <c r="U46" s="135">
        <v>2.3867497696358482E-4</v>
      </c>
      <c r="V46" s="135">
        <v>-4.1975423315092672E-2</v>
      </c>
      <c r="X46" s="143">
        <v>52426.29479</v>
      </c>
      <c r="Y46" s="135">
        <f t="shared" si="2"/>
        <v>1.7589460569106889E-4</v>
      </c>
      <c r="Z46" s="135">
        <f t="shared" si="0"/>
        <v>-0.1773821174474958</v>
      </c>
      <c r="AB46" s="143">
        <f>58531408.83/1000</f>
        <v>58531.40883</v>
      </c>
      <c r="AC46" s="135">
        <f>+AB46/$X$11</f>
        <v>1.9637777412908789E-4</v>
      </c>
      <c r="AD46" s="135">
        <f t="shared" si="1"/>
        <v>0.11645137357989514</v>
      </c>
      <c r="AF46" s="18">
        <v>45984.318340000005</v>
      </c>
      <c r="AG46" s="18">
        <v>1.2243696760387318E-4</v>
      </c>
      <c r="AH46" s="18">
        <v>-0.21436508604195842</v>
      </c>
    </row>
    <row r="47" spans="1:34" ht="11.1" customHeight="1">
      <c r="A47" s="130"/>
      <c r="B47" s="142" t="s">
        <v>561</v>
      </c>
      <c r="C47" s="143">
        <v>54222.5</v>
      </c>
      <c r="D47" s="143">
        <v>54846.05</v>
      </c>
      <c r="E47" s="143">
        <v>56671.96</v>
      </c>
      <c r="F47" s="135">
        <v>3.1219561107851665E-4</v>
      </c>
      <c r="G47" s="135"/>
      <c r="H47" s="143">
        <v>57975.507549999995</v>
      </c>
      <c r="I47" s="135">
        <v>2.861606392180397E-4</v>
      </c>
      <c r="J47" s="135">
        <v>2.3001631671112056E-2</v>
      </c>
      <c r="K47" s="135"/>
      <c r="L47" s="143">
        <v>58526.534950000001</v>
      </c>
      <c r="M47" s="135">
        <v>2.6050926596121304E-4</v>
      </c>
      <c r="N47" s="135">
        <v>9.5044860025551656E-3</v>
      </c>
      <c r="O47" s="135"/>
      <c r="P47" s="143">
        <v>56012.05</v>
      </c>
      <c r="Q47" s="135">
        <v>2.2484114875201324E-4</v>
      </c>
      <c r="R47" s="135">
        <v>-4.2963161105439719E-2</v>
      </c>
      <c r="S47" s="135"/>
      <c r="T47" s="143">
        <v>67674.045889999994</v>
      </c>
      <c r="U47" s="135">
        <v>2.5344166433001355E-4</v>
      </c>
      <c r="V47" s="135">
        <v>0.208205125325711</v>
      </c>
      <c r="X47" s="143">
        <v>65424.621140000003</v>
      </c>
      <c r="Y47" s="135">
        <f t="shared" si="2"/>
        <v>2.1950507820558247E-4</v>
      </c>
      <c r="Z47" s="135">
        <f t="shared" si="0"/>
        <v>-3.3239105485968624E-2</v>
      </c>
      <c r="AB47" s="143">
        <f>74453931.6/1000</f>
        <v>74453.931599999996</v>
      </c>
      <c r="AC47" s="135">
        <f>+AB47/$X$11</f>
        <v>2.4979917030928164E-4</v>
      </c>
      <c r="AD47" s="135">
        <f t="shared" si="1"/>
        <v>0.13801089410481213</v>
      </c>
      <c r="AF47" s="18">
        <v>70904.775629999989</v>
      </c>
      <c r="AG47" s="18">
        <v>1.8878970114511007E-4</v>
      </c>
      <c r="AH47" s="18">
        <v>-4.7669154519168568E-2</v>
      </c>
    </row>
    <row r="48" spans="1:34" ht="11.1" customHeight="1">
      <c r="A48" s="130"/>
      <c r="B48" s="4"/>
      <c r="C48" s="107"/>
      <c r="D48" s="107"/>
      <c r="E48" s="107"/>
      <c r="F48" s="135" t="s">
        <v>11</v>
      </c>
      <c r="G48" s="135"/>
      <c r="H48" s="138"/>
      <c r="I48" s="135" t="s">
        <v>11</v>
      </c>
      <c r="J48" s="135" t="s">
        <v>11</v>
      </c>
      <c r="K48" s="135"/>
      <c r="L48" s="138"/>
      <c r="M48" s="135" t="s">
        <v>11</v>
      </c>
      <c r="N48" s="135" t="s">
        <v>11</v>
      </c>
      <c r="O48" s="135"/>
      <c r="P48" s="136" t="s">
        <v>11</v>
      </c>
      <c r="Q48" s="135" t="s">
        <v>11</v>
      </c>
      <c r="R48" s="135" t="s">
        <v>11</v>
      </c>
      <c r="S48" s="135"/>
      <c r="T48" s="131" t="s">
        <v>11</v>
      </c>
      <c r="U48" s="135" t="s">
        <v>11</v>
      </c>
      <c r="V48" s="135" t="s">
        <v>11</v>
      </c>
      <c r="X48" s="131" t="s">
        <v>11</v>
      </c>
      <c r="Y48" s="135"/>
      <c r="Z48" s="135" t="str">
        <f t="shared" si="0"/>
        <v/>
      </c>
      <c r="AB48" s="131" t="s">
        <v>11</v>
      </c>
      <c r="AC48" s="135"/>
      <c r="AD48" s="135" t="str">
        <f t="shared" si="1"/>
        <v/>
      </c>
      <c r="AF48" s="18"/>
      <c r="AG48" s="18" t="s">
        <v>11</v>
      </c>
      <c r="AH48" s="18" t="s">
        <v>11</v>
      </c>
    </row>
    <row r="49" spans="1:34" ht="11.1" customHeight="1">
      <c r="A49" s="139" t="s">
        <v>547</v>
      </c>
      <c r="B49" s="134" t="s">
        <v>562</v>
      </c>
      <c r="C49" s="131">
        <f>SUM(C51:C51)</f>
        <v>429149.6</v>
      </c>
      <c r="D49" s="131">
        <f>SUM(D51:D51)</f>
        <v>399640</v>
      </c>
      <c r="E49" s="131">
        <v>611544.85</v>
      </c>
      <c r="F49" s="135">
        <v>3.3688903321443231E-3</v>
      </c>
      <c r="G49" s="135"/>
      <c r="H49" s="131">
        <v>574237.07822999998</v>
      </c>
      <c r="I49" s="135">
        <v>2.8343701730817582E-3</v>
      </c>
      <c r="J49" s="135">
        <v>-6.1005781947145815E-2</v>
      </c>
      <c r="K49" s="135"/>
      <c r="L49" s="131">
        <v>657260.91538999998</v>
      </c>
      <c r="M49" s="135">
        <v>2.9255543448714599E-3</v>
      </c>
      <c r="N49" s="135">
        <v>0.14458111520055195</v>
      </c>
      <c r="O49" s="135"/>
      <c r="P49" s="136">
        <v>499488.20841000002</v>
      </c>
      <c r="Q49" s="135">
        <v>2.0050239647895303E-3</v>
      </c>
      <c r="R49" s="135">
        <v>-0.24004577677706898</v>
      </c>
      <c r="S49" s="135"/>
      <c r="T49" s="136">
        <v>512235.09495999996</v>
      </c>
      <c r="U49" s="135">
        <v>1.9183383125330226E-3</v>
      </c>
      <c r="V49" s="135">
        <v>2.5519894835108459E-2</v>
      </c>
      <c r="X49" s="136">
        <f>+X51</f>
        <v>771293.09415000002</v>
      </c>
      <c r="Y49" s="135">
        <f t="shared" si="2"/>
        <v>2.5877528673576271E-3</v>
      </c>
      <c r="Z49" s="135">
        <f t="shared" si="0"/>
        <v>0.50574043391195145</v>
      </c>
      <c r="AB49" s="136">
        <f>+AB51</f>
        <v>613339.00869000005</v>
      </c>
      <c r="AC49" s="135">
        <f>+AB49/$X$11</f>
        <v>2.0578036941313019E-3</v>
      </c>
      <c r="AD49" s="135">
        <f t="shared" si="1"/>
        <v>-0.20479126114058177</v>
      </c>
      <c r="AF49" s="18">
        <v>676084.43979999993</v>
      </c>
      <c r="AG49" s="18">
        <v>1.8001295146147713E-3</v>
      </c>
      <c r="AH49" s="18">
        <v>0.10230138670621114</v>
      </c>
    </row>
    <row r="50" spans="1:34" ht="11.1" customHeight="1">
      <c r="A50" s="139"/>
      <c r="B50" s="137"/>
      <c r="C50" s="131"/>
      <c r="D50" s="131"/>
      <c r="E50" s="131"/>
      <c r="F50" s="135" t="s">
        <v>11</v>
      </c>
      <c r="G50" s="135"/>
      <c r="H50" s="131"/>
      <c r="I50" s="135" t="s">
        <v>11</v>
      </c>
      <c r="J50" s="135" t="s">
        <v>11</v>
      </c>
      <c r="K50" s="135"/>
      <c r="L50" s="131"/>
      <c r="M50" s="135" t="s">
        <v>11</v>
      </c>
      <c r="N50" s="135" t="s">
        <v>11</v>
      </c>
      <c r="O50" s="135"/>
      <c r="P50" s="136" t="s">
        <v>11</v>
      </c>
      <c r="Q50" s="135" t="s">
        <v>11</v>
      </c>
      <c r="R50" s="135" t="s">
        <v>11</v>
      </c>
      <c r="S50" s="135"/>
      <c r="T50" s="131" t="s">
        <v>11</v>
      </c>
      <c r="U50" s="135" t="s">
        <v>11</v>
      </c>
      <c r="V50" s="135" t="s">
        <v>11</v>
      </c>
      <c r="X50" s="131" t="s">
        <v>11</v>
      </c>
      <c r="Y50" s="135"/>
      <c r="Z50" s="135" t="str">
        <f t="shared" si="0"/>
        <v/>
      </c>
      <c r="AB50" s="131" t="s">
        <v>11</v>
      </c>
      <c r="AC50" s="135"/>
      <c r="AD50" s="135" t="str">
        <f t="shared" si="1"/>
        <v/>
      </c>
      <c r="AF50" s="18"/>
      <c r="AG50" s="18" t="s">
        <v>11</v>
      </c>
      <c r="AH50" s="18" t="s">
        <v>11</v>
      </c>
    </row>
    <row r="51" spans="1:34" ht="11.1" customHeight="1">
      <c r="A51" s="130"/>
      <c r="B51" s="142" t="s">
        <v>563</v>
      </c>
      <c r="C51" s="147">
        <v>429149.6</v>
      </c>
      <c r="D51" s="147">
        <v>399640</v>
      </c>
      <c r="E51" s="147">
        <v>611544.85</v>
      </c>
      <c r="F51" s="135">
        <v>3.3688903321443231E-3</v>
      </c>
      <c r="G51" s="135"/>
      <c r="H51" s="147">
        <v>574237.07822999998</v>
      </c>
      <c r="I51" s="135">
        <v>2.8343701730817582E-3</v>
      </c>
      <c r="J51" s="135">
        <v>-6.1005781947145815E-2</v>
      </c>
      <c r="K51" s="135"/>
      <c r="L51" s="147">
        <v>657260.91538999998</v>
      </c>
      <c r="M51" s="135">
        <v>2.9255543448714599E-3</v>
      </c>
      <c r="N51" s="135">
        <v>0.14458111520055195</v>
      </c>
      <c r="O51" s="135"/>
      <c r="P51" s="148">
        <v>499488.20841000002</v>
      </c>
      <c r="Q51" s="135">
        <v>2.0050239647895303E-3</v>
      </c>
      <c r="R51" s="135">
        <v>-0.24004577677706898</v>
      </c>
      <c r="S51" s="135"/>
      <c r="T51" s="143">
        <v>512235.09495999996</v>
      </c>
      <c r="U51" s="135">
        <v>1.9183383125330226E-3</v>
      </c>
      <c r="V51" s="135">
        <v>2.5519894835108459E-2</v>
      </c>
      <c r="X51" s="143">
        <v>771293.09415000002</v>
      </c>
      <c r="Y51" s="135">
        <f t="shared" si="2"/>
        <v>2.5877528673576271E-3</v>
      </c>
      <c r="Z51" s="135">
        <f t="shared" si="0"/>
        <v>0.50574043391195145</v>
      </c>
      <c r="AB51" s="143">
        <f>613339008.69/1000</f>
        <v>613339.00869000005</v>
      </c>
      <c r="AC51" s="135">
        <f>+AB51/$X$11</f>
        <v>2.0578036941313019E-3</v>
      </c>
      <c r="AD51" s="135">
        <f t="shared" si="1"/>
        <v>-0.20479126114058177</v>
      </c>
      <c r="AF51" s="18">
        <v>676084.43979999993</v>
      </c>
      <c r="AG51" s="18">
        <v>1.8001295146147713E-3</v>
      </c>
      <c r="AH51" s="18">
        <v>0.10230138670621114</v>
      </c>
    </row>
    <row r="52" spans="1:34" ht="11.1" customHeight="1">
      <c r="A52" s="130"/>
      <c r="B52" s="4"/>
      <c r="C52" s="143"/>
      <c r="D52" s="143"/>
      <c r="E52" s="143"/>
      <c r="F52" s="135" t="s">
        <v>11</v>
      </c>
      <c r="G52" s="135"/>
      <c r="H52" s="143"/>
      <c r="I52" s="135" t="s">
        <v>11</v>
      </c>
      <c r="J52" s="135" t="s">
        <v>11</v>
      </c>
      <c r="K52" s="135"/>
      <c r="L52" s="143"/>
      <c r="M52" s="135" t="s">
        <v>11</v>
      </c>
      <c r="N52" s="135" t="s">
        <v>11</v>
      </c>
      <c r="O52" s="135"/>
      <c r="P52" s="136" t="s">
        <v>11</v>
      </c>
      <c r="Q52" s="135" t="s">
        <v>11</v>
      </c>
      <c r="R52" s="135" t="s">
        <v>11</v>
      </c>
      <c r="S52" s="135"/>
      <c r="T52" s="131" t="s">
        <v>11</v>
      </c>
      <c r="U52" s="135" t="s">
        <v>11</v>
      </c>
      <c r="V52" s="135" t="s">
        <v>11</v>
      </c>
      <c r="X52" s="131" t="s">
        <v>11</v>
      </c>
      <c r="Y52" s="135"/>
      <c r="Z52" s="135" t="str">
        <f t="shared" si="0"/>
        <v/>
      </c>
      <c r="AB52" s="131" t="s">
        <v>11</v>
      </c>
      <c r="AC52" s="135"/>
      <c r="AD52" s="135" t="str">
        <f t="shared" si="1"/>
        <v/>
      </c>
      <c r="AF52" s="18"/>
      <c r="AG52" s="18" t="s">
        <v>11</v>
      </c>
      <c r="AH52" s="18" t="s">
        <v>11</v>
      </c>
    </row>
    <row r="53" spans="1:34" ht="11.1" customHeight="1">
      <c r="A53" s="139" t="s">
        <v>543</v>
      </c>
      <c r="B53" s="134" t="s">
        <v>564</v>
      </c>
      <c r="C53" s="131">
        <f>SUM(C55+C61)</f>
        <v>7600572.71</v>
      </c>
      <c r="D53" s="131">
        <f>SUM(D55+D61)</f>
        <v>7958390.6599999992</v>
      </c>
      <c r="E53" s="131">
        <v>9275406.9199999999</v>
      </c>
      <c r="F53" s="135">
        <v>5.1096544594386749E-2</v>
      </c>
      <c r="G53" s="135"/>
      <c r="H53" s="131">
        <v>10723647.57614</v>
      </c>
      <c r="I53" s="135">
        <v>5.2930728419939545E-2</v>
      </c>
      <c r="J53" s="135">
        <v>0.15613769494222898</v>
      </c>
      <c r="K53" s="135"/>
      <c r="L53" s="131">
        <v>11358737.736579999</v>
      </c>
      <c r="M53" s="135">
        <v>5.0559228092528413E-2</v>
      </c>
      <c r="N53" s="135">
        <v>5.9223333845199143E-2</v>
      </c>
      <c r="O53" s="135"/>
      <c r="P53" s="136">
        <v>12306837.740279997</v>
      </c>
      <c r="Q53" s="135">
        <v>4.9401575822152294E-2</v>
      </c>
      <c r="R53" s="135">
        <v>8.3468781979771353E-2</v>
      </c>
      <c r="S53" s="135"/>
      <c r="T53" s="136">
        <v>3900645.3547999999</v>
      </c>
      <c r="U53" s="135">
        <v>1.4608053023585055E-2</v>
      </c>
      <c r="V53" s="135">
        <v>-0.68305055798100944</v>
      </c>
      <c r="X53" s="136">
        <f>+X55+X61</f>
        <v>3100294.2028999999</v>
      </c>
      <c r="Y53" s="135">
        <f t="shared" si="2"/>
        <v>1.0401746461957096E-2</v>
      </c>
      <c r="Z53" s="135">
        <f t="shared" si="0"/>
        <v>-0.20518429108534961</v>
      </c>
      <c r="AB53" s="136">
        <f>+AB55+AB61</f>
        <v>3676071.5664300001</v>
      </c>
      <c r="AC53" s="135">
        <f>+AB53/$X$11</f>
        <v>1.2333527693677298E-2</v>
      </c>
      <c r="AD53" s="135">
        <f t="shared" si="1"/>
        <v>0.18571700807988509</v>
      </c>
      <c r="AF53" s="18">
        <v>4348791.0515099997</v>
      </c>
      <c r="AG53" s="18">
        <v>1.1579007981653237E-2</v>
      </c>
      <c r="AH53" s="18">
        <v>0.18299956160355929</v>
      </c>
    </row>
    <row r="54" spans="1:34" ht="11.1" customHeight="1">
      <c r="A54" s="130"/>
      <c r="B54" s="134"/>
      <c r="C54" s="145"/>
      <c r="D54" s="145"/>
      <c r="E54" s="145"/>
      <c r="F54" s="135" t="s">
        <v>11</v>
      </c>
      <c r="G54" s="135"/>
      <c r="H54" s="146"/>
      <c r="I54" s="135" t="s">
        <v>11</v>
      </c>
      <c r="J54" s="135" t="s">
        <v>11</v>
      </c>
      <c r="K54" s="135"/>
      <c r="L54" s="146"/>
      <c r="M54" s="135" t="s">
        <v>11</v>
      </c>
      <c r="N54" s="135" t="s">
        <v>11</v>
      </c>
      <c r="O54" s="135"/>
      <c r="P54" s="136" t="s">
        <v>11</v>
      </c>
      <c r="Q54" s="135" t="s">
        <v>11</v>
      </c>
      <c r="R54" s="135" t="s">
        <v>11</v>
      </c>
      <c r="S54" s="135"/>
      <c r="T54" s="131" t="s">
        <v>11</v>
      </c>
      <c r="U54" s="135" t="s">
        <v>11</v>
      </c>
      <c r="V54" s="135" t="s">
        <v>11</v>
      </c>
      <c r="X54" s="131" t="s">
        <v>11</v>
      </c>
      <c r="Y54" s="135"/>
      <c r="Z54" s="135" t="str">
        <f t="shared" si="0"/>
        <v/>
      </c>
      <c r="AB54" s="131" t="s">
        <v>11</v>
      </c>
      <c r="AC54" s="135"/>
      <c r="AD54" s="135" t="str">
        <f t="shared" si="1"/>
        <v/>
      </c>
      <c r="AF54" s="18"/>
      <c r="AG54" s="18" t="s">
        <v>11</v>
      </c>
      <c r="AH54" s="18" t="s">
        <v>11</v>
      </c>
    </row>
    <row r="55" spans="1:34" ht="11.1" customHeight="1">
      <c r="A55" s="139" t="s">
        <v>543</v>
      </c>
      <c r="B55" s="134" t="s">
        <v>565</v>
      </c>
      <c r="C55" s="131">
        <f>SUM(C57)</f>
        <v>67668.45</v>
      </c>
      <c r="D55" s="131">
        <f>SUM(D57)</f>
        <v>80577.25</v>
      </c>
      <c r="E55" s="131">
        <v>85570.64</v>
      </c>
      <c r="F55" s="135">
        <v>4.7139322947679522E-4</v>
      </c>
      <c r="G55" s="135"/>
      <c r="H55" s="131">
        <v>94322.245120000007</v>
      </c>
      <c r="I55" s="135">
        <v>4.6556408208658852E-4</v>
      </c>
      <c r="J55" s="135">
        <v>0.10227345640981542</v>
      </c>
      <c r="K55" s="135"/>
      <c r="L55" s="131">
        <v>103822.91495000001</v>
      </c>
      <c r="M55" s="135">
        <v>4.6212938091558681E-4</v>
      </c>
      <c r="N55" s="135">
        <v>0.10072565403752762</v>
      </c>
      <c r="O55" s="135"/>
      <c r="P55" s="136">
        <v>105824.38144</v>
      </c>
      <c r="Q55" s="135">
        <v>4.2479565538024102E-4</v>
      </c>
      <c r="R55" s="135">
        <v>1.9277695015246645E-2</v>
      </c>
      <c r="S55" s="135"/>
      <c r="T55" s="136">
        <v>123072.62613999998</v>
      </c>
      <c r="U55" s="135">
        <v>4.6091128130697803E-4</v>
      </c>
      <c r="V55" s="135">
        <v>0.16298932689513845</v>
      </c>
      <c r="X55" s="136">
        <f>+X57</f>
        <v>135210.10834000001</v>
      </c>
      <c r="Y55" s="135">
        <f t="shared" si="2"/>
        <v>4.5364122692964789E-4</v>
      </c>
      <c r="Z55" s="135">
        <f t="shared" si="0"/>
        <v>9.8620485973811609E-2</v>
      </c>
      <c r="AB55" s="136">
        <f>+AB57</f>
        <v>148073.00933999999</v>
      </c>
      <c r="AC55" s="135">
        <f>+AB55/$X$11</f>
        <v>4.9679733606345256E-4</v>
      </c>
      <c r="AD55" s="135">
        <f t="shared" si="1"/>
        <v>9.513268762165969E-2</v>
      </c>
      <c r="AF55" s="18">
        <v>152651.29816000001</v>
      </c>
      <c r="AG55" s="18">
        <v>4.0644643048339473E-4</v>
      </c>
      <c r="AH55" s="18">
        <v>3.0919131315063044E-2</v>
      </c>
    </row>
    <row r="56" spans="1:34" ht="11.1" customHeight="1">
      <c r="A56" s="139"/>
      <c r="B56" s="134"/>
      <c r="C56" s="131"/>
      <c r="D56" s="131"/>
      <c r="E56" s="131"/>
      <c r="F56" s="135" t="s">
        <v>11</v>
      </c>
      <c r="G56" s="135"/>
      <c r="H56" s="131"/>
      <c r="I56" s="135" t="s">
        <v>11</v>
      </c>
      <c r="J56" s="135" t="s">
        <v>11</v>
      </c>
      <c r="K56" s="135"/>
      <c r="L56" s="131"/>
      <c r="M56" s="135" t="s">
        <v>11</v>
      </c>
      <c r="N56" s="135" t="s">
        <v>11</v>
      </c>
      <c r="O56" s="135"/>
      <c r="P56" s="136" t="s">
        <v>11</v>
      </c>
      <c r="Q56" s="135" t="s">
        <v>11</v>
      </c>
      <c r="R56" s="135" t="s">
        <v>11</v>
      </c>
      <c r="S56" s="135"/>
      <c r="T56" s="131" t="s">
        <v>11</v>
      </c>
      <c r="U56" s="135" t="s">
        <v>11</v>
      </c>
      <c r="V56" s="135" t="s">
        <v>11</v>
      </c>
      <c r="X56" s="131" t="s">
        <v>11</v>
      </c>
      <c r="Y56" s="135"/>
      <c r="Z56" s="135" t="str">
        <f t="shared" si="0"/>
        <v/>
      </c>
      <c r="AB56" s="131" t="s">
        <v>11</v>
      </c>
      <c r="AC56" s="135"/>
      <c r="AD56" s="135" t="str">
        <f t="shared" si="1"/>
        <v/>
      </c>
      <c r="AF56" s="18"/>
      <c r="AG56" s="18" t="s">
        <v>11</v>
      </c>
      <c r="AH56" s="18" t="s">
        <v>11</v>
      </c>
    </row>
    <row r="57" spans="1:34" ht="11.1" customHeight="1">
      <c r="A57" s="139" t="s">
        <v>543</v>
      </c>
      <c r="B57" s="134" t="s">
        <v>566</v>
      </c>
      <c r="C57" s="131">
        <f>+C59</f>
        <v>67668.45</v>
      </c>
      <c r="D57" s="131">
        <f>+D59</f>
        <v>80577.25</v>
      </c>
      <c r="E57" s="131">
        <v>85570.64</v>
      </c>
      <c r="F57" s="135">
        <v>4.7139322947679522E-4</v>
      </c>
      <c r="G57" s="135"/>
      <c r="H57" s="131">
        <v>94322.245120000007</v>
      </c>
      <c r="I57" s="135">
        <v>4.6556408208658852E-4</v>
      </c>
      <c r="J57" s="135">
        <v>0.10227345640981542</v>
      </c>
      <c r="K57" s="135"/>
      <c r="L57" s="131">
        <v>103822.91495000001</v>
      </c>
      <c r="M57" s="135">
        <v>4.6212938091558681E-4</v>
      </c>
      <c r="N57" s="135">
        <v>0.10072565403752762</v>
      </c>
      <c r="O57" s="135"/>
      <c r="P57" s="136">
        <v>105824.38144</v>
      </c>
      <c r="Q57" s="135">
        <v>4.2479565538024102E-4</v>
      </c>
      <c r="R57" s="135">
        <v>1.9277695015246645E-2</v>
      </c>
      <c r="S57" s="135"/>
      <c r="T57" s="136">
        <v>123072.62613999998</v>
      </c>
      <c r="U57" s="135">
        <v>4.6091128130697803E-4</v>
      </c>
      <c r="V57" s="135">
        <v>0.16298932689513845</v>
      </c>
      <c r="X57" s="136">
        <f>+X59</f>
        <v>135210.10834000001</v>
      </c>
      <c r="Y57" s="135">
        <f t="shared" si="2"/>
        <v>4.5364122692964789E-4</v>
      </c>
      <c r="Z57" s="135">
        <f t="shared" si="0"/>
        <v>9.8620485973811609E-2</v>
      </c>
      <c r="AB57" s="136">
        <f>+AB59</f>
        <v>148073.00933999999</v>
      </c>
      <c r="AC57" s="135">
        <f>+AB57/$X$11</f>
        <v>4.9679733606345256E-4</v>
      </c>
      <c r="AD57" s="135">
        <f t="shared" si="1"/>
        <v>9.513268762165969E-2</v>
      </c>
      <c r="AF57" s="18">
        <v>152651.29816000001</v>
      </c>
      <c r="AG57" s="18">
        <v>4.0644643048339473E-4</v>
      </c>
      <c r="AH57" s="18">
        <v>3.0919131315063044E-2</v>
      </c>
    </row>
    <row r="58" spans="1:34" ht="11.1" customHeight="1">
      <c r="A58" s="139"/>
      <c r="B58" s="134"/>
      <c r="C58" s="143"/>
      <c r="D58" s="143"/>
      <c r="E58" s="143"/>
      <c r="F58" s="135" t="s">
        <v>11</v>
      </c>
      <c r="G58" s="135"/>
      <c r="H58" s="143"/>
      <c r="I58" s="135" t="s">
        <v>11</v>
      </c>
      <c r="J58" s="135" t="s">
        <v>11</v>
      </c>
      <c r="K58" s="135"/>
      <c r="L58" s="143"/>
      <c r="M58" s="135" t="s">
        <v>11</v>
      </c>
      <c r="N58" s="135" t="s">
        <v>11</v>
      </c>
      <c r="O58" s="135"/>
      <c r="P58" s="136" t="s">
        <v>11</v>
      </c>
      <c r="Q58" s="135" t="s">
        <v>11</v>
      </c>
      <c r="R58" s="135" t="s">
        <v>11</v>
      </c>
      <c r="S58" s="135"/>
      <c r="T58" s="131" t="s">
        <v>11</v>
      </c>
      <c r="U58" s="135" t="s">
        <v>11</v>
      </c>
      <c r="V58" s="135" t="s">
        <v>11</v>
      </c>
      <c r="X58" s="131" t="s">
        <v>11</v>
      </c>
      <c r="Y58" s="135"/>
      <c r="Z58" s="135" t="str">
        <f t="shared" si="0"/>
        <v/>
      </c>
      <c r="AB58" s="131" t="s">
        <v>11</v>
      </c>
      <c r="AC58" s="135"/>
      <c r="AD58" s="135" t="str">
        <f t="shared" si="1"/>
        <v/>
      </c>
      <c r="AF58" s="18"/>
      <c r="AG58" s="18" t="s">
        <v>11</v>
      </c>
      <c r="AH58" s="18" t="s">
        <v>11</v>
      </c>
    </row>
    <row r="59" spans="1:34" ht="11.1" customHeight="1">
      <c r="A59" s="139" t="s">
        <v>547</v>
      </c>
      <c r="B59" s="142" t="s">
        <v>567</v>
      </c>
      <c r="C59" s="143">
        <f>57998.34+9670.11</f>
        <v>67668.45</v>
      </c>
      <c r="D59" s="143">
        <f>71479.24+9098.01</f>
        <v>80577.25</v>
      </c>
      <c r="E59" s="143">
        <v>85570.64</v>
      </c>
      <c r="F59" s="135">
        <v>4.7139322947679522E-4</v>
      </c>
      <c r="G59" s="135"/>
      <c r="H59" s="143">
        <v>94322.245120000007</v>
      </c>
      <c r="I59" s="135">
        <v>4.6556408208658852E-4</v>
      </c>
      <c r="J59" s="135">
        <v>0.10227345640981542</v>
      </c>
      <c r="K59" s="135"/>
      <c r="L59" s="143">
        <v>103822.91495000001</v>
      </c>
      <c r="M59" s="135">
        <v>4.6212938091558681E-4</v>
      </c>
      <c r="N59" s="135">
        <v>0.10072565403752762</v>
      </c>
      <c r="O59" s="135"/>
      <c r="P59" s="148">
        <v>105824.38144</v>
      </c>
      <c r="Q59" s="135">
        <v>4.2479565538024102E-4</v>
      </c>
      <c r="R59" s="135">
        <v>1.9277695015246645E-2</v>
      </c>
      <c r="S59" s="135"/>
      <c r="T59" s="143">
        <v>123072.62613999998</v>
      </c>
      <c r="U59" s="135">
        <v>4.6091128130697803E-4</v>
      </c>
      <c r="V59" s="135">
        <v>0.16298932689513845</v>
      </c>
      <c r="X59" s="143">
        <v>135210.10834000001</v>
      </c>
      <c r="Y59" s="135">
        <f t="shared" si="2"/>
        <v>4.5364122692964789E-4</v>
      </c>
      <c r="Z59" s="135">
        <f t="shared" si="0"/>
        <v>9.8620485973811609E-2</v>
      </c>
      <c r="AB59" s="143">
        <f>148073009.34/1000</f>
        <v>148073.00933999999</v>
      </c>
      <c r="AC59" s="135">
        <f>+AB59/$X$11</f>
        <v>4.9679733606345256E-4</v>
      </c>
      <c r="AD59" s="135">
        <f t="shared" si="1"/>
        <v>9.513268762165969E-2</v>
      </c>
      <c r="AF59" s="18">
        <v>152651.29816000001</v>
      </c>
      <c r="AG59" s="18">
        <v>4.0644643048339473E-4</v>
      </c>
      <c r="AH59" s="18">
        <v>3.0919131315063044E-2</v>
      </c>
    </row>
    <row r="60" spans="1:34" ht="11.1" customHeight="1">
      <c r="A60" s="130"/>
      <c r="B60" s="142"/>
      <c r="C60" s="143"/>
      <c r="D60" s="143"/>
      <c r="E60" s="143"/>
      <c r="F60" s="135" t="s">
        <v>11</v>
      </c>
      <c r="G60" s="135"/>
      <c r="H60" s="143"/>
      <c r="I60" s="135" t="s">
        <v>11</v>
      </c>
      <c r="J60" s="135" t="s">
        <v>11</v>
      </c>
      <c r="K60" s="135"/>
      <c r="L60" s="143"/>
      <c r="M60" s="135" t="s">
        <v>11</v>
      </c>
      <c r="N60" s="135" t="s">
        <v>11</v>
      </c>
      <c r="O60" s="135"/>
      <c r="P60" s="136" t="s">
        <v>11</v>
      </c>
      <c r="Q60" s="135" t="s">
        <v>11</v>
      </c>
      <c r="R60" s="135" t="s">
        <v>11</v>
      </c>
      <c r="S60" s="135"/>
      <c r="T60" s="131" t="s">
        <v>11</v>
      </c>
      <c r="U60" s="135" t="s">
        <v>11</v>
      </c>
      <c r="V60" s="135" t="s">
        <v>11</v>
      </c>
      <c r="X60" s="131" t="s">
        <v>11</v>
      </c>
      <c r="Y60" s="135"/>
      <c r="Z60" s="135" t="str">
        <f t="shared" si="0"/>
        <v/>
      </c>
      <c r="AB60" s="131" t="s">
        <v>11</v>
      </c>
      <c r="AC60" s="135"/>
      <c r="AD60" s="135" t="str">
        <f t="shared" si="1"/>
        <v/>
      </c>
      <c r="AF60" s="18"/>
      <c r="AG60" s="18" t="s">
        <v>11</v>
      </c>
      <c r="AH60" s="18" t="s">
        <v>11</v>
      </c>
    </row>
    <row r="61" spans="1:34" ht="11.1" customHeight="1">
      <c r="A61" s="139" t="s">
        <v>547</v>
      </c>
      <c r="B61" s="134" t="s">
        <v>568</v>
      </c>
      <c r="C61" s="131">
        <f>SUM(C63+C67+C71)</f>
        <v>7532904.2599999998</v>
      </c>
      <c r="D61" s="131">
        <f>SUM(D63+D67+D71)</f>
        <v>7877813.4099999992</v>
      </c>
      <c r="E61" s="131">
        <v>9189836.2799999993</v>
      </c>
      <c r="F61" s="135">
        <v>5.062515136490995E-2</v>
      </c>
      <c r="G61" s="135"/>
      <c r="H61" s="131">
        <v>10629325.331019999</v>
      </c>
      <c r="I61" s="135">
        <v>5.2465164337852956E-2</v>
      </c>
      <c r="J61" s="135">
        <v>0.15663924874840102</v>
      </c>
      <c r="K61" s="135"/>
      <c r="L61" s="131">
        <v>11254914.821629999</v>
      </c>
      <c r="M61" s="135">
        <v>5.0097098711612831E-2</v>
      </c>
      <c r="N61" s="135">
        <v>5.8855051579267792E-2</v>
      </c>
      <c r="O61" s="135"/>
      <c r="P61" s="136">
        <v>12201013.358839996</v>
      </c>
      <c r="Q61" s="135">
        <v>4.8976780166772045E-2</v>
      </c>
      <c r="R61" s="135">
        <v>8.4060923801196549E-2</v>
      </c>
      <c r="S61" s="135"/>
      <c r="T61" s="136">
        <v>3777572.72866</v>
      </c>
      <c r="U61" s="135">
        <v>1.4147141742278078E-2</v>
      </c>
      <c r="V61" s="135">
        <v>-0.69038860809679903</v>
      </c>
      <c r="X61" s="136">
        <f>+X63+X71+X67</f>
        <v>2965084.0945600001</v>
      </c>
      <c r="Y61" s="135">
        <f t="shared" si="2"/>
        <v>9.9481052350274476E-3</v>
      </c>
      <c r="Z61" s="135">
        <f t="shared" si="0"/>
        <v>-0.21508219495967457</v>
      </c>
      <c r="AB61" s="136">
        <f>+AB63+AB71+AB67</f>
        <v>3527998.5570900002</v>
      </c>
      <c r="AC61" s="135">
        <f>+AB61/$X$11</f>
        <v>1.1836730357613845E-2</v>
      </c>
      <c r="AD61" s="135">
        <f t="shared" si="1"/>
        <v>0.18984772255288535</v>
      </c>
      <c r="AF61" s="18">
        <v>4196139.7533499999</v>
      </c>
      <c r="AG61" s="18">
        <v>1.1172561551169842E-2</v>
      </c>
      <c r="AH61" s="18">
        <v>0.1893825026989531</v>
      </c>
    </row>
    <row r="62" spans="1:34" ht="11.1" customHeight="1">
      <c r="A62" s="139"/>
      <c r="B62" s="134"/>
      <c r="C62" s="131"/>
      <c r="D62" s="131"/>
      <c r="E62" s="131"/>
      <c r="F62" s="135" t="s">
        <v>11</v>
      </c>
      <c r="G62" s="135"/>
      <c r="H62" s="131"/>
      <c r="I62" s="135" t="s">
        <v>11</v>
      </c>
      <c r="J62" s="135" t="s">
        <v>11</v>
      </c>
      <c r="K62" s="135"/>
      <c r="L62" s="131"/>
      <c r="M62" s="135" t="s">
        <v>11</v>
      </c>
      <c r="N62" s="135" t="s">
        <v>11</v>
      </c>
      <c r="O62" s="135"/>
      <c r="P62" s="136" t="s">
        <v>11</v>
      </c>
      <c r="Q62" s="135" t="s">
        <v>11</v>
      </c>
      <c r="R62" s="135" t="s">
        <v>11</v>
      </c>
      <c r="S62" s="135"/>
      <c r="T62" s="131" t="s">
        <v>11</v>
      </c>
      <c r="U62" s="135" t="s">
        <v>11</v>
      </c>
      <c r="V62" s="135" t="s">
        <v>11</v>
      </c>
      <c r="X62" s="131" t="s">
        <v>11</v>
      </c>
      <c r="Y62" s="135"/>
      <c r="Z62" s="135" t="str">
        <f t="shared" si="0"/>
        <v/>
      </c>
      <c r="AB62" s="131" t="s">
        <v>11</v>
      </c>
      <c r="AC62" s="135"/>
      <c r="AD62" s="135" t="str">
        <f t="shared" si="1"/>
        <v/>
      </c>
      <c r="AF62" s="18"/>
      <c r="AG62" s="18" t="s">
        <v>11</v>
      </c>
      <c r="AH62" s="18" t="s">
        <v>11</v>
      </c>
    </row>
    <row r="63" spans="1:34" ht="11.1" customHeight="1">
      <c r="A63" s="139" t="s">
        <v>547</v>
      </c>
      <c r="B63" s="134" t="s">
        <v>569</v>
      </c>
      <c r="C63" s="131">
        <f>+C65</f>
        <v>19112.96</v>
      </c>
      <c r="D63" s="131">
        <f>+D65</f>
        <v>11332.56</v>
      </c>
      <c r="E63" s="131">
        <v>14080.86</v>
      </c>
      <c r="F63" s="135">
        <v>7.7568919307026649E-5</v>
      </c>
      <c r="G63" s="135"/>
      <c r="H63" s="131">
        <v>14461.339250000001</v>
      </c>
      <c r="I63" s="135">
        <v>7.1379557654755322E-5</v>
      </c>
      <c r="J63" s="135">
        <v>2.7021023573844234E-2</v>
      </c>
      <c r="K63" s="135"/>
      <c r="L63" s="131">
        <v>6331.7743</v>
      </c>
      <c r="M63" s="135">
        <v>2.8183555997877737E-5</v>
      </c>
      <c r="N63" s="135">
        <v>-0.56215851170215791</v>
      </c>
      <c r="O63" s="135"/>
      <c r="P63" s="136">
        <v>8286.9215999999997</v>
      </c>
      <c r="Q63" s="135">
        <v>3.3265002301502468E-5</v>
      </c>
      <c r="R63" s="135">
        <v>0.30878347953748125</v>
      </c>
      <c r="S63" s="135"/>
      <c r="T63" s="136">
        <v>4322.7492000000002</v>
      </c>
      <c r="U63" s="135">
        <v>1.6188846659323544E-5</v>
      </c>
      <c r="V63" s="135">
        <v>-0.47836489728586301</v>
      </c>
      <c r="X63" s="136">
        <f>+X65</f>
        <v>3050.1565999999998</v>
      </c>
      <c r="Y63" s="135">
        <f t="shared" si="2"/>
        <v>1.0233530609058922E-5</v>
      </c>
      <c r="Z63" s="135">
        <f t="shared" si="0"/>
        <v>-0.29439427112727251</v>
      </c>
      <c r="AB63" s="136">
        <f>+AB65</f>
        <v>2318.6244999999999</v>
      </c>
      <c r="AC63" s="135">
        <f>+AB63/$X$11</f>
        <v>7.7791792040001952E-6</v>
      </c>
      <c r="AD63" s="135">
        <f t="shared" si="1"/>
        <v>-0.23983427604995755</v>
      </c>
      <c r="AF63" s="18">
        <v>2107.6610499999997</v>
      </c>
      <c r="AG63" s="18">
        <v>5.6118180504661852E-6</v>
      </c>
      <c r="AH63" s="18">
        <v>-9.0986466329498458E-2</v>
      </c>
    </row>
    <row r="64" spans="1:34" ht="11.1" customHeight="1">
      <c r="A64" s="139"/>
      <c r="B64" s="137"/>
      <c r="C64" s="131"/>
      <c r="D64" s="131"/>
      <c r="E64" s="131"/>
      <c r="F64" s="135" t="s">
        <v>11</v>
      </c>
      <c r="G64" s="135"/>
      <c r="H64" s="131"/>
      <c r="I64" s="135" t="s">
        <v>11</v>
      </c>
      <c r="J64" s="135" t="s">
        <v>11</v>
      </c>
      <c r="K64" s="135"/>
      <c r="L64" s="131"/>
      <c r="M64" s="135" t="s">
        <v>11</v>
      </c>
      <c r="N64" s="135" t="s">
        <v>11</v>
      </c>
      <c r="O64" s="135"/>
      <c r="P64" s="136" t="s">
        <v>11</v>
      </c>
      <c r="Q64" s="135" t="s">
        <v>11</v>
      </c>
      <c r="R64" s="135" t="s">
        <v>11</v>
      </c>
      <c r="S64" s="135"/>
      <c r="T64" s="131" t="s">
        <v>11</v>
      </c>
      <c r="U64" s="135" t="s">
        <v>11</v>
      </c>
      <c r="V64" s="135" t="s">
        <v>11</v>
      </c>
      <c r="X64" s="131" t="s">
        <v>11</v>
      </c>
      <c r="Y64" s="135"/>
      <c r="Z64" s="135" t="str">
        <f t="shared" si="0"/>
        <v/>
      </c>
      <c r="AB64" s="131" t="s">
        <v>11</v>
      </c>
      <c r="AC64" s="135"/>
      <c r="AD64" s="135" t="str">
        <f t="shared" si="1"/>
        <v/>
      </c>
      <c r="AF64" s="18"/>
      <c r="AG64" s="18" t="s">
        <v>11</v>
      </c>
      <c r="AH64" s="18" t="s">
        <v>11</v>
      </c>
    </row>
    <row r="65" spans="1:34" ht="11.1" customHeight="1">
      <c r="A65" s="139" t="s">
        <v>547</v>
      </c>
      <c r="B65" s="142" t="s">
        <v>570</v>
      </c>
      <c r="C65" s="143">
        <v>19112.96</v>
      </c>
      <c r="D65" s="143">
        <v>11332.56</v>
      </c>
      <c r="E65" s="143">
        <v>14080.86</v>
      </c>
      <c r="F65" s="135">
        <v>7.7568919307026649E-5</v>
      </c>
      <c r="G65" s="135"/>
      <c r="H65" s="143">
        <v>14461.339250000001</v>
      </c>
      <c r="I65" s="135">
        <v>7.1379557654755322E-5</v>
      </c>
      <c r="J65" s="135">
        <v>2.7021023573844234E-2</v>
      </c>
      <c r="K65" s="135"/>
      <c r="L65" s="143">
        <v>6331.7743</v>
      </c>
      <c r="M65" s="135">
        <v>2.8183555997877737E-5</v>
      </c>
      <c r="N65" s="135">
        <v>-0.56215851170215791</v>
      </c>
      <c r="O65" s="135"/>
      <c r="P65" s="148">
        <v>8286.9215999999997</v>
      </c>
      <c r="Q65" s="135">
        <v>3.3265002301502468E-5</v>
      </c>
      <c r="R65" s="135">
        <v>0.30878347953748125</v>
      </c>
      <c r="S65" s="135"/>
      <c r="T65" s="143">
        <v>4322.7492000000002</v>
      </c>
      <c r="U65" s="135">
        <v>1.6188846659323544E-5</v>
      </c>
      <c r="V65" s="135">
        <v>-0.47836489728586301</v>
      </c>
      <c r="X65" s="143">
        <v>3050.1565999999998</v>
      </c>
      <c r="Y65" s="135">
        <f t="shared" si="2"/>
        <v>1.0233530609058922E-5</v>
      </c>
      <c r="Z65" s="135">
        <f t="shared" si="0"/>
        <v>-0.29439427112727251</v>
      </c>
      <c r="AB65" s="143">
        <f>2318624.5/1000</f>
        <v>2318.6244999999999</v>
      </c>
      <c r="AC65" s="135">
        <f>+AB65/$X$11</f>
        <v>7.7791792040001952E-6</v>
      </c>
      <c r="AD65" s="135">
        <f t="shared" si="1"/>
        <v>-0.23983427604995755</v>
      </c>
      <c r="AF65" s="18">
        <v>2107.6610499999997</v>
      </c>
      <c r="AG65" s="18">
        <v>5.6118180504661852E-6</v>
      </c>
      <c r="AH65" s="18">
        <v>-9.0986466329498458E-2</v>
      </c>
    </row>
    <row r="66" spans="1:34" ht="6" customHeight="1">
      <c r="A66" s="139"/>
      <c r="B66" s="4"/>
      <c r="C66" s="143"/>
      <c r="D66" s="143"/>
      <c r="E66" s="143"/>
      <c r="F66" s="135" t="s">
        <v>11</v>
      </c>
      <c r="G66" s="135"/>
      <c r="H66" s="143"/>
      <c r="I66" s="135" t="s">
        <v>11</v>
      </c>
      <c r="J66" s="135" t="s">
        <v>11</v>
      </c>
      <c r="K66" s="135"/>
      <c r="L66" s="143"/>
      <c r="M66" s="135" t="s">
        <v>11</v>
      </c>
      <c r="N66" s="135" t="s">
        <v>11</v>
      </c>
      <c r="O66" s="135"/>
      <c r="P66" s="136" t="s">
        <v>11</v>
      </c>
      <c r="Q66" s="135" t="s">
        <v>11</v>
      </c>
      <c r="R66" s="135" t="s">
        <v>11</v>
      </c>
      <c r="S66" s="135"/>
      <c r="T66" s="131" t="s">
        <v>11</v>
      </c>
      <c r="U66" s="135" t="s">
        <v>11</v>
      </c>
      <c r="V66" s="135" t="s">
        <v>11</v>
      </c>
      <c r="X66" s="131" t="s">
        <v>11</v>
      </c>
      <c r="Y66" s="135"/>
      <c r="Z66" s="135" t="str">
        <f t="shared" si="0"/>
        <v/>
      </c>
      <c r="AB66" s="131" t="s">
        <v>11</v>
      </c>
      <c r="AC66" s="135"/>
      <c r="AD66" s="135" t="str">
        <f t="shared" si="1"/>
        <v/>
      </c>
      <c r="AF66" s="18"/>
      <c r="AG66" s="18" t="s">
        <v>11</v>
      </c>
      <c r="AH66" s="18" t="s">
        <v>11</v>
      </c>
    </row>
    <row r="67" spans="1:34" ht="11.1" customHeight="1">
      <c r="A67" s="139" t="s">
        <v>547</v>
      </c>
      <c r="B67" s="134" t="s">
        <v>571</v>
      </c>
      <c r="C67" s="131">
        <f>SUM(C69:C69)</f>
        <v>550</v>
      </c>
      <c r="D67" s="131">
        <f>SUM(D69:D69)</f>
        <v>1650</v>
      </c>
      <c r="E67" s="131">
        <v>14413.08</v>
      </c>
      <c r="F67" s="135">
        <v>7.9399059395926074E-5</v>
      </c>
      <c r="G67" s="135"/>
      <c r="H67" s="131">
        <v>0</v>
      </c>
      <c r="I67" s="135">
        <v>0</v>
      </c>
      <c r="J67" s="135">
        <v>-1</v>
      </c>
      <c r="K67" s="135"/>
      <c r="L67" s="131">
        <v>0</v>
      </c>
      <c r="M67" s="135" t="s">
        <v>11</v>
      </c>
      <c r="N67" s="135">
        <v>0</v>
      </c>
      <c r="O67" s="135"/>
      <c r="P67" s="136">
        <v>0</v>
      </c>
      <c r="Q67" s="135">
        <v>0</v>
      </c>
      <c r="R67" s="135">
        <v>0</v>
      </c>
      <c r="S67" s="135"/>
      <c r="T67" s="136">
        <v>0</v>
      </c>
      <c r="U67" s="135">
        <v>0</v>
      </c>
      <c r="V67" s="135">
        <v>0</v>
      </c>
      <c r="X67" s="136">
        <f>+X69</f>
        <v>0</v>
      </c>
      <c r="Y67" s="135">
        <f t="shared" si="2"/>
        <v>0</v>
      </c>
      <c r="Z67" s="135"/>
      <c r="AB67" s="136">
        <f>+AB69</f>
        <v>0</v>
      </c>
      <c r="AC67" s="135">
        <f>+AB67/$X$11</f>
        <v>0</v>
      </c>
      <c r="AD67" s="135" t="e">
        <f t="shared" si="1"/>
        <v>#DIV/0!</v>
      </c>
      <c r="AF67" s="18">
        <v>0</v>
      </c>
      <c r="AG67" s="18">
        <v>0</v>
      </c>
      <c r="AH67" s="18"/>
    </row>
    <row r="68" spans="1:34" ht="15.75">
      <c r="A68" s="130"/>
      <c r="B68" s="137"/>
      <c r="C68" s="107"/>
      <c r="D68" s="107"/>
      <c r="E68" s="107"/>
      <c r="F68" s="135" t="s">
        <v>11</v>
      </c>
      <c r="G68" s="135"/>
      <c r="H68" s="138"/>
      <c r="I68" s="135" t="s">
        <v>11</v>
      </c>
      <c r="J68" s="135" t="s">
        <v>11</v>
      </c>
      <c r="K68" s="135"/>
      <c r="L68" s="138"/>
      <c r="M68" s="135" t="s">
        <v>11</v>
      </c>
      <c r="N68" s="135" t="s">
        <v>11</v>
      </c>
      <c r="O68" s="135"/>
      <c r="P68" s="136" t="s">
        <v>11</v>
      </c>
      <c r="Q68" s="135" t="s">
        <v>11</v>
      </c>
      <c r="R68" s="135" t="s">
        <v>11</v>
      </c>
      <c r="S68" s="135"/>
      <c r="T68" s="131" t="s">
        <v>11</v>
      </c>
      <c r="U68" s="135" t="s">
        <v>11</v>
      </c>
      <c r="V68" s="135" t="s">
        <v>11</v>
      </c>
      <c r="X68" s="131" t="s">
        <v>11</v>
      </c>
      <c r="Y68" s="135"/>
      <c r="Z68" s="135" t="str">
        <f t="shared" si="0"/>
        <v/>
      </c>
      <c r="AB68" s="131" t="s">
        <v>11</v>
      </c>
      <c r="AC68" s="135"/>
      <c r="AD68" s="135" t="str">
        <f t="shared" si="1"/>
        <v/>
      </c>
      <c r="AF68" s="18"/>
      <c r="AG68" s="18" t="s">
        <v>11</v>
      </c>
      <c r="AH68" s="18" t="s">
        <v>11</v>
      </c>
    </row>
    <row r="69" spans="1:34" ht="11.1" customHeight="1">
      <c r="A69" s="130"/>
      <c r="B69" s="142" t="s">
        <v>572</v>
      </c>
      <c r="C69" s="143">
        <v>550</v>
      </c>
      <c r="D69" s="143">
        <v>1650</v>
      </c>
      <c r="E69" s="143">
        <v>14413.08</v>
      </c>
      <c r="F69" s="135">
        <v>7.9399059395926074E-5</v>
      </c>
      <c r="G69" s="135"/>
      <c r="H69" s="143">
        <v>0</v>
      </c>
      <c r="I69" s="135">
        <v>0</v>
      </c>
      <c r="J69" s="135">
        <v>-1</v>
      </c>
      <c r="K69" s="135"/>
      <c r="L69" s="143">
        <v>0</v>
      </c>
      <c r="M69" s="135" t="s">
        <v>11</v>
      </c>
      <c r="N69" s="135">
        <v>0</v>
      </c>
      <c r="O69" s="135"/>
      <c r="P69" s="148">
        <v>0</v>
      </c>
      <c r="Q69" s="135">
        <v>0</v>
      </c>
      <c r="R69" s="135">
        <v>0</v>
      </c>
      <c r="S69" s="135"/>
      <c r="T69" s="143">
        <v>0</v>
      </c>
      <c r="U69" s="135">
        <v>0</v>
      </c>
      <c r="V69" s="135">
        <v>0</v>
      </c>
      <c r="X69" s="143">
        <v>0</v>
      </c>
      <c r="Y69" s="135">
        <f t="shared" si="2"/>
        <v>0</v>
      </c>
      <c r="Z69" s="135"/>
      <c r="AB69" s="143">
        <v>0</v>
      </c>
      <c r="AC69" s="135">
        <f>+AB69/$X$11</f>
        <v>0</v>
      </c>
      <c r="AD69" s="135" t="e">
        <f t="shared" si="1"/>
        <v>#DIV/0!</v>
      </c>
      <c r="AF69" s="18">
        <v>0</v>
      </c>
      <c r="AG69" s="18">
        <v>0</v>
      </c>
      <c r="AH69" s="18"/>
    </row>
    <row r="70" spans="1:34" ht="6.75" customHeight="1">
      <c r="A70" s="130"/>
      <c r="B70" s="4"/>
      <c r="C70" s="107"/>
      <c r="D70" s="107"/>
      <c r="E70" s="107"/>
      <c r="F70" s="135" t="s">
        <v>11</v>
      </c>
      <c r="G70" s="135"/>
      <c r="H70" s="138"/>
      <c r="I70" s="135" t="s">
        <v>11</v>
      </c>
      <c r="J70" s="135" t="s">
        <v>11</v>
      </c>
      <c r="K70" s="135"/>
      <c r="L70" s="138"/>
      <c r="M70" s="135" t="s">
        <v>11</v>
      </c>
      <c r="N70" s="135" t="s">
        <v>11</v>
      </c>
      <c r="O70" s="135"/>
      <c r="P70" s="136" t="s">
        <v>11</v>
      </c>
      <c r="Q70" s="135" t="s">
        <v>11</v>
      </c>
      <c r="R70" s="135" t="s">
        <v>11</v>
      </c>
      <c r="S70" s="135"/>
      <c r="T70" s="131" t="s">
        <v>11</v>
      </c>
      <c r="U70" s="135" t="s">
        <v>11</v>
      </c>
      <c r="V70" s="135" t="s">
        <v>11</v>
      </c>
      <c r="X70" s="131" t="s">
        <v>11</v>
      </c>
      <c r="Y70" s="135"/>
      <c r="Z70" s="135" t="str">
        <f t="shared" si="0"/>
        <v/>
      </c>
      <c r="AB70" s="131" t="s">
        <v>11</v>
      </c>
      <c r="AC70" s="135"/>
      <c r="AD70" s="135" t="str">
        <f t="shared" si="1"/>
        <v/>
      </c>
      <c r="AF70" s="18"/>
      <c r="AG70" s="18" t="s">
        <v>11</v>
      </c>
      <c r="AH70" s="18" t="s">
        <v>11</v>
      </c>
    </row>
    <row r="71" spans="1:34" ht="11.1" customHeight="1">
      <c r="A71" s="139" t="s">
        <v>547</v>
      </c>
      <c r="B71" s="134" t="s">
        <v>573</v>
      </c>
      <c r="C71" s="131">
        <f>SUM(C73:C77)</f>
        <v>7513241.2999999998</v>
      </c>
      <c r="D71" s="131">
        <f>SUM(D73:D77)</f>
        <v>7864830.8499999996</v>
      </c>
      <c r="E71" s="131">
        <v>9161342.3399999999</v>
      </c>
      <c r="F71" s="135">
        <v>5.0468183386206997E-2</v>
      </c>
      <c r="G71" s="135"/>
      <c r="H71" s="131">
        <v>10614863.991769999</v>
      </c>
      <c r="I71" s="135">
        <v>5.2393784780198203E-2</v>
      </c>
      <c r="J71" s="135">
        <v>0.1586581526839875</v>
      </c>
      <c r="K71" s="135"/>
      <c r="L71" s="131">
        <v>11248583.04733</v>
      </c>
      <c r="M71" s="135">
        <v>5.006891515561495E-2</v>
      </c>
      <c r="N71" s="135">
        <v>5.9701099896460316E-2</v>
      </c>
      <c r="O71" s="135"/>
      <c r="P71" s="136">
        <v>12192726.437239997</v>
      </c>
      <c r="Q71" s="135">
        <v>4.8943515164470548E-2</v>
      </c>
      <c r="R71" s="135">
        <v>8.3934428535343622E-2</v>
      </c>
      <c r="S71" s="135"/>
      <c r="T71" s="136">
        <v>3773249.9794600001</v>
      </c>
      <c r="U71" s="135">
        <v>1.4130952895618755E-2</v>
      </c>
      <c r="V71" s="135">
        <v>-0.69053271236075309</v>
      </c>
      <c r="X71" s="136">
        <f>SUM(X73:X79)</f>
        <v>2962033.9379600002</v>
      </c>
      <c r="Y71" s="135">
        <f t="shared" si="2"/>
        <v>9.9378717044183908E-3</v>
      </c>
      <c r="Z71" s="135">
        <f t="shared" si="0"/>
        <v>-0.21499133264849182</v>
      </c>
      <c r="AB71" s="136">
        <f>SUM(AB73:AB84)</f>
        <v>3525679.9325900003</v>
      </c>
      <c r="AC71" s="135">
        <f>+AB71/$X$11</f>
        <v>1.1828951178409847E-2</v>
      </c>
      <c r="AD71" s="135">
        <f t="shared" si="1"/>
        <v>0.19029018790317845</v>
      </c>
      <c r="AF71" s="18">
        <v>4194032.0922999997</v>
      </c>
      <c r="AG71" s="18">
        <v>1.1166949733119375E-2</v>
      </c>
      <c r="AH71" s="18">
        <v>0.18956688425742069</v>
      </c>
    </row>
    <row r="72" spans="1:34" ht="15.75">
      <c r="A72" s="139"/>
      <c r="B72" s="137"/>
      <c r="C72" s="131"/>
      <c r="D72" s="131"/>
      <c r="E72" s="131"/>
      <c r="F72" s="135" t="s">
        <v>11</v>
      </c>
      <c r="G72" s="135"/>
      <c r="H72" s="131"/>
      <c r="I72" s="135" t="s">
        <v>11</v>
      </c>
      <c r="J72" s="135" t="s">
        <v>11</v>
      </c>
      <c r="K72" s="135"/>
      <c r="L72" s="131"/>
      <c r="M72" s="135" t="s">
        <v>11</v>
      </c>
      <c r="N72" s="135" t="s">
        <v>11</v>
      </c>
      <c r="O72" s="135"/>
      <c r="P72" s="136" t="s">
        <v>11</v>
      </c>
      <c r="Q72" s="135" t="s">
        <v>11</v>
      </c>
      <c r="R72" s="135" t="s">
        <v>11</v>
      </c>
      <c r="S72" s="135"/>
      <c r="T72" s="131" t="s">
        <v>11</v>
      </c>
      <c r="U72" s="135" t="s">
        <v>11</v>
      </c>
      <c r="V72" s="135" t="s">
        <v>11</v>
      </c>
      <c r="X72" s="131" t="s">
        <v>11</v>
      </c>
      <c r="Y72" s="135"/>
      <c r="Z72" s="135" t="str">
        <f t="shared" si="0"/>
        <v/>
      </c>
      <c r="AB72" s="131" t="s">
        <v>11</v>
      </c>
      <c r="AC72" s="135"/>
      <c r="AD72" s="135" t="str">
        <f t="shared" si="1"/>
        <v/>
      </c>
      <c r="AF72" s="18"/>
      <c r="AG72" s="18" t="s">
        <v>11</v>
      </c>
      <c r="AH72" s="18" t="s">
        <v>11</v>
      </c>
    </row>
    <row r="73" spans="1:34">
      <c r="A73" s="130"/>
      <c r="B73" s="142" t="s">
        <v>574</v>
      </c>
      <c r="C73" s="143">
        <v>3984935.54</v>
      </c>
      <c r="D73" s="143">
        <v>4353307.25</v>
      </c>
      <c r="E73" s="143">
        <v>5868170.1200000001</v>
      </c>
      <c r="F73" s="135">
        <v>3.2326691304237445E-2</v>
      </c>
      <c r="G73" s="135"/>
      <c r="H73" s="143">
        <v>6205817.1354399994</v>
      </c>
      <c r="I73" s="135">
        <v>3.0631221241421879E-2</v>
      </c>
      <c r="J73" s="135">
        <v>5.7538723066194827E-2</v>
      </c>
      <c r="K73" s="135"/>
      <c r="L73" s="143">
        <v>6904907.3911100002</v>
      </c>
      <c r="M73" s="135">
        <v>3.0734646387744518E-2</v>
      </c>
      <c r="N73" s="135">
        <v>0.11265079850285252</v>
      </c>
      <c r="O73" s="135"/>
      <c r="P73" s="148">
        <v>8264362.4424700001</v>
      </c>
      <c r="Q73" s="135">
        <v>3.3174446306963389E-2</v>
      </c>
      <c r="R73" s="135">
        <v>0.19688244524615708</v>
      </c>
      <c r="S73" s="135"/>
      <c r="T73" s="143">
        <v>1311102.8151</v>
      </c>
      <c r="U73" s="135">
        <v>4.9101258125873529E-3</v>
      </c>
      <c r="V73" s="135">
        <v>-0.84135463271040345</v>
      </c>
      <c r="X73" s="143">
        <v>706739.96539999999</v>
      </c>
      <c r="Y73" s="135">
        <f t="shared" si="2"/>
        <v>2.3711717190409648E-3</v>
      </c>
      <c r="Z73" s="135">
        <f t="shared" si="0"/>
        <v>-0.46095763256667577</v>
      </c>
      <c r="AB73" s="143">
        <f>725753720.64/1000</f>
        <v>725753.72063999996</v>
      </c>
      <c r="AC73" s="135">
        <f t="shared" ref="AC73:AC84" si="3">+AB73/$X$11</f>
        <v>2.4349644588110126E-3</v>
      </c>
      <c r="AD73" s="135">
        <f t="shared" si="1"/>
        <v>2.690346686314617E-2</v>
      </c>
      <c r="AF73" s="18">
        <v>618143.08776000002</v>
      </c>
      <c r="AG73" s="18">
        <v>1.6458559774886346E-3</v>
      </c>
      <c r="AH73" s="18">
        <v>-0.14827431099506369</v>
      </c>
    </row>
    <row r="74" spans="1:34">
      <c r="A74" s="130"/>
      <c r="B74" s="142" t="s">
        <v>575</v>
      </c>
      <c r="C74" s="143">
        <v>666938.55000000005</v>
      </c>
      <c r="D74" s="143">
        <v>665615.82999999996</v>
      </c>
      <c r="E74" s="143">
        <v>638425.1</v>
      </c>
      <c r="F74" s="135">
        <v>3.5169687835459209E-3</v>
      </c>
      <c r="G74" s="135"/>
      <c r="H74" s="143">
        <v>827222.93888000003</v>
      </c>
      <c r="I74" s="135">
        <v>4.0830801655608144E-3</v>
      </c>
      <c r="J74" s="135">
        <v>0.29572433615157057</v>
      </c>
      <c r="K74" s="135"/>
      <c r="L74" s="143">
        <v>827271.353</v>
      </c>
      <c r="M74" s="135">
        <v>3.6822930505775579E-3</v>
      </c>
      <c r="N74" s="135">
        <v>5.8526084957848707E-5</v>
      </c>
      <c r="O74" s="135"/>
      <c r="P74" s="148">
        <v>938702.28521</v>
      </c>
      <c r="Q74" s="135">
        <v>3.7680981171507983E-3</v>
      </c>
      <c r="R74" s="135">
        <v>0.13469695500262294</v>
      </c>
      <c r="S74" s="135"/>
      <c r="T74" s="143">
        <v>557956.56929000001</v>
      </c>
      <c r="U74" s="135">
        <v>2.0895668300159637E-3</v>
      </c>
      <c r="V74" s="135">
        <v>-0.4056085959509752</v>
      </c>
      <c r="X74" s="143">
        <v>522283.35077000002</v>
      </c>
      <c r="Y74" s="135">
        <f t="shared" si="2"/>
        <v>1.75230434290051E-3</v>
      </c>
      <c r="Z74" s="135">
        <f t="shared" si="0"/>
        <v>-6.3935475417726831E-2</v>
      </c>
      <c r="AB74" s="143">
        <f>596871831.65/1000</f>
        <v>596871.83164999995</v>
      </c>
      <c r="AC74" s="135">
        <f t="shared" si="3"/>
        <v>2.0025549373023466E-3</v>
      </c>
      <c r="AD74" s="135">
        <f t="shared" si="1"/>
        <v>0.14281228909563068</v>
      </c>
      <c r="AF74" s="18">
        <v>596911.09022999997</v>
      </c>
      <c r="AG74" s="18">
        <v>1.5893240664461509E-3</v>
      </c>
      <c r="AH74" s="18">
        <v>6.5773886315754671E-5</v>
      </c>
    </row>
    <row r="75" spans="1:34">
      <c r="A75" s="130"/>
      <c r="B75" s="142" t="s">
        <v>576</v>
      </c>
      <c r="C75" s="143">
        <v>9685.27</v>
      </c>
      <c r="D75" s="143">
        <v>9115.5</v>
      </c>
      <c r="E75" s="143">
        <v>20117.39</v>
      </c>
      <c r="F75" s="135">
        <v>1.1082307483903573E-4</v>
      </c>
      <c r="G75" s="135"/>
      <c r="H75" s="143">
        <v>20522.865000000002</v>
      </c>
      <c r="I75" s="135">
        <v>1.0129857271056414E-4</v>
      </c>
      <c r="J75" s="135">
        <v>2.015544760031009E-2</v>
      </c>
      <c r="K75" s="135"/>
      <c r="L75" s="143">
        <v>18855.875</v>
      </c>
      <c r="M75" s="135">
        <v>8.3929967142303677E-5</v>
      </c>
      <c r="N75" s="135">
        <v>-8.1225988671659699E-2</v>
      </c>
      <c r="O75" s="135"/>
      <c r="P75" s="148">
        <v>17638.404999999999</v>
      </c>
      <c r="Q75" s="135">
        <v>7.0803322541368403E-5</v>
      </c>
      <c r="R75" s="135">
        <v>-6.4567144192459971E-2</v>
      </c>
      <c r="S75" s="135"/>
      <c r="T75" s="143">
        <v>15537.57</v>
      </c>
      <c r="U75" s="135">
        <v>5.8188742059915413E-5</v>
      </c>
      <c r="V75" s="135">
        <v>-0.11910572412868393</v>
      </c>
      <c r="X75" s="143">
        <v>9360.66</v>
      </c>
      <c r="Y75" s="135">
        <f t="shared" si="2"/>
        <v>3.140579753544244E-5</v>
      </c>
      <c r="Z75" s="135">
        <f t="shared" si="0"/>
        <v>-0.39754672062619828</v>
      </c>
      <c r="AB75" s="143">
        <f>13333770/1000</f>
        <v>13333.77</v>
      </c>
      <c r="AC75" s="135">
        <f t="shared" si="3"/>
        <v>4.4735914027873718E-5</v>
      </c>
      <c r="AD75" s="135">
        <f t="shared" si="1"/>
        <v>0.4244476351026531</v>
      </c>
      <c r="AF75" s="18">
        <v>5620.0150000000003</v>
      </c>
      <c r="AG75" s="18">
        <v>1.4963744583547114E-5</v>
      </c>
      <c r="AH75" s="18">
        <v>-0.14447131284484602</v>
      </c>
    </row>
    <row r="76" spans="1:34">
      <c r="A76" s="130"/>
      <c r="B76" s="142" t="s">
        <v>577</v>
      </c>
      <c r="C76" s="143">
        <f>1532.15+28436.06+119+10313.1+217156.94+47288.11</f>
        <v>304845.36</v>
      </c>
      <c r="D76" s="143">
        <f>1783.52+33188.46+122+10882.95+265004.31+89251.34</f>
        <v>400232.57999999996</v>
      </c>
      <c r="E76" s="143">
        <v>3938.2400000000002</v>
      </c>
      <c r="F76" s="135">
        <v>2.1695054192123538E-5</v>
      </c>
      <c r="G76" s="135"/>
      <c r="H76" s="143">
        <v>1694.93974</v>
      </c>
      <c r="I76" s="135">
        <v>8.3660335188295924E-6</v>
      </c>
      <c r="J76" s="135">
        <v>-0.56961999776549932</v>
      </c>
      <c r="K76" s="135"/>
      <c r="L76" s="143">
        <v>1832.3389999999999</v>
      </c>
      <c r="M76" s="135">
        <v>8.1559806725257556E-6</v>
      </c>
      <c r="N76" s="135">
        <v>8.1064392295150223E-2</v>
      </c>
      <c r="O76" s="135"/>
      <c r="P76" s="148">
        <v>886.35</v>
      </c>
      <c r="Q76" s="135">
        <v>3.5579478379446375E-6</v>
      </c>
      <c r="R76" s="135">
        <v>-0.51627400824847369</v>
      </c>
      <c r="S76" s="135"/>
      <c r="T76" s="143">
        <v>169.97</v>
      </c>
      <c r="U76" s="135">
        <v>6.3654358357991781E-7</v>
      </c>
      <c r="V76" s="135">
        <v>-0.80823602414396112</v>
      </c>
      <c r="X76" s="143">
        <v>41.646999999999998</v>
      </c>
      <c r="Y76" s="135">
        <f t="shared" si="2"/>
        <v>1.3972916973360547E-7</v>
      </c>
      <c r="Z76" s="135">
        <f>IF(C76&lt;&gt;0,(X76-T76)/T76,"")</f>
        <v>-0.75497440724833798</v>
      </c>
      <c r="AB76" s="143">
        <v>0</v>
      </c>
      <c r="AC76" s="135">
        <f t="shared" si="3"/>
        <v>0</v>
      </c>
      <c r="AD76" s="135">
        <f>IF(C76&lt;&gt;0,(AB76-X76)/X76,"")</f>
        <v>-1</v>
      </c>
      <c r="AF76" s="18">
        <v>0</v>
      </c>
      <c r="AG76" s="18">
        <v>0</v>
      </c>
      <c r="AH76" s="18"/>
    </row>
    <row r="77" spans="1:34">
      <c r="A77" s="130"/>
      <c r="B77" s="142" t="s">
        <v>578</v>
      </c>
      <c r="C77" s="143">
        <v>2546836.58</v>
      </c>
      <c r="D77" s="143">
        <v>2436559.69</v>
      </c>
      <c r="E77" s="143">
        <v>2630691.4900000002</v>
      </c>
      <c r="F77" s="135">
        <v>1.4492005169392475E-2</v>
      </c>
      <c r="G77" s="135"/>
      <c r="H77" s="143">
        <v>3559606.11271</v>
      </c>
      <c r="I77" s="135">
        <v>1.7569818766986114E-2</v>
      </c>
      <c r="J77" s="135">
        <v>0.3531066361225047</v>
      </c>
      <c r="K77" s="135"/>
      <c r="L77" s="143">
        <v>3495716.08922</v>
      </c>
      <c r="M77" s="135">
        <v>1.5559889769478049E-2</v>
      </c>
      <c r="N77" s="135">
        <v>-1.7948621692122919E-2</v>
      </c>
      <c r="O77" s="135"/>
      <c r="P77" s="148">
        <v>2967061.5774099999</v>
      </c>
      <c r="Q77" s="135">
        <v>1.1910250267269719E-2</v>
      </c>
      <c r="R77" s="135">
        <v>-0.15122924697467605</v>
      </c>
      <c r="S77" s="135"/>
      <c r="T77" s="143">
        <v>1879975.78507</v>
      </c>
      <c r="U77" s="135">
        <v>7.0405749442367894E-3</v>
      </c>
      <c r="V77" s="135">
        <v>-0.36638464149737537</v>
      </c>
      <c r="X77" s="143">
        <v>1715915.08479</v>
      </c>
      <c r="Y77" s="135">
        <f t="shared" si="2"/>
        <v>5.757038685405334E-3</v>
      </c>
      <c r="Z77" s="135">
        <f>IF(C77&lt;&gt;0,(X77-T77)/T77,"")</f>
        <v>-8.7267453965579278E-2</v>
      </c>
      <c r="AB77" s="143">
        <f>2065204721.58/1000</f>
        <v>2065204.7215799999</v>
      </c>
      <c r="AC77" s="135">
        <f t="shared" si="3"/>
        <v>6.9289346429825737E-3</v>
      </c>
      <c r="AD77" s="135">
        <f>IF(C77&lt;&gt;0,(AB77-X77)/X77,"")</f>
        <v>0.20355881237138682</v>
      </c>
      <c r="AF77" s="18">
        <v>2852130.6241599997</v>
      </c>
      <c r="AG77" s="18">
        <v>7.5940285175116161E-3</v>
      </c>
      <c r="AH77" s="18">
        <v>0.38104014307015355</v>
      </c>
    </row>
    <row r="78" spans="1:34">
      <c r="A78" s="149"/>
      <c r="B78" s="4" t="s">
        <v>579</v>
      </c>
      <c r="C78" s="143">
        <v>0</v>
      </c>
      <c r="D78" s="143">
        <v>0</v>
      </c>
      <c r="E78" s="97">
        <v>0</v>
      </c>
      <c r="F78" s="135">
        <v>0</v>
      </c>
      <c r="G78" s="135"/>
      <c r="H78" s="97">
        <v>0</v>
      </c>
      <c r="I78" s="135" t="s">
        <v>11</v>
      </c>
      <c r="J78" s="135">
        <v>0</v>
      </c>
      <c r="K78" s="135"/>
      <c r="L78" s="97">
        <v>0</v>
      </c>
      <c r="M78" s="135" t="s">
        <v>11</v>
      </c>
      <c r="N78" s="135">
        <v>0</v>
      </c>
      <c r="O78" s="135"/>
      <c r="P78" s="148">
        <v>4075.3771499999998</v>
      </c>
      <c r="Q78" s="135">
        <v>1.6359202707340754E-5</v>
      </c>
      <c r="R78" s="135">
        <v>0</v>
      </c>
      <c r="S78" s="135"/>
      <c r="T78" s="143">
        <v>8507.27</v>
      </c>
      <c r="U78" s="135">
        <v>3.1860023135152834E-5</v>
      </c>
      <c r="V78" s="135">
        <v>1.0874804188368186</v>
      </c>
      <c r="X78" s="143">
        <v>0</v>
      </c>
      <c r="Y78" s="135">
        <f t="shared" si="2"/>
        <v>0</v>
      </c>
      <c r="Z78" s="135" t="str">
        <f>IF(C78&lt;&gt;0,(X78-T78)/T78,"")</f>
        <v/>
      </c>
      <c r="AB78" s="143">
        <v>0</v>
      </c>
      <c r="AC78" s="135">
        <f t="shared" si="3"/>
        <v>0</v>
      </c>
      <c r="AD78" s="135" t="str">
        <f t="shared" ref="AD78:AD83" si="4">IF(C78&lt;&gt;0,(AB78-X78)/X78,"")</f>
        <v/>
      </c>
      <c r="AF78" s="18">
        <v>0</v>
      </c>
      <c r="AG78" s="18">
        <v>0</v>
      </c>
      <c r="AH78" s="18"/>
    </row>
    <row r="79" spans="1:34" ht="11.1" customHeight="1">
      <c r="A79" s="149"/>
      <c r="B79" s="19" t="s">
        <v>580</v>
      </c>
      <c r="C79" s="143"/>
      <c r="D79" s="143"/>
      <c r="E79" s="97"/>
      <c r="F79" s="135"/>
      <c r="G79" s="135"/>
      <c r="H79" s="97"/>
      <c r="I79" s="135"/>
      <c r="J79" s="135"/>
      <c r="K79" s="135"/>
      <c r="L79" s="97"/>
      <c r="M79" s="135"/>
      <c r="N79" s="135"/>
      <c r="O79" s="135"/>
      <c r="P79" s="148"/>
      <c r="Q79" s="135"/>
      <c r="R79" s="135"/>
      <c r="S79" s="135"/>
      <c r="T79" s="143"/>
      <c r="U79" s="135"/>
      <c r="V79" s="135"/>
      <c r="X79" s="143">
        <v>7693.23</v>
      </c>
      <c r="Y79" s="135">
        <f t="shared" si="2"/>
        <v>2.5811430366404915E-5</v>
      </c>
      <c r="Z79" s="135" t="str">
        <f>IF(C79&lt;&gt;0,(X79-T79)/T79,"")</f>
        <v/>
      </c>
      <c r="AB79" s="143">
        <v>0</v>
      </c>
      <c r="AC79" s="135">
        <f t="shared" si="3"/>
        <v>0</v>
      </c>
      <c r="AD79" s="135" t="str">
        <f t="shared" si="4"/>
        <v/>
      </c>
      <c r="AF79" s="18">
        <v>6329.59</v>
      </c>
      <c r="AG79" s="18">
        <v>1.6853045424002246E-5</v>
      </c>
      <c r="AH79" s="18">
        <v>-6.4322739391090386E-2</v>
      </c>
    </row>
    <row r="80" spans="1:34" ht="11.1" customHeight="1">
      <c r="A80" s="149"/>
      <c r="B80" s="19" t="s">
        <v>581</v>
      </c>
      <c r="C80" s="143"/>
      <c r="D80" s="143"/>
      <c r="E80" s="97"/>
      <c r="F80" s="135"/>
      <c r="G80" s="135"/>
      <c r="H80" s="97"/>
      <c r="I80" s="135"/>
      <c r="J80" s="135"/>
      <c r="K80" s="135"/>
      <c r="L80" s="97"/>
      <c r="M80" s="135"/>
      <c r="N80" s="135"/>
      <c r="O80" s="135"/>
      <c r="P80" s="148"/>
      <c r="Q80" s="135"/>
      <c r="R80" s="135"/>
      <c r="S80" s="135"/>
      <c r="T80" s="143"/>
      <c r="U80" s="135"/>
      <c r="V80" s="135"/>
      <c r="X80" s="143"/>
      <c r="Y80" s="135"/>
      <c r="Z80" s="135"/>
      <c r="AB80" s="143">
        <f>24753322/1000</f>
        <v>24753.322</v>
      </c>
      <c r="AC80" s="135">
        <f t="shared" si="3"/>
        <v>8.3049466497192841E-5</v>
      </c>
      <c r="AD80" s="135" t="str">
        <f t="shared" si="4"/>
        <v/>
      </c>
      <c r="AF80" s="18">
        <v>29735.362000000001</v>
      </c>
      <c r="AG80" s="18">
        <v>7.9172806846122771E-5</v>
      </c>
      <c r="AH80" s="18">
        <v>0.2012675308792897</v>
      </c>
    </row>
    <row r="81" spans="1:34" ht="11.1" customHeight="1">
      <c r="A81" s="149"/>
      <c r="B81" s="19" t="s">
        <v>582</v>
      </c>
      <c r="C81" s="143"/>
      <c r="D81" s="143"/>
      <c r="E81" s="97"/>
      <c r="F81" s="135"/>
      <c r="G81" s="135"/>
      <c r="H81" s="97"/>
      <c r="I81" s="135"/>
      <c r="J81" s="135"/>
      <c r="K81" s="135"/>
      <c r="L81" s="97"/>
      <c r="M81" s="135"/>
      <c r="N81" s="135"/>
      <c r="O81" s="135"/>
      <c r="P81" s="148"/>
      <c r="Q81" s="135"/>
      <c r="R81" s="135"/>
      <c r="S81" s="135"/>
      <c r="T81" s="143"/>
      <c r="U81" s="135"/>
      <c r="V81" s="135"/>
      <c r="X81" s="143"/>
      <c r="Y81" s="135"/>
      <c r="Z81" s="135"/>
      <c r="AB81" s="143">
        <f>44450000/1000</f>
        <v>44450</v>
      </c>
      <c r="AC81" s="135">
        <f t="shared" si="3"/>
        <v>1.4913346926930543E-4</v>
      </c>
      <c r="AD81" s="135" t="str">
        <f t="shared" si="4"/>
        <v/>
      </c>
      <c r="AF81" s="18">
        <v>19931.164420000001</v>
      </c>
      <c r="AG81" s="18">
        <v>5.3068337652757507E-5</v>
      </c>
      <c r="AH81" s="18">
        <v>-0.55160484994375703</v>
      </c>
    </row>
    <row r="82" spans="1:34" ht="11.1" customHeight="1">
      <c r="A82" s="149"/>
      <c r="B82" s="19" t="s">
        <v>583</v>
      </c>
      <c r="C82" s="143"/>
      <c r="D82" s="143"/>
      <c r="E82" s="97"/>
      <c r="F82" s="135"/>
      <c r="G82" s="135"/>
      <c r="H82" s="97"/>
      <c r="I82" s="135"/>
      <c r="J82" s="135"/>
      <c r="K82" s="135"/>
      <c r="L82" s="97"/>
      <c r="M82" s="135"/>
      <c r="N82" s="135"/>
      <c r="O82" s="135"/>
      <c r="P82" s="148"/>
      <c r="Q82" s="135"/>
      <c r="R82" s="135"/>
      <c r="S82" s="135"/>
      <c r="T82" s="143"/>
      <c r="U82" s="135"/>
      <c r="V82" s="135"/>
      <c r="X82" s="143"/>
      <c r="Y82" s="135"/>
      <c r="Z82" s="135"/>
      <c r="AB82" s="143">
        <f>48279237.66/1000</f>
        <v>48279.237659999999</v>
      </c>
      <c r="AC82" s="135">
        <f t="shared" si="3"/>
        <v>1.6198088202279198E-4</v>
      </c>
      <c r="AD82" s="135" t="str">
        <f t="shared" si="4"/>
        <v/>
      </c>
      <c r="AF82" s="18">
        <v>57545.367600000005</v>
      </c>
      <c r="AG82" s="18">
        <v>1.5321919652042345E-4</v>
      </c>
      <c r="AH82" s="18">
        <v>0.19192784288052503</v>
      </c>
    </row>
    <row r="83" spans="1:34" ht="11.1" customHeight="1">
      <c r="A83" s="149"/>
      <c r="B83" s="19" t="s">
        <v>584</v>
      </c>
      <c r="C83" s="143"/>
      <c r="D83" s="143"/>
      <c r="E83" s="97"/>
      <c r="F83" s="135"/>
      <c r="G83" s="135"/>
      <c r="H83" s="97"/>
      <c r="I83" s="135"/>
      <c r="J83" s="135"/>
      <c r="K83" s="135"/>
      <c r="L83" s="97"/>
      <c r="M83" s="135"/>
      <c r="N83" s="135"/>
      <c r="O83" s="135"/>
      <c r="P83" s="148"/>
      <c r="Q83" s="135"/>
      <c r="R83" s="135"/>
      <c r="S83" s="135"/>
      <c r="T83" s="143"/>
      <c r="U83" s="135"/>
      <c r="V83" s="135"/>
      <c r="X83" s="143"/>
      <c r="Y83" s="135"/>
      <c r="Z83" s="135"/>
      <c r="AB83" s="143">
        <f>6770635.06/1000</f>
        <v>6770.6350599999996</v>
      </c>
      <c r="AC83" s="135">
        <f t="shared" si="3"/>
        <v>2.2716047146326025E-5</v>
      </c>
      <c r="AD83" s="135" t="str">
        <f t="shared" si="4"/>
        <v/>
      </c>
      <c r="AF83" s="18">
        <v>6948.0911299999998</v>
      </c>
      <c r="AG83" s="18">
        <v>1.8499854717919657E-5</v>
      </c>
      <c r="AH83" s="18">
        <v>2.620966400159222E-2</v>
      </c>
    </row>
    <row r="84" spans="1:34" ht="11.1" customHeight="1">
      <c r="A84" s="149"/>
      <c r="B84" s="19" t="s">
        <v>585</v>
      </c>
      <c r="C84" s="143"/>
      <c r="D84" s="143"/>
      <c r="E84" s="97"/>
      <c r="F84" s="135"/>
      <c r="G84" s="135"/>
      <c r="H84" s="97"/>
      <c r="I84" s="135"/>
      <c r="J84" s="135"/>
      <c r="K84" s="135"/>
      <c r="L84" s="97"/>
      <c r="M84" s="135"/>
      <c r="N84" s="135"/>
      <c r="O84" s="135"/>
      <c r="P84" s="148"/>
      <c r="Q84" s="135"/>
      <c r="R84" s="135"/>
      <c r="S84" s="135"/>
      <c r="T84" s="143"/>
      <c r="U84" s="135"/>
      <c r="V84" s="135"/>
      <c r="X84" s="143"/>
      <c r="Y84" s="135"/>
      <c r="Z84" s="135"/>
      <c r="AB84" s="143">
        <f>262694/1000</f>
        <v>262.69400000000002</v>
      </c>
      <c r="AC84" s="135">
        <f t="shared" si="3"/>
        <v>8.8136035042139307E-7</v>
      </c>
      <c r="AD84" s="135"/>
      <c r="AF84" s="18">
        <v>737.7</v>
      </c>
      <c r="AG84" s="18">
        <v>1.9641859282017408E-6</v>
      </c>
      <c r="AH84" s="18">
        <v>1.8082103131400031</v>
      </c>
    </row>
    <row r="85" spans="1:34" ht="11.1" customHeight="1">
      <c r="A85" s="149"/>
      <c r="B85" s="19"/>
      <c r="C85" s="143"/>
      <c r="D85" s="143"/>
      <c r="E85" s="97"/>
      <c r="F85" s="135"/>
      <c r="G85" s="135"/>
      <c r="H85" s="97"/>
      <c r="I85" s="135"/>
      <c r="J85" s="135"/>
      <c r="K85" s="135"/>
      <c r="L85" s="97"/>
      <c r="M85" s="135"/>
      <c r="N85" s="135"/>
      <c r="O85" s="135"/>
      <c r="P85" s="148"/>
      <c r="Q85" s="135"/>
      <c r="R85" s="135"/>
      <c r="S85" s="135"/>
      <c r="T85" s="143"/>
      <c r="U85" s="135"/>
      <c r="V85" s="135"/>
      <c r="X85" s="143"/>
      <c r="Y85" s="135"/>
      <c r="Z85" s="135"/>
      <c r="AB85" s="143"/>
      <c r="AC85" s="135"/>
      <c r="AD85" s="135"/>
    </row>
    <row r="86" spans="1:34" ht="11.1" customHeight="1">
      <c r="A86" s="149"/>
      <c r="B86" s="19"/>
      <c r="C86" s="143"/>
      <c r="D86" s="143"/>
      <c r="E86" s="97"/>
      <c r="F86" s="135"/>
      <c r="G86" s="135"/>
      <c r="H86" s="97"/>
      <c r="I86" s="135"/>
      <c r="J86" s="135"/>
      <c r="K86" s="135"/>
      <c r="L86" s="97"/>
      <c r="M86" s="135"/>
      <c r="N86" s="135"/>
      <c r="O86" s="135"/>
      <c r="P86" s="148"/>
      <c r="Q86" s="135"/>
      <c r="R86" s="135"/>
      <c r="S86" s="135"/>
      <c r="T86" s="143"/>
      <c r="U86" s="135"/>
      <c r="V86" s="135"/>
      <c r="X86" s="143"/>
      <c r="Y86" s="135"/>
      <c r="Z86" s="135"/>
      <c r="AB86" s="143"/>
      <c r="AC86" s="135"/>
      <c r="AD86" s="135"/>
    </row>
    <row r="87" spans="1:34" ht="11.1" customHeight="1">
      <c r="A87" s="149"/>
      <c r="B87" s="19"/>
      <c r="C87" s="143"/>
      <c r="D87" s="143"/>
      <c r="E87" s="97"/>
      <c r="F87" s="135"/>
      <c r="G87" s="135"/>
      <c r="H87" s="97"/>
      <c r="I87" s="135"/>
      <c r="J87" s="135"/>
      <c r="K87" s="135"/>
      <c r="L87" s="97"/>
      <c r="M87" s="135"/>
      <c r="N87" s="135"/>
      <c r="O87" s="135"/>
      <c r="P87" s="148"/>
      <c r="Q87" s="135"/>
      <c r="R87" s="135"/>
      <c r="S87" s="135"/>
      <c r="T87" s="143"/>
      <c r="U87" s="135"/>
      <c r="V87" s="135"/>
      <c r="X87" s="143"/>
      <c r="Y87" s="135"/>
      <c r="Z87" s="135"/>
      <c r="AB87" s="143"/>
      <c r="AC87" s="135"/>
      <c r="AD87" s="135"/>
    </row>
    <row r="88" spans="1:34" ht="11.1" customHeight="1">
      <c r="A88" s="149"/>
      <c r="B88" s="109"/>
      <c r="C88" s="110"/>
      <c r="D88" s="110"/>
      <c r="E88" s="110"/>
      <c r="F88" s="110"/>
      <c r="G88" s="110"/>
      <c r="H88" s="110"/>
      <c r="I88" s="110"/>
      <c r="J88" s="110"/>
      <c r="K88" s="110"/>
      <c r="L88" s="110"/>
      <c r="M88" s="110"/>
      <c r="N88" s="110"/>
      <c r="O88" s="110"/>
      <c r="P88" s="111"/>
      <c r="Q88" s="111"/>
      <c r="R88" s="111"/>
      <c r="S88" s="111"/>
      <c r="T88" s="111"/>
      <c r="U88" s="111"/>
      <c r="V88" s="111"/>
      <c r="W88" s="111"/>
      <c r="X88" s="111"/>
      <c r="Y88" s="111"/>
      <c r="Z88" s="111"/>
      <c r="AA88" s="111"/>
      <c r="AB88" s="111"/>
      <c r="AC88" s="111"/>
      <c r="AD88" s="111"/>
      <c r="AF88" s="109"/>
      <c r="AG88" s="109"/>
      <c r="AH88" s="109"/>
    </row>
    <row r="89" spans="1:34" ht="11.1" customHeight="1">
      <c r="A89" s="149"/>
      <c r="B89" s="113"/>
      <c r="C89" s="113"/>
      <c r="D89" s="113"/>
      <c r="E89" s="113"/>
      <c r="F89" s="113"/>
      <c r="G89" s="113"/>
      <c r="H89" s="113"/>
      <c r="I89" s="113"/>
      <c r="J89" s="113"/>
      <c r="K89" s="113"/>
      <c r="L89" s="113"/>
      <c r="M89" s="113"/>
      <c r="N89" s="113"/>
      <c r="O89" s="113"/>
      <c r="P89" s="97"/>
      <c r="Q89" s="97"/>
      <c r="R89" s="97"/>
      <c r="S89" s="97"/>
      <c r="T89" s="114"/>
      <c r="U89" s="115"/>
      <c r="V89" s="115"/>
      <c r="W89" s="115"/>
      <c r="X89" s="115"/>
      <c r="Y89" s="115"/>
      <c r="Z89" s="115"/>
      <c r="AA89" s="115"/>
      <c r="AB89" s="115"/>
      <c r="AC89" s="115"/>
      <c r="AD89" s="115"/>
    </row>
    <row r="90" spans="1:34" ht="11.1" customHeight="1">
      <c r="A90" s="149"/>
      <c r="B90" s="116" t="s">
        <v>523</v>
      </c>
      <c r="C90" s="117" t="s">
        <v>524</v>
      </c>
      <c r="D90" s="117" t="s">
        <v>524</v>
      </c>
      <c r="E90" s="1275" t="s">
        <v>525</v>
      </c>
      <c r="F90" s="1275"/>
      <c r="G90" s="117"/>
      <c r="H90" s="1275" t="s">
        <v>526</v>
      </c>
      <c r="I90" s="1275"/>
      <c r="J90" s="1275"/>
      <c r="K90" s="117"/>
      <c r="L90" s="1275" t="s">
        <v>527</v>
      </c>
      <c r="M90" s="1275"/>
      <c r="N90" s="1275"/>
      <c r="O90" s="117"/>
      <c r="P90" s="1275" t="s">
        <v>528</v>
      </c>
      <c r="Q90" s="1275"/>
      <c r="R90" s="1275"/>
      <c r="S90" s="115"/>
      <c r="T90" s="1275" t="s">
        <v>529</v>
      </c>
      <c r="U90" s="1275"/>
      <c r="V90" s="1275"/>
      <c r="X90" s="1275" t="s">
        <v>530</v>
      </c>
      <c r="Y90" s="1275"/>
      <c r="Z90" s="1275"/>
      <c r="AB90" s="1275" t="s">
        <v>531</v>
      </c>
      <c r="AC90" s="1275"/>
      <c r="AD90" s="1275"/>
    </row>
    <row r="91" spans="1:34" ht="11.1" customHeight="1">
      <c r="A91" s="149"/>
      <c r="B91" s="119" t="s">
        <v>532</v>
      </c>
      <c r="C91" s="120">
        <v>2008</v>
      </c>
      <c r="D91" s="120">
        <v>2009</v>
      </c>
      <c r="E91" s="121" t="s">
        <v>9</v>
      </c>
      <c r="F91" s="121" t="s">
        <v>533</v>
      </c>
      <c r="G91" s="120"/>
      <c r="H91" s="121" t="s">
        <v>9</v>
      </c>
      <c r="I91" s="121" t="s">
        <v>533</v>
      </c>
      <c r="J91" s="121" t="s">
        <v>534</v>
      </c>
      <c r="K91" s="120"/>
      <c r="L91" s="121" t="s">
        <v>9</v>
      </c>
      <c r="M91" s="121" t="s">
        <v>533</v>
      </c>
      <c r="N91" s="121" t="s">
        <v>534</v>
      </c>
      <c r="O91" s="120"/>
      <c r="P91" s="121" t="s">
        <v>9</v>
      </c>
      <c r="Q91" s="121" t="s">
        <v>533</v>
      </c>
      <c r="R91" s="121" t="s">
        <v>534</v>
      </c>
      <c r="S91" s="122"/>
      <c r="T91" s="121" t="s">
        <v>9</v>
      </c>
      <c r="U91" s="121" t="s">
        <v>533</v>
      </c>
      <c r="V91" s="121" t="s">
        <v>534</v>
      </c>
      <c r="X91" s="121" t="s">
        <v>9</v>
      </c>
      <c r="Y91" s="121" t="s">
        <v>533</v>
      </c>
      <c r="Z91" s="121" t="s">
        <v>534</v>
      </c>
      <c r="AB91" s="121" t="s">
        <v>9</v>
      </c>
      <c r="AC91" s="121" t="s">
        <v>533</v>
      </c>
      <c r="AD91" s="121" t="s">
        <v>534</v>
      </c>
    </row>
    <row r="92" spans="1:34" ht="11.1" customHeight="1">
      <c r="A92" s="149"/>
      <c r="B92" s="125"/>
      <c r="C92" s="126"/>
      <c r="D92" s="126"/>
      <c r="E92" s="126"/>
      <c r="F92" s="126"/>
      <c r="G92" s="126"/>
      <c r="H92" s="126"/>
      <c r="I92" s="126"/>
      <c r="J92" s="126"/>
      <c r="K92" s="126"/>
      <c r="L92" s="126"/>
      <c r="M92" s="126"/>
      <c r="N92" s="126"/>
      <c r="O92" s="126"/>
      <c r="P92" s="128"/>
      <c r="Q92" s="126"/>
      <c r="R92" s="126"/>
      <c r="S92" s="128"/>
      <c r="T92" s="129"/>
      <c r="U92" s="126"/>
      <c r="V92" s="126"/>
      <c r="W92" s="126"/>
      <c r="X92" s="126"/>
      <c r="Y92" s="126"/>
      <c r="Z92" s="126"/>
      <c r="AA92" s="126"/>
      <c r="AB92" s="126"/>
      <c r="AC92" s="126"/>
      <c r="AD92" s="126"/>
      <c r="AF92" s="125"/>
      <c r="AG92" s="125"/>
      <c r="AH92" s="125"/>
    </row>
    <row r="93" spans="1:34" ht="11.1" customHeight="1">
      <c r="A93" s="149"/>
      <c r="B93" s="107"/>
      <c r="C93" s="131"/>
      <c r="D93" s="131"/>
      <c r="E93" s="131"/>
      <c r="F93" s="131"/>
      <c r="G93" s="131"/>
      <c r="H93" s="131"/>
      <c r="I93" s="131"/>
      <c r="J93" s="131"/>
      <c r="K93" s="131"/>
      <c r="L93" s="131"/>
      <c r="M93" s="131"/>
      <c r="N93" s="131"/>
      <c r="O93" s="131"/>
      <c r="P93" s="132"/>
      <c r="Q93" s="132"/>
      <c r="R93" s="132"/>
      <c r="S93" s="132"/>
      <c r="T93" s="114"/>
      <c r="U93" s="97"/>
      <c r="V93" s="97"/>
      <c r="W93" s="97"/>
      <c r="X93" s="97"/>
      <c r="Y93" s="97"/>
      <c r="Z93" s="97"/>
      <c r="AA93" s="97"/>
      <c r="AB93" s="97"/>
      <c r="AC93" s="97"/>
      <c r="AD93" s="97"/>
    </row>
    <row r="94" spans="1:34" s="9" customFormat="1" ht="11.1" customHeight="1">
      <c r="A94" s="133" t="s">
        <v>541</v>
      </c>
      <c r="B94" s="134" t="s">
        <v>586</v>
      </c>
      <c r="C94" s="131">
        <f>+C96</f>
        <v>4501499.4300000006</v>
      </c>
      <c r="D94" s="131">
        <f>+D96</f>
        <v>4787273.17</v>
      </c>
      <c r="E94" s="131">
        <v>5688104.4099999992</v>
      </c>
      <c r="F94" s="135">
        <v>3.1334741769269231E-2</v>
      </c>
      <c r="G94" s="135"/>
      <c r="H94" s="131">
        <v>5955419.505189999</v>
      </c>
      <c r="I94" s="135">
        <v>2.9395286465530083E-2</v>
      </c>
      <c r="J94" s="135">
        <v>4.6995462094550376E-2</v>
      </c>
      <c r="K94" s="135"/>
      <c r="L94" s="131">
        <v>6256669.480059999</v>
      </c>
      <c r="M94" s="135">
        <v>2.7849254615958687E-2</v>
      </c>
      <c r="N94" s="135">
        <v>5.0584173727387001E-2</v>
      </c>
      <c r="O94" s="135"/>
      <c r="P94" s="136">
        <v>6579238.8800999997</v>
      </c>
      <c r="Q94" s="135">
        <v>2.6410096179582662E-2</v>
      </c>
      <c r="R94" s="135">
        <v>5.1556087638643708E-2</v>
      </c>
      <c r="S94" s="135"/>
      <c r="T94" s="136">
        <v>7062883.8736199988</v>
      </c>
      <c r="U94" s="135">
        <v>2.6450746668958552E-2</v>
      </c>
      <c r="V94" s="135">
        <v>7.3510781768824918E-2</v>
      </c>
      <c r="X94" s="136">
        <f>+X96</f>
        <v>7545521.2270999998</v>
      </c>
      <c r="Y94" s="135">
        <f>+X94/$X$11</f>
        <v>2.5315855074074457E-2</v>
      </c>
      <c r="Z94" s="135">
        <f>IF(C94&lt;&gt;0,(X94-T94)/T94,"")</f>
        <v>6.8334318122185239E-2</v>
      </c>
      <c r="AB94" s="136">
        <f>+AB96</f>
        <v>7617790.1026800005</v>
      </c>
      <c r="AC94" s="135">
        <f>+AB94/$X$11</f>
        <v>2.555832319860623E-2</v>
      </c>
      <c r="AD94" s="135">
        <f>IF(C94&lt;&gt;0,(AB94-X94)/X94,"")</f>
        <v>9.5777181462884942E-3</v>
      </c>
      <c r="AF94" s="18">
        <v>7424552.7368000001</v>
      </c>
      <c r="AG94" s="18">
        <v>1.9768472290652411E-2</v>
      </c>
      <c r="AH94" s="18">
        <v>-2.536659100281825E-2</v>
      </c>
    </row>
    <row r="95" spans="1:34" ht="11.1" customHeight="1">
      <c r="A95" s="130"/>
      <c r="B95" s="137"/>
      <c r="C95" s="138"/>
      <c r="D95" s="138"/>
      <c r="E95" s="138"/>
      <c r="F95" s="135" t="s">
        <v>11</v>
      </c>
      <c r="G95" s="135"/>
      <c r="H95" s="138"/>
      <c r="I95" s="135" t="s">
        <v>11</v>
      </c>
      <c r="J95" s="135" t="s">
        <v>11</v>
      </c>
      <c r="K95" s="135"/>
      <c r="L95" s="138"/>
      <c r="M95" s="135" t="s">
        <v>11</v>
      </c>
      <c r="N95" s="135" t="s">
        <v>11</v>
      </c>
      <c r="O95" s="135"/>
      <c r="P95" s="136" t="s">
        <v>11</v>
      </c>
      <c r="Q95" s="135" t="s">
        <v>11</v>
      </c>
      <c r="R95" s="135" t="s">
        <v>11</v>
      </c>
      <c r="S95" s="135"/>
      <c r="T95" s="131" t="s">
        <v>11</v>
      </c>
      <c r="U95" s="135" t="s">
        <v>11</v>
      </c>
      <c r="V95" s="135" t="s">
        <v>11</v>
      </c>
      <c r="X95" s="131" t="s">
        <v>11</v>
      </c>
      <c r="Y95" s="135"/>
      <c r="Z95" s="135" t="str">
        <f t="shared" ref="Z95:Z159" si="5">IF(C95&lt;&gt;0,(X95-T95)/T95,"")</f>
        <v/>
      </c>
      <c r="AB95" s="131" t="s">
        <v>11</v>
      </c>
      <c r="AC95" s="135"/>
      <c r="AD95" s="135" t="str">
        <f t="shared" ref="AD95:AD159" si="6">IF(C95&lt;&gt;0,(AB95-X95)/X95,"")</f>
        <v/>
      </c>
      <c r="AF95" s="18"/>
      <c r="AG95" s="18" t="s">
        <v>11</v>
      </c>
      <c r="AH95" s="18" t="s">
        <v>11</v>
      </c>
    </row>
    <row r="96" spans="1:34" s="9" customFormat="1" ht="11.1" customHeight="1">
      <c r="A96" s="133" t="s">
        <v>541</v>
      </c>
      <c r="B96" s="134" t="s">
        <v>587</v>
      </c>
      <c r="C96" s="131">
        <f>+C98</f>
        <v>4501499.4300000006</v>
      </c>
      <c r="D96" s="131">
        <f>+D98</f>
        <v>4787273.17</v>
      </c>
      <c r="E96" s="131">
        <v>5688104.4099999992</v>
      </c>
      <c r="F96" s="135">
        <v>3.1334741769269231E-2</v>
      </c>
      <c r="G96" s="135"/>
      <c r="H96" s="131">
        <v>5955419.505189999</v>
      </c>
      <c r="I96" s="135">
        <v>2.9395286465530083E-2</v>
      </c>
      <c r="J96" s="135">
        <v>4.6995462094550376E-2</v>
      </c>
      <c r="K96" s="135"/>
      <c r="L96" s="131">
        <v>6256669.480059999</v>
      </c>
      <c r="M96" s="135">
        <v>2.7849254615958687E-2</v>
      </c>
      <c r="N96" s="135">
        <v>5.0584173727387001E-2</v>
      </c>
      <c r="O96" s="135"/>
      <c r="P96" s="136">
        <v>6579238.8800999997</v>
      </c>
      <c r="Q96" s="135">
        <v>2.6410096179582662E-2</v>
      </c>
      <c r="R96" s="135">
        <v>5.1556087638643708E-2</v>
      </c>
      <c r="S96" s="135"/>
      <c r="T96" s="136">
        <v>7062883.8736199988</v>
      </c>
      <c r="U96" s="135">
        <v>2.6450746668958552E-2</v>
      </c>
      <c r="V96" s="135">
        <v>7.3510781768824918E-2</v>
      </c>
      <c r="X96" s="136">
        <f>+X98</f>
        <v>7545521.2270999998</v>
      </c>
      <c r="Y96" s="135">
        <f t="shared" ref="Y96:Y160" si="7">+X96/$X$11</f>
        <v>2.5315855074074457E-2</v>
      </c>
      <c r="Z96" s="135">
        <f t="shared" si="5"/>
        <v>6.8334318122185239E-2</v>
      </c>
      <c r="AB96" s="136">
        <f>+AB98</f>
        <v>7617790.1026800005</v>
      </c>
      <c r="AC96" s="135">
        <f>+AB96/$X$11</f>
        <v>2.555832319860623E-2</v>
      </c>
      <c r="AD96" s="135">
        <f t="shared" si="6"/>
        <v>9.5777181462884942E-3</v>
      </c>
      <c r="AF96" s="18">
        <v>7424552.7368000001</v>
      </c>
      <c r="AG96" s="18">
        <v>1.9768472290652411E-2</v>
      </c>
      <c r="AH96" s="18">
        <v>-2.536659100281825E-2</v>
      </c>
    </row>
    <row r="97" spans="1:34" s="9" customFormat="1" ht="11.1" customHeight="1">
      <c r="A97" s="133"/>
      <c r="B97" s="134"/>
      <c r="C97" s="131"/>
      <c r="D97" s="131"/>
      <c r="E97" s="131"/>
      <c r="F97" s="135" t="s">
        <v>11</v>
      </c>
      <c r="G97" s="135"/>
      <c r="H97" s="131"/>
      <c r="I97" s="135" t="s">
        <v>11</v>
      </c>
      <c r="J97" s="135" t="s">
        <v>11</v>
      </c>
      <c r="K97" s="135"/>
      <c r="L97" s="131"/>
      <c r="M97" s="135" t="s">
        <v>11</v>
      </c>
      <c r="N97" s="135" t="s">
        <v>11</v>
      </c>
      <c r="O97" s="135"/>
      <c r="P97" s="136" t="s">
        <v>11</v>
      </c>
      <c r="Q97" s="135" t="s">
        <v>11</v>
      </c>
      <c r="R97" s="135" t="s">
        <v>11</v>
      </c>
      <c r="S97" s="135"/>
      <c r="T97" s="131" t="s">
        <v>11</v>
      </c>
      <c r="U97" s="135" t="s">
        <v>11</v>
      </c>
      <c r="V97" s="135" t="s">
        <v>11</v>
      </c>
      <c r="X97" s="131" t="s">
        <v>11</v>
      </c>
      <c r="Y97" s="135"/>
      <c r="Z97" s="135" t="str">
        <f t="shared" si="5"/>
        <v/>
      </c>
      <c r="AB97" s="131" t="s">
        <v>11</v>
      </c>
      <c r="AC97" s="135"/>
      <c r="AD97" s="135" t="str">
        <f t="shared" si="6"/>
        <v/>
      </c>
      <c r="AF97" s="18"/>
      <c r="AG97" s="18" t="s">
        <v>11</v>
      </c>
      <c r="AH97" s="18" t="s">
        <v>11</v>
      </c>
    </row>
    <row r="98" spans="1:34" s="9" customFormat="1" ht="11.1" customHeight="1">
      <c r="A98" s="133" t="s">
        <v>541</v>
      </c>
      <c r="B98" s="134" t="s">
        <v>588</v>
      </c>
      <c r="C98" s="131">
        <f>SUM(C100:C118)</f>
        <v>4501499.4300000006</v>
      </c>
      <c r="D98" s="131">
        <f>SUM(D100:D118)</f>
        <v>4787273.17</v>
      </c>
      <c r="E98" s="131">
        <v>5688104.4099999992</v>
      </c>
      <c r="F98" s="135">
        <v>3.1334741769269231E-2</v>
      </c>
      <c r="G98" s="135"/>
      <c r="H98" s="131">
        <v>5955419.505189999</v>
      </c>
      <c r="I98" s="135">
        <v>2.9395286465530083E-2</v>
      </c>
      <c r="J98" s="135">
        <v>4.6995462094550376E-2</v>
      </c>
      <c r="K98" s="135"/>
      <c r="L98" s="131">
        <v>6256669.480059999</v>
      </c>
      <c r="M98" s="135">
        <v>2.7849254615958687E-2</v>
      </c>
      <c r="N98" s="135">
        <v>5.0584173727387001E-2</v>
      </c>
      <c r="O98" s="135"/>
      <c r="P98" s="136">
        <v>6579238.8800999997</v>
      </c>
      <c r="Q98" s="135">
        <v>2.6410096179582662E-2</v>
      </c>
      <c r="R98" s="135">
        <v>5.1556087638643708E-2</v>
      </c>
      <c r="S98" s="135"/>
      <c r="T98" s="136">
        <v>7062883.8736199988</v>
      </c>
      <c r="U98" s="135">
        <v>2.6450746668958552E-2</v>
      </c>
      <c r="V98" s="135">
        <v>7.3510781768824918E-2</v>
      </c>
      <c r="X98" s="136">
        <f>SUM(X100:X118)</f>
        <v>7545521.2270999998</v>
      </c>
      <c r="Y98" s="135">
        <f t="shared" si="7"/>
        <v>2.5315855074074457E-2</v>
      </c>
      <c r="Z98" s="135">
        <f t="shared" si="5"/>
        <v>6.8334318122185239E-2</v>
      </c>
      <c r="AB98" s="136">
        <f>SUM(AB100:AB118)</f>
        <v>7617790.1026800005</v>
      </c>
      <c r="AC98" s="135">
        <f>+AB98/$X$11</f>
        <v>2.555832319860623E-2</v>
      </c>
      <c r="AD98" s="135">
        <f t="shared" si="6"/>
        <v>9.5777181462884942E-3</v>
      </c>
      <c r="AF98" s="18">
        <v>7424552.7368000001</v>
      </c>
      <c r="AG98" s="18">
        <v>1.9768472290652411E-2</v>
      </c>
      <c r="AH98" s="18">
        <v>-2.536659100281825E-2</v>
      </c>
    </row>
    <row r="99" spans="1:34" s="9" customFormat="1" ht="11.1" customHeight="1">
      <c r="A99" s="133"/>
      <c r="B99" s="134"/>
      <c r="C99" s="131"/>
      <c r="D99" s="131"/>
      <c r="E99" s="131"/>
      <c r="F99" s="135" t="s">
        <v>11</v>
      </c>
      <c r="G99" s="135"/>
      <c r="H99" s="131"/>
      <c r="I99" s="135" t="s">
        <v>11</v>
      </c>
      <c r="J99" s="135" t="s">
        <v>11</v>
      </c>
      <c r="K99" s="135"/>
      <c r="L99" s="131"/>
      <c r="M99" s="135" t="s">
        <v>11</v>
      </c>
      <c r="N99" s="135" t="s">
        <v>11</v>
      </c>
      <c r="O99" s="135"/>
      <c r="P99" s="136" t="s">
        <v>11</v>
      </c>
      <c r="Q99" s="135" t="s">
        <v>11</v>
      </c>
      <c r="R99" s="135" t="s">
        <v>11</v>
      </c>
      <c r="S99" s="135"/>
      <c r="T99" s="131" t="s">
        <v>11</v>
      </c>
      <c r="U99" s="135" t="s">
        <v>11</v>
      </c>
      <c r="V99" s="135" t="s">
        <v>11</v>
      </c>
      <c r="X99" s="131" t="s">
        <v>11</v>
      </c>
      <c r="Y99" s="135"/>
      <c r="Z99" s="135" t="str">
        <f t="shared" si="5"/>
        <v/>
      </c>
      <c r="AB99" s="131" t="s">
        <v>11</v>
      </c>
      <c r="AC99" s="135"/>
      <c r="AD99" s="135" t="str">
        <f t="shared" si="6"/>
        <v/>
      </c>
      <c r="AF99" s="18"/>
      <c r="AG99" s="18" t="s">
        <v>11</v>
      </c>
      <c r="AH99" s="18" t="s">
        <v>11</v>
      </c>
    </row>
    <row r="100" spans="1:34" ht="11.1" customHeight="1">
      <c r="A100" s="130"/>
      <c r="B100" s="142" t="s">
        <v>589</v>
      </c>
      <c r="C100" s="143">
        <v>2219.96</v>
      </c>
      <c r="D100" s="143">
        <v>4746.55</v>
      </c>
      <c r="E100" s="143">
        <v>9695.42</v>
      </c>
      <c r="F100" s="135">
        <v>5.3410320934071661E-5</v>
      </c>
      <c r="G100" s="135"/>
      <c r="H100" s="143">
        <v>7142.4250000000002</v>
      </c>
      <c r="I100" s="135">
        <v>3.5254213200362182E-5</v>
      </c>
      <c r="J100" s="135">
        <v>-0.26331969115314241</v>
      </c>
      <c r="K100" s="135"/>
      <c r="L100" s="143">
        <v>7546</v>
      </c>
      <c r="M100" s="135">
        <v>3.358823348456773E-5</v>
      </c>
      <c r="N100" s="135">
        <v>5.6503918487068441E-2</v>
      </c>
      <c r="O100" s="135"/>
      <c r="P100" s="148">
        <v>15738.555</v>
      </c>
      <c r="Q100" s="135">
        <v>6.3177026834346209E-5</v>
      </c>
      <c r="R100" s="135">
        <v>1.0856818181818182</v>
      </c>
      <c r="S100" s="135"/>
      <c r="T100" s="143">
        <v>6744</v>
      </c>
      <c r="U100" s="135">
        <v>2.5256515430152176E-5</v>
      </c>
      <c r="V100" s="135">
        <v>-0.57149814579546854</v>
      </c>
      <c r="X100" s="143">
        <v>9396.4060000000009</v>
      </c>
      <c r="Y100" s="135">
        <f t="shared" si="7"/>
        <v>3.1525728356421088E-5</v>
      </c>
      <c r="Z100" s="135">
        <f t="shared" si="5"/>
        <v>0.39329863582443664</v>
      </c>
      <c r="AB100" s="143">
        <v>7075</v>
      </c>
      <c r="AC100" s="135">
        <f t="shared" ref="AC100:AC123" si="8">+AB100/$X$11</f>
        <v>2.3737216987184161E-5</v>
      </c>
      <c r="AD100" s="135">
        <f t="shared" si="6"/>
        <v>-0.24705254328090981</v>
      </c>
      <c r="AF100" s="18">
        <v>159.63499999999999</v>
      </c>
      <c r="AG100" s="18">
        <v>4.2504110159751236E-7</v>
      </c>
      <c r="AH100" s="18">
        <v>-0.97743674911660772</v>
      </c>
    </row>
    <row r="101" spans="1:34" ht="11.1" customHeight="1">
      <c r="A101" s="139" t="s">
        <v>547</v>
      </c>
      <c r="B101" s="142" t="s">
        <v>590</v>
      </c>
      <c r="C101" s="143">
        <v>8941.7999999999993</v>
      </c>
      <c r="D101" s="143">
        <v>17558.169999999998</v>
      </c>
      <c r="E101" s="143">
        <v>19977.740000000002</v>
      </c>
      <c r="F101" s="135">
        <v>1.1005376816449838E-4</v>
      </c>
      <c r="G101" s="135"/>
      <c r="H101" s="143">
        <v>21256.125</v>
      </c>
      <c r="I101" s="135">
        <v>1.0491786228956532E-4</v>
      </c>
      <c r="J101" s="135">
        <v>6.3990471394662171E-2</v>
      </c>
      <c r="K101" s="135"/>
      <c r="L101" s="143">
        <v>17909.294999999998</v>
      </c>
      <c r="M101" s="135">
        <v>7.9716615690962291E-5</v>
      </c>
      <c r="N101" s="135">
        <v>-0.15745249898558658</v>
      </c>
      <c r="O101" s="135"/>
      <c r="P101" s="148">
        <v>21250.145</v>
      </c>
      <c r="Q101" s="135">
        <v>8.5301413052135222E-5</v>
      </c>
      <c r="R101" s="135">
        <v>0.18654279802750484</v>
      </c>
      <c r="S101" s="135"/>
      <c r="T101" s="143">
        <v>20223.165000000001</v>
      </c>
      <c r="U101" s="135">
        <v>7.5736458907030467E-5</v>
      </c>
      <c r="V101" s="135">
        <v>-4.8328140819744972E-2</v>
      </c>
      <c r="X101" s="143">
        <v>20653.349999999999</v>
      </c>
      <c r="Y101" s="135">
        <f t="shared" si="7"/>
        <v>6.9293717379824722E-5</v>
      </c>
      <c r="Z101" s="135">
        <f t="shared" si="5"/>
        <v>2.1271892901036888E-2</v>
      </c>
      <c r="AB101" s="143">
        <f>21423760/1000</f>
        <v>21423.759999999998</v>
      </c>
      <c r="AC101" s="135">
        <f t="shared" si="8"/>
        <v>7.1878507392417881E-5</v>
      </c>
      <c r="AD101" s="135">
        <f t="shared" si="6"/>
        <v>3.7301938910636767E-2</v>
      </c>
      <c r="AF101" s="18">
        <v>20733.305</v>
      </c>
      <c r="AG101" s="18">
        <v>5.5204101838301195E-5</v>
      </c>
      <c r="AH101" s="18">
        <v>-3.2228469699063012E-2</v>
      </c>
    </row>
    <row r="102" spans="1:34" ht="11.1" customHeight="1">
      <c r="A102" s="139" t="s">
        <v>547</v>
      </c>
      <c r="B102" s="142" t="s">
        <v>591</v>
      </c>
      <c r="C102" s="143">
        <v>145649.26999999999</v>
      </c>
      <c r="D102" s="143">
        <v>158887.34</v>
      </c>
      <c r="E102" s="143">
        <v>169363.8</v>
      </c>
      <c r="F102" s="135">
        <v>9.3299464206954676E-4</v>
      </c>
      <c r="G102" s="135"/>
      <c r="H102" s="143">
        <v>189220.48624999999</v>
      </c>
      <c r="I102" s="135">
        <v>9.3397121623730044E-4</v>
      </c>
      <c r="J102" s="135">
        <v>0.1172428007047551</v>
      </c>
      <c r="K102" s="135"/>
      <c r="L102" s="143">
        <v>260570.18461000003</v>
      </c>
      <c r="M102" s="135">
        <v>1.1598319904316987E-3</v>
      </c>
      <c r="N102" s="135">
        <v>0.37707174193460274</v>
      </c>
      <c r="O102" s="135"/>
      <c r="P102" s="148">
        <v>273099.20500000002</v>
      </c>
      <c r="Q102" s="135">
        <v>1.0962630179659834E-3</v>
      </c>
      <c r="R102" s="135">
        <v>4.8083092886288564E-2</v>
      </c>
      <c r="S102" s="135"/>
      <c r="T102" s="143">
        <v>285126.17619999999</v>
      </c>
      <c r="U102" s="135">
        <v>1.0678074835017183E-3</v>
      </c>
      <c r="V102" s="135">
        <v>4.4038836363511094E-2</v>
      </c>
      <c r="X102" s="143">
        <v>320355.967</v>
      </c>
      <c r="Y102" s="135">
        <f t="shared" si="7"/>
        <v>1.0748210744619376E-3</v>
      </c>
      <c r="Z102" s="135">
        <f t="shared" si="5"/>
        <v>0.12355859875625133</v>
      </c>
      <c r="AB102" s="143">
        <f>275998710/1000</f>
        <v>275998.71000000002</v>
      </c>
      <c r="AC102" s="135">
        <f t="shared" si="8"/>
        <v>9.2599876571772656E-4</v>
      </c>
      <c r="AD102" s="135">
        <f t="shared" si="6"/>
        <v>-0.13846240298061932</v>
      </c>
      <c r="AF102" s="18">
        <v>282989.07500000001</v>
      </c>
      <c r="AG102" s="18">
        <v>7.5348130534068998E-4</v>
      </c>
      <c r="AH102" s="18">
        <v>2.5327527798952358E-2</v>
      </c>
    </row>
    <row r="103" spans="1:34" ht="11.1" customHeight="1">
      <c r="A103" s="130"/>
      <c r="B103" s="142" t="s">
        <v>2126</v>
      </c>
      <c r="C103" s="143">
        <v>53507.51</v>
      </c>
      <c r="D103" s="143">
        <v>60167.32</v>
      </c>
      <c r="E103" s="143">
        <v>64731.32</v>
      </c>
      <c r="F103" s="135">
        <v>3.5659317241399459E-4</v>
      </c>
      <c r="G103" s="135"/>
      <c r="H103" s="143">
        <v>72802.05</v>
      </c>
      <c r="I103" s="135">
        <v>3.5934279913662766E-4</v>
      </c>
      <c r="J103" s="135">
        <v>0.12468044835174075</v>
      </c>
      <c r="K103" s="135"/>
      <c r="L103" s="143">
        <v>77715.184999999998</v>
      </c>
      <c r="M103" s="135">
        <v>3.4592045839867161E-4</v>
      </c>
      <c r="N103" s="135">
        <v>6.7486217764472223E-2</v>
      </c>
      <c r="O103" s="135"/>
      <c r="P103" s="148">
        <v>90075.31</v>
      </c>
      <c r="Q103" s="135">
        <v>3.6157641390725218E-4</v>
      </c>
      <c r="R103" s="135">
        <v>0.15904388569621239</v>
      </c>
      <c r="S103" s="135"/>
      <c r="T103" s="143">
        <v>88312.868879999995</v>
      </c>
      <c r="U103" s="135">
        <v>3.3073477692003645E-4</v>
      </c>
      <c r="V103" s="135">
        <v>-1.9566306460671666E-2</v>
      </c>
      <c r="X103" s="143">
        <v>90789.085000000006</v>
      </c>
      <c r="Y103" s="135">
        <f t="shared" si="7"/>
        <v>3.0460497677920942E-4</v>
      </c>
      <c r="Z103" s="135">
        <f t="shared" si="5"/>
        <v>2.8039131231991882E-2</v>
      </c>
      <c r="AB103" s="143">
        <f>89566827.25/1000</f>
        <v>89566.827250000002</v>
      </c>
      <c r="AC103" s="135">
        <f t="shared" si="8"/>
        <v>3.0050419975786422E-4</v>
      </c>
      <c r="AD103" s="135">
        <f t="shared" si="6"/>
        <v>-1.3462606766000607E-2</v>
      </c>
      <c r="AF103" s="18">
        <v>90941.574999999997</v>
      </c>
      <c r="AG103" s="18">
        <v>2.4213930039786256E-4</v>
      </c>
      <c r="AH103" s="18">
        <v>1.5348849481547255E-2</v>
      </c>
    </row>
    <row r="104" spans="1:34" ht="11.1" customHeight="1">
      <c r="A104" s="130"/>
      <c r="B104" s="142" t="s">
        <v>2127</v>
      </c>
      <c r="C104" s="143">
        <v>2183784.56</v>
      </c>
      <c r="D104" s="143">
        <v>2435581.35</v>
      </c>
      <c r="E104" s="143">
        <v>2674019.31</v>
      </c>
      <c r="F104" s="135">
        <v>1.4730690318831454E-2</v>
      </c>
      <c r="G104" s="135"/>
      <c r="H104" s="143">
        <v>2903776.53</v>
      </c>
      <c r="I104" s="135">
        <v>1.4332717091859962E-2</v>
      </c>
      <c r="J104" s="135">
        <v>8.5922049680336732E-2</v>
      </c>
      <c r="K104" s="135"/>
      <c r="L104" s="143">
        <v>3122091.68</v>
      </c>
      <c r="M104" s="135">
        <v>1.3896838630806563E-2</v>
      </c>
      <c r="N104" s="135">
        <v>7.5183178782700741E-2</v>
      </c>
      <c r="O104" s="135"/>
      <c r="P104" s="148">
        <v>3323144.1349999998</v>
      </c>
      <c r="Q104" s="135">
        <v>1.333962147041423E-2</v>
      </c>
      <c r="R104" s="135">
        <v>6.4396717203384496E-2</v>
      </c>
      <c r="S104" s="135"/>
      <c r="T104" s="143">
        <v>3531072.6490000002</v>
      </c>
      <c r="U104" s="135">
        <v>1.3223990338739151E-2</v>
      </c>
      <c r="V104" s="135">
        <v>6.2569815076648924E-2</v>
      </c>
      <c r="X104" s="143">
        <v>3849729.3275000001</v>
      </c>
      <c r="Y104" s="135">
        <f t="shared" si="7"/>
        <v>1.2916164012550396E-2</v>
      </c>
      <c r="Z104" s="135">
        <f t="shared" si="5"/>
        <v>9.0243591728491765E-2</v>
      </c>
      <c r="AB104" s="143">
        <f>3842545010/1000</f>
        <v>3842545.01</v>
      </c>
      <c r="AC104" s="135">
        <f t="shared" si="8"/>
        <v>1.2892060026203777E-2</v>
      </c>
      <c r="AD104" s="135">
        <f t="shared" si="6"/>
        <v>-1.8661876949842141E-3</v>
      </c>
      <c r="AF104" s="18">
        <v>3779919.4419999998</v>
      </c>
      <c r="AG104" s="18">
        <v>1.0064341300952385E-2</v>
      </c>
      <c r="AH104" s="18">
        <v>-1.6297939994722396E-2</v>
      </c>
    </row>
    <row r="105" spans="1:34" ht="11.1" customHeight="1">
      <c r="A105" s="130"/>
      <c r="B105" s="142" t="s">
        <v>592</v>
      </c>
      <c r="C105" s="143">
        <v>30475</v>
      </c>
      <c r="D105" s="143">
        <f>32710+4.18</f>
        <v>32714.18</v>
      </c>
      <c r="E105" s="143">
        <v>36775</v>
      </c>
      <c r="F105" s="135">
        <v>2.0258684537136971E-4</v>
      </c>
      <c r="G105" s="135"/>
      <c r="H105" s="143">
        <v>29685</v>
      </c>
      <c r="I105" s="135">
        <v>1.4652184921126247E-4</v>
      </c>
      <c r="J105" s="135">
        <v>-0.192794017675051</v>
      </c>
      <c r="K105" s="135"/>
      <c r="L105" s="143">
        <v>29760.636200000001</v>
      </c>
      <c r="M105" s="135">
        <v>1.3246848626224207E-4</v>
      </c>
      <c r="N105" s="135">
        <v>2.5479602492841781E-3</v>
      </c>
      <c r="O105" s="135"/>
      <c r="P105" s="148">
        <v>26975</v>
      </c>
      <c r="Q105" s="135">
        <v>1.0828187840983427E-4</v>
      </c>
      <c r="R105" s="135">
        <v>-9.3601365954670043E-2</v>
      </c>
      <c r="S105" s="135"/>
      <c r="T105" s="143">
        <v>31580</v>
      </c>
      <c r="U105" s="135">
        <v>1.1826820244427724E-4</v>
      </c>
      <c r="V105" s="135">
        <v>0.17071362372567192</v>
      </c>
      <c r="X105" s="143">
        <v>25595</v>
      </c>
      <c r="Y105" s="135">
        <f t="shared" si="7"/>
        <v>8.5873366613000506E-5</v>
      </c>
      <c r="Z105" s="135">
        <f t="shared" si="5"/>
        <v>-0.18951868271057631</v>
      </c>
      <c r="AB105" s="143">
        <v>23631</v>
      </c>
      <c r="AC105" s="135">
        <f t="shared" si="8"/>
        <v>7.9283982279031639E-5</v>
      </c>
      <c r="AD105" s="135">
        <f t="shared" si="6"/>
        <v>-7.6733737058019141E-2</v>
      </c>
      <c r="AF105" s="170">
        <v>24185.9</v>
      </c>
      <c r="AG105" s="170">
        <v>6.4396915332648068E-5</v>
      </c>
      <c r="AH105" s="170">
        <v>2.3481867039058926E-2</v>
      </c>
    </row>
    <row r="106" spans="1:34" ht="11.1" customHeight="1">
      <c r="A106" s="130"/>
      <c r="B106" s="95" t="s">
        <v>2128</v>
      </c>
      <c r="C106" s="143">
        <f>1452363.09+321820.48</f>
        <v>1774183.57</v>
      </c>
      <c r="D106" s="143">
        <f>1414366.97+307210.86</f>
        <v>1721577.83</v>
      </c>
      <c r="E106" s="143">
        <v>2312931.98</v>
      </c>
      <c r="F106" s="135">
        <v>1.2741525313032114E-2</v>
      </c>
      <c r="G106" s="135"/>
      <c r="H106" s="143">
        <v>2316344.3108000001</v>
      </c>
      <c r="I106" s="135">
        <v>1.1433217174613554E-2</v>
      </c>
      <c r="J106" s="135">
        <v>1.4753269138507534E-3</v>
      </c>
      <c r="K106" s="135"/>
      <c r="L106" s="143">
        <v>2312137.9116500001</v>
      </c>
      <c r="M106" s="135">
        <v>1.0291628415719725E-2</v>
      </c>
      <c r="N106" s="135">
        <v>-1.8159645482701066E-3</v>
      </c>
      <c r="O106" s="135"/>
      <c r="P106" s="148">
        <v>2325484.3500999999</v>
      </c>
      <c r="Q106" s="135">
        <v>9.3348587077479381E-3</v>
      </c>
      <c r="R106" s="135">
        <v>5.7723366684798777E-3</v>
      </c>
      <c r="S106" s="135"/>
      <c r="T106" s="143">
        <v>2577714.9884600001</v>
      </c>
      <c r="U106" s="135">
        <v>9.6536326187091539E-3</v>
      </c>
      <c r="V106" s="135">
        <v>0.10846370062613143</v>
      </c>
      <c r="X106" s="143">
        <v>2642088.9013999999</v>
      </c>
      <c r="Y106" s="135">
        <f t="shared" si="7"/>
        <v>8.8644293359664752E-3</v>
      </c>
      <c r="Z106" s="135">
        <f t="shared" si="5"/>
        <v>2.4973246936993029E-2</v>
      </c>
      <c r="AB106" s="143">
        <f>2748504606.5/1000</f>
        <v>2748504.6065000002</v>
      </c>
      <c r="AC106" s="135">
        <f t="shared" si="8"/>
        <v>9.221462930708935E-3</v>
      </c>
      <c r="AD106" s="135">
        <f t="shared" si="6"/>
        <v>4.0277109919962355E-2</v>
      </c>
      <c r="AF106" s="18">
        <v>2628333.6299200002</v>
      </c>
      <c r="AG106" s="18">
        <v>6.9981509156950873E-3</v>
      </c>
      <c r="AH106" s="18">
        <v>-4.3722312233279499E-2</v>
      </c>
    </row>
    <row r="107" spans="1:34" ht="11.1" customHeight="1">
      <c r="A107" s="130"/>
      <c r="B107" s="142" t="s">
        <v>593</v>
      </c>
      <c r="C107" s="143">
        <v>30968.51</v>
      </c>
      <c r="D107" s="143">
        <v>35611.15</v>
      </c>
      <c r="E107" s="143">
        <v>38039.89</v>
      </c>
      <c r="F107" s="135">
        <v>2.0955489635279164E-4</v>
      </c>
      <c r="G107" s="135"/>
      <c r="H107" s="143">
        <v>40203.095000000001</v>
      </c>
      <c r="I107" s="135">
        <v>1.9843799304079706E-4</v>
      </c>
      <c r="J107" s="135">
        <v>5.6866752243500227E-2</v>
      </c>
      <c r="K107" s="135"/>
      <c r="L107" s="143">
        <v>43481.775000000001</v>
      </c>
      <c r="M107" s="135">
        <v>1.9354307063655448E-4</v>
      </c>
      <c r="N107" s="135">
        <v>8.1552925216329744E-2</v>
      </c>
      <c r="O107" s="135"/>
      <c r="P107" s="148">
        <v>45727.605000000003</v>
      </c>
      <c r="Q107" s="135">
        <v>1.8355777440529859E-4</v>
      </c>
      <c r="R107" s="135">
        <v>5.1649915395588192E-2</v>
      </c>
      <c r="S107" s="135"/>
      <c r="T107" s="143">
        <v>48150.434999999998</v>
      </c>
      <c r="U107" s="135">
        <v>1.8032505998606752E-4</v>
      </c>
      <c r="V107" s="135">
        <v>5.2983968873943743E-2</v>
      </c>
      <c r="X107" s="143">
        <v>49685.154999999999</v>
      </c>
      <c r="Y107" s="135">
        <f t="shared" si="7"/>
        <v>1.6669785233595449E-4</v>
      </c>
      <c r="Z107" s="135">
        <f t="shared" si="5"/>
        <v>3.1873439980344961E-2</v>
      </c>
      <c r="AB107" s="143">
        <f>50733890/1000</f>
        <v>50733.89</v>
      </c>
      <c r="AC107" s="135">
        <f t="shared" si="8"/>
        <v>1.7021644601186326E-4</v>
      </c>
      <c r="AD107" s="135">
        <f t="shared" si="6"/>
        <v>2.110761252531064E-2</v>
      </c>
      <c r="AF107" s="170">
        <v>52619.11</v>
      </c>
      <c r="AG107" s="170">
        <v>1.4010263713772468E-4</v>
      </c>
      <c r="AH107" s="170">
        <v>3.7158987808740884E-2</v>
      </c>
    </row>
    <row r="108" spans="1:34" ht="11.1" customHeight="1">
      <c r="A108" s="149"/>
      <c r="B108" s="142" t="s">
        <v>2129</v>
      </c>
      <c r="C108" s="143">
        <v>104994.36</v>
      </c>
      <c r="D108" s="143">
        <v>94252.6</v>
      </c>
      <c r="E108" s="143">
        <v>104362.72</v>
      </c>
      <c r="F108" s="135">
        <v>5.7491541044665004E-4</v>
      </c>
      <c r="G108" s="135"/>
      <c r="H108" s="143">
        <v>104319.70314</v>
      </c>
      <c r="I108" s="135">
        <v>5.1491041984984829E-4</v>
      </c>
      <c r="J108" s="135">
        <v>-4.1218607564083576E-4</v>
      </c>
      <c r="K108" s="135"/>
      <c r="L108" s="143">
        <v>95972.078099999999</v>
      </c>
      <c r="M108" s="135">
        <v>4.2718427872011258E-4</v>
      </c>
      <c r="N108" s="135">
        <v>-8.0019639519077715E-2</v>
      </c>
      <c r="O108" s="135"/>
      <c r="P108" s="148">
        <v>145446.25</v>
      </c>
      <c r="Q108" s="135">
        <v>5.8384404662340525E-4</v>
      </c>
      <c r="R108" s="135">
        <v>0.51550589379183198</v>
      </c>
      <c r="S108" s="135"/>
      <c r="T108" s="143">
        <v>139462.16608000002</v>
      </c>
      <c r="U108" s="135">
        <v>5.2229068053409936E-4</v>
      </c>
      <c r="V108" s="135">
        <v>-4.1142923382348984E-2</v>
      </c>
      <c r="X108" s="143">
        <v>176263.6262</v>
      </c>
      <c r="Y108" s="135">
        <f t="shared" si="7"/>
        <v>5.9137921442506272E-4</v>
      </c>
      <c r="Z108" s="135">
        <f t="shared" si="5"/>
        <v>0.26388131745271665</v>
      </c>
      <c r="AB108" s="143">
        <f>191528829.6/1000</f>
        <v>191528.8296</v>
      </c>
      <c r="AC108" s="135">
        <f t="shared" si="8"/>
        <v>6.4259524911895695E-4</v>
      </c>
      <c r="AD108" s="135">
        <f t="shared" si="6"/>
        <v>8.6604387581809536E-2</v>
      </c>
      <c r="AF108" s="170">
        <v>176248.69084999998</v>
      </c>
      <c r="AG108" s="170">
        <v>4.6927639749430507E-4</v>
      </c>
      <c r="AH108" s="170">
        <v>-7.9779836706108151E-2</v>
      </c>
    </row>
    <row r="109" spans="1:34" ht="11.1" customHeight="1">
      <c r="A109" s="130"/>
      <c r="B109" s="142" t="s">
        <v>594</v>
      </c>
      <c r="C109" s="143">
        <v>32719.94</v>
      </c>
      <c r="D109" s="143">
        <v>41152.949999999997</v>
      </c>
      <c r="E109" s="143">
        <v>45199.33</v>
      </c>
      <c r="F109" s="135">
        <v>2.4899496064172708E-4</v>
      </c>
      <c r="G109" s="135"/>
      <c r="H109" s="143">
        <v>49887.91</v>
      </c>
      <c r="I109" s="135">
        <v>2.4624115972663076E-4</v>
      </c>
      <c r="J109" s="135">
        <v>0.10373118362595202</v>
      </c>
      <c r="K109" s="135"/>
      <c r="L109" s="143">
        <v>54132.56</v>
      </c>
      <c r="M109" s="135">
        <v>2.409511084544622E-4</v>
      </c>
      <c r="N109" s="135">
        <v>8.5083740729968327E-2</v>
      </c>
      <c r="O109" s="135"/>
      <c r="P109" s="148">
        <v>58311.08</v>
      </c>
      <c r="Q109" s="135">
        <v>2.3406981555166334E-4</v>
      </c>
      <c r="R109" s="135">
        <v>7.7190511588589278E-2</v>
      </c>
      <c r="S109" s="135"/>
      <c r="T109" s="143">
        <v>61491.27</v>
      </c>
      <c r="U109" s="135">
        <v>2.3028695278390474E-4</v>
      </c>
      <c r="V109" s="135">
        <v>5.4538348457960219E-2</v>
      </c>
      <c r="X109" s="143">
        <v>67408.854999999996</v>
      </c>
      <c r="Y109" s="135">
        <f t="shared" si="7"/>
        <v>2.2616234883288111E-4</v>
      </c>
      <c r="Z109" s="135">
        <f t="shared" si="5"/>
        <v>9.623455492137338E-2</v>
      </c>
      <c r="AB109" s="143">
        <f>65426524.48/1000</f>
        <v>65426.52448</v>
      </c>
      <c r="AC109" s="135">
        <f t="shared" si="8"/>
        <v>2.1951146407054082E-4</v>
      </c>
      <c r="AD109" s="135">
        <f t="shared" si="6"/>
        <v>-2.9407568486365717E-2</v>
      </c>
      <c r="AF109" s="170">
        <v>65680.255999999994</v>
      </c>
      <c r="AG109" s="170">
        <v>1.7487899497883684E-4</v>
      </c>
      <c r="AH109" s="170">
        <v>3.8781139914830136E-3</v>
      </c>
    </row>
    <row r="110" spans="1:34" ht="11.1" customHeight="1">
      <c r="A110" s="130"/>
      <c r="B110" s="142" t="s">
        <v>595</v>
      </c>
      <c r="C110" s="143">
        <v>454.44</v>
      </c>
      <c r="D110" s="143">
        <v>501.6</v>
      </c>
      <c r="E110" s="143">
        <v>360.4</v>
      </c>
      <c r="F110" s="135">
        <v>1.9853786287380461E-6</v>
      </c>
      <c r="G110" s="135"/>
      <c r="H110" s="143">
        <v>486</v>
      </c>
      <c r="I110" s="135">
        <v>2.3988417960813061E-6</v>
      </c>
      <c r="J110" s="135">
        <v>0.34850166481687023</v>
      </c>
      <c r="K110" s="135"/>
      <c r="L110" s="143">
        <v>499.45</v>
      </c>
      <c r="M110" s="135">
        <v>2.2231173090203224E-6</v>
      </c>
      <c r="N110" s="135">
        <v>2.7674897119341541E-2</v>
      </c>
      <c r="O110" s="135"/>
      <c r="P110" s="148">
        <v>926.3</v>
      </c>
      <c r="Q110" s="135">
        <v>3.7183134002235205E-6</v>
      </c>
      <c r="R110" s="135">
        <v>0.85464010411452596</v>
      </c>
      <c r="S110" s="135"/>
      <c r="T110" s="143">
        <v>163.80000000000001</v>
      </c>
      <c r="U110" s="135">
        <v>6.1343671818785986E-7</v>
      </c>
      <c r="V110" s="135">
        <v>-0.82316744035409695</v>
      </c>
      <c r="X110" s="143">
        <v>535.66499999999996</v>
      </c>
      <c r="Y110" s="135">
        <f t="shared" si="7"/>
        <v>1.797200895751237E-6</v>
      </c>
      <c r="Z110" s="135">
        <f t="shared" si="5"/>
        <v>2.2702380952380947</v>
      </c>
      <c r="AB110" s="143">
        <f>357110/1000</f>
        <v>357.11</v>
      </c>
      <c r="AC110" s="135">
        <f t="shared" si="8"/>
        <v>1.1981339305008248E-6</v>
      </c>
      <c r="AD110" s="135">
        <f t="shared" si="6"/>
        <v>-0.33333333333333326</v>
      </c>
      <c r="AF110" s="170">
        <v>436</v>
      </c>
      <c r="AG110" s="170">
        <v>1.1608852713785534E-6</v>
      </c>
      <c r="AH110" s="170">
        <v>0.22091232393380186</v>
      </c>
    </row>
    <row r="111" spans="1:34" ht="11.1" customHeight="1">
      <c r="A111" s="139" t="s">
        <v>547</v>
      </c>
      <c r="B111" s="142" t="s">
        <v>596</v>
      </c>
      <c r="C111" s="143">
        <v>550.08000000000004</v>
      </c>
      <c r="D111" s="143">
        <v>689.7</v>
      </c>
      <c r="E111" s="143">
        <v>652.08000000000004</v>
      </c>
      <c r="F111" s="135">
        <v>3.5921911660030663E-6</v>
      </c>
      <c r="G111" s="135"/>
      <c r="H111" s="143">
        <v>1597.5</v>
      </c>
      <c r="I111" s="135">
        <v>7.8850818297116993E-6</v>
      </c>
      <c r="J111" s="135">
        <v>1.449852778800147</v>
      </c>
      <c r="K111" s="135"/>
      <c r="L111" s="143">
        <v>1515.4</v>
      </c>
      <c r="M111" s="135">
        <v>6.7452437082578775E-6</v>
      </c>
      <c r="N111" s="150">
        <v>-5.1392801251956124E-2</v>
      </c>
      <c r="O111" s="135"/>
      <c r="P111" s="148">
        <v>2133.0500000000002</v>
      </c>
      <c r="Q111" s="135">
        <v>8.5623970618015564E-6</v>
      </c>
      <c r="R111" s="135">
        <v>0.40758215652632973</v>
      </c>
      <c r="S111" s="135"/>
      <c r="T111" s="143">
        <v>2440.08</v>
      </c>
      <c r="U111" s="135">
        <v>9.1381847821479429E-6</v>
      </c>
      <c r="V111" s="135">
        <v>0.14393942945547442</v>
      </c>
      <c r="X111" s="143">
        <v>1889.7349999999999</v>
      </c>
      <c r="Y111" s="135">
        <f t="shared" si="7"/>
        <v>6.3402190449860716E-6</v>
      </c>
      <c r="Z111" s="135">
        <f t="shared" si="5"/>
        <v>-0.22554383462837285</v>
      </c>
      <c r="AB111" s="143">
        <f>1727310/1000</f>
        <v>1727.31</v>
      </c>
      <c r="AC111" s="135">
        <f t="shared" si="8"/>
        <v>5.7952695793827658E-6</v>
      </c>
      <c r="AD111" s="135">
        <f t="shared" si="6"/>
        <v>-8.5951204798556391E-2</v>
      </c>
      <c r="AF111" s="18">
        <v>1341.97</v>
      </c>
      <c r="AG111" s="18">
        <v>3.5731036872290767E-6</v>
      </c>
      <c r="AH111" s="18">
        <v>-0.2230867649698085</v>
      </c>
    </row>
    <row r="112" spans="1:34" ht="11.1" customHeight="1">
      <c r="A112" s="130"/>
      <c r="B112" s="142" t="s">
        <v>597</v>
      </c>
      <c r="C112" s="143">
        <v>51.5</v>
      </c>
      <c r="D112" s="143">
        <v>0</v>
      </c>
      <c r="E112" s="143">
        <v>6168.6</v>
      </c>
      <c r="F112" s="135">
        <v>3.3981705353034158E-5</v>
      </c>
      <c r="G112" s="135"/>
      <c r="H112" s="143">
        <v>0</v>
      </c>
      <c r="I112" s="135" t="s">
        <v>11</v>
      </c>
      <c r="J112" s="135">
        <v>-1</v>
      </c>
      <c r="K112" s="135"/>
      <c r="L112" s="143">
        <v>0</v>
      </c>
      <c r="M112" s="135" t="s">
        <v>11</v>
      </c>
      <c r="N112" s="135">
        <v>0</v>
      </c>
      <c r="O112" s="135"/>
      <c r="P112" s="148">
        <v>0</v>
      </c>
      <c r="Q112" s="135">
        <v>0</v>
      </c>
      <c r="R112" s="135">
        <v>0</v>
      </c>
      <c r="S112" s="135"/>
      <c r="T112" s="143">
        <v>0</v>
      </c>
      <c r="U112" s="135">
        <v>0</v>
      </c>
      <c r="V112" s="135">
        <v>0</v>
      </c>
      <c r="X112" s="143">
        <v>0</v>
      </c>
      <c r="Y112" s="135">
        <f t="shared" si="7"/>
        <v>0</v>
      </c>
      <c r="Z112" s="135"/>
      <c r="AB112" s="143">
        <v>0</v>
      </c>
      <c r="AC112" s="135">
        <f t="shared" si="8"/>
        <v>0</v>
      </c>
      <c r="AD112" s="135" t="e">
        <f t="shared" si="6"/>
        <v>#DIV/0!</v>
      </c>
      <c r="AF112" s="18">
        <v>0</v>
      </c>
      <c r="AG112" s="18">
        <v>0</v>
      </c>
      <c r="AH112" s="18"/>
    </row>
    <row r="113" spans="1:34" ht="11.1" customHeight="1">
      <c r="A113" s="130"/>
      <c r="B113" s="107" t="s">
        <v>598</v>
      </c>
      <c r="C113" s="143">
        <v>534.38</v>
      </c>
      <c r="D113" s="143">
        <v>402</v>
      </c>
      <c r="E113" s="143">
        <v>0</v>
      </c>
      <c r="F113" s="135">
        <v>0</v>
      </c>
      <c r="G113" s="135"/>
      <c r="H113" s="143">
        <v>0</v>
      </c>
      <c r="I113" s="135">
        <v>0</v>
      </c>
      <c r="J113" s="135">
        <v>0</v>
      </c>
      <c r="K113" s="135"/>
      <c r="L113" s="143">
        <v>0</v>
      </c>
      <c r="M113" s="135" t="s">
        <v>11</v>
      </c>
      <c r="N113" s="135">
        <v>0</v>
      </c>
      <c r="O113" s="135"/>
      <c r="P113" s="148">
        <v>0</v>
      </c>
      <c r="Q113" s="135">
        <v>0</v>
      </c>
      <c r="R113" s="135">
        <v>0</v>
      </c>
      <c r="S113" s="135"/>
      <c r="T113" s="143">
        <v>0</v>
      </c>
      <c r="U113" s="135">
        <v>0</v>
      </c>
      <c r="V113" s="135">
        <v>0</v>
      </c>
      <c r="X113" s="143">
        <v>0</v>
      </c>
      <c r="Y113" s="135">
        <f t="shared" si="7"/>
        <v>0</v>
      </c>
      <c r="Z113" s="135"/>
      <c r="AB113" s="143">
        <v>0</v>
      </c>
      <c r="AC113" s="135">
        <f t="shared" si="8"/>
        <v>0</v>
      </c>
      <c r="AD113" s="135" t="e">
        <f t="shared" si="6"/>
        <v>#DIV/0!</v>
      </c>
      <c r="AF113" s="18">
        <v>0</v>
      </c>
      <c r="AG113" s="18">
        <v>0</v>
      </c>
      <c r="AH113" s="18"/>
    </row>
    <row r="114" spans="1:34" ht="11.1" customHeight="1">
      <c r="A114" s="130"/>
      <c r="B114" s="142" t="s">
        <v>599</v>
      </c>
      <c r="C114" s="143">
        <v>0</v>
      </c>
      <c r="D114" s="143">
        <v>25583.94</v>
      </c>
      <c r="E114" s="143">
        <v>33684.14</v>
      </c>
      <c r="F114" s="135">
        <v>1.8555985483745941E-4</v>
      </c>
      <c r="G114" s="135"/>
      <c r="H114" s="143">
        <v>36229.019999999997</v>
      </c>
      <c r="I114" s="135">
        <v>1.7882240207215132E-4</v>
      </c>
      <c r="J114" s="135">
        <v>7.5551283185499099E-2</v>
      </c>
      <c r="K114" s="135"/>
      <c r="L114" s="143">
        <v>38976.519999999997</v>
      </c>
      <c r="M114" s="135">
        <v>1.7348959106492496E-4</v>
      </c>
      <c r="N114" s="135">
        <v>7.5836994762762011E-2</v>
      </c>
      <c r="O114" s="135"/>
      <c r="P114" s="148">
        <v>41762.364999999998</v>
      </c>
      <c r="Q114" s="135">
        <v>1.6764067948237693E-4</v>
      </c>
      <c r="R114" s="135">
        <v>7.1474954665013746E-2</v>
      </c>
      <c r="S114" s="135"/>
      <c r="T114" s="143">
        <v>45131.356</v>
      </c>
      <c r="U114" s="135">
        <v>1.6901850373631243E-4</v>
      </c>
      <c r="V114" s="135">
        <v>8.0670503215035883E-2</v>
      </c>
      <c r="X114" s="143">
        <v>48496.56</v>
      </c>
      <c r="Y114" s="135">
        <f t="shared" si="7"/>
        <v>1.6271001665752591E-4</v>
      </c>
      <c r="Z114" s="135" t="str">
        <f t="shared" si="5"/>
        <v/>
      </c>
      <c r="AB114" s="143">
        <f>49775223.48/1000</f>
        <v>49775.223479999993</v>
      </c>
      <c r="AC114" s="135">
        <f t="shared" si="8"/>
        <v>1.6700003962266341E-4</v>
      </c>
      <c r="AD114" s="135" t="str">
        <f t="shared" si="6"/>
        <v/>
      </c>
      <c r="AF114" s="18">
        <v>50156.150130000002</v>
      </c>
      <c r="AG114" s="18">
        <v>1.3354480723616635E-4</v>
      </c>
      <c r="AH114" s="18">
        <v>7.6529370109823273E-3</v>
      </c>
    </row>
    <row r="115" spans="1:34" ht="11.1" customHeight="1">
      <c r="A115" s="130"/>
      <c r="B115" s="142" t="s">
        <v>600</v>
      </c>
      <c r="C115" s="143">
        <v>0</v>
      </c>
      <c r="D115" s="143">
        <v>0</v>
      </c>
      <c r="E115" s="143">
        <v>0</v>
      </c>
      <c r="F115" s="135">
        <v>0</v>
      </c>
      <c r="G115" s="135"/>
      <c r="H115" s="143">
        <v>0</v>
      </c>
      <c r="I115" s="135" t="s">
        <v>11</v>
      </c>
      <c r="J115" s="135">
        <v>0</v>
      </c>
      <c r="K115" s="135"/>
      <c r="L115" s="143">
        <v>0</v>
      </c>
      <c r="M115" s="135" t="s">
        <v>11</v>
      </c>
      <c r="N115" s="135">
        <v>0</v>
      </c>
      <c r="O115" s="135"/>
      <c r="P115" s="148">
        <v>107.5</v>
      </c>
      <c r="Q115" s="135">
        <v>4.3152185093817176E-7</v>
      </c>
      <c r="R115" s="135">
        <v>0</v>
      </c>
      <c r="S115" s="135"/>
      <c r="T115" s="143">
        <v>112.5</v>
      </c>
      <c r="U115" s="135">
        <v>4.2131642732682679E-7</v>
      </c>
      <c r="V115" s="135">
        <v>4.6511627906976744E-2</v>
      </c>
      <c r="X115" s="143">
        <v>122.5</v>
      </c>
      <c r="Y115" s="135">
        <f t="shared" si="7"/>
        <v>4.1099774995477872E-7</v>
      </c>
      <c r="Z115" s="135" t="str">
        <f t="shared" si="5"/>
        <v/>
      </c>
      <c r="AB115" s="143">
        <f>67500/1000</f>
        <v>67.5</v>
      </c>
      <c r="AC115" s="135">
        <f t="shared" si="8"/>
        <v>2.2646814793426584E-7</v>
      </c>
      <c r="AD115" s="135" t="str">
        <f t="shared" si="6"/>
        <v/>
      </c>
      <c r="AF115" s="18">
        <v>95</v>
      </c>
      <c r="AG115" s="18">
        <v>2.5294518527743712E-7</v>
      </c>
      <c r="AH115" s="18">
        <v>0.40740740740740738</v>
      </c>
    </row>
    <row r="116" spans="1:34" ht="11.1" customHeight="1">
      <c r="A116" s="130"/>
      <c r="B116" s="142" t="s">
        <v>601</v>
      </c>
      <c r="C116" s="143">
        <v>0</v>
      </c>
      <c r="D116" s="143">
        <v>4949.8900000000003</v>
      </c>
      <c r="E116" s="143">
        <v>3942.96</v>
      </c>
      <c r="F116" s="135">
        <v>2.1721055821223546E-5</v>
      </c>
      <c r="G116" s="135"/>
      <c r="H116" s="143">
        <v>0</v>
      </c>
      <c r="I116" s="135">
        <v>0</v>
      </c>
      <c r="J116" s="135">
        <v>-1</v>
      </c>
      <c r="K116" s="135"/>
      <c r="L116" s="143">
        <v>0</v>
      </c>
      <c r="M116" s="135" t="s">
        <v>11</v>
      </c>
      <c r="N116" s="135">
        <v>0</v>
      </c>
      <c r="O116" s="135"/>
      <c r="P116" s="148">
        <v>0</v>
      </c>
      <c r="Q116" s="135">
        <v>0</v>
      </c>
      <c r="R116" s="135">
        <v>0</v>
      </c>
      <c r="S116" s="135"/>
      <c r="T116" s="143">
        <v>0</v>
      </c>
      <c r="U116" s="135">
        <v>0</v>
      </c>
      <c r="V116" s="135">
        <v>0</v>
      </c>
      <c r="X116" s="143">
        <v>0</v>
      </c>
      <c r="Y116" s="135">
        <f t="shared" si="7"/>
        <v>0</v>
      </c>
      <c r="Z116" s="135" t="str">
        <f t="shared" si="5"/>
        <v/>
      </c>
      <c r="AB116" s="143">
        <v>0</v>
      </c>
      <c r="AC116" s="135">
        <f t="shared" si="8"/>
        <v>0</v>
      </c>
      <c r="AD116" s="135" t="str">
        <f t="shared" si="6"/>
        <v/>
      </c>
      <c r="AF116" s="18">
        <v>0</v>
      </c>
      <c r="AG116" s="18">
        <v>0</v>
      </c>
      <c r="AH116" s="18"/>
    </row>
    <row r="117" spans="1:34" ht="11.1" customHeight="1">
      <c r="A117" s="130"/>
      <c r="B117" s="142" t="s">
        <v>602</v>
      </c>
      <c r="C117" s="143">
        <v>0</v>
      </c>
      <c r="D117" s="143">
        <v>0</v>
      </c>
      <c r="E117" s="143">
        <v>0</v>
      </c>
      <c r="F117" s="135">
        <v>0</v>
      </c>
      <c r="G117" s="135"/>
      <c r="H117" s="143">
        <v>621.85</v>
      </c>
      <c r="I117" s="135" t="s">
        <v>11</v>
      </c>
      <c r="J117" s="135">
        <v>0</v>
      </c>
      <c r="K117" s="135"/>
      <c r="L117" s="143">
        <v>0</v>
      </c>
      <c r="M117" s="135" t="s">
        <v>11</v>
      </c>
      <c r="N117" s="135">
        <v>-1</v>
      </c>
      <c r="O117" s="135"/>
      <c r="P117" s="148">
        <v>0</v>
      </c>
      <c r="Q117" s="135">
        <v>0</v>
      </c>
      <c r="R117" s="135">
        <v>0</v>
      </c>
      <c r="S117" s="135"/>
      <c r="T117" s="143">
        <v>0</v>
      </c>
      <c r="U117" s="135">
        <v>0</v>
      </c>
      <c r="V117" s="135">
        <v>0</v>
      </c>
      <c r="X117" s="143">
        <v>0</v>
      </c>
      <c r="Y117" s="135">
        <f t="shared" si="7"/>
        <v>0</v>
      </c>
      <c r="Z117" s="135" t="str">
        <f t="shared" si="5"/>
        <v/>
      </c>
      <c r="AB117" s="143">
        <v>0</v>
      </c>
      <c r="AC117" s="135">
        <f t="shared" si="8"/>
        <v>0</v>
      </c>
      <c r="AD117" s="135" t="str">
        <f t="shared" si="6"/>
        <v/>
      </c>
      <c r="AF117" s="18">
        <v>0</v>
      </c>
      <c r="AG117" s="18">
        <v>0</v>
      </c>
      <c r="AH117" s="18"/>
    </row>
    <row r="118" spans="1:34" s="9" customFormat="1" ht="11.1" customHeight="1">
      <c r="A118" s="151"/>
      <c r="B118" s="142" t="s">
        <v>603</v>
      </c>
      <c r="C118" s="146">
        <f>SUM(C119:C123)</f>
        <v>132464.55000000002</v>
      </c>
      <c r="D118" s="146">
        <f>SUM(D119:D123)</f>
        <v>152896.6</v>
      </c>
      <c r="E118" s="146">
        <v>168199.72</v>
      </c>
      <c r="F118" s="135">
        <v>9.2658193520455962E-4</v>
      </c>
      <c r="G118" s="135"/>
      <c r="H118" s="146">
        <v>181847.5</v>
      </c>
      <c r="I118" s="135">
        <v>8.9757897842159527E-4</v>
      </c>
      <c r="J118" s="135">
        <v>8.1140325322776985E-2</v>
      </c>
      <c r="K118" s="135"/>
      <c r="L118" s="146">
        <v>194360.8045</v>
      </c>
      <c r="M118" s="135">
        <v>8.6512537527092795E-4</v>
      </c>
      <c r="N118" s="135">
        <v>6.881207880229312E-2</v>
      </c>
      <c r="O118" s="135"/>
      <c r="P118" s="152">
        <v>209058.03</v>
      </c>
      <c r="Q118" s="135">
        <v>8.3919170287523575E-4</v>
      </c>
      <c r="R118" s="135">
        <v>7.5618258206993583E-2</v>
      </c>
      <c r="S118" s="135"/>
      <c r="T118" s="152">
        <v>225158.41900000002</v>
      </c>
      <c r="U118" s="135">
        <v>8.4322613933899312E-4</v>
      </c>
      <c r="V118" s="135">
        <v>7.7013970714255864E-2</v>
      </c>
      <c r="X118" s="152">
        <f>SUM(X119:X123)</f>
        <v>242511.09400000004</v>
      </c>
      <c r="Y118" s="135">
        <f t="shared" si="7"/>
        <v>8.1364501202507635E-4</v>
      </c>
      <c r="Z118" s="135">
        <f t="shared" si="5"/>
        <v>7.7068737101054233E-2</v>
      </c>
      <c r="AB118" s="152">
        <f>SUM(AB119:AB123)</f>
        <v>249428.80137000003</v>
      </c>
      <c r="AC118" s="135">
        <f t="shared" si="8"/>
        <v>8.3685449907744858E-4</v>
      </c>
      <c r="AD118" s="135">
        <f t="shared" si="6"/>
        <v>2.8525323340465356E-2</v>
      </c>
      <c r="AF118" s="18">
        <v>250712.99789999999</v>
      </c>
      <c r="AG118" s="18">
        <v>6.675436390029179E-4</v>
      </c>
      <c r="AH118" s="18">
        <v>5.1485494976780729E-3</v>
      </c>
    </row>
    <row r="119" spans="1:34" ht="11.1" customHeight="1">
      <c r="A119" s="130"/>
      <c r="B119" s="142" t="s">
        <v>604</v>
      </c>
      <c r="C119" s="147">
        <v>0</v>
      </c>
      <c r="D119" s="147">
        <v>0</v>
      </c>
      <c r="E119" s="147">
        <v>2.36</v>
      </c>
      <c r="F119" s="135">
        <v>1.3000814550004963E-8</v>
      </c>
      <c r="G119" s="135"/>
      <c r="H119" s="147">
        <v>0</v>
      </c>
      <c r="I119" s="135" t="s">
        <v>11</v>
      </c>
      <c r="J119" s="135">
        <v>-1</v>
      </c>
      <c r="K119" s="135"/>
      <c r="L119" s="147">
        <v>0</v>
      </c>
      <c r="M119" s="135" t="s">
        <v>11</v>
      </c>
      <c r="N119" s="135">
        <v>0</v>
      </c>
      <c r="O119" s="135"/>
      <c r="P119" s="148">
        <v>0</v>
      </c>
      <c r="Q119" s="135">
        <v>0</v>
      </c>
      <c r="R119" s="135">
        <v>0</v>
      </c>
      <c r="S119" s="135"/>
      <c r="T119" s="143">
        <v>0</v>
      </c>
      <c r="U119" s="135">
        <v>0</v>
      </c>
      <c r="V119" s="135">
        <v>0</v>
      </c>
      <c r="X119" s="143">
        <v>0</v>
      </c>
      <c r="Y119" s="135">
        <f t="shared" si="7"/>
        <v>0</v>
      </c>
      <c r="Z119" s="135" t="str">
        <f t="shared" si="5"/>
        <v/>
      </c>
      <c r="AB119" s="143">
        <v>0</v>
      </c>
      <c r="AC119" s="135">
        <f t="shared" si="8"/>
        <v>0</v>
      </c>
      <c r="AD119" s="135" t="str">
        <f t="shared" si="6"/>
        <v/>
      </c>
      <c r="AF119" s="18">
        <v>0</v>
      </c>
      <c r="AG119" s="18">
        <v>0</v>
      </c>
      <c r="AH119" s="18"/>
    </row>
    <row r="120" spans="1:34" ht="11.1" customHeight="1">
      <c r="A120" s="130"/>
      <c r="B120" s="142" t="s">
        <v>605</v>
      </c>
      <c r="C120" s="143">
        <v>33136.870000000003</v>
      </c>
      <c r="D120" s="143">
        <v>38208.239999999998</v>
      </c>
      <c r="E120" s="143">
        <v>42049.69</v>
      </c>
      <c r="F120" s="135">
        <v>2.3164416168440602E-4</v>
      </c>
      <c r="G120" s="135"/>
      <c r="H120" s="143">
        <v>45424.6875</v>
      </c>
      <c r="I120" s="135">
        <v>2.242111912529466E-4</v>
      </c>
      <c r="J120" s="135">
        <v>8.0262125594742731E-2</v>
      </c>
      <c r="K120" s="135"/>
      <c r="L120" s="143">
        <v>48585.35125</v>
      </c>
      <c r="M120" s="135">
        <v>2.162597563894427E-4</v>
      </c>
      <c r="N120" s="135">
        <v>6.9580308064860097E-2</v>
      </c>
      <c r="O120" s="135"/>
      <c r="P120" s="148">
        <v>52164.785000000003</v>
      </c>
      <c r="Q120" s="135">
        <v>2.0939762397201655E-4</v>
      </c>
      <c r="R120" s="135">
        <v>7.3673106356311538E-2</v>
      </c>
      <c r="S120" s="135"/>
      <c r="T120" s="143">
        <v>56289.605000000003</v>
      </c>
      <c r="U120" s="135">
        <v>2.10806535771007E-4</v>
      </c>
      <c r="V120" s="135">
        <v>7.9072884130548984E-2</v>
      </c>
      <c r="X120" s="143">
        <v>60636.167500000003</v>
      </c>
      <c r="Y120" s="135">
        <f t="shared" si="7"/>
        <v>2.0343941557862108E-4</v>
      </c>
      <c r="Z120" s="135">
        <f t="shared" si="5"/>
        <v>7.7217853989204568E-2</v>
      </c>
      <c r="AB120" s="143">
        <f>62367733.09/1000</f>
        <v>62367.733090000002</v>
      </c>
      <c r="AC120" s="135">
        <f t="shared" si="8"/>
        <v>2.0924896301853225E-4</v>
      </c>
      <c r="AD120" s="135">
        <f t="shared" si="6"/>
        <v>2.855664632828251E-2</v>
      </c>
      <c r="AF120" s="18">
        <v>62721.389470000002</v>
      </c>
      <c r="AG120" s="18">
        <v>1.6700077347734152E-4</v>
      </c>
      <c r="AH120" s="18">
        <v>5.6705023972837866E-3</v>
      </c>
    </row>
    <row r="121" spans="1:34" ht="11.1" customHeight="1">
      <c r="A121" s="130"/>
      <c r="B121" s="142" t="s">
        <v>606</v>
      </c>
      <c r="C121" s="143">
        <v>13256.09</v>
      </c>
      <c r="D121" s="143">
        <v>15340.23</v>
      </c>
      <c r="E121" s="143">
        <v>16819.810000000001</v>
      </c>
      <c r="F121" s="135">
        <v>9.2657301091660587E-5</v>
      </c>
      <c r="G121" s="135"/>
      <c r="H121" s="143">
        <v>18169.875</v>
      </c>
      <c r="I121" s="135">
        <v>8.9684476501178633E-5</v>
      </c>
      <c r="J121" s="135">
        <v>8.026636448330858E-2</v>
      </c>
      <c r="K121" s="135"/>
      <c r="L121" s="143">
        <v>19434.3815</v>
      </c>
      <c r="M121" s="135">
        <v>8.6504975278314824E-5</v>
      </c>
      <c r="N121" s="135">
        <v>6.9593571777461297E-2</v>
      </c>
      <c r="O121" s="135"/>
      <c r="P121" s="148">
        <v>20896.77</v>
      </c>
      <c r="Q121" s="135">
        <v>8.3882910409574505E-5</v>
      </c>
      <c r="R121" s="135">
        <v>7.5247493726517664E-2</v>
      </c>
      <c r="S121" s="135"/>
      <c r="T121" s="143">
        <v>22515.841499999999</v>
      </c>
      <c r="U121" s="135">
        <v>8.4322612435885341E-5</v>
      </c>
      <c r="V121" s="135">
        <v>7.747950999125694E-2</v>
      </c>
      <c r="X121" s="143">
        <v>24250.838500000002</v>
      </c>
      <c r="Y121" s="135">
        <f t="shared" si="7"/>
        <v>8.1363592310340586E-5</v>
      </c>
      <c r="Z121" s="135">
        <f t="shared" si="5"/>
        <v>7.7056724706469584E-2</v>
      </c>
      <c r="AB121" s="143">
        <f>24917932.24/1000</f>
        <v>24917.932239999998</v>
      </c>
      <c r="AC121" s="135">
        <f t="shared" si="8"/>
        <v>8.3601747625841946E-5</v>
      </c>
      <c r="AD121" s="135">
        <f t="shared" si="6"/>
        <v>2.7508069050890614E-2</v>
      </c>
      <c r="AF121" s="18">
        <v>25086.880789999999</v>
      </c>
      <c r="AG121" s="18">
        <v>6.6795849573258193E-5</v>
      </c>
      <c r="AH121" s="18">
        <v>6.7801994311868707E-3</v>
      </c>
    </row>
    <row r="122" spans="1:34" ht="11.1" customHeight="1">
      <c r="A122" s="130"/>
      <c r="B122" s="142" t="s">
        <v>607</v>
      </c>
      <c r="C122" s="143">
        <v>72814.28</v>
      </c>
      <c r="D122" s="143">
        <v>84064.9</v>
      </c>
      <c r="E122" s="143">
        <v>92507.95</v>
      </c>
      <c r="F122" s="135">
        <v>5.0960961964031004E-4</v>
      </c>
      <c r="G122" s="135"/>
      <c r="H122" s="143">
        <v>100083.0625</v>
      </c>
      <c r="I122" s="135">
        <v>4.9399883416629132E-4</v>
      </c>
      <c r="J122" s="135">
        <v>8.1886070332333638E-2</v>
      </c>
      <c r="K122" s="135"/>
      <c r="L122" s="143">
        <v>106906.69025</v>
      </c>
      <c r="M122" s="135">
        <v>4.7585566832485565E-4</v>
      </c>
      <c r="N122" s="135">
        <v>6.8179645781722559E-2</v>
      </c>
      <c r="O122" s="135"/>
      <c r="P122" s="148">
        <v>115133.815</v>
      </c>
      <c r="Q122" s="135">
        <v>4.6216518097091203E-4</v>
      </c>
      <c r="R122" s="135">
        <v>7.6956126232707894E-2</v>
      </c>
      <c r="S122" s="135"/>
      <c r="T122" s="143">
        <v>123837.13099999999</v>
      </c>
      <c r="U122" s="135">
        <v>4.6377437869621536E-4</v>
      </c>
      <c r="V122" s="135">
        <v>7.5593047967706023E-2</v>
      </c>
      <c r="X122" s="143">
        <v>133373.24950000001</v>
      </c>
      <c r="Y122" s="135">
        <f t="shared" si="7"/>
        <v>4.4747841182577407E-4</v>
      </c>
      <c r="Z122" s="135">
        <f t="shared" si="5"/>
        <v>7.7005324840737882E-2</v>
      </c>
      <c r="AB122" s="143">
        <f>137207472.8/1000</f>
        <v>137207.47280000002</v>
      </c>
      <c r="AC122" s="135">
        <f t="shared" si="8"/>
        <v>4.6034255181862457E-4</v>
      </c>
      <c r="AD122" s="135">
        <f t="shared" si="6"/>
        <v>2.8748068404826653E-2</v>
      </c>
      <c r="AF122" s="18">
        <v>137813.03435</v>
      </c>
      <c r="AG122" s="18">
        <v>3.6693835270849005E-4</v>
      </c>
      <c r="AH122" s="18">
        <v>4.413473534948629E-3</v>
      </c>
    </row>
    <row r="123" spans="1:34" ht="11.1" customHeight="1">
      <c r="A123" s="130"/>
      <c r="B123" s="142" t="s">
        <v>608</v>
      </c>
      <c r="C123" s="143">
        <v>13257.31</v>
      </c>
      <c r="D123" s="143">
        <v>15283.23</v>
      </c>
      <c r="E123" s="143">
        <v>16819.91</v>
      </c>
      <c r="F123" s="135">
        <v>9.2657851973633045E-5</v>
      </c>
      <c r="G123" s="135"/>
      <c r="H123" s="143">
        <v>18169.875</v>
      </c>
      <c r="I123" s="135">
        <v>8.9684476501178633E-5</v>
      </c>
      <c r="J123" s="135">
        <v>8.0259941937858181E-2</v>
      </c>
      <c r="K123" s="135"/>
      <c r="L123" s="143">
        <v>19434.3815</v>
      </c>
      <c r="M123" s="135">
        <v>8.6504975278314824E-5</v>
      </c>
      <c r="N123" s="135">
        <v>6.9593571777461297E-2</v>
      </c>
      <c r="O123" s="135"/>
      <c r="P123" s="148">
        <v>20862.66</v>
      </c>
      <c r="Q123" s="135">
        <v>8.3745987522732633E-5</v>
      </c>
      <c r="R123" s="135">
        <v>7.3492356831628539E-2</v>
      </c>
      <c r="S123" s="135"/>
      <c r="T123" s="143">
        <v>22515.841499999999</v>
      </c>
      <c r="U123" s="135">
        <v>8.4322612435885341E-5</v>
      </c>
      <c r="V123" s="135">
        <v>7.9241165795732607E-2</v>
      </c>
      <c r="X123" s="143">
        <v>24250.838500000002</v>
      </c>
      <c r="Y123" s="135">
        <f t="shared" si="7"/>
        <v>8.1363592310340586E-5</v>
      </c>
      <c r="Z123" s="135">
        <f t="shared" si="5"/>
        <v>7.7056724706469584E-2</v>
      </c>
      <c r="AB123" s="143">
        <f>24935663.24/1000</f>
        <v>24935.663239999998</v>
      </c>
      <c r="AC123" s="135">
        <f t="shared" si="8"/>
        <v>8.3661236614449683E-5</v>
      </c>
      <c r="AD123" s="135">
        <f t="shared" si="6"/>
        <v>2.8239219027416159E-2</v>
      </c>
      <c r="AF123" s="18">
        <v>25091.693289999999</v>
      </c>
      <c r="AG123" s="18">
        <v>6.6808663243828159E-5</v>
      </c>
      <c r="AH123" s="18">
        <v>6.2573049891734593E-3</v>
      </c>
    </row>
    <row r="124" spans="1:34" ht="11.1" customHeight="1">
      <c r="A124" s="130"/>
      <c r="B124" s="4"/>
      <c r="C124" s="143"/>
      <c r="D124" s="143"/>
      <c r="E124" s="143"/>
      <c r="F124" s="135" t="s">
        <v>11</v>
      </c>
      <c r="G124" s="135"/>
      <c r="H124" s="143"/>
      <c r="I124" s="135" t="s">
        <v>11</v>
      </c>
      <c r="J124" s="135" t="s">
        <v>11</v>
      </c>
      <c r="K124" s="135"/>
      <c r="L124" s="143"/>
      <c r="M124" s="135" t="s">
        <v>11</v>
      </c>
      <c r="N124" s="135" t="s">
        <v>11</v>
      </c>
      <c r="O124" s="135"/>
      <c r="P124" s="136" t="s">
        <v>11</v>
      </c>
      <c r="Q124" s="135" t="s">
        <v>11</v>
      </c>
      <c r="R124" s="135" t="s">
        <v>11</v>
      </c>
      <c r="S124" s="135"/>
      <c r="T124" s="131" t="s">
        <v>11</v>
      </c>
      <c r="U124" s="135" t="s">
        <v>11</v>
      </c>
      <c r="V124" s="135" t="s">
        <v>11</v>
      </c>
      <c r="X124" s="131" t="s">
        <v>11</v>
      </c>
      <c r="Y124" s="135"/>
      <c r="Z124" s="135" t="str">
        <f t="shared" si="5"/>
        <v/>
      </c>
      <c r="AB124" s="131" t="s">
        <v>11</v>
      </c>
      <c r="AC124" s="135"/>
      <c r="AD124" s="135" t="str">
        <f t="shared" si="6"/>
        <v/>
      </c>
      <c r="AF124" s="18"/>
      <c r="AG124" s="18" t="s">
        <v>11</v>
      </c>
      <c r="AH124" s="18" t="s">
        <v>11</v>
      </c>
    </row>
    <row r="125" spans="1:34" ht="11.1" customHeight="1">
      <c r="A125" s="130"/>
      <c r="B125" s="134" t="s">
        <v>609</v>
      </c>
      <c r="C125" s="131">
        <f>+C127</f>
        <v>1949965.43</v>
      </c>
      <c r="D125" s="131">
        <f>+D127</f>
        <v>2909954.0100000002</v>
      </c>
      <c r="E125" s="131">
        <v>2515842.1599999997</v>
      </c>
      <c r="F125" s="135">
        <v>1.3859320914933861E-2</v>
      </c>
      <c r="G125" s="135"/>
      <c r="H125" s="131">
        <v>2917241.68603</v>
      </c>
      <c r="I125" s="135">
        <v>1.4399179600245808E-2</v>
      </c>
      <c r="J125" s="135">
        <v>0.15954877154535019</v>
      </c>
      <c r="K125" s="135"/>
      <c r="L125" s="131">
        <v>3345621.1739800004</v>
      </c>
      <c r="M125" s="135">
        <v>1.489179766002569E-2</v>
      </c>
      <c r="N125" s="135">
        <v>0.14684401707318642</v>
      </c>
      <c r="O125" s="135"/>
      <c r="P125" s="136">
        <v>3288396.6159299999</v>
      </c>
      <c r="Q125" s="135">
        <v>1.3200139482092407E-2</v>
      </c>
      <c r="R125" s="135">
        <v>-1.7104314886292219E-2</v>
      </c>
      <c r="S125" s="135"/>
      <c r="T125" s="136">
        <v>2631229.4578199997</v>
      </c>
      <c r="U125" s="135">
        <v>9.8540461746295625E-3</v>
      </c>
      <c r="V125" s="135">
        <v>-0.19984425082013565</v>
      </c>
      <c r="X125" s="136">
        <f>+X127</f>
        <v>3985918.2608699999</v>
      </c>
      <c r="Y125" s="135">
        <f t="shared" si="7"/>
        <v>1.3373089279357018E-2</v>
      </c>
      <c r="Z125" s="135">
        <f t="shared" si="5"/>
        <v>0.51485012035870625</v>
      </c>
      <c r="AB125" s="136">
        <f>+AB127</f>
        <v>3708855.6577500002</v>
      </c>
      <c r="AC125" s="135">
        <f>+AB125/$X$11</f>
        <v>1.2443521063202458E-2</v>
      </c>
      <c r="AD125" s="135">
        <f t="shared" si="6"/>
        <v>-6.9510357460146624E-2</v>
      </c>
      <c r="AF125" s="18">
        <v>5975813.7548900004</v>
      </c>
      <c r="AG125" s="18">
        <v>1.5911087551727456E-2</v>
      </c>
      <c r="AH125" s="18">
        <v>0.61122845058771147</v>
      </c>
    </row>
    <row r="126" spans="1:34" s="9" customFormat="1" ht="11.1" customHeight="1">
      <c r="A126" s="133" t="s">
        <v>541</v>
      </c>
      <c r="B126" s="142"/>
      <c r="C126" s="153"/>
      <c r="D126" s="153"/>
      <c r="E126" s="153"/>
      <c r="F126" s="135" t="s">
        <v>11</v>
      </c>
      <c r="G126" s="135"/>
      <c r="H126" s="153"/>
      <c r="I126" s="135" t="s">
        <v>11</v>
      </c>
      <c r="J126" s="135" t="s">
        <v>11</v>
      </c>
      <c r="K126" s="135"/>
      <c r="L126" s="153"/>
      <c r="M126" s="135" t="s">
        <v>11</v>
      </c>
      <c r="N126" s="135" t="s">
        <v>11</v>
      </c>
      <c r="O126" s="135"/>
      <c r="P126" s="136" t="s">
        <v>11</v>
      </c>
      <c r="Q126" s="135" t="s">
        <v>11</v>
      </c>
      <c r="R126" s="135" t="s">
        <v>11</v>
      </c>
      <c r="S126" s="135"/>
      <c r="T126" s="131" t="s">
        <v>11</v>
      </c>
      <c r="U126" s="135" t="s">
        <v>11</v>
      </c>
      <c r="V126" s="135" t="s">
        <v>11</v>
      </c>
      <c r="X126" s="131" t="s">
        <v>11</v>
      </c>
      <c r="Y126" s="135"/>
      <c r="Z126" s="135" t="str">
        <f t="shared" si="5"/>
        <v/>
      </c>
      <c r="AB126" s="131" t="s">
        <v>11</v>
      </c>
      <c r="AC126" s="135"/>
      <c r="AD126" s="135" t="str">
        <f t="shared" si="6"/>
        <v/>
      </c>
      <c r="AF126" s="18"/>
      <c r="AG126" s="18" t="s">
        <v>11</v>
      </c>
      <c r="AH126" s="18" t="s">
        <v>11</v>
      </c>
    </row>
    <row r="127" spans="1:34" s="9" customFormat="1" ht="11.1" customHeight="1">
      <c r="A127" s="133" t="s">
        <v>543</v>
      </c>
      <c r="B127" s="134" t="s">
        <v>610</v>
      </c>
      <c r="C127" s="131">
        <f>+C129</f>
        <v>1949965.43</v>
      </c>
      <c r="D127" s="131">
        <f>+D129</f>
        <v>2909954.0100000002</v>
      </c>
      <c r="E127" s="131">
        <v>2515842.1599999997</v>
      </c>
      <c r="F127" s="135">
        <v>1.3859320914933861E-2</v>
      </c>
      <c r="G127" s="135"/>
      <c r="H127" s="131">
        <v>2917241.68603</v>
      </c>
      <c r="I127" s="135">
        <v>1.4399179600245808E-2</v>
      </c>
      <c r="J127" s="135">
        <v>0.15954877154535019</v>
      </c>
      <c r="K127" s="135"/>
      <c r="L127" s="131">
        <v>3345621.1739800004</v>
      </c>
      <c r="M127" s="135">
        <v>1.489179766002569E-2</v>
      </c>
      <c r="N127" s="135">
        <v>0.14684401707318642</v>
      </c>
      <c r="O127" s="135"/>
      <c r="P127" s="136">
        <v>3288396.6159299999</v>
      </c>
      <c r="Q127" s="135">
        <v>1.3200139482092407E-2</v>
      </c>
      <c r="R127" s="135">
        <v>-1.7104314886292219E-2</v>
      </c>
      <c r="S127" s="135"/>
      <c r="T127" s="136">
        <v>2631229.4578199997</v>
      </c>
      <c r="U127" s="135">
        <v>9.8540461746295625E-3</v>
      </c>
      <c r="V127" s="135">
        <v>-0.19984425082013565</v>
      </c>
      <c r="X127" s="136">
        <f>+X129</f>
        <v>3985918.2608699999</v>
      </c>
      <c r="Y127" s="135">
        <f t="shared" si="7"/>
        <v>1.3373089279357018E-2</v>
      </c>
      <c r="Z127" s="135">
        <f t="shared" si="5"/>
        <v>0.51485012035870625</v>
      </c>
      <c r="AB127" s="136">
        <f>+AB129</f>
        <v>3708855.6577500002</v>
      </c>
      <c r="AC127" s="135">
        <f>+AB127/$X$11</f>
        <v>1.2443521063202458E-2</v>
      </c>
      <c r="AD127" s="135">
        <f t="shared" si="6"/>
        <v>-6.9510357460146624E-2</v>
      </c>
      <c r="AF127" s="18">
        <v>5975813.7548900004</v>
      </c>
      <c r="AG127" s="18">
        <v>1.5911087551727456E-2</v>
      </c>
      <c r="AH127" s="18">
        <v>0.61122845058771147</v>
      </c>
    </row>
    <row r="128" spans="1:34" s="9" customFormat="1" ht="11.1" customHeight="1">
      <c r="A128" s="133"/>
      <c r="B128" s="134"/>
      <c r="C128" s="131"/>
      <c r="D128" s="131"/>
      <c r="E128" s="131"/>
      <c r="F128" s="135" t="s">
        <v>11</v>
      </c>
      <c r="G128" s="135"/>
      <c r="H128" s="131"/>
      <c r="I128" s="135" t="s">
        <v>11</v>
      </c>
      <c r="J128" s="135" t="s">
        <v>11</v>
      </c>
      <c r="K128" s="135"/>
      <c r="L128" s="131"/>
      <c r="M128" s="135" t="s">
        <v>11</v>
      </c>
      <c r="N128" s="135" t="s">
        <v>11</v>
      </c>
      <c r="O128" s="135"/>
      <c r="P128" s="136" t="s">
        <v>11</v>
      </c>
      <c r="Q128" s="135" t="s">
        <v>11</v>
      </c>
      <c r="R128" s="135" t="s">
        <v>11</v>
      </c>
      <c r="S128" s="135"/>
      <c r="T128" s="131" t="s">
        <v>11</v>
      </c>
      <c r="U128" s="135" t="s">
        <v>11</v>
      </c>
      <c r="V128" s="135" t="s">
        <v>11</v>
      </c>
      <c r="X128" s="131" t="s">
        <v>11</v>
      </c>
      <c r="Y128" s="135"/>
      <c r="Z128" s="135" t="str">
        <f t="shared" si="5"/>
        <v/>
      </c>
      <c r="AB128" s="131" t="s">
        <v>11</v>
      </c>
      <c r="AC128" s="135"/>
      <c r="AD128" s="135" t="str">
        <f t="shared" si="6"/>
        <v/>
      </c>
      <c r="AF128" s="170"/>
      <c r="AG128" s="170" t="s">
        <v>11</v>
      </c>
      <c r="AH128" s="170" t="s">
        <v>11</v>
      </c>
    </row>
    <row r="129" spans="1:34" s="9" customFormat="1" ht="11.1" customHeight="1">
      <c r="A129" s="133" t="s">
        <v>545</v>
      </c>
      <c r="B129" s="134" t="s">
        <v>611</v>
      </c>
      <c r="C129" s="131">
        <f>SUM(C131)</f>
        <v>1949965.43</v>
      </c>
      <c r="D129" s="131">
        <f>SUM(D131)</f>
        <v>2909954.0100000002</v>
      </c>
      <c r="E129" s="131">
        <v>2515842.1599999997</v>
      </c>
      <c r="F129" s="135">
        <v>1.3859320914933861E-2</v>
      </c>
      <c r="G129" s="135"/>
      <c r="H129" s="131">
        <v>2917241.68603</v>
      </c>
      <c r="I129" s="135">
        <v>1.4399179600245808E-2</v>
      </c>
      <c r="J129" s="135">
        <v>0.15954877154535019</v>
      </c>
      <c r="K129" s="135"/>
      <c r="L129" s="131">
        <v>3345621.1739800004</v>
      </c>
      <c r="M129" s="135">
        <v>1.489179766002569E-2</v>
      </c>
      <c r="N129" s="135">
        <v>0.14684401707318642</v>
      </c>
      <c r="O129" s="135"/>
      <c r="P129" s="136">
        <v>3288396.6159299999</v>
      </c>
      <c r="Q129" s="135">
        <v>1.3200139482092407E-2</v>
      </c>
      <c r="R129" s="135">
        <v>-1.7104314886292219E-2</v>
      </c>
      <c r="S129" s="135"/>
      <c r="T129" s="136">
        <v>2631229.4578199997</v>
      </c>
      <c r="U129" s="135">
        <v>9.8540461746295625E-3</v>
      </c>
      <c r="V129" s="135">
        <v>-0.19984425082013565</v>
      </c>
      <c r="X129" s="136">
        <f>+X131</f>
        <v>3985918.2608699999</v>
      </c>
      <c r="Y129" s="135">
        <f t="shared" si="7"/>
        <v>1.3373089279357018E-2</v>
      </c>
      <c r="Z129" s="135">
        <f t="shared" si="5"/>
        <v>0.51485012035870625</v>
      </c>
      <c r="AB129" s="136">
        <f>+AB131</f>
        <v>3708855.6577500002</v>
      </c>
      <c r="AC129" s="135">
        <f>+AB129/$X$11</f>
        <v>1.2443521063202458E-2</v>
      </c>
      <c r="AD129" s="135">
        <f t="shared" si="6"/>
        <v>-6.9510357460146624E-2</v>
      </c>
      <c r="AF129" s="18">
        <v>5975813.7548900004</v>
      </c>
      <c r="AG129" s="18">
        <v>1.5911087551727456E-2</v>
      </c>
      <c r="AH129" s="18">
        <v>0.61122845058771147</v>
      </c>
    </row>
    <row r="130" spans="1:34" s="9" customFormat="1" ht="11.1" customHeight="1">
      <c r="A130" s="133"/>
      <c r="C130" s="131"/>
      <c r="D130" s="131"/>
      <c r="E130" s="131"/>
      <c r="F130" s="135" t="s">
        <v>11</v>
      </c>
      <c r="G130" s="135"/>
      <c r="H130" s="131"/>
      <c r="I130" s="135" t="s">
        <v>11</v>
      </c>
      <c r="J130" s="135" t="s">
        <v>11</v>
      </c>
      <c r="K130" s="135"/>
      <c r="L130" s="131"/>
      <c r="M130" s="135" t="s">
        <v>11</v>
      </c>
      <c r="N130" s="135" t="s">
        <v>11</v>
      </c>
      <c r="O130" s="135"/>
      <c r="P130" s="136" t="s">
        <v>11</v>
      </c>
      <c r="Q130" s="135" t="s">
        <v>11</v>
      </c>
      <c r="R130" s="135" t="s">
        <v>11</v>
      </c>
      <c r="S130" s="135"/>
      <c r="T130" s="131" t="s">
        <v>11</v>
      </c>
      <c r="U130" s="135" t="s">
        <v>11</v>
      </c>
      <c r="V130" s="135" t="s">
        <v>11</v>
      </c>
      <c r="X130" s="131" t="s">
        <v>11</v>
      </c>
      <c r="Y130" s="135"/>
      <c r="Z130" s="135" t="str">
        <f t="shared" si="5"/>
        <v/>
      </c>
      <c r="AB130" s="131" t="s">
        <v>11</v>
      </c>
      <c r="AC130" s="135"/>
      <c r="AD130" s="135" t="str">
        <f t="shared" si="6"/>
        <v/>
      </c>
      <c r="AF130" s="18"/>
      <c r="AG130" s="18" t="s">
        <v>11</v>
      </c>
      <c r="AH130" s="18" t="s">
        <v>11</v>
      </c>
    </row>
    <row r="131" spans="1:34" s="9" customFormat="1" ht="11.1" customHeight="1">
      <c r="A131" s="133" t="s">
        <v>547</v>
      </c>
      <c r="B131" s="140" t="s">
        <v>612</v>
      </c>
      <c r="C131" s="131">
        <f>+C132+C135</f>
        <v>1949965.43</v>
      </c>
      <c r="D131" s="131">
        <f>+D132+D135</f>
        <v>2909954.0100000002</v>
      </c>
      <c r="E131" s="131">
        <v>2515842.1599999997</v>
      </c>
      <c r="F131" s="135">
        <v>1.3859320914933861E-2</v>
      </c>
      <c r="G131" s="135"/>
      <c r="H131" s="131">
        <v>2917241.68603</v>
      </c>
      <c r="I131" s="135">
        <v>1.4399179600245808E-2</v>
      </c>
      <c r="J131" s="135">
        <v>0.15954877154535019</v>
      </c>
      <c r="K131" s="135"/>
      <c r="L131" s="131">
        <v>3345621.1739800004</v>
      </c>
      <c r="M131" s="135">
        <v>1.489179766002569E-2</v>
      </c>
      <c r="N131" s="135">
        <v>0.14684401707318642</v>
      </c>
      <c r="O131" s="135"/>
      <c r="P131" s="136">
        <v>3288396.6159299999</v>
      </c>
      <c r="Q131" s="135">
        <v>1.3200139482092407E-2</v>
      </c>
      <c r="R131" s="135">
        <v>-1.7104314886292219E-2</v>
      </c>
      <c r="S131" s="135"/>
      <c r="T131" s="136">
        <v>2631229.4578199997</v>
      </c>
      <c r="U131" s="135">
        <v>9.8540461746295625E-3</v>
      </c>
      <c r="V131" s="135">
        <v>-0.19984425082013565</v>
      </c>
      <c r="X131" s="136">
        <f>+X132+X135</f>
        <v>3985918.2608699999</v>
      </c>
      <c r="Y131" s="135">
        <f t="shared" si="7"/>
        <v>1.3373089279357018E-2</v>
      </c>
      <c r="Z131" s="135">
        <f t="shared" si="5"/>
        <v>0.51485012035870625</v>
      </c>
      <c r="AB131" s="136">
        <f>+AB132+AB135</f>
        <v>3708855.6577500002</v>
      </c>
      <c r="AC131" s="135">
        <f>+AB131/$X$11</f>
        <v>1.2443521063202458E-2</v>
      </c>
      <c r="AD131" s="135">
        <f t="shared" si="6"/>
        <v>-6.9510357460146624E-2</v>
      </c>
      <c r="AF131" s="18">
        <v>5975813.7548900004</v>
      </c>
      <c r="AG131" s="18">
        <v>1.5911087551727456E-2</v>
      </c>
      <c r="AH131" s="18">
        <v>0.61122845058771147</v>
      </c>
    </row>
    <row r="132" spans="1:34" ht="11.1" customHeight="1">
      <c r="A132" s="130"/>
      <c r="B132" s="142" t="s">
        <v>613</v>
      </c>
      <c r="C132" s="138">
        <f>+C133+C134</f>
        <v>1946860.68</v>
      </c>
      <c r="D132" s="138">
        <f>+D133+D134</f>
        <v>2905015.7800000003</v>
      </c>
      <c r="E132" s="138">
        <v>2503588.4</v>
      </c>
      <c r="F132" s="135">
        <v>1.3791817160145612E-2</v>
      </c>
      <c r="G132" s="135"/>
      <c r="H132" s="138">
        <v>2904639.0937000001</v>
      </c>
      <c r="I132" s="135">
        <v>1.4336974610080834E-2</v>
      </c>
      <c r="J132" s="135">
        <v>0.16019034666401241</v>
      </c>
      <c r="K132" s="135"/>
      <c r="L132" s="138">
        <v>3333658.2115800004</v>
      </c>
      <c r="M132" s="135">
        <v>1.4838548948886237E-2</v>
      </c>
      <c r="N132" s="135">
        <v>0.14770135085302638</v>
      </c>
      <c r="O132" s="135"/>
      <c r="P132" s="154">
        <v>3275081.7728299997</v>
      </c>
      <c r="Q132" s="135">
        <v>1.3146691614748561E-2</v>
      </c>
      <c r="R132" s="135">
        <v>-1.7571219072946936E-2</v>
      </c>
      <c r="S132" s="135"/>
      <c r="T132" s="154">
        <v>2620331.0892399997</v>
      </c>
      <c r="U132" s="135">
        <v>9.8132314038400816E-3</v>
      </c>
      <c r="V132" s="135">
        <v>-0.19991888111673917</v>
      </c>
      <c r="X132" s="154">
        <f>+X133+X134</f>
        <v>3975368.9824999999</v>
      </c>
      <c r="Y132" s="135">
        <f t="shared" si="7"/>
        <v>1.3337695567734842E-2</v>
      </c>
      <c r="Z132" s="135">
        <f t="shared" si="5"/>
        <v>0.51712468658035704</v>
      </c>
      <c r="AB132" s="154">
        <f>+AB133+AB134</f>
        <v>3698532.5806400003</v>
      </c>
      <c r="AC132" s="135">
        <f>+AB132/$X$11</f>
        <v>1.2408886275734542E-2</v>
      </c>
      <c r="AD132" s="135">
        <f t="shared" si="6"/>
        <v>-6.9637913632335291E-2</v>
      </c>
      <c r="AF132" s="18">
        <v>5965899.92753</v>
      </c>
      <c r="AG132" s="18">
        <v>1.5884691184376049E-2</v>
      </c>
      <c r="AH132" s="18">
        <v>0.61304511923419391</v>
      </c>
    </row>
    <row r="133" spans="1:34" ht="11.1" customHeight="1">
      <c r="A133" s="130"/>
      <c r="B133" s="142" t="s">
        <v>614</v>
      </c>
      <c r="C133" s="143">
        <v>165992.41</v>
      </c>
      <c r="D133" s="143">
        <v>323595.26</v>
      </c>
      <c r="E133" s="143">
        <v>241667.3</v>
      </c>
      <c r="F133" s="135">
        <v>1.3313015890255994E-3</v>
      </c>
      <c r="G133" s="135"/>
      <c r="H133" s="143">
        <v>258951.35159000001</v>
      </c>
      <c r="I133" s="135">
        <v>1.2781549904235336E-3</v>
      </c>
      <c r="J133" s="135">
        <v>7.1520026044069748E-2</v>
      </c>
      <c r="K133" s="135"/>
      <c r="L133" s="143">
        <v>316463.30670000002</v>
      </c>
      <c r="M133" s="135">
        <v>1.4086195911394074E-3</v>
      </c>
      <c r="N133" s="135">
        <v>0.22209559732694195</v>
      </c>
      <c r="O133" s="135"/>
      <c r="P133" s="148">
        <v>329370.51467</v>
      </c>
      <c r="Q133" s="135">
        <v>1.3221448756730852E-3</v>
      </c>
      <c r="R133" s="135">
        <v>4.0785796320569091E-2</v>
      </c>
      <c r="S133" s="135"/>
      <c r="T133" s="143">
        <v>321080.82378999999</v>
      </c>
      <c r="U133" s="135">
        <v>1.2024588938876197E-3</v>
      </c>
      <c r="V133" s="135">
        <v>-2.5168284684819294E-2</v>
      </c>
      <c r="X133" s="143">
        <v>125613.39039</v>
      </c>
      <c r="Y133" s="135">
        <f t="shared" si="7"/>
        <v>4.2144343522025493E-4</v>
      </c>
      <c r="Z133" s="135">
        <f t="shared" si="5"/>
        <v>-0.60877953124925233</v>
      </c>
      <c r="AB133" s="143">
        <f>355955078.05/1000</f>
        <v>355955.07805000001</v>
      </c>
      <c r="AC133" s="135">
        <f>+AB133/$X$11</f>
        <v>1.1942590707226747E-3</v>
      </c>
      <c r="AD133" s="135">
        <f t="shared" si="6"/>
        <v>1.8337351371923272</v>
      </c>
      <c r="AF133" s="18">
        <v>504440.01791000005</v>
      </c>
      <c r="AG133" s="18">
        <v>1.3431123557010385E-3</v>
      </c>
      <c r="AH133" s="18">
        <v>0.4171451652647663</v>
      </c>
    </row>
    <row r="134" spans="1:34" ht="11.1" customHeight="1">
      <c r="A134" s="130"/>
      <c r="B134" s="142" t="s">
        <v>615</v>
      </c>
      <c r="C134" s="143">
        <v>1780868.27</v>
      </c>
      <c r="D134" s="143">
        <v>2581420.52</v>
      </c>
      <c r="E134" s="143">
        <v>2261921.1</v>
      </c>
      <c r="F134" s="135">
        <v>1.2460515571120014E-2</v>
      </c>
      <c r="G134" s="135"/>
      <c r="H134" s="143">
        <v>2645687.74211</v>
      </c>
      <c r="I134" s="135">
        <v>1.3058819619657299E-2</v>
      </c>
      <c r="J134" s="135">
        <v>0.16966402679120854</v>
      </c>
      <c r="K134" s="135"/>
      <c r="L134" s="143">
        <v>3017194.9048800003</v>
      </c>
      <c r="M134" s="135">
        <v>1.3429929357746831E-2</v>
      </c>
      <c r="N134" s="135">
        <v>0.14041988283685902</v>
      </c>
      <c r="O134" s="135"/>
      <c r="P134" s="148">
        <v>2945711.2581599997</v>
      </c>
      <c r="Q134" s="135">
        <v>1.1824546739075476E-2</v>
      </c>
      <c r="R134" s="135">
        <v>-2.3692087841054997E-2</v>
      </c>
      <c r="S134" s="135"/>
      <c r="T134" s="143">
        <v>2299250.2654499998</v>
      </c>
      <c r="U134" s="135">
        <v>8.6107725099524631E-3</v>
      </c>
      <c r="V134" s="135">
        <v>-0.21945837051042244</v>
      </c>
      <c r="X134" s="143">
        <v>3849755.5921100001</v>
      </c>
      <c r="Y134" s="135">
        <f t="shared" si="7"/>
        <v>1.2916252132514587E-2</v>
      </c>
      <c r="Z134" s="135">
        <f t="shared" si="5"/>
        <v>0.67435257046998387</v>
      </c>
      <c r="AB134" s="143">
        <f>3342577502.59/1000</f>
        <v>3342577.5025900002</v>
      </c>
      <c r="AC134" s="135">
        <f>+AB134/$X$11</f>
        <v>1.1214627205011866E-2</v>
      </c>
      <c r="AD134" s="135">
        <f t="shared" si="6"/>
        <v>-0.13174293208624765</v>
      </c>
      <c r="AF134" s="18">
        <v>5461459.90962</v>
      </c>
      <c r="AG134" s="18">
        <v>1.454157882867501E-2</v>
      </c>
      <c r="AH134" s="18">
        <v>0.63390673975044154</v>
      </c>
    </row>
    <row r="135" spans="1:34" ht="11.1" customHeight="1">
      <c r="A135" s="139" t="s">
        <v>547</v>
      </c>
      <c r="B135" s="142" t="s">
        <v>2130</v>
      </c>
      <c r="C135" s="143">
        <v>3104.75</v>
      </c>
      <c r="D135" s="143">
        <v>4938.2299999999996</v>
      </c>
      <c r="E135" s="143">
        <v>12253.76</v>
      </c>
      <c r="F135" s="135">
        <v>6.7503754788249501E-5</v>
      </c>
      <c r="G135" s="135"/>
      <c r="H135" s="143">
        <v>12602.592329999999</v>
      </c>
      <c r="I135" s="135">
        <v>6.2204990164974673E-5</v>
      </c>
      <c r="J135" s="135">
        <v>2.8467370831483502E-2</v>
      </c>
      <c r="K135" s="135"/>
      <c r="L135" s="143">
        <v>11962.9624</v>
      </c>
      <c r="M135" s="135">
        <v>5.3248711139451995E-5</v>
      </c>
      <c r="N135" s="135">
        <v>-5.0753838039923269E-2</v>
      </c>
      <c r="O135" s="135"/>
      <c r="P135" s="148">
        <v>13314.8431</v>
      </c>
      <c r="Q135" s="135">
        <v>5.3447867343845066E-5</v>
      </c>
      <c r="R135" s="135">
        <v>0.11300551274824701</v>
      </c>
      <c r="S135" s="135"/>
      <c r="T135" s="143">
        <v>10898.36858</v>
      </c>
      <c r="U135" s="135">
        <v>4.0814770789480378E-5</v>
      </c>
      <c r="V135" s="135">
        <v>-0.18148726964721046</v>
      </c>
      <c r="X135" s="143">
        <v>10549.27837</v>
      </c>
      <c r="Y135" s="135">
        <f t="shared" si="7"/>
        <v>3.5393711622176454E-5</v>
      </c>
      <c r="Z135" s="135">
        <f t="shared" si="5"/>
        <v>-3.2031418963075688E-2</v>
      </c>
      <c r="AB135" s="143">
        <f>10323077.11/1000</f>
        <v>10323.07711</v>
      </c>
      <c r="AC135" s="135">
        <f>+AB135/$X$11</f>
        <v>3.4634787467915752E-5</v>
      </c>
      <c r="AD135" s="135">
        <f t="shared" si="6"/>
        <v>-2.1442344401800047E-2</v>
      </c>
      <c r="AF135" s="18">
        <v>9913.8273599999993</v>
      </c>
      <c r="AG135" s="18">
        <v>2.6396367351407634E-5</v>
      </c>
      <c r="AH135" s="18">
        <v>-3.9644162843999221E-2</v>
      </c>
    </row>
    <row r="136" spans="1:34" ht="11.1" customHeight="1">
      <c r="A136" s="139"/>
      <c r="B136" s="4"/>
      <c r="C136" s="143"/>
      <c r="D136" s="143"/>
      <c r="E136" s="143"/>
      <c r="F136" s="135" t="s">
        <v>11</v>
      </c>
      <c r="G136" s="135"/>
      <c r="H136" s="143"/>
      <c r="I136" s="135" t="s">
        <v>11</v>
      </c>
      <c r="J136" s="135" t="s">
        <v>11</v>
      </c>
      <c r="K136" s="135"/>
      <c r="L136" s="143"/>
      <c r="M136" s="135" t="s">
        <v>11</v>
      </c>
      <c r="N136" s="135" t="s">
        <v>11</v>
      </c>
      <c r="O136" s="135"/>
      <c r="P136" s="136" t="s">
        <v>11</v>
      </c>
      <c r="Q136" s="135" t="s">
        <v>11</v>
      </c>
      <c r="R136" s="135" t="s">
        <v>11</v>
      </c>
      <c r="S136" s="135"/>
      <c r="T136" s="131" t="s">
        <v>11</v>
      </c>
      <c r="U136" s="135" t="s">
        <v>11</v>
      </c>
      <c r="V136" s="135" t="s">
        <v>11</v>
      </c>
      <c r="X136" s="131" t="s">
        <v>11</v>
      </c>
      <c r="Y136" s="135"/>
      <c r="Z136" s="135" t="str">
        <f t="shared" si="5"/>
        <v/>
      </c>
      <c r="AB136" s="131" t="s">
        <v>11</v>
      </c>
      <c r="AC136" s="135"/>
      <c r="AD136" s="135" t="str">
        <f t="shared" si="6"/>
        <v/>
      </c>
      <c r="AF136" s="170"/>
      <c r="AG136" s="170" t="s">
        <v>11</v>
      </c>
      <c r="AH136" s="170" t="s">
        <v>11</v>
      </c>
    </row>
    <row r="137" spans="1:34" s="9" customFormat="1" ht="11.1" customHeight="1">
      <c r="A137" s="133" t="s">
        <v>541</v>
      </c>
      <c r="B137" s="134" t="s">
        <v>616</v>
      </c>
      <c r="C137" s="131">
        <f>C139</f>
        <v>253554.85</v>
      </c>
      <c r="D137" s="131">
        <f>D139</f>
        <v>312683.96000000002</v>
      </c>
      <c r="E137" s="131">
        <v>356794.41000000003</v>
      </c>
      <c r="F137" s="135">
        <v>1.9655160834273037E-3</v>
      </c>
      <c r="G137" s="135"/>
      <c r="H137" s="131">
        <v>374117.61917999998</v>
      </c>
      <c r="I137" s="135">
        <v>1.8466028426736896E-3</v>
      </c>
      <c r="J137" s="135">
        <v>4.8552355907145364E-2</v>
      </c>
      <c r="K137" s="135"/>
      <c r="L137" s="131">
        <v>427790.09480000002</v>
      </c>
      <c r="M137" s="135">
        <v>1.9041496934174085E-3</v>
      </c>
      <c r="N137" s="135">
        <v>0.1434641750838698</v>
      </c>
      <c r="O137" s="135"/>
      <c r="P137" s="136">
        <v>428039.87241000001</v>
      </c>
      <c r="Q137" s="135">
        <v>1.7182191443507169E-3</v>
      </c>
      <c r="R137" s="135">
        <v>5.8387890004037114E-4</v>
      </c>
      <c r="S137" s="135"/>
      <c r="T137" s="136">
        <v>416758.42070000002</v>
      </c>
      <c r="U137" s="135">
        <v>1.5607748343795082E-3</v>
      </c>
      <c r="V137" s="135">
        <v>-2.6356076704915007E-2</v>
      </c>
      <c r="X137" s="136">
        <f>+X139</f>
        <v>442293.31400000001</v>
      </c>
      <c r="Y137" s="135">
        <f t="shared" si="7"/>
        <v>1.4839310765227954E-3</v>
      </c>
      <c r="Z137" s="135">
        <f t="shared" si="5"/>
        <v>6.127025161749778E-2</v>
      </c>
      <c r="AB137" s="136">
        <f>+AB139</f>
        <v>376319.97737000004</v>
      </c>
      <c r="AC137" s="135">
        <f>+AB137/$X$11</f>
        <v>1.2625850119355369E-3</v>
      </c>
      <c r="AD137" s="135">
        <f t="shared" si="6"/>
        <v>-0.14916195778170857</v>
      </c>
      <c r="AF137" s="170">
        <v>401916.35500000004</v>
      </c>
      <c r="AG137" s="170">
        <v>1.0701348092790233E-3</v>
      </c>
      <c r="AH137" s="170">
        <v>6.8017589203970136E-2</v>
      </c>
    </row>
    <row r="138" spans="1:34" ht="11.1" customHeight="1">
      <c r="A138" s="139"/>
      <c r="B138" s="142"/>
      <c r="C138" s="143"/>
      <c r="D138" s="143"/>
      <c r="E138" s="143"/>
      <c r="F138" s="135" t="s">
        <v>11</v>
      </c>
      <c r="G138" s="135"/>
      <c r="H138" s="143"/>
      <c r="I138" s="135" t="s">
        <v>11</v>
      </c>
      <c r="J138" s="135" t="s">
        <v>11</v>
      </c>
      <c r="K138" s="135"/>
      <c r="L138" s="143"/>
      <c r="M138" s="135" t="s">
        <v>11</v>
      </c>
      <c r="N138" s="135" t="s">
        <v>11</v>
      </c>
      <c r="O138" s="135"/>
      <c r="P138" s="136" t="s">
        <v>11</v>
      </c>
      <c r="Q138" s="135" t="s">
        <v>11</v>
      </c>
      <c r="R138" s="135" t="s">
        <v>11</v>
      </c>
      <c r="S138" s="135"/>
      <c r="T138" s="131" t="s">
        <v>11</v>
      </c>
      <c r="U138" s="135" t="s">
        <v>11</v>
      </c>
      <c r="V138" s="135" t="s">
        <v>11</v>
      </c>
      <c r="X138" s="131" t="s">
        <v>11</v>
      </c>
      <c r="Y138" s="135"/>
      <c r="Z138" s="135" t="str">
        <f t="shared" si="5"/>
        <v/>
      </c>
      <c r="AB138" s="131" t="s">
        <v>11</v>
      </c>
      <c r="AC138" s="135"/>
      <c r="AD138" s="135" t="str">
        <f t="shared" si="6"/>
        <v/>
      </c>
      <c r="AF138" s="170"/>
      <c r="AG138" s="170" t="s">
        <v>11</v>
      </c>
      <c r="AH138" s="170" t="s">
        <v>11</v>
      </c>
    </row>
    <row r="139" spans="1:34" s="9" customFormat="1" ht="11.1" customHeight="1">
      <c r="A139" s="133" t="s">
        <v>543</v>
      </c>
      <c r="B139" s="134" t="s">
        <v>617</v>
      </c>
      <c r="C139" s="131">
        <f>SUM(C141)</f>
        <v>253554.85</v>
      </c>
      <c r="D139" s="131">
        <f>SUM(D141)</f>
        <v>312683.96000000002</v>
      </c>
      <c r="E139" s="131">
        <v>356794.41000000003</v>
      </c>
      <c r="F139" s="135">
        <v>1.9655160834273037E-3</v>
      </c>
      <c r="G139" s="135"/>
      <c r="H139" s="131">
        <v>374117.61917999998</v>
      </c>
      <c r="I139" s="135">
        <v>1.8466028426736896E-3</v>
      </c>
      <c r="J139" s="135">
        <v>4.8552355907145364E-2</v>
      </c>
      <c r="K139" s="135"/>
      <c r="L139" s="131">
        <v>427790.09480000002</v>
      </c>
      <c r="M139" s="135">
        <v>1.9041496934174085E-3</v>
      </c>
      <c r="N139" s="135">
        <v>0.1434641750838698</v>
      </c>
      <c r="O139" s="135"/>
      <c r="P139" s="136">
        <v>428039.87241000001</v>
      </c>
      <c r="Q139" s="135">
        <v>1.7182191443507169E-3</v>
      </c>
      <c r="R139" s="135">
        <v>5.8387890004037114E-4</v>
      </c>
      <c r="S139" s="135"/>
      <c r="T139" s="136">
        <v>416758.42070000002</v>
      </c>
      <c r="U139" s="135">
        <v>1.5607748343795082E-3</v>
      </c>
      <c r="V139" s="135">
        <v>-2.6356076704915007E-2</v>
      </c>
      <c r="X139" s="136">
        <f>+X141</f>
        <v>442293.31400000001</v>
      </c>
      <c r="Y139" s="135">
        <f t="shared" si="7"/>
        <v>1.4839310765227954E-3</v>
      </c>
      <c r="Z139" s="135">
        <f t="shared" si="5"/>
        <v>6.127025161749778E-2</v>
      </c>
      <c r="AB139" s="136">
        <f>+AB141</f>
        <v>376319.97737000004</v>
      </c>
      <c r="AC139" s="135">
        <f>+AB139/$X$11</f>
        <v>1.2625850119355369E-3</v>
      </c>
      <c r="AD139" s="135">
        <f t="shared" si="6"/>
        <v>-0.14916195778170857</v>
      </c>
      <c r="AF139" s="170">
        <v>401916.35500000004</v>
      </c>
      <c r="AG139" s="170">
        <v>1.0701348092790233E-3</v>
      </c>
      <c r="AH139" s="170">
        <v>6.8017589203970136E-2</v>
      </c>
    </row>
    <row r="140" spans="1:34" s="9" customFormat="1" ht="11.1" customHeight="1">
      <c r="A140" s="133"/>
      <c r="B140" s="134"/>
      <c r="C140" s="131"/>
      <c r="D140" s="131"/>
      <c r="E140" s="131"/>
      <c r="F140" s="135" t="s">
        <v>11</v>
      </c>
      <c r="G140" s="135"/>
      <c r="H140" s="131"/>
      <c r="I140" s="135" t="s">
        <v>11</v>
      </c>
      <c r="J140" s="135" t="s">
        <v>11</v>
      </c>
      <c r="K140" s="135"/>
      <c r="L140" s="131"/>
      <c r="M140" s="135" t="s">
        <v>11</v>
      </c>
      <c r="N140" s="135" t="s">
        <v>11</v>
      </c>
      <c r="O140" s="135"/>
      <c r="P140" s="136" t="s">
        <v>11</v>
      </c>
      <c r="Q140" s="135" t="s">
        <v>11</v>
      </c>
      <c r="R140" s="135" t="s">
        <v>11</v>
      </c>
      <c r="S140" s="135"/>
      <c r="T140" s="131" t="s">
        <v>11</v>
      </c>
      <c r="U140" s="135" t="s">
        <v>11</v>
      </c>
      <c r="V140" s="135" t="s">
        <v>11</v>
      </c>
      <c r="X140" s="131" t="s">
        <v>11</v>
      </c>
      <c r="Y140" s="135"/>
      <c r="Z140" s="135" t="str">
        <f t="shared" si="5"/>
        <v/>
      </c>
      <c r="AB140" s="131" t="s">
        <v>11</v>
      </c>
      <c r="AC140" s="135"/>
      <c r="AD140" s="135" t="str">
        <f t="shared" si="6"/>
        <v/>
      </c>
      <c r="AF140" s="170"/>
      <c r="AG140" s="170" t="s">
        <v>11</v>
      </c>
      <c r="AH140" s="170" t="s">
        <v>11</v>
      </c>
    </row>
    <row r="141" spans="1:34" s="9" customFormat="1" ht="11.1" customHeight="1">
      <c r="A141" s="133" t="s">
        <v>545</v>
      </c>
      <c r="B141" s="134" t="s">
        <v>618</v>
      </c>
      <c r="C141" s="131">
        <f>SUM(C143+C144)</f>
        <v>253554.85</v>
      </c>
      <c r="D141" s="131">
        <f>SUM(D143+D144)</f>
        <v>312683.96000000002</v>
      </c>
      <c r="E141" s="131">
        <v>356794.41000000003</v>
      </c>
      <c r="F141" s="135">
        <v>1.9655160834273037E-3</v>
      </c>
      <c r="G141" s="135"/>
      <c r="H141" s="131">
        <v>374117.61917999998</v>
      </c>
      <c r="I141" s="135">
        <v>1.8466028426736896E-3</v>
      </c>
      <c r="J141" s="135">
        <v>4.8552355907145364E-2</v>
      </c>
      <c r="K141" s="135"/>
      <c r="L141" s="131">
        <v>427790.09480000002</v>
      </c>
      <c r="M141" s="135">
        <v>1.9041496934174085E-3</v>
      </c>
      <c r="N141" s="135">
        <v>0.1434641750838698</v>
      </c>
      <c r="O141" s="135"/>
      <c r="P141" s="136">
        <v>428039.87241000001</v>
      </c>
      <c r="Q141" s="135">
        <v>1.7182191443507169E-3</v>
      </c>
      <c r="R141" s="135">
        <v>5.8387890004037114E-4</v>
      </c>
      <c r="S141" s="135"/>
      <c r="T141" s="136">
        <v>416758.42070000002</v>
      </c>
      <c r="U141" s="135">
        <v>1.5607748343795082E-3</v>
      </c>
      <c r="V141" s="135">
        <v>-2.6356076704915007E-2</v>
      </c>
      <c r="X141" s="136">
        <f>SUM(X143:X145)</f>
        <v>442293.31400000001</v>
      </c>
      <c r="Y141" s="135">
        <f t="shared" si="7"/>
        <v>1.4839310765227954E-3</v>
      </c>
      <c r="Z141" s="135">
        <f t="shared" si="5"/>
        <v>6.127025161749778E-2</v>
      </c>
      <c r="AB141" s="136">
        <f>SUM(AB143:AB145)</f>
        <v>376319.97737000004</v>
      </c>
      <c r="AC141" s="135">
        <f>+AB141/$X$11</f>
        <v>1.2625850119355369E-3</v>
      </c>
      <c r="AD141" s="135">
        <f t="shared" si="6"/>
        <v>-0.14916195778170857</v>
      </c>
      <c r="AF141" s="170">
        <v>401916.35500000004</v>
      </c>
      <c r="AG141" s="170">
        <v>1.0701348092790233E-3</v>
      </c>
      <c r="AH141" s="170">
        <v>6.8017589203970136E-2</v>
      </c>
    </row>
    <row r="142" spans="1:34" ht="11.1" customHeight="1">
      <c r="A142" s="130"/>
      <c r="B142" s="4"/>
      <c r="C142" s="107"/>
      <c r="D142" s="107"/>
      <c r="E142" s="107"/>
      <c r="F142" s="135" t="s">
        <v>11</v>
      </c>
      <c r="G142" s="135"/>
      <c r="H142" s="107"/>
      <c r="I142" s="135" t="s">
        <v>11</v>
      </c>
      <c r="J142" s="135" t="s">
        <v>11</v>
      </c>
      <c r="K142" s="135"/>
      <c r="L142" s="107"/>
      <c r="M142" s="135" t="s">
        <v>11</v>
      </c>
      <c r="N142" s="135" t="s">
        <v>11</v>
      </c>
      <c r="O142" s="135"/>
      <c r="P142" s="136" t="s">
        <v>11</v>
      </c>
      <c r="Q142" s="135" t="s">
        <v>11</v>
      </c>
      <c r="R142" s="135" t="s">
        <v>11</v>
      </c>
      <c r="S142" s="135"/>
      <c r="T142" s="131" t="s">
        <v>11</v>
      </c>
      <c r="U142" s="135" t="s">
        <v>11</v>
      </c>
      <c r="V142" s="135" t="s">
        <v>11</v>
      </c>
      <c r="X142" s="131" t="s">
        <v>11</v>
      </c>
      <c r="Y142" s="135"/>
      <c r="Z142" s="135" t="str">
        <f t="shared" si="5"/>
        <v/>
      </c>
      <c r="AB142" s="131" t="s">
        <v>11</v>
      </c>
      <c r="AC142" s="135"/>
      <c r="AD142" s="135" t="str">
        <f t="shared" si="6"/>
        <v/>
      </c>
      <c r="AF142" s="18"/>
      <c r="AG142" s="18" t="s">
        <v>11</v>
      </c>
      <c r="AH142" s="18" t="s">
        <v>11</v>
      </c>
    </row>
    <row r="143" spans="1:34" ht="11.1" customHeight="1">
      <c r="A143" s="139" t="s">
        <v>547</v>
      </c>
      <c r="B143" s="142" t="s">
        <v>619</v>
      </c>
      <c r="C143" s="143">
        <v>24452.75</v>
      </c>
      <c r="D143" s="143">
        <v>27132.13</v>
      </c>
      <c r="E143" s="143">
        <v>34325.22</v>
      </c>
      <c r="F143" s="135">
        <v>1.8909144898649212E-4</v>
      </c>
      <c r="G143" s="135"/>
      <c r="H143" s="143">
        <v>32366.745999999999</v>
      </c>
      <c r="I143" s="135">
        <v>1.5975864837026218E-4</v>
      </c>
      <c r="J143" s="135">
        <v>-5.7056415079058544E-2</v>
      </c>
      <c r="K143" s="135"/>
      <c r="L143" s="143">
        <v>33025.887000000002</v>
      </c>
      <c r="M143" s="135">
        <v>1.4700254487025579E-4</v>
      </c>
      <c r="N143" s="135">
        <v>2.0364759559085836E-2</v>
      </c>
      <c r="O143" s="135"/>
      <c r="P143" s="148">
        <v>30944.929</v>
      </c>
      <c r="Q143" s="135">
        <v>1.242177957137703E-4</v>
      </c>
      <c r="R143" s="135">
        <v>-6.3009904927004756E-2</v>
      </c>
      <c r="S143" s="135"/>
      <c r="T143" s="143">
        <v>26780.699700000001</v>
      </c>
      <c r="U143" s="135">
        <v>1.0029465527925887E-4</v>
      </c>
      <c r="V143" s="135">
        <v>-0.13456903714337168</v>
      </c>
      <c r="X143" s="143">
        <v>26270.702000000001</v>
      </c>
      <c r="Y143" s="135">
        <f t="shared" si="7"/>
        <v>8.8140403361081684E-5</v>
      </c>
      <c r="Z143" s="135">
        <f t="shared" si="5"/>
        <v>-1.9043479285942626E-2</v>
      </c>
      <c r="AB143" s="143">
        <f>21833558/1000</f>
        <v>21833.558000000001</v>
      </c>
      <c r="AC143" s="135">
        <f>+AB143/$X$11</f>
        <v>7.3253413971487012E-5</v>
      </c>
      <c r="AD143" s="135">
        <f t="shared" si="6"/>
        <v>-0.16890085388658438</v>
      </c>
      <c r="AF143" s="18">
        <v>22086.645</v>
      </c>
      <c r="AG143" s="18">
        <v>5.8807479070336638E-5</v>
      </c>
      <c r="AH143" s="18">
        <v>1.1591651713385401E-2</v>
      </c>
    </row>
    <row r="144" spans="1:34" ht="11.1" customHeight="1">
      <c r="A144" s="139" t="s">
        <v>547</v>
      </c>
      <c r="B144" s="142" t="s">
        <v>620</v>
      </c>
      <c r="C144" s="143">
        <v>229102.1</v>
      </c>
      <c r="D144" s="143">
        <v>285551.83</v>
      </c>
      <c r="E144" s="143">
        <v>322469.19</v>
      </c>
      <c r="F144" s="135">
        <v>1.7764246344408115E-3</v>
      </c>
      <c r="G144" s="135"/>
      <c r="H144" s="143">
        <v>341750.87318</v>
      </c>
      <c r="I144" s="135">
        <v>1.6868441943034276E-3</v>
      </c>
      <c r="J144" s="135">
        <v>5.9793877300339894E-2</v>
      </c>
      <c r="K144" s="135"/>
      <c r="L144" s="143">
        <v>394764.20780000003</v>
      </c>
      <c r="M144" s="135">
        <v>1.7571471485471528E-3</v>
      </c>
      <c r="N144" s="135">
        <v>0.15512274811973323</v>
      </c>
      <c r="O144" s="135"/>
      <c r="P144" s="148">
        <v>389416.09801000002</v>
      </c>
      <c r="Q144" s="135">
        <v>1.56317725951996E-3</v>
      </c>
      <c r="R144" s="135">
        <v>-1.3547605594247636E-2</v>
      </c>
      <c r="S144" s="135"/>
      <c r="T144" s="143">
        <v>389977.72100000002</v>
      </c>
      <c r="U144" s="135">
        <v>1.4604801791002493E-3</v>
      </c>
      <c r="V144" s="135">
        <v>1.4422182156054095E-3</v>
      </c>
      <c r="X144" s="143">
        <v>416022.61200000002</v>
      </c>
      <c r="Y144" s="135">
        <f t="shared" si="7"/>
        <v>1.3957906731617137E-3</v>
      </c>
      <c r="Z144" s="135">
        <f t="shared" si="5"/>
        <v>6.6785586964338409E-2</v>
      </c>
      <c r="AB144" s="143">
        <f>354486419.37/1000</f>
        <v>354486.41937000002</v>
      </c>
      <c r="AC144" s="135">
        <f>+AB144/$X$11</f>
        <v>1.1893315979640499E-3</v>
      </c>
      <c r="AD144" s="135">
        <f t="shared" si="6"/>
        <v>-0.14791549991518249</v>
      </c>
      <c r="AF144" s="18">
        <v>379829.71</v>
      </c>
      <c r="AG144" s="18">
        <v>1.0113273302086866E-3</v>
      </c>
      <c r="AH144" s="18">
        <v>7.1492980394116598E-2</v>
      </c>
    </row>
    <row r="145" spans="1:34" ht="11.1" customHeight="1">
      <c r="A145" s="139"/>
      <c r="B145" s="142" t="s">
        <v>621</v>
      </c>
      <c r="C145" s="143">
        <v>0</v>
      </c>
      <c r="D145" s="143">
        <v>0</v>
      </c>
      <c r="E145" s="143">
        <v>0</v>
      </c>
      <c r="F145" s="135">
        <v>0</v>
      </c>
      <c r="G145" s="135"/>
      <c r="H145" s="143">
        <v>0</v>
      </c>
      <c r="I145" s="135" t="s">
        <v>11</v>
      </c>
      <c r="J145" s="135">
        <v>0</v>
      </c>
      <c r="K145" s="135"/>
      <c r="L145" s="143">
        <v>0</v>
      </c>
      <c r="M145" s="135" t="s">
        <v>11</v>
      </c>
      <c r="N145" s="135">
        <v>0</v>
      </c>
      <c r="O145" s="135"/>
      <c r="P145" s="148">
        <v>7678.8454000000002</v>
      </c>
      <c r="Q145" s="135">
        <v>3.082408911698666E-5</v>
      </c>
      <c r="R145" s="135">
        <v>0</v>
      </c>
      <c r="S145" s="135"/>
      <c r="T145" s="143">
        <v>0</v>
      </c>
      <c r="U145" s="135">
        <v>0</v>
      </c>
      <c r="V145" s="135">
        <v>-1</v>
      </c>
      <c r="X145" s="143">
        <v>0</v>
      </c>
      <c r="Y145" s="135">
        <f t="shared" si="7"/>
        <v>0</v>
      </c>
      <c r="Z145" s="135" t="str">
        <f t="shared" si="5"/>
        <v/>
      </c>
      <c r="AB145" s="143">
        <v>0</v>
      </c>
      <c r="AC145" s="135">
        <f>+AB145/$X$11</f>
        <v>0</v>
      </c>
      <c r="AD145" s="135" t="str">
        <f t="shared" si="6"/>
        <v/>
      </c>
      <c r="AF145" s="18">
        <v>0</v>
      </c>
      <c r="AG145" s="18">
        <v>0</v>
      </c>
      <c r="AH145" s="18"/>
    </row>
    <row r="146" spans="1:34" ht="11.1" customHeight="1">
      <c r="A146" s="130"/>
      <c r="B146" s="4"/>
      <c r="C146" s="107"/>
      <c r="D146" s="107"/>
      <c r="E146" s="107"/>
      <c r="F146" s="135" t="s">
        <v>11</v>
      </c>
      <c r="G146" s="135"/>
      <c r="H146" s="107"/>
      <c r="I146" s="135" t="s">
        <v>11</v>
      </c>
      <c r="J146" s="135" t="s">
        <v>11</v>
      </c>
      <c r="K146" s="135"/>
      <c r="L146" s="107"/>
      <c r="M146" s="135" t="s">
        <v>11</v>
      </c>
      <c r="N146" s="135" t="s">
        <v>11</v>
      </c>
      <c r="O146" s="135"/>
      <c r="P146" s="136" t="s">
        <v>11</v>
      </c>
      <c r="Q146" s="135" t="s">
        <v>11</v>
      </c>
      <c r="R146" s="135" t="s">
        <v>11</v>
      </c>
      <c r="S146" s="135"/>
      <c r="T146" s="131" t="s">
        <v>11</v>
      </c>
      <c r="U146" s="135" t="s">
        <v>11</v>
      </c>
      <c r="V146" s="135" t="s">
        <v>11</v>
      </c>
      <c r="X146" s="131" t="s">
        <v>11</v>
      </c>
      <c r="Y146" s="135"/>
      <c r="Z146" s="135" t="str">
        <f t="shared" si="5"/>
        <v/>
      </c>
      <c r="AB146" s="131" t="s">
        <v>11</v>
      </c>
      <c r="AC146" s="135"/>
      <c r="AD146" s="135" t="str">
        <f t="shared" si="6"/>
        <v/>
      </c>
      <c r="AF146" s="18"/>
      <c r="AG146" s="18" t="s">
        <v>11</v>
      </c>
      <c r="AH146" s="18" t="s">
        <v>11</v>
      </c>
    </row>
    <row r="147" spans="1:34" s="9" customFormat="1" ht="11.1" customHeight="1">
      <c r="A147" s="133" t="s">
        <v>541</v>
      </c>
      <c r="B147" s="134" t="s">
        <v>622</v>
      </c>
      <c r="C147" s="131">
        <f>C149+C162</f>
        <v>360740.41000000003</v>
      </c>
      <c r="D147" s="131">
        <f>D149+D162</f>
        <v>250986</v>
      </c>
      <c r="E147" s="131">
        <v>277091.19</v>
      </c>
      <c r="F147" s="135">
        <v>1.5264454129788939E-3</v>
      </c>
      <c r="G147" s="135"/>
      <c r="H147" s="131">
        <v>269927.45888000005</v>
      </c>
      <c r="I147" s="135">
        <v>1.3323318318340786E-3</v>
      </c>
      <c r="J147" s="135">
        <v>-2.5853334131626316E-2</v>
      </c>
      <c r="K147" s="135"/>
      <c r="L147" s="131">
        <v>541089.67697999999</v>
      </c>
      <c r="M147" s="135">
        <v>2.4084609603092465E-3</v>
      </c>
      <c r="N147" s="135">
        <v>1.0045744113071091</v>
      </c>
      <c r="O147" s="135"/>
      <c r="P147" s="136">
        <v>537328.16546000005</v>
      </c>
      <c r="Q147" s="135">
        <v>2.1569194839117342E-3</v>
      </c>
      <c r="R147" s="135">
        <v>-6.9517340286256776E-3</v>
      </c>
      <c r="S147" s="135"/>
      <c r="T147" s="136">
        <v>571239.91262999992</v>
      </c>
      <c r="U147" s="135">
        <v>2.1393134145400909E-3</v>
      </c>
      <c r="V147" s="135">
        <v>6.3111798989670384E-2</v>
      </c>
      <c r="X147" s="136">
        <f>+X149+X162</f>
        <v>669444.40231000003</v>
      </c>
      <c r="Y147" s="135">
        <f t="shared" si="7"/>
        <v>2.2460419842386262E-3</v>
      </c>
      <c r="Z147" s="135">
        <f t="shared" si="5"/>
        <v>0.17191461504828101</v>
      </c>
      <c r="AB147" s="136">
        <f>+AB149+AB162</f>
        <v>780453.77036999993</v>
      </c>
      <c r="AC147" s="135">
        <f>+AB147/$X$11</f>
        <v>2.6184877025779065E-3</v>
      </c>
      <c r="AD147" s="135">
        <f t="shared" si="6"/>
        <v>0.16582313285008948</v>
      </c>
      <c r="AF147" s="170">
        <v>961729.2361499999</v>
      </c>
      <c r="AG147" s="170">
        <v>2.5606818928914717E-3</v>
      </c>
      <c r="AH147" s="170">
        <v>0.23226931903226034</v>
      </c>
    </row>
    <row r="148" spans="1:34" s="9" customFormat="1" ht="11.1" customHeight="1">
      <c r="A148" s="133"/>
      <c r="B148" s="134"/>
      <c r="C148" s="131"/>
      <c r="D148" s="131"/>
      <c r="E148" s="131"/>
      <c r="F148" s="135" t="s">
        <v>11</v>
      </c>
      <c r="G148" s="135"/>
      <c r="H148" s="131"/>
      <c r="I148" s="135" t="s">
        <v>11</v>
      </c>
      <c r="J148" s="135" t="s">
        <v>11</v>
      </c>
      <c r="K148" s="135"/>
      <c r="L148" s="131"/>
      <c r="M148" s="135" t="s">
        <v>11</v>
      </c>
      <c r="N148" s="135" t="s">
        <v>11</v>
      </c>
      <c r="O148" s="135"/>
      <c r="P148" s="136" t="s">
        <v>11</v>
      </c>
      <c r="Q148" s="135" t="s">
        <v>11</v>
      </c>
      <c r="R148" s="135" t="s">
        <v>11</v>
      </c>
      <c r="S148" s="135"/>
      <c r="T148" s="131" t="s">
        <v>11</v>
      </c>
      <c r="U148" s="135" t="s">
        <v>11</v>
      </c>
      <c r="V148" s="135" t="s">
        <v>11</v>
      </c>
      <c r="X148" s="131" t="s">
        <v>11</v>
      </c>
      <c r="Y148" s="135"/>
      <c r="Z148" s="135" t="str">
        <f t="shared" si="5"/>
        <v/>
      </c>
      <c r="AB148" s="131" t="s">
        <v>11</v>
      </c>
      <c r="AC148" s="135"/>
      <c r="AD148" s="135" t="str">
        <f t="shared" si="6"/>
        <v/>
      </c>
      <c r="AF148" s="18"/>
      <c r="AG148" s="18" t="s">
        <v>11</v>
      </c>
      <c r="AH148" s="18" t="s">
        <v>11</v>
      </c>
    </row>
    <row r="149" spans="1:34" s="9" customFormat="1" ht="11.1" customHeight="1">
      <c r="A149" s="133" t="s">
        <v>541</v>
      </c>
      <c r="B149" s="134" t="s">
        <v>623</v>
      </c>
      <c r="C149" s="131">
        <f>SUM(C151:C159)</f>
        <v>360740.41000000003</v>
      </c>
      <c r="D149" s="131">
        <f>SUM(D151:D159)</f>
        <v>250986</v>
      </c>
      <c r="E149" s="131">
        <v>277091.19</v>
      </c>
      <c r="F149" s="135">
        <v>1.5264454129788939E-3</v>
      </c>
      <c r="G149" s="135"/>
      <c r="H149" s="131">
        <v>269920.55888000003</v>
      </c>
      <c r="I149" s="135">
        <v>1.3322977742036403E-3</v>
      </c>
      <c r="J149" s="135">
        <v>-2.5878235681184872E-2</v>
      </c>
      <c r="K149" s="135"/>
      <c r="L149" s="131">
        <v>541089.67697999999</v>
      </c>
      <c r="M149" s="135">
        <v>2.4084609603092465E-3</v>
      </c>
      <c r="N149" s="135">
        <v>1.004625654396911</v>
      </c>
      <c r="O149" s="135"/>
      <c r="P149" s="136">
        <v>314614.46631000005</v>
      </c>
      <c r="Q149" s="135">
        <v>1.2629117845024771E-3</v>
      </c>
      <c r="R149" s="135">
        <v>-0.41855392979225331</v>
      </c>
      <c r="S149" s="135"/>
      <c r="T149" s="136">
        <v>570152.70014999993</v>
      </c>
      <c r="U149" s="135">
        <v>2.1352417658483691E-3</v>
      </c>
      <c r="V149" s="135">
        <v>0.81222658588181262</v>
      </c>
      <c r="X149" s="136">
        <f>SUM(X151:X160)</f>
        <v>669444.40231000003</v>
      </c>
      <c r="Y149" s="135">
        <f t="shared" si="7"/>
        <v>2.2460419842386262E-3</v>
      </c>
      <c r="Z149" s="135">
        <f t="shared" si="5"/>
        <v>0.17414931497102043</v>
      </c>
      <c r="AB149" s="136">
        <f>SUM(AB151:AB160)</f>
        <v>779997.46422999993</v>
      </c>
      <c r="AC149" s="135">
        <f>+AB149/$X$11</f>
        <v>2.616956757297657E-3</v>
      </c>
      <c r="AD149" s="135">
        <f t="shared" si="6"/>
        <v>0.1651415136768983</v>
      </c>
      <c r="AF149" s="170">
        <v>960399.2361499999</v>
      </c>
      <c r="AG149" s="170">
        <v>2.5571406602975877E-3</v>
      </c>
      <c r="AH149" s="170">
        <v>0.23128507487917219</v>
      </c>
    </row>
    <row r="150" spans="1:34" ht="11.1" customHeight="1">
      <c r="A150" s="130"/>
      <c r="B150" s="142"/>
      <c r="C150" s="107"/>
      <c r="D150" s="107"/>
      <c r="E150" s="107"/>
      <c r="F150" s="135" t="s">
        <v>11</v>
      </c>
      <c r="G150" s="135"/>
      <c r="H150" s="107"/>
      <c r="I150" s="135" t="s">
        <v>11</v>
      </c>
      <c r="J150" s="135" t="s">
        <v>11</v>
      </c>
      <c r="K150" s="135"/>
      <c r="L150" s="107"/>
      <c r="M150" s="135" t="s">
        <v>11</v>
      </c>
      <c r="N150" s="135" t="s">
        <v>11</v>
      </c>
      <c r="O150" s="135"/>
      <c r="P150" s="136" t="s">
        <v>11</v>
      </c>
      <c r="Q150" s="135" t="s">
        <v>11</v>
      </c>
      <c r="R150" s="135" t="s">
        <v>11</v>
      </c>
      <c r="S150" s="135"/>
      <c r="T150" s="131" t="s">
        <v>11</v>
      </c>
      <c r="U150" s="135" t="s">
        <v>11</v>
      </c>
      <c r="V150" s="135" t="s">
        <v>11</v>
      </c>
      <c r="X150" s="131" t="s">
        <v>11</v>
      </c>
      <c r="Y150" s="135"/>
      <c r="Z150" s="135" t="str">
        <f t="shared" si="5"/>
        <v/>
      </c>
      <c r="AB150" s="131" t="s">
        <v>11</v>
      </c>
      <c r="AC150" s="135"/>
      <c r="AD150" s="135" t="str">
        <f t="shared" si="6"/>
        <v/>
      </c>
      <c r="AF150" s="170"/>
      <c r="AG150" s="170" t="s">
        <v>11</v>
      </c>
      <c r="AH150" s="170" t="s">
        <v>11</v>
      </c>
    </row>
    <row r="151" spans="1:34" ht="11.1" customHeight="1">
      <c r="A151" s="130"/>
      <c r="B151" s="142" t="s">
        <v>624</v>
      </c>
      <c r="C151" s="143">
        <v>12964.93</v>
      </c>
      <c r="D151" s="143">
        <v>21412.42</v>
      </c>
      <c r="E151" s="143">
        <v>736.72</v>
      </c>
      <c r="F151" s="135">
        <v>4.05845766749138E-6</v>
      </c>
      <c r="G151" s="135"/>
      <c r="H151" s="143">
        <v>10390.055470000001</v>
      </c>
      <c r="I151" s="135">
        <v>5.1284154989792592E-5</v>
      </c>
      <c r="J151" s="135">
        <v>13.103126655988708</v>
      </c>
      <c r="K151" s="135"/>
      <c r="L151" s="143">
        <v>39571.817799999997</v>
      </c>
      <c r="M151" s="135">
        <v>1.7613933947457902E-4</v>
      </c>
      <c r="N151" s="135">
        <v>2.8086243056409779</v>
      </c>
      <c r="O151" s="135"/>
      <c r="P151" s="148">
        <v>21002.047649999997</v>
      </c>
      <c r="Q151" s="135">
        <v>8.4305511399252833E-5</v>
      </c>
      <c r="R151" s="135">
        <v>-0.46926755409249865</v>
      </c>
      <c r="S151" s="135"/>
      <c r="T151" s="143">
        <v>42971.381780000003</v>
      </c>
      <c r="U151" s="135">
        <v>1.6092932487863734E-4</v>
      </c>
      <c r="V151" s="135">
        <v>1.046056770088321</v>
      </c>
      <c r="X151" s="143">
        <v>108156.95634</v>
      </c>
      <c r="Y151" s="135">
        <f t="shared" si="7"/>
        <v>3.628756383485489E-4</v>
      </c>
      <c r="Z151" s="135">
        <f t="shared" si="5"/>
        <v>1.5169531874429754</v>
      </c>
      <c r="AB151" s="143">
        <f>72799998.39/1000</f>
        <v>72799.998389999993</v>
      </c>
      <c r="AC151" s="135">
        <f t="shared" ref="AC151:AC160" si="9">+AB151/$X$11</f>
        <v>2.4425008600001234E-4</v>
      </c>
      <c r="AD151" s="135">
        <f t="shared" si="6"/>
        <v>-0.3269041506572411</v>
      </c>
      <c r="AF151" s="170">
        <v>8789.1135699999995</v>
      </c>
      <c r="AG151" s="170">
        <v>2.3401725898821966E-5</v>
      </c>
      <c r="AH151" s="170">
        <v>-0.87927041532452421</v>
      </c>
    </row>
    <row r="152" spans="1:34" ht="11.1" customHeight="1">
      <c r="A152" s="130"/>
      <c r="B152" s="142" t="s">
        <v>625</v>
      </c>
      <c r="C152" s="143">
        <v>25796.44</v>
      </c>
      <c r="D152" s="143">
        <v>56500.72</v>
      </c>
      <c r="E152" s="143">
        <v>30574.47</v>
      </c>
      <c r="F152" s="135">
        <v>1.6842924340452976E-4</v>
      </c>
      <c r="G152" s="135"/>
      <c r="H152" s="143">
        <v>69325.326159999997</v>
      </c>
      <c r="I152" s="135">
        <v>3.4218207802382043E-4</v>
      </c>
      <c r="J152" s="135">
        <v>1.2674252786720421</v>
      </c>
      <c r="K152" s="135"/>
      <c r="L152" s="143">
        <v>80647.588409999997</v>
      </c>
      <c r="M152" s="135">
        <v>3.589729697167239E-4</v>
      </c>
      <c r="N152" s="135">
        <v>0.16332072097098663</v>
      </c>
      <c r="O152" s="135"/>
      <c r="P152" s="148">
        <v>57086.763490000005</v>
      </c>
      <c r="Q152" s="135">
        <v>2.2915521716534369E-4</v>
      </c>
      <c r="R152" s="135">
        <v>-0.29214543651597324</v>
      </c>
      <c r="S152" s="135"/>
      <c r="T152" s="143">
        <v>217487.50748</v>
      </c>
      <c r="U152" s="135">
        <v>8.1449830790835667E-4</v>
      </c>
      <c r="V152" s="135">
        <v>2.8097712006058582</v>
      </c>
      <c r="X152" s="143">
        <v>173824.99059999999</v>
      </c>
      <c r="Y152" s="135">
        <f t="shared" si="7"/>
        <v>5.8319738793886173E-4</v>
      </c>
      <c r="Z152" s="135">
        <f t="shared" si="5"/>
        <v>-0.20075873500005598</v>
      </c>
      <c r="AB152" s="143">
        <f>336472779.21/1000</f>
        <v>336472.77920999995</v>
      </c>
      <c r="AC152" s="135">
        <f t="shared" si="9"/>
        <v>1.1288943279701309E-3</v>
      </c>
      <c r="AD152" s="135">
        <f t="shared" si="6"/>
        <v>0.93569853246406542</v>
      </c>
      <c r="AF152" s="18">
        <v>243654.99255000002</v>
      </c>
      <c r="AG152" s="18">
        <v>6.4875112878244547E-4</v>
      </c>
      <c r="AH152" s="18">
        <v>-0.27585526198560728</v>
      </c>
    </row>
    <row r="153" spans="1:34" ht="11.1" customHeight="1">
      <c r="A153" s="130"/>
      <c r="B153" s="142" t="s">
        <v>626</v>
      </c>
      <c r="C153" s="143">
        <v>154016.28</v>
      </c>
      <c r="D153" s="143">
        <v>0</v>
      </c>
      <c r="E153" s="143">
        <v>0</v>
      </c>
      <c r="F153" s="135">
        <v>0</v>
      </c>
      <c r="G153" s="135"/>
      <c r="H153" s="143">
        <v>0</v>
      </c>
      <c r="I153" s="135" t="s">
        <v>11</v>
      </c>
      <c r="J153" s="135">
        <v>0</v>
      </c>
      <c r="K153" s="135"/>
      <c r="L153" s="143">
        <v>0</v>
      </c>
      <c r="M153" s="135" t="s">
        <v>11</v>
      </c>
      <c r="N153" s="135">
        <v>0</v>
      </c>
      <c r="O153" s="135"/>
      <c r="P153" s="148">
        <v>0</v>
      </c>
      <c r="Q153" s="135">
        <v>0</v>
      </c>
      <c r="R153" s="135">
        <v>0</v>
      </c>
      <c r="S153" s="135"/>
      <c r="T153" s="143">
        <v>0</v>
      </c>
      <c r="U153" s="135">
        <v>0</v>
      </c>
      <c r="V153" s="135">
        <v>0</v>
      </c>
      <c r="X153" s="143">
        <v>0</v>
      </c>
      <c r="Y153" s="135">
        <f t="shared" si="7"/>
        <v>0</v>
      </c>
      <c r="Z153" s="135"/>
      <c r="AB153" s="143">
        <v>0</v>
      </c>
      <c r="AC153" s="135">
        <f t="shared" si="9"/>
        <v>0</v>
      </c>
      <c r="AD153" s="135" t="e">
        <f t="shared" si="6"/>
        <v>#DIV/0!</v>
      </c>
      <c r="AF153" s="18">
        <v>0</v>
      </c>
      <c r="AG153" s="18">
        <v>0</v>
      </c>
      <c r="AH153" s="18"/>
    </row>
    <row r="154" spans="1:34" ht="11.1" customHeight="1">
      <c r="A154" s="130"/>
      <c r="B154" s="142" t="s">
        <v>627</v>
      </c>
      <c r="C154" s="143">
        <v>18643.98</v>
      </c>
      <c r="D154" s="143">
        <v>13782.38</v>
      </c>
      <c r="E154" s="143">
        <v>550.1</v>
      </c>
      <c r="F154" s="135">
        <v>3.0304017304905637E-6</v>
      </c>
      <c r="G154" s="135"/>
      <c r="H154" s="143">
        <v>2080.1313799999998</v>
      </c>
      <c r="I154" s="135">
        <v>1.026729649317754E-5</v>
      </c>
      <c r="J154" s="135">
        <v>2.7813695328122159</v>
      </c>
      <c r="K154" s="135"/>
      <c r="L154" s="143">
        <v>38579.869490000005</v>
      </c>
      <c r="M154" s="135">
        <v>1.717240477384404E-4</v>
      </c>
      <c r="N154" s="135">
        <v>17.546842695099389</v>
      </c>
      <c r="O154" s="135"/>
      <c r="P154" s="148">
        <v>42619.846140000001</v>
      </c>
      <c r="Q154" s="135">
        <v>1.7108274319100366E-4</v>
      </c>
      <c r="R154" s="135">
        <v>0.10471721919762245</v>
      </c>
      <c r="S154" s="135"/>
      <c r="T154" s="143">
        <v>132976.42515999998</v>
      </c>
      <c r="U154" s="135">
        <v>4.9800135437426092E-4</v>
      </c>
      <c r="V154" s="135">
        <v>2.1200587802028132</v>
      </c>
      <c r="X154" s="143">
        <v>23564.155930000001</v>
      </c>
      <c r="Y154" s="135">
        <f t="shared" si="7"/>
        <v>7.9059714831131072E-5</v>
      </c>
      <c r="Z154" s="135">
        <f t="shared" si="5"/>
        <v>-0.82279448479948891</v>
      </c>
      <c r="AB154" s="143">
        <f>46682652.56/1000</f>
        <v>46682.652560000002</v>
      </c>
      <c r="AC154" s="135">
        <f t="shared" si="9"/>
        <v>1.5662420542106689E-4</v>
      </c>
      <c r="AD154" s="135">
        <f t="shared" si="6"/>
        <v>0.98108740659653237</v>
      </c>
      <c r="AF154" s="18">
        <v>0</v>
      </c>
      <c r="AG154" s="18">
        <v>0</v>
      </c>
      <c r="AH154" s="18">
        <v>-1</v>
      </c>
    </row>
    <row r="155" spans="1:34" ht="11.1" customHeight="1">
      <c r="A155" s="130"/>
      <c r="B155" s="107" t="s">
        <v>628</v>
      </c>
      <c r="C155" s="143">
        <v>5.6</v>
      </c>
      <c r="D155" s="143">
        <v>0</v>
      </c>
      <c r="E155" s="143">
        <v>0</v>
      </c>
      <c r="F155" s="135">
        <v>0</v>
      </c>
      <c r="G155" s="135"/>
      <c r="H155" s="143">
        <v>0</v>
      </c>
      <c r="I155" s="135" t="s">
        <v>11</v>
      </c>
      <c r="J155" s="135">
        <v>0</v>
      </c>
      <c r="K155" s="135"/>
      <c r="L155" s="143">
        <v>0</v>
      </c>
      <c r="M155" s="135" t="s">
        <v>11</v>
      </c>
      <c r="N155" s="135">
        <v>0</v>
      </c>
      <c r="O155" s="135"/>
      <c r="P155" s="148">
        <v>0</v>
      </c>
      <c r="Q155" s="135">
        <v>0</v>
      </c>
      <c r="R155" s="135">
        <v>0</v>
      </c>
      <c r="S155" s="135"/>
      <c r="T155" s="143">
        <v>0</v>
      </c>
      <c r="U155" s="135">
        <v>0</v>
      </c>
      <c r="V155" s="135">
        <v>0</v>
      </c>
      <c r="X155" s="143">
        <v>0</v>
      </c>
      <c r="Y155" s="135">
        <f t="shared" si="7"/>
        <v>0</v>
      </c>
      <c r="Z155" s="135"/>
      <c r="AB155" s="143">
        <v>0</v>
      </c>
      <c r="AC155" s="135">
        <f t="shared" si="9"/>
        <v>0</v>
      </c>
      <c r="AD155" s="135" t="e">
        <f t="shared" si="6"/>
        <v>#DIV/0!</v>
      </c>
      <c r="AF155" s="18">
        <v>0</v>
      </c>
      <c r="AG155" s="18">
        <v>0</v>
      </c>
      <c r="AH155" s="18"/>
    </row>
    <row r="156" spans="1:34" ht="11.1" customHeight="1">
      <c r="A156" s="130"/>
      <c r="B156" s="142" t="s">
        <v>629</v>
      </c>
      <c r="C156" s="143">
        <v>1392.88</v>
      </c>
      <c r="D156" s="143">
        <v>2210.9899999999998</v>
      </c>
      <c r="E156" s="143">
        <v>3132.02</v>
      </c>
      <c r="F156" s="135">
        <v>1.725373355377396E-5</v>
      </c>
      <c r="G156" s="135"/>
      <c r="H156" s="143">
        <v>3923.86375</v>
      </c>
      <c r="I156" s="135">
        <v>1.9367753838741415E-5</v>
      </c>
      <c r="J156" s="135">
        <v>0.25282206052324058</v>
      </c>
      <c r="K156" s="135"/>
      <c r="L156" s="143">
        <v>4263.3829999999998</v>
      </c>
      <c r="M156" s="135">
        <v>1.8976875647778536E-5</v>
      </c>
      <c r="N156" s="135">
        <v>8.6526768417991021E-2</v>
      </c>
      <c r="O156" s="135"/>
      <c r="P156" s="148">
        <v>4015.9886000000001</v>
      </c>
      <c r="Q156" s="135">
        <v>1.612080775831253E-5</v>
      </c>
      <c r="R156" s="135">
        <v>-5.8027721178228575E-2</v>
      </c>
      <c r="S156" s="135"/>
      <c r="T156" s="143">
        <v>4771.3360000000002</v>
      </c>
      <c r="U156" s="135">
        <v>1.7868819885296647E-5</v>
      </c>
      <c r="V156" s="135">
        <v>0.18808504585894495</v>
      </c>
      <c r="X156" s="143">
        <v>5393.4525000000003</v>
      </c>
      <c r="Y156" s="135">
        <f t="shared" si="7"/>
        <v>1.8095484424391644E-5</v>
      </c>
      <c r="Z156" s="135">
        <f t="shared" si="5"/>
        <v>0.13038622725375032</v>
      </c>
      <c r="AB156" s="143">
        <f>8385525/1000</f>
        <v>8385.5249999999996</v>
      </c>
      <c r="AC156" s="135">
        <f t="shared" si="9"/>
        <v>2.8134138017873845E-5</v>
      </c>
      <c r="AD156" s="135">
        <f t="shared" si="6"/>
        <v>0.55476014667784668</v>
      </c>
      <c r="AF156" s="18">
        <v>0</v>
      </c>
      <c r="AG156" s="18">
        <v>0</v>
      </c>
      <c r="AH156" s="18">
        <v>-1</v>
      </c>
    </row>
    <row r="157" spans="1:34" ht="11.1" customHeight="1">
      <c r="A157" s="130"/>
      <c r="B157" s="4" t="s">
        <v>630</v>
      </c>
      <c r="C157" s="143"/>
      <c r="D157" s="143"/>
      <c r="E157" s="143"/>
      <c r="F157" s="135">
        <v>0</v>
      </c>
      <c r="G157" s="135"/>
      <c r="H157" s="143"/>
      <c r="I157" s="135" t="s">
        <v>11</v>
      </c>
      <c r="J157" s="135">
        <v>0</v>
      </c>
      <c r="K157" s="135"/>
      <c r="L157" s="143">
        <v>0</v>
      </c>
      <c r="M157" s="135" t="s">
        <v>11</v>
      </c>
      <c r="N157" s="135">
        <v>0</v>
      </c>
      <c r="O157" s="135"/>
      <c r="P157" s="148">
        <v>0</v>
      </c>
      <c r="Q157" s="135">
        <v>0</v>
      </c>
      <c r="R157" s="135">
        <v>0</v>
      </c>
      <c r="S157" s="135"/>
      <c r="T157" s="143">
        <v>4278.4452499999998</v>
      </c>
      <c r="U157" s="135">
        <v>1.6022926819941621E-5</v>
      </c>
      <c r="V157" s="135">
        <v>0</v>
      </c>
      <c r="X157" s="143">
        <v>6453.9538499999999</v>
      </c>
      <c r="Y157" s="135">
        <f t="shared" si="7"/>
        <v>2.1653555189077401E-5</v>
      </c>
      <c r="Z157" s="135" t="str">
        <f t="shared" si="5"/>
        <v/>
      </c>
      <c r="AB157" s="143">
        <f>3731218.15/1000</f>
        <v>3731.2181499999997</v>
      </c>
      <c r="AC157" s="135">
        <f t="shared" si="9"/>
        <v>1.2518549095840261E-5</v>
      </c>
      <c r="AD157" s="135" t="str">
        <f t="shared" si="6"/>
        <v/>
      </c>
      <c r="AF157" s="170">
        <v>11028.141</v>
      </c>
      <c r="AG157" s="170">
        <v>2.9363317563270534E-5</v>
      </c>
      <c r="AH157" s="170">
        <v>1.9556409077823553</v>
      </c>
    </row>
    <row r="158" spans="1:34" ht="11.1" customHeight="1">
      <c r="A158" s="130"/>
      <c r="B158" s="4" t="s">
        <v>631</v>
      </c>
      <c r="C158" s="143"/>
      <c r="D158" s="143"/>
      <c r="E158" s="143"/>
      <c r="F158" s="135"/>
      <c r="G158" s="135"/>
      <c r="H158" s="143"/>
      <c r="I158" s="135"/>
      <c r="J158" s="135"/>
      <c r="K158" s="135"/>
      <c r="L158" s="143"/>
      <c r="M158" s="135"/>
      <c r="N158" s="135"/>
      <c r="O158" s="135"/>
      <c r="P158" s="148"/>
      <c r="Q158" s="135"/>
      <c r="R158" s="135"/>
      <c r="S158" s="135"/>
      <c r="T158" s="143"/>
      <c r="U158" s="135"/>
      <c r="V158" s="135"/>
      <c r="X158" s="143"/>
      <c r="Y158" s="135"/>
      <c r="Z158" s="135"/>
      <c r="AB158" s="143">
        <f>76859.05/1000</f>
        <v>76.859049999999996</v>
      </c>
      <c r="AC158" s="135">
        <f t="shared" si="9"/>
        <v>2.5786854378499459E-7</v>
      </c>
      <c r="AD158" s="135" t="str">
        <f>IF(C158&lt;&gt;0,(AB158-X158)/X158,"")</f>
        <v/>
      </c>
      <c r="AF158" s="170">
        <v>28691.1407</v>
      </c>
      <c r="AG158" s="170">
        <v>7.6392483159815972E-5</v>
      </c>
      <c r="AH158" s="170">
        <v>372.29554164408751</v>
      </c>
    </row>
    <row r="159" spans="1:34" ht="11.1" customHeight="1">
      <c r="A159" s="130"/>
      <c r="B159" s="142" t="s">
        <v>632</v>
      </c>
      <c r="C159" s="143">
        <v>147920.29999999999</v>
      </c>
      <c r="D159" s="143">
        <v>157079.49</v>
      </c>
      <c r="E159" s="143">
        <v>242097.88</v>
      </c>
      <c r="F159" s="135">
        <v>1.3336735766226082E-3</v>
      </c>
      <c r="G159" s="135"/>
      <c r="H159" s="143">
        <v>184201.18212000001</v>
      </c>
      <c r="I159" s="135">
        <v>9.091964908581082E-4</v>
      </c>
      <c r="J159" s="135">
        <v>-0.23914582762971734</v>
      </c>
      <c r="K159" s="135"/>
      <c r="L159" s="143">
        <v>378027.01827999996</v>
      </c>
      <c r="M159" s="135">
        <v>1.6826477277317245E-3</v>
      </c>
      <c r="N159" s="135">
        <v>1.0522507723849994</v>
      </c>
      <c r="O159" s="135"/>
      <c r="P159" s="148">
        <v>189889.82043000002</v>
      </c>
      <c r="Q159" s="135">
        <v>7.6224750498856439E-4</v>
      </c>
      <c r="R159" s="135">
        <v>-0.49768188185599216</v>
      </c>
      <c r="S159" s="135"/>
      <c r="T159" s="143">
        <v>167667.60447999998</v>
      </c>
      <c r="U159" s="135">
        <v>6.2792103198187606E-4</v>
      </c>
      <c r="V159" s="135">
        <v>-0.11702689433103088</v>
      </c>
      <c r="X159" s="143">
        <v>274231.32238999999</v>
      </c>
      <c r="Y159" s="135">
        <f t="shared" si="7"/>
        <v>9.200690324033758E-4</v>
      </c>
      <c r="Z159" s="135">
        <f t="shared" si="5"/>
        <v>0.63556533917505409</v>
      </c>
      <c r="AB159" s="143">
        <f>274048537.82/1000</f>
        <v>274048.53781999997</v>
      </c>
      <c r="AC159" s="135">
        <f t="shared" si="9"/>
        <v>9.1945577487687405E-4</v>
      </c>
      <c r="AD159" s="135">
        <f t="shared" si="6"/>
        <v>-6.6653425439151565E-4</v>
      </c>
      <c r="AF159" s="170">
        <v>608365.12442999997</v>
      </c>
      <c r="AG159" s="170">
        <v>1.6198213591081835E-3</v>
      </c>
      <c r="AH159" s="170">
        <v>1.2199174251007505</v>
      </c>
    </row>
    <row r="160" spans="1:34" ht="11.1" customHeight="1">
      <c r="A160" s="130"/>
      <c r="B160" s="142" t="s">
        <v>633</v>
      </c>
      <c r="C160" s="143"/>
      <c r="D160" s="143"/>
      <c r="E160" s="143"/>
      <c r="F160" s="135"/>
      <c r="G160" s="135"/>
      <c r="H160" s="143"/>
      <c r="I160" s="135"/>
      <c r="J160" s="135"/>
      <c r="K160" s="135"/>
      <c r="L160" s="143"/>
      <c r="M160" s="135"/>
      <c r="N160" s="135"/>
      <c r="O160" s="135"/>
      <c r="P160" s="148"/>
      <c r="Q160" s="135"/>
      <c r="R160" s="135"/>
      <c r="S160" s="135"/>
      <c r="T160" s="143"/>
      <c r="U160" s="135"/>
      <c r="V160" s="135"/>
      <c r="X160" s="143">
        <v>77819.570699999997</v>
      </c>
      <c r="Y160" s="135">
        <f t="shared" si="7"/>
        <v>2.610911711032394E-4</v>
      </c>
      <c r="Z160" s="135" t="str">
        <f>IF(C160&lt;&gt;0,(X160-T160)/T160,"")</f>
        <v/>
      </c>
      <c r="AB160" s="143">
        <f>37799894.05/1000</f>
        <v>37799.894049999995</v>
      </c>
      <c r="AC160" s="135">
        <f t="shared" si="9"/>
        <v>1.2682180737207368E-4</v>
      </c>
      <c r="AD160" s="135" t="str">
        <f>IF(C160&lt;&gt;0,(AB160-X160)/X160,"")</f>
        <v/>
      </c>
      <c r="AF160" s="18">
        <v>59870.723899999997</v>
      </c>
      <c r="AG160" s="18">
        <v>1.5941064578505035E-4</v>
      </c>
      <c r="AH160" s="18">
        <v>0.58388602414614454</v>
      </c>
    </row>
    <row r="161" spans="1:34" ht="11.1" customHeight="1">
      <c r="A161" s="130"/>
      <c r="B161" s="142"/>
      <c r="C161" s="143"/>
      <c r="D161" s="143"/>
      <c r="E161" s="143"/>
      <c r="F161" s="135" t="s">
        <v>11</v>
      </c>
      <c r="G161" s="135"/>
      <c r="H161" s="143"/>
      <c r="I161" s="135" t="s">
        <v>11</v>
      </c>
      <c r="J161" s="135" t="s">
        <v>11</v>
      </c>
      <c r="K161" s="135"/>
      <c r="L161" s="143"/>
      <c r="M161" s="135" t="s">
        <v>11</v>
      </c>
      <c r="N161" s="135" t="s">
        <v>11</v>
      </c>
      <c r="O161" s="135"/>
      <c r="P161" s="136" t="s">
        <v>11</v>
      </c>
      <c r="Q161" s="135" t="s">
        <v>11</v>
      </c>
      <c r="R161" s="135" t="s">
        <v>11</v>
      </c>
      <c r="S161" s="135"/>
      <c r="T161" s="131" t="s">
        <v>11</v>
      </c>
      <c r="U161" s="135" t="s">
        <v>11</v>
      </c>
      <c r="V161" s="135" t="s">
        <v>11</v>
      </c>
      <c r="X161" s="131" t="s">
        <v>11</v>
      </c>
      <c r="Y161" s="135"/>
      <c r="Z161" s="135" t="str">
        <f>IF(C161&lt;&gt;0,(X161-T161)/T161,"")</f>
        <v/>
      </c>
      <c r="AB161" s="131" t="s">
        <v>11</v>
      </c>
      <c r="AC161" s="135"/>
      <c r="AD161" s="135" t="str">
        <f>IF(C161&lt;&gt;0,(AB161-X161)/X161,"")</f>
        <v/>
      </c>
      <c r="AF161" s="18"/>
      <c r="AG161" s="18" t="s">
        <v>11</v>
      </c>
      <c r="AH161" s="18" t="s">
        <v>11</v>
      </c>
    </row>
    <row r="162" spans="1:34" s="9" customFormat="1" ht="11.1" customHeight="1">
      <c r="A162" s="151"/>
      <c r="B162" s="134" t="s">
        <v>634</v>
      </c>
      <c r="C162" s="131">
        <f>C164</f>
        <v>0</v>
      </c>
      <c r="D162" s="131">
        <f>D164</f>
        <v>0</v>
      </c>
      <c r="E162" s="131">
        <v>0</v>
      </c>
      <c r="F162" s="135">
        <v>0</v>
      </c>
      <c r="G162" s="135"/>
      <c r="H162" s="131">
        <v>6.9</v>
      </c>
      <c r="I162" s="135" t="s">
        <v>11</v>
      </c>
      <c r="J162" s="135">
        <v>0</v>
      </c>
      <c r="K162" s="135"/>
      <c r="L162" s="131">
        <v>0</v>
      </c>
      <c r="M162" s="135" t="s">
        <v>11</v>
      </c>
      <c r="N162" s="135">
        <v>-1</v>
      </c>
      <c r="O162" s="135"/>
      <c r="P162" s="136">
        <v>222713.69915</v>
      </c>
      <c r="Q162" s="135">
        <v>8.9400769940925701E-4</v>
      </c>
      <c r="R162" s="135">
        <v>0</v>
      </c>
      <c r="S162" s="135"/>
      <c r="T162" s="136">
        <v>1087.2124799999999</v>
      </c>
      <c r="U162" s="135">
        <v>4.0716486917221251E-6</v>
      </c>
      <c r="V162" s="135">
        <v>-0.99511834034390612</v>
      </c>
      <c r="X162" s="136">
        <f>+X164</f>
        <v>0</v>
      </c>
      <c r="Y162" s="135">
        <f>+X162/$X$11</f>
        <v>0</v>
      </c>
      <c r="Z162" s="135" t="str">
        <f>IF(C162&lt;&gt;0,(X162-T162)/T162,"")</f>
        <v/>
      </c>
      <c r="AB162" s="136">
        <f>+AB164</f>
        <v>456.30614000000003</v>
      </c>
      <c r="AC162" s="135">
        <f>+AB162/$X$11</f>
        <v>1.53094528024939E-6</v>
      </c>
      <c r="AD162" s="135" t="str">
        <f>IF(C162&lt;&gt;0,(AB162-X162)/X162,"")</f>
        <v/>
      </c>
      <c r="AF162" s="18">
        <v>1330</v>
      </c>
      <c r="AG162" s="18">
        <v>3.5412325938841199E-6</v>
      </c>
      <c r="AH162" s="18">
        <v>1.9147098480857609</v>
      </c>
    </row>
    <row r="163" spans="1:34" ht="11.1" customHeight="1">
      <c r="A163" s="130"/>
      <c r="B163" s="134"/>
      <c r="C163" s="143"/>
      <c r="D163" s="143"/>
      <c r="E163" s="143"/>
      <c r="F163" s="135" t="s">
        <v>11</v>
      </c>
      <c r="G163" s="135"/>
      <c r="H163" s="143"/>
      <c r="I163" s="135" t="s">
        <v>11</v>
      </c>
      <c r="J163" s="135" t="s">
        <v>11</v>
      </c>
      <c r="K163" s="135"/>
      <c r="L163" s="143"/>
      <c r="M163" s="135" t="s">
        <v>11</v>
      </c>
      <c r="N163" s="135" t="s">
        <v>11</v>
      </c>
      <c r="O163" s="135"/>
      <c r="P163" s="136" t="s">
        <v>11</v>
      </c>
      <c r="Q163" s="135" t="s">
        <v>11</v>
      </c>
      <c r="R163" s="135" t="s">
        <v>11</v>
      </c>
      <c r="S163" s="135"/>
      <c r="T163" s="131" t="s">
        <v>11</v>
      </c>
      <c r="U163" s="135" t="s">
        <v>11</v>
      </c>
      <c r="V163" s="135" t="s">
        <v>11</v>
      </c>
      <c r="X163" s="131" t="s">
        <v>11</v>
      </c>
      <c r="Y163" s="135"/>
      <c r="Z163" s="135" t="str">
        <f>IF(C163&lt;&gt;0,(X163-T163)/T163,"")</f>
        <v/>
      </c>
      <c r="AB163" s="131" t="s">
        <v>11</v>
      </c>
      <c r="AC163" s="135"/>
      <c r="AD163" s="135" t="str">
        <f>IF(C163&lt;&gt;0,(AB163-X163)/X163,"")</f>
        <v/>
      </c>
      <c r="AF163" s="18"/>
      <c r="AG163" s="18" t="s">
        <v>11</v>
      </c>
      <c r="AH163" s="18" t="s">
        <v>11</v>
      </c>
    </row>
    <row r="164" spans="1:34" ht="11.1" customHeight="1">
      <c r="A164" s="139"/>
      <c r="B164" s="142" t="s">
        <v>635</v>
      </c>
      <c r="C164" s="107">
        <v>0</v>
      </c>
      <c r="D164" s="107">
        <v>0</v>
      </c>
      <c r="E164" s="107">
        <v>0</v>
      </c>
      <c r="F164" s="135">
        <v>0</v>
      </c>
      <c r="G164" s="135"/>
      <c r="H164" s="143">
        <v>6.9</v>
      </c>
      <c r="I164" s="135" t="s">
        <v>11</v>
      </c>
      <c r="J164" s="135">
        <v>0</v>
      </c>
      <c r="K164" s="135"/>
      <c r="L164" s="143">
        <v>0</v>
      </c>
      <c r="M164" s="135" t="s">
        <v>11</v>
      </c>
      <c r="N164" s="135">
        <v>-1</v>
      </c>
      <c r="O164" s="135"/>
      <c r="P164" s="148">
        <v>222713.69915</v>
      </c>
      <c r="Q164" s="135">
        <v>8.9400769940925701E-4</v>
      </c>
      <c r="R164" s="135">
        <v>0</v>
      </c>
      <c r="S164" s="135"/>
      <c r="T164" s="143">
        <v>1087.2124799999999</v>
      </c>
      <c r="U164" s="135">
        <v>4.0716486917221251E-6</v>
      </c>
      <c r="V164" s="135">
        <v>-0.99511834034390612</v>
      </c>
      <c r="X164" s="143">
        <v>0</v>
      </c>
      <c r="Y164" s="135">
        <f>+X164/$X$11</f>
        <v>0</v>
      </c>
      <c r="Z164" s="135" t="str">
        <f>IF(C164&lt;&gt;0,(X164-T164)/T164,"")</f>
        <v/>
      </c>
      <c r="AB164" s="143">
        <f>456306.14/1000</f>
        <v>456.30614000000003</v>
      </c>
      <c r="AC164" s="135">
        <f>+AB164/$X$11</f>
        <v>1.53094528024939E-6</v>
      </c>
      <c r="AD164" s="135" t="str">
        <f>IF(C164&lt;&gt;0,(AB164-X164)/X164,"")</f>
        <v/>
      </c>
      <c r="AF164" s="18">
        <v>1330</v>
      </c>
      <c r="AG164" s="18">
        <v>3.5412325938841199E-6</v>
      </c>
      <c r="AH164" s="18">
        <v>1.9147098480857609</v>
      </c>
    </row>
    <row r="165" spans="1:34" ht="11.1" customHeight="1">
      <c r="A165" s="130"/>
      <c r="B165" s="107"/>
      <c r="C165" s="107"/>
      <c r="D165" s="107"/>
      <c r="E165" s="107"/>
      <c r="F165" s="135" t="s">
        <v>11</v>
      </c>
      <c r="G165" s="135"/>
      <c r="H165" s="107"/>
      <c r="I165" s="135" t="s">
        <v>11</v>
      </c>
      <c r="J165" s="135" t="s">
        <v>11</v>
      </c>
      <c r="K165" s="135"/>
      <c r="L165" s="107"/>
      <c r="M165" s="135" t="s">
        <v>11</v>
      </c>
      <c r="N165" s="135" t="s">
        <v>11</v>
      </c>
      <c r="O165" s="135"/>
      <c r="P165" s="136" t="s">
        <v>11</v>
      </c>
      <c r="Q165" s="135" t="s">
        <v>11</v>
      </c>
      <c r="R165" s="135" t="s">
        <v>11</v>
      </c>
      <c r="S165" s="135"/>
      <c r="T165" s="131" t="s">
        <v>11</v>
      </c>
      <c r="U165" s="135" t="s">
        <v>11</v>
      </c>
      <c r="V165" s="135" t="s">
        <v>11</v>
      </c>
      <c r="X165" s="131" t="s">
        <v>11</v>
      </c>
      <c r="Y165" s="135" t="s">
        <v>11</v>
      </c>
      <c r="Z165" s="135" t="s">
        <v>11</v>
      </c>
      <c r="AB165" s="131" t="s">
        <v>11</v>
      </c>
      <c r="AC165" s="135" t="s">
        <v>11</v>
      </c>
      <c r="AD165" s="135" t="s">
        <v>11</v>
      </c>
    </row>
    <row r="166" spans="1:34" ht="11.1" customHeight="1">
      <c r="A166" s="130"/>
      <c r="B166" s="107"/>
      <c r="C166" s="107"/>
      <c r="D166" s="107"/>
      <c r="E166" s="107"/>
      <c r="F166" s="135"/>
      <c r="G166" s="135"/>
      <c r="H166" s="107"/>
      <c r="I166" s="135"/>
      <c r="J166" s="135"/>
      <c r="K166" s="135"/>
      <c r="L166" s="107"/>
      <c r="M166" s="135"/>
      <c r="N166" s="135"/>
      <c r="O166" s="135"/>
      <c r="P166" s="136"/>
      <c r="Q166" s="135"/>
      <c r="R166" s="135"/>
      <c r="S166" s="135"/>
      <c r="T166" s="131"/>
      <c r="U166" s="135"/>
      <c r="V166" s="135"/>
      <c r="X166" s="131"/>
      <c r="Y166" s="135"/>
      <c r="Z166" s="135"/>
      <c r="AB166" s="131"/>
      <c r="AC166" s="135"/>
      <c r="AD166" s="135"/>
    </row>
    <row r="167" spans="1:34" ht="11.1" customHeight="1">
      <c r="A167" s="130"/>
      <c r="B167" s="107"/>
      <c r="C167" s="107"/>
      <c r="D167" s="107"/>
      <c r="E167" s="107"/>
      <c r="F167" s="135"/>
      <c r="G167" s="135"/>
      <c r="H167" s="107"/>
      <c r="I167" s="135"/>
      <c r="J167" s="135"/>
      <c r="K167" s="135"/>
      <c r="L167" s="107"/>
      <c r="M167" s="135"/>
      <c r="N167" s="135"/>
      <c r="O167" s="135"/>
      <c r="P167" s="136"/>
      <c r="Q167" s="135"/>
      <c r="R167" s="135"/>
      <c r="S167" s="135"/>
      <c r="T167" s="131"/>
      <c r="U167" s="135"/>
      <c r="V167" s="135"/>
      <c r="X167" s="131"/>
      <c r="Y167" s="135"/>
      <c r="Z167" s="135"/>
      <c r="AB167" s="131"/>
      <c r="AC167" s="135"/>
      <c r="AD167" s="135"/>
    </row>
    <row r="168" spans="1:34" ht="11.1" customHeight="1">
      <c r="A168" s="130"/>
      <c r="B168" s="107"/>
      <c r="C168" s="107"/>
      <c r="D168" s="107"/>
      <c r="E168" s="107"/>
      <c r="F168" s="135"/>
      <c r="G168" s="135"/>
      <c r="H168" s="107"/>
      <c r="I168" s="135"/>
      <c r="J168" s="135"/>
      <c r="K168" s="135"/>
      <c r="L168" s="107"/>
      <c r="M168" s="135"/>
      <c r="N168" s="135"/>
      <c r="O168" s="135"/>
      <c r="P168" s="136"/>
      <c r="Q168" s="135"/>
      <c r="R168" s="135"/>
      <c r="S168" s="135"/>
      <c r="T168" s="131"/>
      <c r="U168" s="135"/>
      <c r="V168" s="135"/>
      <c r="X168" s="131"/>
      <c r="Y168" s="135"/>
      <c r="Z168" s="135"/>
      <c r="AB168" s="131"/>
      <c r="AC168" s="135"/>
      <c r="AD168" s="135"/>
    </row>
    <row r="169" spans="1:34" ht="11.1" customHeight="1">
      <c r="A169" s="130"/>
      <c r="B169" s="107"/>
      <c r="C169" s="107"/>
      <c r="D169" s="107"/>
      <c r="E169" s="107"/>
      <c r="F169" s="135"/>
      <c r="G169" s="135"/>
      <c r="H169" s="107"/>
      <c r="I169" s="135"/>
      <c r="J169" s="135"/>
      <c r="K169" s="135"/>
      <c r="L169" s="107"/>
      <c r="M169" s="135"/>
      <c r="N169" s="135"/>
      <c r="O169" s="135"/>
      <c r="P169" s="136"/>
      <c r="Q169" s="135"/>
      <c r="R169" s="135"/>
      <c r="S169" s="135"/>
      <c r="T169" s="131"/>
      <c r="U169" s="135"/>
      <c r="V169" s="135"/>
      <c r="X169" s="131"/>
      <c r="Y169" s="135"/>
      <c r="Z169" s="135"/>
      <c r="AB169" s="131"/>
      <c r="AC169" s="135"/>
      <c r="AD169" s="135"/>
    </row>
    <row r="170" spans="1:34" ht="11.1" customHeight="1">
      <c r="A170" s="130"/>
      <c r="B170" s="107"/>
      <c r="C170" s="107"/>
      <c r="D170" s="107"/>
      <c r="E170" s="107"/>
      <c r="F170" s="135"/>
      <c r="G170" s="135"/>
      <c r="H170" s="107"/>
      <c r="I170" s="135"/>
      <c r="J170" s="135"/>
      <c r="K170" s="135"/>
      <c r="L170" s="107"/>
      <c r="M170" s="135"/>
      <c r="N170" s="135"/>
      <c r="O170" s="135"/>
      <c r="P170" s="136"/>
      <c r="Q170" s="135"/>
      <c r="R170" s="135"/>
      <c r="S170" s="135"/>
      <c r="T170" s="131"/>
      <c r="U170" s="135"/>
      <c r="V170" s="135"/>
      <c r="X170" s="131"/>
      <c r="Y170" s="135"/>
      <c r="Z170" s="135"/>
      <c r="AB170" s="131"/>
      <c r="AC170" s="135"/>
      <c r="AD170" s="135"/>
    </row>
    <row r="171" spans="1:34" ht="11.1" customHeight="1">
      <c r="A171" s="130"/>
      <c r="B171" s="107"/>
      <c r="C171" s="107"/>
      <c r="D171" s="107"/>
      <c r="E171" s="107"/>
      <c r="F171" s="135"/>
      <c r="G171" s="135"/>
      <c r="H171" s="107"/>
      <c r="I171" s="135"/>
      <c r="J171" s="135"/>
      <c r="K171" s="135"/>
      <c r="L171" s="107"/>
      <c r="M171" s="135"/>
      <c r="N171" s="135"/>
      <c r="O171" s="135"/>
      <c r="P171" s="136"/>
      <c r="Q171" s="135"/>
      <c r="R171" s="135"/>
      <c r="S171" s="135"/>
      <c r="T171" s="131"/>
      <c r="U171" s="135"/>
      <c r="V171" s="135"/>
      <c r="X171" s="131"/>
      <c r="Y171" s="135"/>
      <c r="Z171" s="135"/>
      <c r="AB171" s="131"/>
      <c r="AC171" s="135"/>
      <c r="AD171" s="135"/>
    </row>
    <row r="172" spans="1:34" ht="11.1" customHeight="1">
      <c r="A172" s="130"/>
      <c r="B172" s="107"/>
      <c r="C172" s="107"/>
      <c r="D172" s="107"/>
      <c r="E172" s="107"/>
      <c r="F172" s="135"/>
      <c r="G172" s="135"/>
      <c r="H172" s="107"/>
      <c r="I172" s="135"/>
      <c r="J172" s="135"/>
      <c r="K172" s="135"/>
      <c r="L172" s="107"/>
      <c r="M172" s="135"/>
      <c r="N172" s="135"/>
      <c r="O172" s="135"/>
      <c r="P172" s="136"/>
      <c r="Q172" s="135"/>
      <c r="R172" s="135"/>
      <c r="S172" s="135"/>
      <c r="T172" s="131"/>
      <c r="U172" s="135"/>
      <c r="V172" s="135"/>
      <c r="X172" s="131"/>
      <c r="Y172" s="135"/>
      <c r="Z172" s="135"/>
      <c r="AB172" s="131"/>
      <c r="AC172" s="135"/>
      <c r="AD172" s="135"/>
    </row>
    <row r="173" spans="1:34" ht="11.1" customHeight="1">
      <c r="A173" s="130"/>
      <c r="B173" s="109"/>
      <c r="C173" s="110"/>
      <c r="D173" s="110"/>
      <c r="E173" s="110"/>
      <c r="F173" s="110"/>
      <c r="G173" s="110"/>
      <c r="H173" s="110"/>
      <c r="I173" s="110"/>
      <c r="J173" s="110"/>
      <c r="K173" s="110"/>
      <c r="L173" s="110"/>
      <c r="M173" s="110"/>
      <c r="N173" s="110"/>
      <c r="O173" s="110"/>
      <c r="P173" s="111"/>
      <c r="Q173" s="111"/>
      <c r="R173" s="111"/>
      <c r="S173" s="111"/>
      <c r="T173" s="111"/>
      <c r="U173" s="111"/>
      <c r="V173" s="111"/>
      <c r="W173" s="111"/>
      <c r="X173" s="111"/>
      <c r="Y173" s="111"/>
      <c r="Z173" s="111"/>
      <c r="AA173" s="111"/>
      <c r="AB173" s="111"/>
      <c r="AC173" s="111"/>
      <c r="AD173" s="111"/>
      <c r="AF173" s="109"/>
      <c r="AG173" s="109"/>
      <c r="AH173" s="109"/>
    </row>
    <row r="174" spans="1:34" ht="11.1" customHeight="1">
      <c r="A174" s="130"/>
      <c r="B174" s="113"/>
      <c r="C174" s="113"/>
      <c r="D174" s="113"/>
      <c r="E174" s="113"/>
      <c r="F174" s="113"/>
      <c r="G174" s="113"/>
      <c r="H174" s="113"/>
      <c r="I174" s="113"/>
      <c r="J174" s="113"/>
      <c r="K174" s="113"/>
      <c r="L174" s="113"/>
      <c r="M174" s="113"/>
      <c r="N174" s="113"/>
      <c r="O174" s="113"/>
      <c r="P174" s="97"/>
      <c r="Q174" s="97"/>
      <c r="R174" s="97"/>
      <c r="S174" s="97"/>
      <c r="T174" s="114"/>
      <c r="U174" s="115"/>
      <c r="V174" s="115"/>
      <c r="W174" s="115"/>
      <c r="X174" s="115"/>
      <c r="Y174" s="115"/>
      <c r="Z174" s="115"/>
      <c r="AA174" s="115"/>
      <c r="AB174" s="115"/>
      <c r="AC174" s="115"/>
      <c r="AD174" s="115"/>
    </row>
    <row r="175" spans="1:34" ht="11.1" customHeight="1">
      <c r="A175" s="130"/>
      <c r="B175" s="116" t="s">
        <v>523</v>
      </c>
      <c r="C175" s="117" t="s">
        <v>524</v>
      </c>
      <c r="D175" s="117" t="s">
        <v>524</v>
      </c>
      <c r="E175" s="1275" t="s">
        <v>525</v>
      </c>
      <c r="F175" s="1275"/>
      <c r="G175" s="117"/>
      <c r="H175" s="1275" t="s">
        <v>526</v>
      </c>
      <c r="I175" s="1275"/>
      <c r="J175" s="1275"/>
      <c r="K175" s="117"/>
      <c r="L175" s="1275" t="s">
        <v>527</v>
      </c>
      <c r="M175" s="1275"/>
      <c r="N175" s="1275"/>
      <c r="O175" s="117"/>
      <c r="P175" s="1275" t="s">
        <v>528</v>
      </c>
      <c r="Q175" s="1275"/>
      <c r="R175" s="1275"/>
      <c r="S175" s="115"/>
      <c r="T175" s="1275" t="s">
        <v>529</v>
      </c>
      <c r="U175" s="1275"/>
      <c r="V175" s="1275"/>
      <c r="X175" s="1275" t="s">
        <v>530</v>
      </c>
      <c r="Y175" s="1275"/>
      <c r="Z175" s="1275"/>
      <c r="AB175" s="1275" t="s">
        <v>531</v>
      </c>
      <c r="AC175" s="1275"/>
      <c r="AD175" s="1275"/>
    </row>
    <row r="176" spans="1:34" ht="11.1" customHeight="1">
      <c r="A176" s="130"/>
      <c r="B176" s="119" t="s">
        <v>532</v>
      </c>
      <c r="C176" s="120">
        <v>2008</v>
      </c>
      <c r="D176" s="120">
        <v>2009</v>
      </c>
      <c r="E176" s="121" t="s">
        <v>9</v>
      </c>
      <c r="F176" s="121" t="s">
        <v>533</v>
      </c>
      <c r="G176" s="120"/>
      <c r="H176" s="121" t="s">
        <v>9</v>
      </c>
      <c r="I176" s="121" t="s">
        <v>533</v>
      </c>
      <c r="J176" s="121" t="s">
        <v>534</v>
      </c>
      <c r="K176" s="120"/>
      <c r="L176" s="121" t="s">
        <v>9</v>
      </c>
      <c r="M176" s="121" t="s">
        <v>533</v>
      </c>
      <c r="N176" s="121" t="s">
        <v>534</v>
      </c>
      <c r="O176" s="120"/>
      <c r="P176" s="121" t="s">
        <v>9</v>
      </c>
      <c r="Q176" s="121" t="s">
        <v>533</v>
      </c>
      <c r="R176" s="121" t="s">
        <v>534</v>
      </c>
      <c r="S176" s="122"/>
      <c r="T176" s="121" t="s">
        <v>9</v>
      </c>
      <c r="U176" s="121" t="s">
        <v>533</v>
      </c>
      <c r="V176" s="121" t="s">
        <v>534</v>
      </c>
      <c r="X176" s="121" t="s">
        <v>9</v>
      </c>
      <c r="Y176" s="121" t="s">
        <v>533</v>
      </c>
      <c r="Z176" s="121" t="s">
        <v>534</v>
      </c>
      <c r="AB176" s="121" t="s">
        <v>9</v>
      </c>
      <c r="AC176" s="121" t="s">
        <v>533</v>
      </c>
      <c r="AD176" s="121" t="s">
        <v>534</v>
      </c>
    </row>
    <row r="177" spans="1:34" ht="11.1" customHeight="1">
      <c r="A177" s="130"/>
      <c r="B177" s="125"/>
      <c r="C177" s="126"/>
      <c r="D177" s="126"/>
      <c r="E177" s="126"/>
      <c r="F177" s="126"/>
      <c r="G177" s="126"/>
      <c r="H177" s="126"/>
      <c r="I177" s="126"/>
      <c r="J177" s="126"/>
      <c r="K177" s="126"/>
      <c r="L177" s="126"/>
      <c r="M177" s="126"/>
      <c r="N177" s="126"/>
      <c r="O177" s="126"/>
      <c r="P177" s="128"/>
      <c r="Q177" s="126"/>
      <c r="R177" s="126"/>
      <c r="S177" s="128"/>
      <c r="T177" s="129"/>
      <c r="U177" s="126"/>
      <c r="V177" s="126"/>
      <c r="W177" s="126"/>
      <c r="X177" s="126"/>
      <c r="Y177" s="126"/>
      <c r="Z177" s="126"/>
      <c r="AA177" s="126"/>
      <c r="AB177" s="126"/>
      <c r="AC177" s="126"/>
      <c r="AD177" s="126"/>
      <c r="AF177" s="125"/>
      <c r="AG177" s="125"/>
      <c r="AH177" s="125"/>
    </row>
    <row r="178" spans="1:34" ht="11.1" customHeight="1">
      <c r="A178" s="130"/>
      <c r="B178" s="107"/>
      <c r="C178" s="131"/>
      <c r="D178" s="131"/>
      <c r="E178" s="131"/>
      <c r="F178" s="131"/>
      <c r="G178" s="131"/>
      <c r="H178" s="131"/>
      <c r="I178" s="131"/>
      <c r="J178" s="131"/>
      <c r="K178" s="131"/>
      <c r="L178" s="131"/>
      <c r="M178" s="131"/>
      <c r="N178" s="131"/>
      <c r="O178" s="131"/>
      <c r="P178" s="132"/>
      <c r="Q178" s="132"/>
      <c r="R178" s="132"/>
      <c r="S178" s="132"/>
      <c r="T178" s="114"/>
      <c r="U178" s="97"/>
      <c r="V178" s="97"/>
      <c r="W178" s="97"/>
      <c r="X178" s="97"/>
      <c r="Y178" s="97"/>
      <c r="Z178" s="97"/>
      <c r="AA178" s="97"/>
      <c r="AB178" s="97"/>
      <c r="AC178" s="97"/>
      <c r="AD178" s="97"/>
    </row>
    <row r="179" spans="1:34" s="9" customFormat="1" ht="11.1" customHeight="1">
      <c r="A179" s="133" t="s">
        <v>539</v>
      </c>
      <c r="B179" s="134" t="s">
        <v>636</v>
      </c>
      <c r="C179" s="131">
        <f>SUM(C181+C212+C216)</f>
        <v>90762486.203999996</v>
      </c>
      <c r="D179" s="131">
        <f>SUM(D181+D212+D216)</f>
        <v>115409659.13200003</v>
      </c>
      <c r="E179" s="131">
        <v>132438991.99000001</v>
      </c>
      <c r="F179" s="135">
        <v>0.72958253137778939</v>
      </c>
      <c r="G179" s="135"/>
      <c r="H179" s="131">
        <v>145114824.55622998</v>
      </c>
      <c r="I179" s="135">
        <v>0.71627058925203768</v>
      </c>
      <c r="J179" s="135">
        <v>9.5710729716117715E-2</v>
      </c>
      <c r="K179" s="135"/>
      <c r="L179" s="131">
        <v>161608478.50891998</v>
      </c>
      <c r="M179" s="135">
        <v>0.71934048625011271</v>
      </c>
      <c r="N179" s="135">
        <v>0.11365933151990922</v>
      </c>
      <c r="O179" s="135"/>
      <c r="P179" s="136">
        <v>181846556.11898002</v>
      </c>
      <c r="Q179" s="135">
        <v>0.72996058123901753</v>
      </c>
      <c r="R179" s="135">
        <v>0.1252290585047677</v>
      </c>
      <c r="S179" s="135"/>
      <c r="T179" s="136">
        <v>206157853.96783</v>
      </c>
      <c r="U179" s="135">
        <v>0.77206835999192736</v>
      </c>
      <c r="V179" s="135">
        <v>0.13369127448827456</v>
      </c>
      <c r="X179" s="136">
        <f>+X181+X212+X216</f>
        <v>232576520.72630003</v>
      </c>
      <c r="Y179" s="135">
        <f>+X179/$X$11</f>
        <v>0.78031368743526752</v>
      </c>
      <c r="Z179" s="135">
        <f t="shared" ref="Z179:Z242" si="10">IF(C179&lt;&gt;0,(X179-T179)/T179,"")</f>
        <v>0.12814775789523178</v>
      </c>
      <c r="AB179" s="136">
        <f>+AB181+AB212+AB216</f>
        <v>253774201.67804</v>
      </c>
      <c r="AC179" s="135">
        <f>+AB179/$X$11</f>
        <v>0.85143368070403813</v>
      </c>
      <c r="AD179" s="135">
        <f>IF(C179&lt;&gt;0,(AB179-X179)/X179,"")</f>
        <v>9.1142824243577683E-2</v>
      </c>
      <c r="AF179" s="18">
        <v>278909048.29388005</v>
      </c>
      <c r="AG179" s="18">
        <v>0.74261790417104367</v>
      </c>
      <c r="AH179" s="18">
        <v>9.9044136281938921E-2</v>
      </c>
    </row>
    <row r="180" spans="1:34" s="9" customFormat="1" ht="11.1" customHeight="1">
      <c r="A180" s="151"/>
      <c r="B180" s="134"/>
      <c r="C180" s="145"/>
      <c r="D180" s="145"/>
      <c r="E180" s="145"/>
      <c r="F180" s="135" t="s">
        <v>11</v>
      </c>
      <c r="G180" s="135"/>
      <c r="H180" s="145"/>
      <c r="I180" s="135" t="s">
        <v>11</v>
      </c>
      <c r="J180" s="135" t="s">
        <v>11</v>
      </c>
      <c r="K180" s="135"/>
      <c r="L180" s="145"/>
      <c r="M180" s="135" t="s">
        <v>11</v>
      </c>
      <c r="N180" s="135" t="s">
        <v>11</v>
      </c>
      <c r="O180" s="135"/>
      <c r="P180" s="136" t="s">
        <v>11</v>
      </c>
      <c r="Q180" s="135" t="s">
        <v>11</v>
      </c>
      <c r="R180" s="135" t="s">
        <v>11</v>
      </c>
      <c r="S180" s="135"/>
      <c r="T180" s="131" t="s">
        <v>11</v>
      </c>
      <c r="U180" s="135" t="s">
        <v>11</v>
      </c>
      <c r="V180" s="135" t="s">
        <v>11</v>
      </c>
      <c r="X180" s="131" t="s">
        <v>11</v>
      </c>
      <c r="Y180" s="135"/>
      <c r="Z180" s="135" t="str">
        <f t="shared" si="10"/>
        <v/>
      </c>
      <c r="AB180" s="131" t="s">
        <v>11</v>
      </c>
      <c r="AC180" s="135"/>
      <c r="AD180" s="135" t="str">
        <f t="shared" ref="AD180:AD243" si="11">IF(C180&lt;&gt;0,(AB180-X180)/X180,"")</f>
        <v/>
      </c>
      <c r="AF180" s="18"/>
      <c r="AG180" s="18" t="s">
        <v>11</v>
      </c>
      <c r="AH180" s="18" t="s">
        <v>11</v>
      </c>
    </row>
    <row r="181" spans="1:34" s="9" customFormat="1" ht="11.1" customHeight="1">
      <c r="A181" s="133" t="s">
        <v>541</v>
      </c>
      <c r="B181" s="134" t="s">
        <v>637</v>
      </c>
      <c r="C181" s="131">
        <f>C183+C194+C198+C203</f>
        <v>90557310.623999998</v>
      </c>
      <c r="D181" s="131">
        <f>D183+D194+D198+D203</f>
        <v>114834967.01200002</v>
      </c>
      <c r="E181" s="131">
        <v>132089844.13000001</v>
      </c>
      <c r="F181" s="135">
        <v>0.72765913875982702</v>
      </c>
      <c r="G181" s="135"/>
      <c r="H181" s="131">
        <v>144772100.85995999</v>
      </c>
      <c r="I181" s="135">
        <v>0.71457894331146177</v>
      </c>
      <c r="J181" s="135">
        <v>9.6012352906392803E-2</v>
      </c>
      <c r="K181" s="135"/>
      <c r="L181" s="131">
        <v>161164391.37707999</v>
      </c>
      <c r="M181" s="135">
        <v>0.71736379631216762</v>
      </c>
      <c r="N181" s="135">
        <v>0.11322824231843183</v>
      </c>
      <c r="O181" s="135"/>
      <c r="P181" s="136">
        <v>181424711.48004001</v>
      </c>
      <c r="Q181" s="135">
        <v>0.7282672307329362</v>
      </c>
      <c r="R181" s="135">
        <v>0.12571213733905084</v>
      </c>
      <c r="S181" s="135"/>
      <c r="T181" s="136">
        <v>205653863.53183001</v>
      </c>
      <c r="U181" s="135">
        <v>0.77018089821501701</v>
      </c>
      <c r="V181" s="135">
        <v>0.13354934867544568</v>
      </c>
      <c r="X181" s="136">
        <f>+X183+X194+X198+X203</f>
        <v>232079445.08833003</v>
      </c>
      <c r="Y181" s="135">
        <f t="shared" ref="Y181:Y244" si="12">+X181/$X$11</f>
        <v>0.77864595707801854</v>
      </c>
      <c r="Z181" s="135">
        <f t="shared" si="10"/>
        <v>0.12849542966359107</v>
      </c>
      <c r="AB181" s="136">
        <f>+AB183+AB194+AB198+AB203</f>
        <v>253256478.66033</v>
      </c>
      <c r="AC181" s="135">
        <f>+AB181/$X$11</f>
        <v>0.84969667666013116</v>
      </c>
      <c r="AD181" s="135">
        <f t="shared" si="11"/>
        <v>9.1249070179135999E-2</v>
      </c>
      <c r="AF181" s="18">
        <v>278318339.60674006</v>
      </c>
      <c r="AG181" s="18">
        <v>0.74104509450458456</v>
      </c>
      <c r="AH181" s="18">
        <v>9.895841985556178E-2</v>
      </c>
    </row>
    <row r="182" spans="1:34" s="9" customFormat="1" ht="11.1" customHeight="1">
      <c r="A182" s="151"/>
      <c r="B182" s="134"/>
      <c r="C182" s="145"/>
      <c r="D182" s="145"/>
      <c r="E182" s="145"/>
      <c r="F182" s="135" t="s">
        <v>11</v>
      </c>
      <c r="G182" s="135"/>
      <c r="H182" s="145"/>
      <c r="I182" s="135" t="s">
        <v>11</v>
      </c>
      <c r="J182" s="135" t="s">
        <v>11</v>
      </c>
      <c r="K182" s="135"/>
      <c r="L182" s="145"/>
      <c r="M182" s="135" t="s">
        <v>11</v>
      </c>
      <c r="N182" s="135" t="s">
        <v>11</v>
      </c>
      <c r="O182" s="135"/>
      <c r="P182" s="136" t="s">
        <v>11</v>
      </c>
      <c r="Q182" s="135" t="s">
        <v>11</v>
      </c>
      <c r="R182" s="135" t="s">
        <v>11</v>
      </c>
      <c r="S182" s="135"/>
      <c r="T182" s="131" t="s">
        <v>11</v>
      </c>
      <c r="U182" s="135" t="s">
        <v>11</v>
      </c>
      <c r="V182" s="135" t="s">
        <v>11</v>
      </c>
      <c r="X182" s="131" t="s">
        <v>11</v>
      </c>
      <c r="Y182" s="135"/>
      <c r="Z182" s="135" t="str">
        <f t="shared" si="10"/>
        <v/>
      </c>
      <c r="AB182" s="131" t="s">
        <v>11</v>
      </c>
      <c r="AC182" s="135"/>
      <c r="AD182" s="135" t="str">
        <f t="shared" si="11"/>
        <v/>
      </c>
      <c r="AF182" s="18"/>
      <c r="AG182" s="18" t="s">
        <v>11</v>
      </c>
      <c r="AH182" s="18" t="s">
        <v>11</v>
      </c>
    </row>
    <row r="183" spans="1:34" s="9" customFormat="1" ht="11.1" customHeight="1">
      <c r="A183" s="133" t="s">
        <v>547</v>
      </c>
      <c r="B183" s="134" t="s">
        <v>638</v>
      </c>
      <c r="C183" s="131">
        <f>SUM(C185:C192)</f>
        <v>87884029.083000004</v>
      </c>
      <c r="D183" s="131">
        <f>SUM(D185:D192)</f>
        <v>108841145.78200001</v>
      </c>
      <c r="E183" s="131">
        <v>128375962.82000001</v>
      </c>
      <c r="F183" s="135">
        <v>0.70720003614455607</v>
      </c>
      <c r="G183" s="135"/>
      <c r="H183" s="131">
        <v>140847165.18373001</v>
      </c>
      <c r="I183" s="135">
        <v>0.69520589856440174</v>
      </c>
      <c r="J183" s="135">
        <v>9.7145930513613865E-2</v>
      </c>
      <c r="K183" s="135"/>
      <c r="L183" s="131">
        <v>156560420.00160998</v>
      </c>
      <c r="M183" s="135">
        <v>0.69687091723509997</v>
      </c>
      <c r="N183" s="135">
        <v>0.11156244996044191</v>
      </c>
      <c r="O183" s="135"/>
      <c r="P183" s="136">
        <v>176811250.83127001</v>
      </c>
      <c r="Q183" s="135">
        <v>0.70974807651537664</v>
      </c>
      <c r="R183" s="135">
        <v>0.12934834250860966</v>
      </c>
      <c r="S183" s="135"/>
      <c r="T183" s="136">
        <v>201137063.40121001</v>
      </c>
      <c r="U183" s="135">
        <v>0.75326532404628666</v>
      </c>
      <c r="V183" s="135">
        <v>0.13758068253899741</v>
      </c>
      <c r="X183" s="136">
        <f>SUM(X185:X192)</f>
        <v>228232949.84653002</v>
      </c>
      <c r="Y183" s="135">
        <f t="shared" si="12"/>
        <v>0.76574064369359751</v>
      </c>
      <c r="Z183" s="135">
        <f t="shared" si="10"/>
        <v>0.13471354302946936</v>
      </c>
      <c r="AB183" s="136">
        <f>SUM(AB185:AB192)</f>
        <v>247820829.42227998</v>
      </c>
      <c r="AC183" s="135">
        <f>+AB183/$X$11</f>
        <v>0.83145961864884976</v>
      </c>
      <c r="AD183" s="135">
        <f t="shared" si="11"/>
        <v>8.582406523212964E-2</v>
      </c>
      <c r="AF183" s="18">
        <v>273149587.61044002</v>
      </c>
      <c r="AG183" s="18">
        <v>0.72728287417450832</v>
      </c>
      <c r="AH183" s="18">
        <v>0.10220592936924004</v>
      </c>
    </row>
    <row r="184" spans="1:34" s="9" customFormat="1" ht="11.1" customHeight="1">
      <c r="A184" s="133"/>
      <c r="B184" s="134"/>
      <c r="C184" s="131"/>
      <c r="D184" s="131"/>
      <c r="E184" s="131"/>
      <c r="F184" s="135" t="s">
        <v>11</v>
      </c>
      <c r="G184" s="135"/>
      <c r="H184" s="131"/>
      <c r="I184" s="135" t="s">
        <v>11</v>
      </c>
      <c r="J184" s="135" t="s">
        <v>11</v>
      </c>
      <c r="K184" s="135"/>
      <c r="L184" s="131"/>
      <c r="M184" s="135" t="s">
        <v>11</v>
      </c>
      <c r="N184" s="135" t="s">
        <v>11</v>
      </c>
      <c r="O184" s="135"/>
      <c r="P184" s="136" t="s">
        <v>11</v>
      </c>
      <c r="Q184" s="135" t="s">
        <v>11</v>
      </c>
      <c r="R184" s="135" t="s">
        <v>11</v>
      </c>
      <c r="S184" s="135"/>
      <c r="T184" s="131" t="s">
        <v>11</v>
      </c>
      <c r="U184" s="135" t="s">
        <v>11</v>
      </c>
      <c r="V184" s="135" t="s">
        <v>11</v>
      </c>
      <c r="X184" s="131" t="s">
        <v>11</v>
      </c>
      <c r="Y184" s="135"/>
      <c r="Z184" s="135" t="str">
        <f t="shared" si="10"/>
        <v/>
      </c>
      <c r="AB184" s="131" t="s">
        <v>11</v>
      </c>
      <c r="AC184" s="135"/>
      <c r="AD184" s="135" t="str">
        <f t="shared" si="11"/>
        <v/>
      </c>
      <c r="AF184" s="18"/>
      <c r="AG184" s="18" t="s">
        <v>11</v>
      </c>
      <c r="AH184" s="18" t="s">
        <v>11</v>
      </c>
    </row>
    <row r="185" spans="1:34" ht="11.1" customHeight="1">
      <c r="A185" s="130"/>
      <c r="B185" s="142" t="s">
        <v>639</v>
      </c>
      <c r="C185" s="143">
        <v>86275560.799999997</v>
      </c>
      <c r="D185" s="143">
        <v>107102289.34</v>
      </c>
      <c r="E185" s="143">
        <v>126226725.29000001</v>
      </c>
      <c r="F185" s="135">
        <v>0.69536027404648793</v>
      </c>
      <c r="G185" s="135"/>
      <c r="H185" s="143">
        <v>139006872.09393001</v>
      </c>
      <c r="I185" s="135">
        <v>0.68612241712231981</v>
      </c>
      <c r="J185" s="135">
        <v>0.10124755098073097</v>
      </c>
      <c r="K185" s="135"/>
      <c r="L185" s="143">
        <v>154504562.20324999</v>
      </c>
      <c r="M185" s="135">
        <v>0.68772002514095931</v>
      </c>
      <c r="N185" s="135">
        <v>0.11148866150191376</v>
      </c>
      <c r="O185" s="135"/>
      <c r="P185" s="148">
        <v>174854224.42351002</v>
      </c>
      <c r="Q185" s="135">
        <v>0.70189226574503738</v>
      </c>
      <c r="R185" s="135">
        <v>0.13170913486353977</v>
      </c>
      <c r="S185" s="135"/>
      <c r="T185" s="143">
        <v>197517658.54824999</v>
      </c>
      <c r="U185" s="135">
        <v>0.73971052652007785</v>
      </c>
      <c r="V185" s="135">
        <v>0.12961330616666969</v>
      </c>
      <c r="X185" s="143">
        <v>225928138.16075</v>
      </c>
      <c r="Y185" s="135">
        <f t="shared" si="12"/>
        <v>0.75800780763706643</v>
      </c>
      <c r="Z185" s="135">
        <f t="shared" si="10"/>
        <v>0.14383766910420237</v>
      </c>
      <c r="AB185" s="143">
        <f>242329411633.01/1000</f>
        <v>242329411.63301</v>
      </c>
      <c r="AC185" s="135">
        <f t="shared" ref="AC185:AC192" si="13">+AB185/$X$11</f>
        <v>0.8130354524818979</v>
      </c>
      <c r="AD185" s="135">
        <f t="shared" si="11"/>
        <v>7.2595089774033977E-2</v>
      </c>
      <c r="AF185" s="170">
        <v>263336668.92114002</v>
      </c>
      <c r="AG185" s="170">
        <v>0.70115518432211454</v>
      </c>
      <c r="AH185" s="170">
        <v>8.6688846997837618E-2</v>
      </c>
    </row>
    <row r="186" spans="1:34" ht="11.1" customHeight="1">
      <c r="A186" s="130"/>
      <c r="B186" s="142" t="s">
        <v>640</v>
      </c>
      <c r="C186" s="143"/>
      <c r="D186" s="143"/>
      <c r="E186" s="143"/>
      <c r="F186" s="135">
        <v>0</v>
      </c>
      <c r="G186" s="135"/>
      <c r="H186" s="143"/>
      <c r="I186" s="135" t="s">
        <v>11</v>
      </c>
      <c r="J186" s="135">
        <v>0</v>
      </c>
      <c r="K186" s="135"/>
      <c r="L186" s="143">
        <v>0</v>
      </c>
      <c r="M186" s="135" t="s">
        <v>11</v>
      </c>
      <c r="N186" s="135">
        <v>0</v>
      </c>
      <c r="O186" s="135"/>
      <c r="P186" s="148">
        <v>0</v>
      </c>
      <c r="Q186" s="135">
        <v>0</v>
      </c>
      <c r="R186" s="135">
        <v>0</v>
      </c>
      <c r="S186" s="135"/>
      <c r="T186" s="143">
        <v>1342785.11</v>
      </c>
      <c r="U186" s="135">
        <v>5.0287771130032013E-3</v>
      </c>
      <c r="V186" s="135">
        <v>0</v>
      </c>
      <c r="X186" s="143">
        <v>0</v>
      </c>
      <c r="Y186" s="135">
        <f t="shared" si="12"/>
        <v>0</v>
      </c>
      <c r="Z186" s="135" t="str">
        <f t="shared" si="10"/>
        <v/>
      </c>
      <c r="AB186" s="143">
        <f>3037437407.45/1000</f>
        <v>3037437.4074499998</v>
      </c>
      <c r="AC186" s="135">
        <f t="shared" si="13"/>
        <v>1.01908566537994E-2</v>
      </c>
      <c r="AD186" s="135" t="str">
        <f t="shared" si="11"/>
        <v/>
      </c>
      <c r="AF186" s="18">
        <v>7910095</v>
      </c>
      <c r="AG186" s="18">
        <v>2.1061267845653989E-2</v>
      </c>
      <c r="AH186" s="18">
        <v>1.6042001657708926</v>
      </c>
    </row>
    <row r="187" spans="1:34" ht="11.1" customHeight="1">
      <c r="A187" s="130"/>
      <c r="B187" s="142" t="s">
        <v>641</v>
      </c>
      <c r="C187" s="143">
        <f>1123886.91+280030.357+62282.117</f>
        <v>1466199.3840000001</v>
      </c>
      <c r="D187" s="143">
        <f>1264588.786+313877.316+4601.75</f>
        <v>1583067.852</v>
      </c>
      <c r="E187" s="143">
        <v>1962260.17</v>
      </c>
      <c r="F187" s="135">
        <v>1.0809737529250513E-2</v>
      </c>
      <c r="G187" s="135"/>
      <c r="H187" s="143">
        <v>1662533.81</v>
      </c>
      <c r="I187" s="135">
        <v>8.2060814626055481E-3</v>
      </c>
      <c r="J187" s="135">
        <v>-0.15274547411314979</v>
      </c>
      <c r="K187" s="135"/>
      <c r="L187" s="143">
        <v>1878546.56</v>
      </c>
      <c r="M187" s="135">
        <v>8.361656568898956E-3</v>
      </c>
      <c r="N187" s="135">
        <v>0.12992983884039025</v>
      </c>
      <c r="O187" s="135"/>
      <c r="P187" s="148">
        <v>1783412.895</v>
      </c>
      <c r="Q187" s="135">
        <v>7.1588989156967757E-3</v>
      </c>
      <c r="R187" s="135">
        <v>-5.0642165078942751E-2</v>
      </c>
      <c r="S187" s="135"/>
      <c r="T187" s="143">
        <v>2062715.916</v>
      </c>
      <c r="U187" s="135">
        <v>7.7249431139493601E-3</v>
      </c>
      <c r="V187" s="135">
        <v>0.15661152937889908</v>
      </c>
      <c r="X187" s="143">
        <v>2139530.1669999999</v>
      </c>
      <c r="Y187" s="135">
        <f t="shared" si="12"/>
        <v>7.1783027314071182E-3</v>
      </c>
      <c r="Z187" s="135">
        <f t="shared" si="10"/>
        <v>3.7239374750623652E-2</v>
      </c>
      <c r="AB187" s="143">
        <f>2296065739.57/1000</f>
        <v>2296065.7395700002</v>
      </c>
      <c r="AC187" s="135">
        <f t="shared" si="13"/>
        <v>7.7034926751961231E-3</v>
      </c>
      <c r="AD187" s="135">
        <f t="shared" si="11"/>
        <v>7.3163526733297193E-2</v>
      </c>
      <c r="AF187" s="18">
        <v>1828620.3084899997</v>
      </c>
      <c r="AG187" s="18">
        <v>4.8688495024535499E-3</v>
      </c>
      <c r="AH187" s="18">
        <v>-0.20358538652623343</v>
      </c>
    </row>
    <row r="188" spans="1:34" ht="11.1" customHeight="1">
      <c r="A188" s="130"/>
      <c r="B188" s="107" t="s">
        <v>642</v>
      </c>
      <c r="C188" s="143">
        <v>5808.8119999999999</v>
      </c>
      <c r="D188" s="143">
        <v>4565</v>
      </c>
      <c r="E188" s="143">
        <v>4950</v>
      </c>
      <c r="F188" s="135">
        <v>2.7268657636662951E-5</v>
      </c>
      <c r="G188" s="135"/>
      <c r="H188" s="143">
        <v>8334.3233199999995</v>
      </c>
      <c r="I188" s="135">
        <v>4.1137290374631915E-5</v>
      </c>
      <c r="J188" s="135">
        <v>0.68370168080808069</v>
      </c>
      <c r="K188" s="135"/>
      <c r="L188" s="143">
        <v>6779.0347099999999</v>
      </c>
      <c r="M188" s="135">
        <v>3.0174370612174518E-5</v>
      </c>
      <c r="N188" s="135">
        <v>-0.1866124639378641</v>
      </c>
      <c r="O188" s="135"/>
      <c r="P188" s="148">
        <v>9890.7946699999993</v>
      </c>
      <c r="Q188" s="135">
        <v>3.9703200216258634E-5</v>
      </c>
      <c r="R188" s="135">
        <v>0.45902699914041295</v>
      </c>
      <c r="S188" s="135"/>
      <c r="T188" s="143">
        <v>16898.042170000001</v>
      </c>
      <c r="U188" s="135">
        <v>6.3283757830066316E-5</v>
      </c>
      <c r="V188" s="135">
        <v>0.7084615274901872</v>
      </c>
      <c r="X188" s="143">
        <v>7650</v>
      </c>
      <c r="Y188" s="135">
        <f t="shared" si="12"/>
        <v>2.5666390099216796E-5</v>
      </c>
      <c r="Z188" s="135">
        <f t="shared" si="10"/>
        <v>-0.54728483199187095</v>
      </c>
      <c r="AB188" s="143">
        <f>8408135.57/1000</f>
        <v>8408.1355700000004</v>
      </c>
      <c r="AC188" s="135">
        <f t="shared" si="13"/>
        <v>2.8209998372120334E-5</v>
      </c>
      <c r="AD188" s="135">
        <f t="shared" si="11"/>
        <v>9.9102688888888943E-2</v>
      </c>
      <c r="AF188" s="18">
        <v>8200</v>
      </c>
      <c r="AG188" s="18">
        <v>2.1833163360789308E-5</v>
      </c>
      <c r="AH188" s="18">
        <v>-2.4754069230594051E-2</v>
      </c>
    </row>
    <row r="189" spans="1:34" ht="11.1" customHeight="1">
      <c r="A189" s="130"/>
      <c r="B189" s="107" t="s">
        <v>643</v>
      </c>
      <c r="C189" s="143">
        <v>97376.597999999998</v>
      </c>
      <c r="D189" s="143">
        <v>110645.735</v>
      </c>
      <c r="E189" s="143">
        <v>135100</v>
      </c>
      <c r="F189" s="135">
        <v>7.442415447905384E-4</v>
      </c>
      <c r="G189" s="135"/>
      <c r="H189" s="143">
        <v>118833.33369</v>
      </c>
      <c r="I189" s="135">
        <v>5.8654808152931845E-4</v>
      </c>
      <c r="J189" s="135">
        <v>-0.12040463589933383</v>
      </c>
      <c r="K189" s="135"/>
      <c r="L189" s="143">
        <v>117936</v>
      </c>
      <c r="M189" s="135">
        <v>5.24948569339515E-4</v>
      </c>
      <c r="N189" s="135">
        <v>-7.5511951246008966E-3</v>
      </c>
      <c r="O189" s="135"/>
      <c r="P189" s="148">
        <v>112429.16499999999</v>
      </c>
      <c r="Q189" s="135">
        <v>4.5130829190914522E-4</v>
      </c>
      <c r="R189" s="135">
        <v>-4.6693418464251853E-2</v>
      </c>
      <c r="S189" s="135"/>
      <c r="T189" s="143">
        <v>134270.83499999999</v>
      </c>
      <c r="U189" s="135">
        <v>5.028489644123542E-4</v>
      </c>
      <c r="V189" s="135">
        <v>0.19427049911826705</v>
      </c>
      <c r="X189" s="143">
        <v>118822.75418</v>
      </c>
      <c r="Y189" s="135">
        <f t="shared" si="12"/>
        <v>3.9866028254212068E-4</v>
      </c>
      <c r="Z189" s="135">
        <f t="shared" si="10"/>
        <v>-0.11505164781316798</v>
      </c>
      <c r="AB189" s="143">
        <f>106624584.98/1000</f>
        <v>106624.58498</v>
      </c>
      <c r="AC189" s="135">
        <f t="shared" si="13"/>
        <v>3.5773440421748648E-4</v>
      </c>
      <c r="AD189" s="135">
        <f t="shared" si="11"/>
        <v>-0.10265852937158373</v>
      </c>
      <c r="AF189" s="18">
        <v>380.48849999999999</v>
      </c>
      <c r="AG189" s="18">
        <v>1.0130814118782541E-6</v>
      </c>
      <c r="AH189" s="18">
        <v>-0.99643151248774964</v>
      </c>
    </row>
    <row r="190" spans="1:34" ht="11.1" customHeight="1">
      <c r="A190" s="130"/>
      <c r="B190" s="107" t="s">
        <v>644</v>
      </c>
      <c r="C190" s="143">
        <v>30436.345000000001</v>
      </c>
      <c r="D190" s="143">
        <v>31189.053</v>
      </c>
      <c r="E190" s="143">
        <v>36000</v>
      </c>
      <c r="F190" s="135">
        <v>1.9831751008482146E-4</v>
      </c>
      <c r="G190" s="135"/>
      <c r="H190" s="143">
        <v>37800</v>
      </c>
      <c r="I190" s="135">
        <v>1.8657658413965712E-4</v>
      </c>
      <c r="J190" s="135">
        <v>0.05</v>
      </c>
      <c r="K190" s="135"/>
      <c r="L190" s="143">
        <v>39311.213000000003</v>
      </c>
      <c r="M190" s="135">
        <v>1.7497935340651664E-4</v>
      </c>
      <c r="N190" s="135">
        <v>3.9979179894179984E-2</v>
      </c>
      <c r="O190" s="135"/>
      <c r="P190" s="148">
        <v>37501.665000000001</v>
      </c>
      <c r="Q190" s="135">
        <v>1.5053756180523958E-4</v>
      </c>
      <c r="R190" s="135">
        <v>-4.6031344797221145E-2</v>
      </c>
      <c r="S190" s="135"/>
      <c r="T190" s="143">
        <v>47286.239999999998</v>
      </c>
      <c r="U190" s="135">
        <v>1.7708861954239012E-4</v>
      </c>
      <c r="V190" s="135">
        <v>0.26091041557754829</v>
      </c>
      <c r="X190" s="143">
        <v>24570.836429999999</v>
      </c>
      <c r="Y190" s="135">
        <f t="shared" si="12"/>
        <v>8.2437212140709456E-5</v>
      </c>
      <c r="Z190" s="135">
        <f t="shared" si="10"/>
        <v>-0.48038083742754761</v>
      </c>
      <c r="AB190" s="143">
        <f>32089884.32/1000</f>
        <v>32089.884320000001</v>
      </c>
      <c r="AC190" s="135">
        <f t="shared" si="13"/>
        <v>1.0766424695370723E-4</v>
      </c>
      <c r="AD190" s="135">
        <f t="shared" si="11"/>
        <v>0.30601513755630833</v>
      </c>
      <c r="AF190" s="18">
        <v>30999.70002</v>
      </c>
      <c r="AG190" s="18">
        <v>8.2539209106356542E-5</v>
      </c>
      <c r="AH190" s="18">
        <v>-3.3972833592315073E-2</v>
      </c>
    </row>
    <row r="191" spans="1:34" s="97" customFormat="1" ht="11.1" customHeight="1">
      <c r="A191" s="130"/>
      <c r="B191" s="107" t="s">
        <v>645</v>
      </c>
      <c r="C191" s="143">
        <v>3647.145</v>
      </c>
      <c r="D191" s="143">
        <v>4084.8020000000001</v>
      </c>
      <c r="E191" s="143">
        <v>5305.12</v>
      </c>
      <c r="F191" s="135">
        <v>2.9224949697255224E-5</v>
      </c>
      <c r="G191" s="135"/>
      <c r="H191" s="143">
        <v>6891.6227699999999</v>
      </c>
      <c r="I191" s="135">
        <v>3.401628136522968E-5</v>
      </c>
      <c r="J191" s="135">
        <v>0.29905125049009262</v>
      </c>
      <c r="K191" s="135"/>
      <c r="L191" s="143">
        <v>7184.9906799999999</v>
      </c>
      <c r="M191" s="135">
        <v>3.1981333758850131E-5</v>
      </c>
      <c r="N191" s="135">
        <v>4.2568770780238158E-2</v>
      </c>
      <c r="O191" s="135"/>
      <c r="P191" s="148">
        <v>7925.2214100000001</v>
      </c>
      <c r="Q191" s="135">
        <v>3.1813081041283976E-5</v>
      </c>
      <c r="R191" s="135">
        <v>0.10302459153642218</v>
      </c>
      <c r="S191" s="135"/>
      <c r="T191" s="143">
        <v>8215.3765700000004</v>
      </c>
      <c r="U191" s="135">
        <v>3.0766872049928183E-5</v>
      </c>
      <c r="V191" s="135">
        <v>3.6611615624250457E-2</v>
      </c>
      <c r="X191" s="143">
        <v>9204.5961700000007</v>
      </c>
      <c r="Y191" s="135">
        <f t="shared" si="12"/>
        <v>3.0882190327447955E-5</v>
      </c>
      <c r="Z191" s="135">
        <f t="shared" si="10"/>
        <v>0.12041074338726268</v>
      </c>
      <c r="AB191" s="143">
        <f>10792037.38/1000</f>
        <v>10792.037380000002</v>
      </c>
      <c r="AC191" s="135">
        <f t="shared" si="13"/>
        <v>3.6208188413125437E-5</v>
      </c>
      <c r="AD191" s="135">
        <f t="shared" si="11"/>
        <v>0.17246179850603927</v>
      </c>
      <c r="AF191" s="18">
        <v>24556.525960000003</v>
      </c>
      <c r="AG191" s="18">
        <v>6.5383736933919955E-5</v>
      </c>
      <c r="AH191" s="18">
        <v>1.2754300319148819</v>
      </c>
    </row>
    <row r="192" spans="1:34" ht="11.1" customHeight="1">
      <c r="A192" s="130"/>
      <c r="B192" s="107" t="s">
        <v>646</v>
      </c>
      <c r="C192" s="143">
        <v>4999.9989999999998</v>
      </c>
      <c r="D192" s="143">
        <v>5304</v>
      </c>
      <c r="E192" s="143">
        <v>5622.24</v>
      </c>
      <c r="F192" s="135">
        <v>3.097190660831352E-5</v>
      </c>
      <c r="G192" s="135"/>
      <c r="H192" s="143">
        <v>5900.0000199999995</v>
      </c>
      <c r="I192" s="135">
        <v>2.9121742067606047E-5</v>
      </c>
      <c r="J192" s="135">
        <v>4.9403799908933045E-2</v>
      </c>
      <c r="K192" s="135"/>
      <c r="L192" s="143">
        <v>6099.9999699999998</v>
      </c>
      <c r="M192" s="135">
        <v>2.7151898124597955E-5</v>
      </c>
      <c r="N192" s="135">
        <v>3.3898296495260077E-2</v>
      </c>
      <c r="O192" s="135"/>
      <c r="P192" s="148">
        <v>5866.6666799999994</v>
      </c>
      <c r="Q192" s="135">
        <v>2.3549719670613011E-5</v>
      </c>
      <c r="R192" s="135">
        <v>-3.8251359204514959E-2</v>
      </c>
      <c r="S192" s="135"/>
      <c r="T192" s="143">
        <v>7233.3332199999995</v>
      </c>
      <c r="U192" s="135">
        <v>2.708908542146535E-5</v>
      </c>
      <c r="V192" s="135">
        <v>0.23295452333419431</v>
      </c>
      <c r="X192" s="143">
        <v>5033.3320000000003</v>
      </c>
      <c r="Y192" s="135">
        <f t="shared" si="12"/>
        <v>1.6887250014492951E-5</v>
      </c>
      <c r="Z192" s="135">
        <f t="shared" si="10"/>
        <v>-0.30414763886682927</v>
      </c>
      <c r="AB192" s="143">
        <v>0</v>
      </c>
      <c r="AC192" s="135">
        <f t="shared" si="13"/>
        <v>0</v>
      </c>
      <c r="AD192" s="135">
        <f t="shared" si="11"/>
        <v>-1</v>
      </c>
      <c r="AF192" s="18">
        <v>10066.66633</v>
      </c>
      <c r="AG192" s="18">
        <v>2.6803313473347243E-5</v>
      </c>
      <c r="AH192" s="18"/>
    </row>
    <row r="193" spans="1:34" ht="11.1" customHeight="1">
      <c r="A193" s="130"/>
      <c r="B193" s="4"/>
      <c r="C193" s="107"/>
      <c r="D193" s="107"/>
      <c r="E193" s="107"/>
      <c r="F193" s="135" t="s">
        <v>11</v>
      </c>
      <c r="G193" s="135"/>
      <c r="H193" s="138"/>
      <c r="I193" s="135" t="s">
        <v>11</v>
      </c>
      <c r="J193" s="135" t="s">
        <v>11</v>
      </c>
      <c r="K193" s="135"/>
      <c r="L193" s="138"/>
      <c r="M193" s="135" t="s">
        <v>11</v>
      </c>
      <c r="N193" s="135" t="s">
        <v>11</v>
      </c>
      <c r="O193" s="135"/>
      <c r="P193" s="136" t="s">
        <v>11</v>
      </c>
      <c r="Q193" s="135" t="s">
        <v>11</v>
      </c>
      <c r="R193" s="135" t="s">
        <v>11</v>
      </c>
      <c r="S193" s="135"/>
      <c r="T193" s="131" t="s">
        <v>11</v>
      </c>
      <c r="U193" s="135" t="s">
        <v>11</v>
      </c>
      <c r="V193" s="135" t="s">
        <v>11</v>
      </c>
      <c r="X193" s="131" t="s">
        <v>11</v>
      </c>
      <c r="Y193" s="135"/>
      <c r="Z193" s="135" t="str">
        <f t="shared" si="10"/>
        <v/>
      </c>
      <c r="AB193" s="131" t="s">
        <v>11</v>
      </c>
      <c r="AC193" s="135"/>
      <c r="AD193" s="135" t="str">
        <f t="shared" si="11"/>
        <v/>
      </c>
      <c r="AF193" s="18"/>
      <c r="AG193" s="18" t="s">
        <v>11</v>
      </c>
      <c r="AH193" s="18" t="s">
        <v>11</v>
      </c>
    </row>
    <row r="194" spans="1:34" s="9" customFormat="1" ht="11.1" customHeight="1">
      <c r="A194" s="133" t="s">
        <v>547</v>
      </c>
      <c r="B194" s="140" t="s">
        <v>647</v>
      </c>
      <c r="C194" s="131">
        <f>SUM(C196:C196)</f>
        <v>64531.58</v>
      </c>
      <c r="D194" s="131">
        <f>SUM(D196:D196)</f>
        <v>45067.43</v>
      </c>
      <c r="E194" s="131">
        <v>3266.58</v>
      </c>
      <c r="F194" s="135">
        <v>1.7995000335913226E-5</v>
      </c>
      <c r="G194" s="135"/>
      <c r="H194" s="131">
        <v>0</v>
      </c>
      <c r="I194" s="135">
        <v>0</v>
      </c>
      <c r="J194" s="135">
        <v>-1</v>
      </c>
      <c r="K194" s="135"/>
      <c r="L194" s="131">
        <v>0</v>
      </c>
      <c r="M194" s="135" t="s">
        <v>11</v>
      </c>
      <c r="N194" s="135">
        <v>0</v>
      </c>
      <c r="O194" s="135"/>
      <c r="P194" s="136">
        <v>0</v>
      </c>
      <c r="Q194" s="135">
        <v>0</v>
      </c>
      <c r="R194" s="135">
        <v>0</v>
      </c>
      <c r="S194" s="135"/>
      <c r="T194" s="136">
        <v>0</v>
      </c>
      <c r="U194" s="135">
        <v>0</v>
      </c>
      <c r="V194" s="135">
        <v>0</v>
      </c>
      <c r="X194" s="136">
        <f>+X196</f>
        <v>0</v>
      </c>
      <c r="Y194" s="135">
        <f t="shared" si="12"/>
        <v>0</v>
      </c>
      <c r="Z194" s="135" t="e">
        <f t="shared" si="10"/>
        <v>#DIV/0!</v>
      </c>
      <c r="AB194" s="136">
        <f>+AB196</f>
        <v>0</v>
      </c>
      <c r="AC194" s="135">
        <f>+AB194/$X$11</f>
        <v>0</v>
      </c>
      <c r="AD194" s="135" t="e">
        <f t="shared" si="11"/>
        <v>#DIV/0!</v>
      </c>
      <c r="AF194" s="18">
        <v>0</v>
      </c>
      <c r="AG194" s="18">
        <v>0</v>
      </c>
      <c r="AH194" s="18"/>
    </row>
    <row r="195" spans="1:34" ht="11.1" customHeight="1">
      <c r="A195" s="130"/>
      <c r="B195" s="142"/>
      <c r="C195" s="107"/>
      <c r="D195" s="107"/>
      <c r="E195" s="107"/>
      <c r="F195" s="135" t="s">
        <v>11</v>
      </c>
      <c r="G195" s="135"/>
      <c r="H195" s="107"/>
      <c r="I195" s="135" t="s">
        <v>11</v>
      </c>
      <c r="J195" s="135" t="s">
        <v>11</v>
      </c>
      <c r="K195" s="135"/>
      <c r="L195" s="107"/>
      <c r="M195" s="135" t="s">
        <v>11</v>
      </c>
      <c r="N195" s="135" t="s">
        <v>11</v>
      </c>
      <c r="O195" s="135"/>
      <c r="P195" s="136" t="s">
        <v>11</v>
      </c>
      <c r="Q195" s="135" t="s">
        <v>11</v>
      </c>
      <c r="R195" s="135" t="s">
        <v>11</v>
      </c>
      <c r="S195" s="135"/>
      <c r="T195" s="131" t="s">
        <v>11</v>
      </c>
      <c r="U195" s="135" t="s">
        <v>11</v>
      </c>
      <c r="V195" s="135" t="s">
        <v>11</v>
      </c>
      <c r="X195" s="131" t="s">
        <v>11</v>
      </c>
      <c r="Y195" s="135"/>
      <c r="Z195" s="135" t="str">
        <f t="shared" si="10"/>
        <v/>
      </c>
      <c r="AB195" s="131" t="s">
        <v>11</v>
      </c>
      <c r="AC195" s="135"/>
      <c r="AD195" s="135" t="str">
        <f t="shared" si="11"/>
        <v/>
      </c>
      <c r="AF195" s="18"/>
      <c r="AG195" s="18" t="s">
        <v>11</v>
      </c>
      <c r="AH195" s="18" t="s">
        <v>11</v>
      </c>
    </row>
    <row r="196" spans="1:34" ht="11.1" customHeight="1">
      <c r="A196" s="130"/>
      <c r="B196" s="142" t="s">
        <v>648</v>
      </c>
      <c r="C196" s="143">
        <v>64531.58</v>
      </c>
      <c r="D196" s="143">
        <v>45067.43</v>
      </c>
      <c r="E196" s="143">
        <v>3266.58</v>
      </c>
      <c r="F196" s="135">
        <v>1.7995000335913226E-5</v>
      </c>
      <c r="G196" s="135"/>
      <c r="H196" s="143">
        <v>0</v>
      </c>
      <c r="I196" s="135">
        <v>0</v>
      </c>
      <c r="J196" s="135">
        <v>-1</v>
      </c>
      <c r="K196" s="135"/>
      <c r="L196" s="143">
        <v>0</v>
      </c>
      <c r="M196" s="135" t="s">
        <v>11</v>
      </c>
      <c r="N196" s="135">
        <v>0</v>
      </c>
      <c r="O196" s="135"/>
      <c r="P196" s="148">
        <v>0</v>
      </c>
      <c r="Q196" s="135">
        <v>0</v>
      </c>
      <c r="R196" s="135">
        <v>0</v>
      </c>
      <c r="S196" s="135"/>
      <c r="T196" s="143">
        <v>0</v>
      </c>
      <c r="U196" s="135">
        <v>0</v>
      </c>
      <c r="V196" s="135">
        <v>0</v>
      </c>
      <c r="X196" s="143">
        <v>0</v>
      </c>
      <c r="Y196" s="135">
        <f t="shared" si="12"/>
        <v>0</v>
      </c>
      <c r="Z196" s="135" t="e">
        <f t="shared" si="10"/>
        <v>#DIV/0!</v>
      </c>
      <c r="AB196" s="143">
        <v>0</v>
      </c>
      <c r="AC196" s="135">
        <f>+AB196/$X$11</f>
        <v>0</v>
      </c>
      <c r="AD196" s="135" t="e">
        <f t="shared" si="11"/>
        <v>#DIV/0!</v>
      </c>
      <c r="AF196" s="18">
        <v>0</v>
      </c>
      <c r="AG196" s="18">
        <v>0</v>
      </c>
      <c r="AH196" s="18"/>
    </row>
    <row r="197" spans="1:34" ht="11.1" customHeight="1">
      <c r="A197" s="130"/>
      <c r="B197" s="142"/>
      <c r="C197" s="143"/>
      <c r="D197" s="143"/>
      <c r="E197" s="143"/>
      <c r="F197" s="135" t="s">
        <v>11</v>
      </c>
      <c r="G197" s="135"/>
      <c r="H197" s="143"/>
      <c r="I197" s="135" t="s">
        <v>11</v>
      </c>
      <c r="J197" s="135" t="s">
        <v>11</v>
      </c>
      <c r="K197" s="135"/>
      <c r="L197" s="143"/>
      <c r="M197" s="135" t="s">
        <v>11</v>
      </c>
      <c r="N197" s="135" t="s">
        <v>11</v>
      </c>
      <c r="O197" s="135"/>
      <c r="P197" s="136" t="s">
        <v>11</v>
      </c>
      <c r="Q197" s="135" t="s">
        <v>11</v>
      </c>
      <c r="R197" s="135" t="s">
        <v>11</v>
      </c>
      <c r="S197" s="135"/>
      <c r="T197" s="131" t="s">
        <v>11</v>
      </c>
      <c r="U197" s="135" t="s">
        <v>11</v>
      </c>
      <c r="V197" s="135" t="s">
        <v>11</v>
      </c>
      <c r="X197" s="131" t="s">
        <v>11</v>
      </c>
      <c r="Y197" s="135"/>
      <c r="Z197" s="135" t="str">
        <f t="shared" si="10"/>
        <v/>
      </c>
      <c r="AB197" s="131" t="s">
        <v>11</v>
      </c>
      <c r="AC197" s="135"/>
      <c r="AD197" s="135" t="str">
        <f t="shared" si="11"/>
        <v/>
      </c>
      <c r="AF197" s="18"/>
      <c r="AG197" s="18" t="s">
        <v>11</v>
      </c>
      <c r="AH197" s="18" t="s">
        <v>11</v>
      </c>
    </row>
    <row r="198" spans="1:34" ht="11.1" customHeight="1">
      <c r="A198" s="155" t="s">
        <v>547</v>
      </c>
      <c r="B198" s="140" t="s">
        <v>649</v>
      </c>
      <c r="C198" s="131">
        <f>C200+C201</f>
        <v>2586473.2409999999</v>
      </c>
      <c r="D198" s="131">
        <f>D200+D201</f>
        <v>5761148.8700000001</v>
      </c>
      <c r="E198" s="131">
        <v>3622441.06</v>
      </c>
      <c r="F198" s="135">
        <v>1.9955374762450594E-2</v>
      </c>
      <c r="G198" s="135"/>
      <c r="H198" s="131">
        <v>3478396.5358100003</v>
      </c>
      <c r="I198" s="135">
        <v>1.7168977352768424E-2</v>
      </c>
      <c r="J198" s="135">
        <v>-3.9764490796159367E-2</v>
      </c>
      <c r="K198" s="135"/>
      <c r="L198" s="131">
        <v>4588694.5746600004</v>
      </c>
      <c r="M198" s="135">
        <v>2.0424880037509849E-2</v>
      </c>
      <c r="N198" s="135">
        <v>0.31919823614688869</v>
      </c>
      <c r="O198" s="135"/>
      <c r="P198" s="136">
        <v>4513212.5659400001</v>
      </c>
      <c r="Q198" s="135">
        <v>1.8116742698900876E-2</v>
      </c>
      <c r="R198" s="135">
        <v>-1.6449560434209792E-2</v>
      </c>
      <c r="S198" s="135"/>
      <c r="T198" s="136">
        <v>4377016</v>
      </c>
      <c r="U198" s="135">
        <v>1.6392077719754296E-2</v>
      </c>
      <c r="V198" s="135">
        <v>-3.0177299196549909E-2</v>
      </c>
      <c r="X198" s="136">
        <f>SUM(X200:X201)</f>
        <v>3796370.1520799999</v>
      </c>
      <c r="Y198" s="135">
        <f t="shared" si="12"/>
        <v>1.2737139514288662E-2</v>
      </c>
      <c r="Z198" s="135">
        <f t="shared" si="10"/>
        <v>-0.13265792218260114</v>
      </c>
      <c r="AB198" s="136">
        <f>SUM(AB200:AB201)</f>
        <v>5266800.87457</v>
      </c>
      <c r="AC198" s="135">
        <f>+AB198/$X$11</f>
        <v>1.7670557623739844E-2</v>
      </c>
      <c r="AD198" s="135">
        <f t="shared" si="11"/>
        <v>0.3873254355043233</v>
      </c>
      <c r="AF198" s="18">
        <v>4968815.3321799999</v>
      </c>
      <c r="AG198" s="18">
        <v>1.3229872787448846E-2</v>
      </c>
      <c r="AH198" s="18">
        <v>-5.6578091613218369E-2</v>
      </c>
    </row>
    <row r="199" spans="1:34" ht="11.1" customHeight="1">
      <c r="A199" s="130"/>
      <c r="B199" s="142"/>
      <c r="C199" s="143"/>
      <c r="D199" s="143"/>
      <c r="E199" s="143"/>
      <c r="F199" s="135" t="s">
        <v>11</v>
      </c>
      <c r="G199" s="135"/>
      <c r="H199" s="143"/>
      <c r="I199" s="135" t="s">
        <v>11</v>
      </c>
      <c r="J199" s="135" t="s">
        <v>11</v>
      </c>
      <c r="K199" s="135"/>
      <c r="L199" s="143"/>
      <c r="M199" s="135" t="s">
        <v>11</v>
      </c>
      <c r="N199" s="135" t="s">
        <v>11</v>
      </c>
      <c r="O199" s="135"/>
      <c r="P199" s="136" t="s">
        <v>11</v>
      </c>
      <c r="Q199" s="135" t="s">
        <v>11</v>
      </c>
      <c r="R199" s="135" t="s">
        <v>11</v>
      </c>
      <c r="S199" s="135"/>
      <c r="T199" s="131" t="s">
        <v>11</v>
      </c>
      <c r="U199" s="135" t="s">
        <v>11</v>
      </c>
      <c r="V199" s="135" t="s">
        <v>11</v>
      </c>
      <c r="X199" s="131" t="s">
        <v>11</v>
      </c>
      <c r="Y199" s="135"/>
      <c r="Z199" s="135" t="str">
        <f t="shared" si="10"/>
        <v/>
      </c>
      <c r="AB199" s="131" t="s">
        <v>11</v>
      </c>
      <c r="AC199" s="135"/>
      <c r="AD199" s="135" t="str">
        <f t="shared" si="11"/>
        <v/>
      </c>
      <c r="AF199" s="18"/>
      <c r="AG199" s="18" t="s">
        <v>11</v>
      </c>
      <c r="AH199" s="18" t="s">
        <v>11</v>
      </c>
    </row>
    <row r="200" spans="1:34" ht="11.1" customHeight="1">
      <c r="A200" s="130"/>
      <c r="B200" s="142" t="s">
        <v>650</v>
      </c>
      <c r="C200" s="143">
        <v>0</v>
      </c>
      <c r="D200" s="156">
        <v>2089450.87</v>
      </c>
      <c r="E200" s="156">
        <v>533960.6</v>
      </c>
      <c r="F200" s="135">
        <v>2.9414926854277033E-3</v>
      </c>
      <c r="G200" s="135"/>
      <c r="H200" s="156">
        <v>526448.03520000004</v>
      </c>
      <c r="I200" s="135">
        <v>2.5984887866309521E-3</v>
      </c>
      <c r="J200" s="135">
        <v>-1.406951149579189E-2</v>
      </c>
      <c r="K200" s="135"/>
      <c r="L200" s="156">
        <v>432101.30166</v>
      </c>
      <c r="M200" s="135">
        <v>1.9233394393243725E-3</v>
      </c>
      <c r="N200" s="135">
        <v>-0.17921376324285698</v>
      </c>
      <c r="O200" s="135"/>
      <c r="P200" s="148">
        <v>685535.36594000005</v>
      </c>
      <c r="Q200" s="135">
        <v>2.7518464185488905E-3</v>
      </c>
      <c r="R200" s="135">
        <v>0.58651539189163393</v>
      </c>
      <c r="S200" s="135"/>
      <c r="T200" s="143">
        <v>438416</v>
      </c>
      <c r="U200" s="135">
        <v>1.6418832249148277E-3</v>
      </c>
      <c r="V200" s="135">
        <v>-0.3604764658656992</v>
      </c>
      <c r="X200" s="143">
        <v>380877.55</v>
      </c>
      <c r="Y200" s="135">
        <f t="shared" si="12"/>
        <v>1.2778760494554181E-3</v>
      </c>
      <c r="Z200" s="135" t="str">
        <f t="shared" si="10"/>
        <v/>
      </c>
      <c r="AB200" s="143">
        <f>750747096.07/1000</f>
        <v>750747.09607000009</v>
      </c>
      <c r="AC200" s="135">
        <f>+AB200/$X$11</f>
        <v>2.5188193246518708E-3</v>
      </c>
      <c r="AD200" s="135" t="str">
        <f t="shared" si="11"/>
        <v/>
      </c>
      <c r="AF200" s="18">
        <v>689896.32394999999</v>
      </c>
      <c r="AG200" s="18">
        <v>1.836904773513216E-3</v>
      </c>
      <c r="AH200" s="18">
        <v>-8.105362303569448E-2</v>
      </c>
    </row>
    <row r="201" spans="1:34" ht="11.1" customHeight="1">
      <c r="A201" s="130"/>
      <c r="B201" s="142" t="s">
        <v>651</v>
      </c>
      <c r="C201" s="143">
        <v>2586473.2409999999</v>
      </c>
      <c r="D201" s="143">
        <v>3671698</v>
      </c>
      <c r="E201" s="143">
        <v>3088480.46</v>
      </c>
      <c r="F201" s="135">
        <v>1.7013882077022889E-2</v>
      </c>
      <c r="G201" s="135"/>
      <c r="H201" s="143">
        <v>2951948.50061</v>
      </c>
      <c r="I201" s="135">
        <v>1.457048856613747E-2</v>
      </c>
      <c r="J201" s="135">
        <v>-4.420683930440019E-2</v>
      </c>
      <c r="K201" s="135"/>
      <c r="L201" s="143">
        <v>4156593.273</v>
      </c>
      <c r="M201" s="135">
        <v>1.8501540598185474E-2</v>
      </c>
      <c r="N201" s="135">
        <v>0.40808461670014518</v>
      </c>
      <c r="O201" s="135"/>
      <c r="P201" s="148">
        <v>3827677.2</v>
      </c>
      <c r="Q201" s="135">
        <v>1.5364896280351988E-2</v>
      </c>
      <c r="R201" s="135">
        <v>-7.9131166173159476E-2</v>
      </c>
      <c r="S201" s="135"/>
      <c r="T201" s="143">
        <v>3938600</v>
      </c>
      <c r="U201" s="135">
        <v>1.4750194494839467E-2</v>
      </c>
      <c r="V201" s="135">
        <v>2.8979141710277923E-2</v>
      </c>
      <c r="X201" s="143">
        <v>3415492.6020800001</v>
      </c>
      <c r="Y201" s="135">
        <f t="shared" si="12"/>
        <v>1.1459263464833244E-2</v>
      </c>
      <c r="Z201" s="135">
        <f t="shared" si="10"/>
        <v>-0.13281556845579645</v>
      </c>
      <c r="AB201" s="143">
        <f>4516053778.5/1000</f>
        <v>4516053.7785</v>
      </c>
      <c r="AC201" s="135">
        <f>+AB201/$X$11</f>
        <v>1.5151738299087973E-2</v>
      </c>
      <c r="AD201" s="135">
        <f t="shared" si="11"/>
        <v>0.3222261924238306</v>
      </c>
      <c r="AF201" s="18">
        <v>4278919.0082299998</v>
      </c>
      <c r="AG201" s="18">
        <v>1.139296801393563E-2</v>
      </c>
      <c r="AH201" s="18">
        <v>-5.2509288396641755E-2</v>
      </c>
    </row>
    <row r="202" spans="1:34" ht="11.1" customHeight="1">
      <c r="A202" s="130"/>
      <c r="B202" s="4"/>
      <c r="C202" s="143"/>
      <c r="D202" s="143"/>
      <c r="E202" s="143"/>
      <c r="F202" s="135" t="s">
        <v>11</v>
      </c>
      <c r="G202" s="135"/>
      <c r="H202" s="143"/>
      <c r="I202" s="135" t="s">
        <v>11</v>
      </c>
      <c r="J202" s="135" t="s">
        <v>11</v>
      </c>
      <c r="K202" s="135"/>
      <c r="L202" s="143"/>
      <c r="M202" s="135" t="s">
        <v>11</v>
      </c>
      <c r="N202" s="135" t="s">
        <v>11</v>
      </c>
      <c r="O202" s="135"/>
      <c r="P202" s="136" t="s">
        <v>11</v>
      </c>
      <c r="Q202" s="135" t="s">
        <v>11</v>
      </c>
      <c r="R202" s="135" t="s">
        <v>11</v>
      </c>
      <c r="S202" s="135"/>
      <c r="T202" s="131" t="s">
        <v>11</v>
      </c>
      <c r="U202" s="135" t="s">
        <v>11</v>
      </c>
      <c r="V202" s="135" t="s">
        <v>11</v>
      </c>
      <c r="X202" s="131" t="s">
        <v>11</v>
      </c>
      <c r="Y202" s="135"/>
      <c r="Z202" s="135" t="str">
        <f t="shared" si="10"/>
        <v/>
      </c>
      <c r="AB202" s="131" t="s">
        <v>11</v>
      </c>
      <c r="AC202" s="135"/>
      <c r="AD202" s="135" t="str">
        <f t="shared" si="11"/>
        <v/>
      </c>
      <c r="AF202" s="18"/>
      <c r="AG202" s="18" t="s">
        <v>11</v>
      </c>
      <c r="AH202" s="18" t="s">
        <v>11</v>
      </c>
    </row>
    <row r="203" spans="1:34" ht="11.1" customHeight="1">
      <c r="A203" s="155" t="s">
        <v>547</v>
      </c>
      <c r="B203" s="140" t="s">
        <v>652</v>
      </c>
      <c r="C203" s="131">
        <f>SUM(C205:C209)</f>
        <v>22276.720000000001</v>
      </c>
      <c r="D203" s="131">
        <f>SUM(D205:D209)</f>
        <v>187604.93</v>
      </c>
      <c r="E203" s="131">
        <v>88173.67</v>
      </c>
      <c r="F203" s="135">
        <v>4.8573285248446443E-4</v>
      </c>
      <c r="G203" s="135"/>
      <c r="H203" s="131">
        <v>446539.14042000001</v>
      </c>
      <c r="I203" s="135">
        <v>2.2040673942915951E-3</v>
      </c>
      <c r="J203" s="135">
        <v>4.0643138753326253</v>
      </c>
      <c r="K203" s="135"/>
      <c r="L203" s="131">
        <v>15276.800810000001</v>
      </c>
      <c r="M203" s="135">
        <v>6.7999039557846999E-5</v>
      </c>
      <c r="N203" s="135">
        <v>-0.96578843951813242</v>
      </c>
      <c r="O203" s="135"/>
      <c r="P203" s="136">
        <v>100248.08283</v>
      </c>
      <c r="Q203" s="135">
        <v>4.0241151865864889E-4</v>
      </c>
      <c r="R203" s="135">
        <v>5.5621123216045909</v>
      </c>
      <c r="S203" s="135"/>
      <c r="T203" s="136">
        <v>139784.13062000001</v>
      </c>
      <c r="U203" s="135">
        <v>5.2349644897604355E-4</v>
      </c>
      <c r="V203" s="135">
        <v>0.39438208366582894</v>
      </c>
      <c r="X203" s="136">
        <f>SUM(X205:X210)</f>
        <v>50125.089720000004</v>
      </c>
      <c r="Y203" s="135">
        <f t="shared" si="12"/>
        <v>1.6817387013225643E-4</v>
      </c>
      <c r="Z203" s="135">
        <f t="shared" si="10"/>
        <v>-0.64141072740035188</v>
      </c>
      <c r="AB203" s="136">
        <f>SUM(AB205:AB210)</f>
        <v>168848.36348</v>
      </c>
      <c r="AC203" s="135">
        <f>+AB203/$X$11</f>
        <v>5.6650038754144192E-4</v>
      </c>
      <c r="AD203" s="135">
        <f t="shared" si="11"/>
        <v>2.3685398754035383</v>
      </c>
      <c r="AF203" s="18">
        <v>199936.66412</v>
      </c>
      <c r="AG203" s="18">
        <v>5.3234754262722231E-4</v>
      </c>
      <c r="AH203" s="18">
        <v>0.18411964439135589</v>
      </c>
    </row>
    <row r="204" spans="1:34" ht="11.1" customHeight="1">
      <c r="A204" s="130"/>
      <c r="B204" s="142"/>
      <c r="C204" s="143"/>
      <c r="D204" s="143"/>
      <c r="E204" s="143"/>
      <c r="F204" s="135" t="s">
        <v>11</v>
      </c>
      <c r="G204" s="135"/>
      <c r="H204" s="143"/>
      <c r="I204" s="135" t="s">
        <v>11</v>
      </c>
      <c r="J204" s="135" t="s">
        <v>11</v>
      </c>
      <c r="K204" s="135"/>
      <c r="L204" s="143"/>
      <c r="M204" s="135" t="s">
        <v>11</v>
      </c>
      <c r="N204" s="135" t="s">
        <v>11</v>
      </c>
      <c r="O204" s="135"/>
      <c r="P204" s="136" t="s">
        <v>11</v>
      </c>
      <c r="Q204" s="135" t="s">
        <v>11</v>
      </c>
      <c r="R204" s="135" t="s">
        <v>11</v>
      </c>
      <c r="S204" s="135"/>
      <c r="T204" s="131" t="s">
        <v>11</v>
      </c>
      <c r="U204" s="135" t="s">
        <v>11</v>
      </c>
      <c r="V204" s="135" t="s">
        <v>11</v>
      </c>
      <c r="X204" s="131" t="s">
        <v>11</v>
      </c>
      <c r="Y204" s="135"/>
      <c r="Z204" s="135" t="str">
        <f t="shared" si="10"/>
        <v/>
      </c>
      <c r="AB204" s="131" t="s">
        <v>11</v>
      </c>
      <c r="AC204" s="135"/>
      <c r="AD204" s="135" t="str">
        <f t="shared" si="11"/>
        <v/>
      </c>
      <c r="AF204" s="18"/>
      <c r="AG204" s="18" t="s">
        <v>11</v>
      </c>
      <c r="AH204" s="18" t="s">
        <v>11</v>
      </c>
    </row>
    <row r="205" spans="1:34" ht="11.1" customHeight="1">
      <c r="A205" s="130"/>
      <c r="B205" s="142" t="s">
        <v>653</v>
      </c>
      <c r="C205" s="143">
        <v>13500</v>
      </c>
      <c r="D205" s="143">
        <v>37500</v>
      </c>
      <c r="E205" s="143">
        <v>38239.1</v>
      </c>
      <c r="F205" s="135">
        <v>2.1065230833012489E-4</v>
      </c>
      <c r="G205" s="135"/>
      <c r="H205" s="143">
        <v>37813.446000000004</v>
      </c>
      <c r="I205" s="135">
        <v>1.8664295209601538E-4</v>
      </c>
      <c r="J205" s="135">
        <v>-1.1131381230206648E-2</v>
      </c>
      <c r="K205" s="135"/>
      <c r="L205" s="143">
        <v>0</v>
      </c>
      <c r="M205" s="135" t="s">
        <v>11</v>
      </c>
      <c r="N205" s="135">
        <v>-1</v>
      </c>
      <c r="O205" s="135"/>
      <c r="P205" s="148">
        <v>0</v>
      </c>
      <c r="Q205" s="135">
        <v>0</v>
      </c>
      <c r="R205" s="135">
        <v>0</v>
      </c>
      <c r="S205" s="135"/>
      <c r="T205" s="143">
        <v>0</v>
      </c>
      <c r="U205" s="135">
        <v>0</v>
      </c>
      <c r="V205" s="135">
        <v>0</v>
      </c>
      <c r="X205" s="143">
        <v>0</v>
      </c>
      <c r="Y205" s="135">
        <f t="shared" si="12"/>
        <v>0</v>
      </c>
      <c r="Z205" s="135" t="e">
        <f t="shared" si="10"/>
        <v>#DIV/0!</v>
      </c>
      <c r="AB205" s="143">
        <f>68927500/1000</f>
        <v>68927.5</v>
      </c>
      <c r="AC205" s="135">
        <f t="shared" ref="AC205:AC210" si="14">+AB205/$X$11</f>
        <v>2.3125752987761643E-4</v>
      </c>
      <c r="AD205" s="135" t="e">
        <f t="shared" si="11"/>
        <v>#DIV/0!</v>
      </c>
      <c r="AF205" s="18">
        <v>74800</v>
      </c>
      <c r="AG205" s="18">
        <v>1.9916105114476103E-4</v>
      </c>
      <c r="AH205" s="18">
        <v>8.5198215516303369E-2</v>
      </c>
    </row>
    <row r="206" spans="1:34" ht="11.1" customHeight="1">
      <c r="A206" s="130"/>
      <c r="B206" s="142" t="s">
        <v>654</v>
      </c>
      <c r="C206" s="143">
        <f>8776.72</f>
        <v>8776.7199999999993</v>
      </c>
      <c r="D206" s="143">
        <v>11194.9</v>
      </c>
      <c r="E206" s="143">
        <v>11553.68</v>
      </c>
      <c r="F206" s="135">
        <v>6.3647140275466667E-5</v>
      </c>
      <c r="G206" s="135"/>
      <c r="H206" s="143">
        <v>11859.864150000001</v>
      </c>
      <c r="I206" s="135">
        <v>5.8538966705486203E-5</v>
      </c>
      <c r="J206" s="135">
        <v>2.6501006605687622E-2</v>
      </c>
      <c r="K206" s="135"/>
      <c r="L206" s="143">
        <v>15276.800810000001</v>
      </c>
      <c r="M206" s="135">
        <v>6.7999039557846999E-5</v>
      </c>
      <c r="N206" s="135">
        <v>0.28810925797999121</v>
      </c>
      <c r="O206" s="135"/>
      <c r="P206" s="148">
        <v>18668.082829999999</v>
      </c>
      <c r="Q206" s="135">
        <v>7.4936610755987941E-5</v>
      </c>
      <c r="R206" s="135">
        <v>0.22198901865501242</v>
      </c>
      <c r="S206" s="135"/>
      <c r="T206" s="143">
        <v>20549.327020000001</v>
      </c>
      <c r="U206" s="135">
        <v>7.695794705810692E-5</v>
      </c>
      <c r="V206" s="135">
        <v>0.10077329349411299</v>
      </c>
      <c r="X206" s="143">
        <v>22495.914720000001</v>
      </c>
      <c r="Y206" s="135">
        <f t="shared" si="12"/>
        <v>7.5475676188527241E-5</v>
      </c>
      <c r="Z206" s="135">
        <f t="shared" si="10"/>
        <v>9.4727564465028405E-2</v>
      </c>
      <c r="AB206" s="143">
        <f>20637294.6/1000</f>
        <v>20637.294600000001</v>
      </c>
      <c r="AC206" s="135">
        <f t="shared" si="14"/>
        <v>6.9239850169419638E-5</v>
      </c>
      <c r="AD206" s="135">
        <f t="shared" si="11"/>
        <v>-8.2620339876537344E-2</v>
      </c>
      <c r="AF206" s="18">
        <v>21458.505359999999</v>
      </c>
      <c r="AG206" s="18">
        <v>5.7135006463811339E-5</v>
      </c>
      <c r="AH206" s="18">
        <v>3.9792558856042985E-2</v>
      </c>
    </row>
    <row r="207" spans="1:34" ht="11.1" customHeight="1">
      <c r="A207" s="130"/>
      <c r="B207" s="142" t="s">
        <v>655</v>
      </c>
      <c r="C207" s="143">
        <v>0</v>
      </c>
      <c r="D207" s="143">
        <v>100000</v>
      </c>
      <c r="E207" s="143">
        <v>0</v>
      </c>
      <c r="F207" s="135">
        <v>0</v>
      </c>
      <c r="G207" s="135"/>
      <c r="H207" s="143">
        <v>373643.88786999998</v>
      </c>
      <c r="I207" s="135">
        <v>1.8442645577631128E-3</v>
      </c>
      <c r="J207" s="135">
        <v>0</v>
      </c>
      <c r="K207" s="135"/>
      <c r="L207" s="143">
        <v>0</v>
      </c>
      <c r="M207" s="135" t="s">
        <v>11</v>
      </c>
      <c r="N207" s="135">
        <v>-1</v>
      </c>
      <c r="O207" s="135"/>
      <c r="P207" s="148">
        <v>0</v>
      </c>
      <c r="Q207" s="135">
        <v>0</v>
      </c>
      <c r="R207" s="135">
        <v>0</v>
      </c>
      <c r="S207" s="135"/>
      <c r="T207" s="143">
        <v>0</v>
      </c>
      <c r="U207" s="135">
        <v>0</v>
      </c>
      <c r="V207" s="135">
        <v>0</v>
      </c>
      <c r="X207" s="143">
        <v>0</v>
      </c>
      <c r="Y207" s="135">
        <f t="shared" si="12"/>
        <v>0</v>
      </c>
      <c r="Z207" s="135" t="str">
        <f t="shared" si="10"/>
        <v/>
      </c>
      <c r="AB207" s="143">
        <v>0</v>
      </c>
      <c r="AC207" s="135">
        <f t="shared" si="14"/>
        <v>0</v>
      </c>
      <c r="AD207" s="135" t="str">
        <f t="shared" si="11"/>
        <v/>
      </c>
      <c r="AF207" s="18">
        <v>0</v>
      </c>
      <c r="AG207" s="18">
        <v>0</v>
      </c>
      <c r="AH207" s="18"/>
    </row>
    <row r="208" spans="1:34" ht="11.1" customHeight="1">
      <c r="A208" s="130"/>
      <c r="B208" s="142" t="s">
        <v>656</v>
      </c>
      <c r="C208" s="143">
        <v>0</v>
      </c>
      <c r="D208" s="143">
        <v>12500</v>
      </c>
      <c r="E208" s="143">
        <v>0</v>
      </c>
      <c r="F208" s="135">
        <v>0</v>
      </c>
      <c r="G208" s="135"/>
      <c r="H208" s="143">
        <v>0</v>
      </c>
      <c r="I208" s="135">
        <v>0</v>
      </c>
      <c r="J208" s="135">
        <v>0</v>
      </c>
      <c r="K208" s="135"/>
      <c r="L208" s="143">
        <v>0</v>
      </c>
      <c r="M208" s="135" t="s">
        <v>11</v>
      </c>
      <c r="N208" s="135">
        <v>0</v>
      </c>
      <c r="O208" s="135"/>
      <c r="P208" s="148">
        <v>0</v>
      </c>
      <c r="Q208" s="135">
        <v>0</v>
      </c>
      <c r="R208" s="135">
        <v>0</v>
      </c>
      <c r="S208" s="135"/>
      <c r="T208" s="143">
        <v>0</v>
      </c>
      <c r="U208" s="135">
        <v>0</v>
      </c>
      <c r="V208" s="135">
        <v>0</v>
      </c>
      <c r="X208" s="143">
        <v>0</v>
      </c>
      <c r="Y208" s="135">
        <f t="shared" si="12"/>
        <v>0</v>
      </c>
      <c r="Z208" s="135" t="str">
        <f t="shared" si="10"/>
        <v/>
      </c>
      <c r="AB208" s="143">
        <v>0</v>
      </c>
      <c r="AC208" s="135">
        <f t="shared" si="14"/>
        <v>0</v>
      </c>
      <c r="AD208" s="135" t="str">
        <f t="shared" si="11"/>
        <v/>
      </c>
      <c r="AF208" s="18">
        <v>0</v>
      </c>
      <c r="AG208" s="18">
        <v>0</v>
      </c>
      <c r="AH208" s="18"/>
    </row>
    <row r="209" spans="1:34" ht="11.1" customHeight="1">
      <c r="A209" s="130"/>
      <c r="B209" s="142" t="s">
        <v>657</v>
      </c>
      <c r="C209" s="143">
        <v>0</v>
      </c>
      <c r="D209" s="143">
        <v>26410.03</v>
      </c>
      <c r="E209" s="143">
        <v>38380.89</v>
      </c>
      <c r="F209" s="135">
        <v>2.1143340387887288E-4</v>
      </c>
      <c r="G209" s="135"/>
      <c r="H209" s="143">
        <v>23221.9424</v>
      </c>
      <c r="I209" s="135">
        <v>1.1462091772698072E-4</v>
      </c>
      <c r="J209" s="135">
        <v>-0.39496081513482362</v>
      </c>
      <c r="K209" s="135"/>
      <c r="L209" s="143">
        <v>0</v>
      </c>
      <c r="M209" s="135" t="s">
        <v>11</v>
      </c>
      <c r="N209" s="135">
        <v>-1</v>
      </c>
      <c r="O209" s="135"/>
      <c r="P209" s="148">
        <v>0</v>
      </c>
      <c r="Q209" s="135">
        <v>0</v>
      </c>
      <c r="R209" s="135">
        <v>0</v>
      </c>
      <c r="S209" s="135"/>
      <c r="T209" s="143">
        <v>0</v>
      </c>
      <c r="U209" s="135">
        <v>0</v>
      </c>
      <c r="V209" s="135">
        <v>0</v>
      </c>
      <c r="X209" s="143">
        <v>0</v>
      </c>
      <c r="Y209" s="135">
        <f t="shared" si="12"/>
        <v>0</v>
      </c>
      <c r="Z209" s="135" t="str">
        <f t="shared" si="10"/>
        <v/>
      </c>
      <c r="AB209" s="143">
        <v>0</v>
      </c>
      <c r="AC209" s="135">
        <f t="shared" si="14"/>
        <v>0</v>
      </c>
      <c r="AD209" s="135" t="str">
        <f t="shared" si="11"/>
        <v/>
      </c>
      <c r="AF209" s="170">
        <v>0</v>
      </c>
      <c r="AG209" s="170">
        <v>0</v>
      </c>
      <c r="AH209" s="170"/>
    </row>
    <row r="210" spans="1:34" ht="11.1" customHeight="1">
      <c r="A210" s="130"/>
      <c r="B210" s="142" t="s">
        <v>658</v>
      </c>
      <c r="C210" s="143">
        <v>0</v>
      </c>
      <c r="D210" s="143">
        <v>0</v>
      </c>
      <c r="E210" s="143">
        <v>0</v>
      </c>
      <c r="F210" s="135">
        <v>0</v>
      </c>
      <c r="G210" s="135"/>
      <c r="H210" s="143">
        <v>0</v>
      </c>
      <c r="I210" s="135" t="s">
        <v>11</v>
      </c>
      <c r="J210" s="135">
        <v>0</v>
      </c>
      <c r="K210" s="135"/>
      <c r="L210" s="143">
        <v>0</v>
      </c>
      <c r="M210" s="135" t="s">
        <v>11</v>
      </c>
      <c r="N210" s="135">
        <v>0</v>
      </c>
      <c r="O210" s="135"/>
      <c r="P210" s="148">
        <v>81580</v>
      </c>
      <c r="Q210" s="135">
        <v>3.2747490790266095E-4</v>
      </c>
      <c r="R210" s="135">
        <v>0</v>
      </c>
      <c r="S210" s="135"/>
      <c r="T210" s="143">
        <v>119234.8036</v>
      </c>
      <c r="U210" s="135">
        <v>4.4653850191793659E-4</v>
      </c>
      <c r="V210" s="135">
        <v>0.46156905614121108</v>
      </c>
      <c r="X210" s="143">
        <v>27629.174999999999</v>
      </c>
      <c r="Y210" s="135">
        <f t="shared" si="12"/>
        <v>9.2698193943729172E-5</v>
      </c>
      <c r="Z210" s="135" t="str">
        <f t="shared" si="10"/>
        <v/>
      </c>
      <c r="AB210" s="143">
        <f>79283568.88/1000</f>
        <v>79283.568879999992</v>
      </c>
      <c r="AC210" s="135">
        <f t="shared" si="14"/>
        <v>2.6600300749440582E-4</v>
      </c>
      <c r="AD210" s="135" t="str">
        <f t="shared" si="11"/>
        <v/>
      </c>
      <c r="AF210" s="170">
        <v>103678.15876000001</v>
      </c>
      <c r="AG210" s="170">
        <v>2.7605148501864989E-4</v>
      </c>
      <c r="AH210" s="170">
        <v>0.30768783777786995</v>
      </c>
    </row>
    <row r="211" spans="1:34" ht="11.1" customHeight="1">
      <c r="A211" s="130"/>
      <c r="B211" s="4"/>
      <c r="C211" s="138"/>
      <c r="D211" s="138"/>
      <c r="E211" s="138"/>
      <c r="F211" s="135" t="s">
        <v>11</v>
      </c>
      <c r="G211" s="135"/>
      <c r="H211" s="138"/>
      <c r="I211" s="135" t="s">
        <v>11</v>
      </c>
      <c r="J211" s="135" t="s">
        <v>11</v>
      </c>
      <c r="K211" s="135"/>
      <c r="L211" s="138"/>
      <c r="M211" s="135" t="s">
        <v>11</v>
      </c>
      <c r="N211" s="135" t="s">
        <v>11</v>
      </c>
      <c r="O211" s="135"/>
      <c r="P211" s="136" t="s">
        <v>11</v>
      </c>
      <c r="Q211" s="135" t="s">
        <v>11</v>
      </c>
      <c r="R211" s="135" t="s">
        <v>11</v>
      </c>
      <c r="S211" s="135"/>
      <c r="T211" s="131" t="s">
        <v>11</v>
      </c>
      <c r="U211" s="135" t="s">
        <v>11</v>
      </c>
      <c r="V211" s="135" t="s">
        <v>11</v>
      </c>
      <c r="X211" s="131" t="s">
        <v>11</v>
      </c>
      <c r="Y211" s="135"/>
      <c r="Z211" s="135" t="str">
        <f t="shared" si="10"/>
        <v/>
      </c>
      <c r="AB211" s="131" t="s">
        <v>11</v>
      </c>
      <c r="AC211" s="135"/>
      <c r="AD211" s="135" t="str">
        <f t="shared" si="11"/>
        <v/>
      </c>
      <c r="AF211" s="170"/>
      <c r="AG211" s="170" t="s">
        <v>11</v>
      </c>
      <c r="AH211" s="170" t="s">
        <v>11</v>
      </c>
    </row>
    <row r="212" spans="1:34" s="153" customFormat="1" ht="11.1" customHeight="1">
      <c r="A212" s="133" t="s">
        <v>547</v>
      </c>
      <c r="B212" s="134" t="s">
        <v>659</v>
      </c>
      <c r="C212" s="131">
        <f>SUM(C214)</f>
        <v>127021.54999999999</v>
      </c>
      <c r="D212" s="131">
        <f>SUM(D214)</f>
        <v>494421.17000000004</v>
      </c>
      <c r="E212" s="131">
        <v>277748.14</v>
      </c>
      <c r="F212" s="135">
        <v>1.5300644320969557E-3</v>
      </c>
      <c r="G212" s="135"/>
      <c r="H212" s="131">
        <v>309273.45265999995</v>
      </c>
      <c r="I212" s="135">
        <v>1.5265392688460515E-3</v>
      </c>
      <c r="J212" s="135">
        <v>0.11350323591725919</v>
      </c>
      <c r="K212" s="135"/>
      <c r="L212" s="131">
        <v>336131.64857000008</v>
      </c>
      <c r="M212" s="135">
        <v>1.4961659546411119E-3</v>
      </c>
      <c r="N212" s="135">
        <v>8.6842875387454305E-2</v>
      </c>
      <c r="O212" s="135"/>
      <c r="P212" s="136">
        <v>360775.72824000003</v>
      </c>
      <c r="Q212" s="135">
        <v>1.4482103258017828E-3</v>
      </c>
      <c r="R212" s="135">
        <v>7.3316748883489227E-2</v>
      </c>
      <c r="S212" s="135"/>
      <c r="T212" s="136">
        <v>396934.84177</v>
      </c>
      <c r="U212" s="135">
        <v>1.4865348392540062E-3</v>
      </c>
      <c r="V212" s="135">
        <v>0.10022601494395911</v>
      </c>
      <c r="X212" s="136">
        <f>+X214</f>
        <v>413761.36670000001</v>
      </c>
      <c r="Y212" s="135">
        <f t="shared" si="12"/>
        <v>1.3882040059748091E-3</v>
      </c>
      <c r="Z212" s="135">
        <f t="shared" si="10"/>
        <v>4.2391151290644268E-2</v>
      </c>
      <c r="AB212" s="136">
        <f>+AB214</f>
        <v>437675.13686999999</v>
      </c>
      <c r="AC212" s="135">
        <f>+AB212/$X$11</f>
        <v>1.4684367058344476E-3</v>
      </c>
      <c r="AD212" s="135">
        <f t="shared" si="11"/>
        <v>5.7796044035543767E-2</v>
      </c>
      <c r="AF212" s="170">
        <v>545896.70668000029</v>
      </c>
      <c r="AG212" s="170">
        <v>1.4534941433001624E-3</v>
      </c>
      <c r="AH212" s="170">
        <v>0.24726460493949581</v>
      </c>
    </row>
    <row r="213" spans="1:34" s="97" customFormat="1" ht="4.5" customHeight="1">
      <c r="A213" s="139"/>
      <c r="B213" s="142"/>
      <c r="C213" s="138"/>
      <c r="D213" s="138"/>
      <c r="E213" s="138"/>
      <c r="F213" s="135" t="s">
        <v>11</v>
      </c>
      <c r="G213" s="135"/>
      <c r="H213" s="138"/>
      <c r="I213" s="135" t="s">
        <v>11</v>
      </c>
      <c r="J213" s="135" t="s">
        <v>11</v>
      </c>
      <c r="K213" s="135"/>
      <c r="L213" s="138"/>
      <c r="M213" s="135" t="s">
        <v>11</v>
      </c>
      <c r="N213" s="135" t="s">
        <v>11</v>
      </c>
      <c r="O213" s="135"/>
      <c r="P213" s="136" t="s">
        <v>11</v>
      </c>
      <c r="Q213" s="135" t="s">
        <v>11</v>
      </c>
      <c r="R213" s="135" t="s">
        <v>11</v>
      </c>
      <c r="S213" s="135"/>
      <c r="T213" s="131" t="s">
        <v>11</v>
      </c>
      <c r="U213" s="135" t="s">
        <v>11</v>
      </c>
      <c r="V213" s="135" t="s">
        <v>11</v>
      </c>
      <c r="X213" s="131" t="s">
        <v>11</v>
      </c>
      <c r="Y213" s="135"/>
      <c r="Z213" s="135" t="str">
        <f t="shared" si="10"/>
        <v/>
      </c>
      <c r="AB213" s="131" t="s">
        <v>11</v>
      </c>
      <c r="AC213" s="135"/>
      <c r="AD213" s="135" t="str">
        <f t="shared" si="11"/>
        <v/>
      </c>
      <c r="AF213" s="170"/>
      <c r="AG213" s="170" t="s">
        <v>11</v>
      </c>
      <c r="AH213" s="170" t="s">
        <v>11</v>
      </c>
    </row>
    <row r="214" spans="1:34" ht="11.1" customHeight="1">
      <c r="A214" s="130"/>
      <c r="B214" s="142" t="s">
        <v>660</v>
      </c>
      <c r="C214" s="143">
        <f>(730670.51-132464.55-471184.41)</f>
        <v>127021.54999999999</v>
      </c>
      <c r="D214" s="143">
        <f>1165978.35-671557.18</f>
        <v>494421.17000000004</v>
      </c>
      <c r="E214" s="143">
        <v>277748.14</v>
      </c>
      <c r="F214" s="135">
        <v>1.5300644320969557E-3</v>
      </c>
      <c r="G214" s="135"/>
      <c r="H214" s="143">
        <v>309273.45265999995</v>
      </c>
      <c r="I214" s="135">
        <v>1.5265392688460515E-3</v>
      </c>
      <c r="J214" s="135">
        <v>0.11350323591725919</v>
      </c>
      <c r="K214" s="135"/>
      <c r="L214" s="143">
        <v>336131.64857000008</v>
      </c>
      <c r="M214" s="135">
        <v>1.4961659546411119E-3</v>
      </c>
      <c r="N214" s="135">
        <v>8.6842875387454305E-2</v>
      </c>
      <c r="O214" s="135"/>
      <c r="P214" s="148">
        <v>360775.72824000003</v>
      </c>
      <c r="Q214" s="135">
        <v>1.4482103258017828E-3</v>
      </c>
      <c r="R214" s="135">
        <v>7.3316748883489227E-2</v>
      </c>
      <c r="S214" s="135"/>
      <c r="T214" s="143">
        <v>396934.84177</v>
      </c>
      <c r="U214" s="135">
        <v>1.4865348392540062E-3</v>
      </c>
      <c r="V214" s="135">
        <v>0.10022601494395911</v>
      </c>
      <c r="X214" s="143">
        <v>413761.36670000001</v>
      </c>
      <c r="Y214" s="135">
        <f t="shared" si="12"/>
        <v>1.3882040059748091E-3</v>
      </c>
      <c r="Z214" s="135">
        <f t="shared" si="10"/>
        <v>4.2391151290644268E-2</v>
      </c>
      <c r="AB214" s="143">
        <f>437675136.87/1000</f>
        <v>437675.13686999999</v>
      </c>
      <c r="AC214" s="135">
        <f>+AB214/$X$11</f>
        <v>1.4684367058344476E-3</v>
      </c>
      <c r="AD214" s="135">
        <f t="shared" si="11"/>
        <v>5.7796044035543767E-2</v>
      </c>
      <c r="AF214" s="170">
        <v>545896.70668000029</v>
      </c>
      <c r="AG214" s="170">
        <v>1.4534941433001624E-3</v>
      </c>
      <c r="AH214" s="170">
        <v>0.24726460493949581</v>
      </c>
    </row>
    <row r="215" spans="1:34" ht="11.1" customHeight="1">
      <c r="A215" s="130"/>
      <c r="B215" s="142"/>
      <c r="C215" s="138"/>
      <c r="D215" s="138"/>
      <c r="E215" s="138"/>
      <c r="F215" s="135" t="s">
        <v>11</v>
      </c>
      <c r="G215" s="135"/>
      <c r="H215" s="138"/>
      <c r="I215" s="135" t="s">
        <v>11</v>
      </c>
      <c r="J215" s="135" t="s">
        <v>11</v>
      </c>
      <c r="K215" s="135"/>
      <c r="L215" s="138"/>
      <c r="M215" s="135" t="s">
        <v>11</v>
      </c>
      <c r="N215" s="135" t="s">
        <v>11</v>
      </c>
      <c r="O215" s="135"/>
      <c r="P215" s="136" t="s">
        <v>11</v>
      </c>
      <c r="Q215" s="135" t="s">
        <v>11</v>
      </c>
      <c r="R215" s="135" t="s">
        <v>11</v>
      </c>
      <c r="S215" s="135"/>
      <c r="T215" s="131" t="s">
        <v>11</v>
      </c>
      <c r="U215" s="135" t="s">
        <v>11</v>
      </c>
      <c r="V215" s="135" t="s">
        <v>11</v>
      </c>
      <c r="X215" s="131" t="s">
        <v>11</v>
      </c>
      <c r="Y215" s="135"/>
      <c r="Z215" s="135" t="str">
        <f t="shared" si="10"/>
        <v/>
      </c>
      <c r="AB215" s="131" t="s">
        <v>11</v>
      </c>
      <c r="AC215" s="135"/>
      <c r="AD215" s="135" t="str">
        <f t="shared" si="11"/>
        <v/>
      </c>
      <c r="AF215" s="18"/>
      <c r="AG215" s="18" t="s">
        <v>11</v>
      </c>
      <c r="AH215" s="18" t="s">
        <v>11</v>
      </c>
    </row>
    <row r="216" spans="1:34" s="9" customFormat="1" ht="11.1" customHeight="1">
      <c r="A216" s="133" t="s">
        <v>547</v>
      </c>
      <c r="B216" s="134" t="s">
        <v>661</v>
      </c>
      <c r="C216" s="131">
        <f>C218</f>
        <v>78154.03</v>
      </c>
      <c r="D216" s="131">
        <f>D218</f>
        <v>80270.95</v>
      </c>
      <c r="E216" s="131">
        <v>71399.72</v>
      </c>
      <c r="F216" s="135">
        <v>3.9332818586537303E-4</v>
      </c>
      <c r="G216" s="135"/>
      <c r="H216" s="131">
        <v>33450.243609999998</v>
      </c>
      <c r="I216" s="135">
        <v>1.6510667172997865E-4</v>
      </c>
      <c r="J216" s="135">
        <v>-0.53150735591119969</v>
      </c>
      <c r="K216" s="135"/>
      <c r="L216" s="131">
        <v>107955.48327</v>
      </c>
      <c r="M216" s="135">
        <v>4.8052398330401613E-4</v>
      </c>
      <c r="N216" s="135">
        <v>2.2273452034808661</v>
      </c>
      <c r="O216" s="135"/>
      <c r="P216" s="136">
        <v>61068.9107</v>
      </c>
      <c r="Q216" s="135">
        <v>2.4514018027945974E-4</v>
      </c>
      <c r="R216" s="135">
        <v>-0.43431395191604333</v>
      </c>
      <c r="S216" s="135"/>
      <c r="T216" s="136">
        <v>107055.59423</v>
      </c>
      <c r="U216" s="135">
        <v>4.0092693765630272E-4</v>
      </c>
      <c r="V216" s="135">
        <v>0.75302937293099614</v>
      </c>
      <c r="X216" s="136">
        <f>+X218</f>
        <v>83314.271269999997</v>
      </c>
      <c r="Y216" s="135">
        <f t="shared" si="12"/>
        <v>2.7952635127422091E-4</v>
      </c>
      <c r="Z216" s="135">
        <f t="shared" si="10"/>
        <v>-0.22176629937706716</v>
      </c>
      <c r="AB216" s="136">
        <f>+AB218</f>
        <v>80047.880839999998</v>
      </c>
      <c r="AC216" s="135">
        <f>+AB216/$X$11</f>
        <v>2.6856733807255708E-4</v>
      </c>
      <c r="AD216" s="135">
        <f t="shared" si="11"/>
        <v>-3.9205653247742792E-2</v>
      </c>
      <c r="AF216" s="18">
        <v>44811.980459999999</v>
      </c>
      <c r="AG216" s="18">
        <v>1.1931552315898517E-4</v>
      </c>
      <c r="AH216" s="18">
        <v>-0.44018529922646732</v>
      </c>
    </row>
    <row r="217" spans="1:34" ht="6" customHeight="1">
      <c r="A217" s="130"/>
      <c r="B217" s="142"/>
      <c r="C217" s="107"/>
      <c r="D217" s="107"/>
      <c r="E217" s="107"/>
      <c r="F217" s="135" t="s">
        <v>11</v>
      </c>
      <c r="G217" s="135"/>
      <c r="H217" s="107"/>
      <c r="I217" s="135" t="s">
        <v>11</v>
      </c>
      <c r="J217" s="135" t="s">
        <v>11</v>
      </c>
      <c r="K217" s="135"/>
      <c r="L217" s="107"/>
      <c r="M217" s="135" t="s">
        <v>11</v>
      </c>
      <c r="N217" s="135" t="s">
        <v>11</v>
      </c>
      <c r="O217" s="135"/>
      <c r="P217" s="136" t="s">
        <v>11</v>
      </c>
      <c r="Q217" s="135" t="s">
        <v>11</v>
      </c>
      <c r="R217" s="135" t="s">
        <v>11</v>
      </c>
      <c r="S217" s="135"/>
      <c r="T217" s="131" t="s">
        <v>11</v>
      </c>
      <c r="U217" s="135" t="s">
        <v>11</v>
      </c>
      <c r="V217" s="135" t="s">
        <v>11</v>
      </c>
      <c r="X217" s="131" t="s">
        <v>11</v>
      </c>
      <c r="Y217" s="135"/>
      <c r="Z217" s="135" t="str">
        <f t="shared" si="10"/>
        <v/>
      </c>
      <c r="AB217" s="131" t="s">
        <v>11</v>
      </c>
      <c r="AC217" s="135"/>
      <c r="AD217" s="135" t="str">
        <f t="shared" si="11"/>
        <v/>
      </c>
      <c r="AF217" s="18"/>
      <c r="AG217" s="18" t="s">
        <v>11</v>
      </c>
      <c r="AH217" s="18" t="s">
        <v>11</v>
      </c>
    </row>
    <row r="218" spans="1:34" ht="11.1" customHeight="1">
      <c r="A218" s="130"/>
      <c r="B218" s="4" t="s">
        <v>662</v>
      </c>
      <c r="C218" s="138">
        <v>78154.03</v>
      </c>
      <c r="D218" s="138">
        <v>80270.95</v>
      </c>
      <c r="E218" s="138">
        <v>71399.72</v>
      </c>
      <c r="F218" s="135">
        <v>3.9332818586537303E-4</v>
      </c>
      <c r="G218" s="135"/>
      <c r="H218" s="138">
        <v>33450.243609999998</v>
      </c>
      <c r="I218" s="135">
        <v>1.6510667172997865E-4</v>
      </c>
      <c r="J218" s="135">
        <v>-0.53150735591119969</v>
      </c>
      <c r="K218" s="135"/>
      <c r="L218" s="138">
        <v>107955.48327</v>
      </c>
      <c r="M218" s="135">
        <v>4.8052398330401613E-4</v>
      </c>
      <c r="N218" s="135">
        <v>2.2273452034808661</v>
      </c>
      <c r="O218" s="135"/>
      <c r="P218" s="148">
        <v>61068.9107</v>
      </c>
      <c r="Q218" s="135">
        <v>2.4514018027945974E-4</v>
      </c>
      <c r="R218" s="135">
        <v>-0.43431395191604333</v>
      </c>
      <c r="S218" s="135"/>
      <c r="T218" s="143">
        <v>107055.59423</v>
      </c>
      <c r="U218" s="135">
        <v>4.0092693765630272E-4</v>
      </c>
      <c r="V218" s="135">
        <v>0.75302937293099614</v>
      </c>
      <c r="X218" s="143">
        <v>83314.271269999997</v>
      </c>
      <c r="Y218" s="135">
        <f t="shared" si="12"/>
        <v>2.7952635127422091E-4</v>
      </c>
      <c r="Z218" s="135">
        <f t="shared" si="10"/>
        <v>-0.22176629937706716</v>
      </c>
      <c r="AB218" s="143">
        <f>80047880.84/1000</f>
        <v>80047.880839999998</v>
      </c>
      <c r="AC218" s="135">
        <f>+AB218/$X$11</f>
        <v>2.6856733807255708E-4</v>
      </c>
      <c r="AD218" s="135">
        <f t="shared" si="11"/>
        <v>-3.9205653247742792E-2</v>
      </c>
      <c r="AF218" s="18">
        <v>44811.980459999999</v>
      </c>
      <c r="AG218" s="18">
        <v>1.1931552315898517E-4</v>
      </c>
      <c r="AH218" s="18">
        <v>-0.44018529922646732</v>
      </c>
    </row>
    <row r="219" spans="1:34" ht="6" customHeight="1">
      <c r="A219" s="130"/>
      <c r="B219" s="4"/>
      <c r="C219" s="138"/>
      <c r="D219" s="138"/>
      <c r="E219" s="138"/>
      <c r="F219" s="135" t="s">
        <v>11</v>
      </c>
      <c r="G219" s="135"/>
      <c r="H219" s="138"/>
      <c r="I219" s="135" t="s">
        <v>11</v>
      </c>
      <c r="J219" s="135" t="s">
        <v>11</v>
      </c>
      <c r="K219" s="135"/>
      <c r="L219" s="138"/>
      <c r="M219" s="135" t="s">
        <v>11</v>
      </c>
      <c r="N219" s="135" t="s">
        <v>11</v>
      </c>
      <c r="O219" s="135"/>
      <c r="P219" s="136" t="s">
        <v>11</v>
      </c>
      <c r="Q219" s="135" t="s">
        <v>11</v>
      </c>
      <c r="R219" s="135" t="s">
        <v>11</v>
      </c>
      <c r="S219" s="135"/>
      <c r="T219" s="131" t="s">
        <v>11</v>
      </c>
      <c r="U219" s="135" t="s">
        <v>11</v>
      </c>
      <c r="V219" s="135" t="s">
        <v>11</v>
      </c>
      <c r="X219" s="131" t="s">
        <v>11</v>
      </c>
      <c r="Y219" s="135"/>
      <c r="Z219" s="135" t="str">
        <f t="shared" si="10"/>
        <v/>
      </c>
      <c r="AB219" s="131" t="s">
        <v>11</v>
      </c>
      <c r="AC219" s="135"/>
      <c r="AD219" s="135" t="str">
        <f t="shared" si="11"/>
        <v/>
      </c>
      <c r="AF219" s="18"/>
      <c r="AG219" s="18" t="s">
        <v>11</v>
      </c>
      <c r="AH219" s="18" t="s">
        <v>11</v>
      </c>
    </row>
    <row r="220" spans="1:34" ht="6" customHeight="1">
      <c r="A220" s="130"/>
      <c r="B220" s="4"/>
      <c r="C220" s="138"/>
      <c r="D220" s="138"/>
      <c r="E220" s="138"/>
      <c r="F220" s="135" t="s">
        <v>11</v>
      </c>
      <c r="G220" s="135"/>
      <c r="H220" s="138"/>
      <c r="I220" s="135" t="s">
        <v>11</v>
      </c>
      <c r="J220" s="135" t="s">
        <v>11</v>
      </c>
      <c r="K220" s="135"/>
      <c r="L220" s="138"/>
      <c r="M220" s="135" t="s">
        <v>11</v>
      </c>
      <c r="N220" s="135" t="s">
        <v>11</v>
      </c>
      <c r="O220" s="135"/>
      <c r="P220" s="136" t="s">
        <v>11</v>
      </c>
      <c r="Q220" s="135" t="s">
        <v>11</v>
      </c>
      <c r="R220" s="135" t="s">
        <v>11</v>
      </c>
      <c r="S220" s="135"/>
      <c r="T220" s="131" t="s">
        <v>11</v>
      </c>
      <c r="U220" s="135" t="s">
        <v>11</v>
      </c>
      <c r="V220" s="135" t="s">
        <v>11</v>
      </c>
      <c r="X220" s="131" t="s">
        <v>11</v>
      </c>
      <c r="Y220" s="135"/>
      <c r="Z220" s="135" t="str">
        <f t="shared" si="10"/>
        <v/>
      </c>
      <c r="AB220" s="131" t="s">
        <v>11</v>
      </c>
      <c r="AC220" s="135"/>
      <c r="AD220" s="135" t="str">
        <f t="shared" si="11"/>
        <v/>
      </c>
      <c r="AF220" s="18"/>
      <c r="AG220" s="18" t="s">
        <v>11</v>
      </c>
      <c r="AH220" s="18" t="s">
        <v>11</v>
      </c>
    </row>
    <row r="221" spans="1:34" s="9" customFormat="1" ht="11.1" customHeight="1">
      <c r="A221" s="133" t="s">
        <v>537</v>
      </c>
      <c r="B221" s="134" t="s">
        <v>663</v>
      </c>
      <c r="C221" s="131">
        <f>C223</f>
        <v>50647.26</v>
      </c>
      <c r="D221" s="131">
        <f>D223</f>
        <v>44646.62</v>
      </c>
      <c r="E221" s="131">
        <v>72208.31</v>
      </c>
      <c r="F221" s="135">
        <v>3.9778256240646987E-4</v>
      </c>
      <c r="G221" s="135"/>
      <c r="H221" s="131">
        <v>77857.043450000012</v>
      </c>
      <c r="I221" s="135">
        <v>3.8429368301888539E-4</v>
      </c>
      <c r="J221" s="135">
        <v>7.8228301562521196E-2</v>
      </c>
      <c r="K221" s="135"/>
      <c r="L221" s="131">
        <v>113393.41032</v>
      </c>
      <c r="M221" s="135">
        <v>5.04728908221515E-4</v>
      </c>
      <c r="N221" s="135">
        <v>0.45643098293119139</v>
      </c>
      <c r="O221" s="135"/>
      <c r="P221" s="136">
        <v>168935.81724000003</v>
      </c>
      <c r="Q221" s="135">
        <v>6.781348515828607E-4</v>
      </c>
      <c r="R221" s="135">
        <v>0.48982041163818524</v>
      </c>
      <c r="S221" s="135"/>
      <c r="T221" s="136">
        <v>181883.94503</v>
      </c>
      <c r="U221" s="135">
        <v>6.8116172362798718E-4</v>
      </c>
      <c r="V221" s="135">
        <v>7.6645249074712832E-2</v>
      </c>
      <c r="X221" s="136">
        <f>+X223</f>
        <v>214125.18162000002</v>
      </c>
      <c r="Y221" s="135">
        <f t="shared" si="12"/>
        <v>7.1840790085288448E-4</v>
      </c>
      <c r="Z221" s="135">
        <f t="shared" si="10"/>
        <v>0.17726268574547432</v>
      </c>
      <c r="AB221" s="136">
        <f>+AB223</f>
        <v>202073.14721000005</v>
      </c>
      <c r="AC221" s="135">
        <f>+AB221/$X$11</f>
        <v>6.7797231697625145E-4</v>
      </c>
      <c r="AD221" s="135">
        <f t="shared" si="11"/>
        <v>-5.6284993286722623E-2</v>
      </c>
      <c r="AF221" s="156">
        <v>244873.30574999997</v>
      </c>
      <c r="AG221" s="156">
        <v>6.5199498623612893E-4</v>
      </c>
      <c r="AH221" s="156">
        <v>0.21180527512406583</v>
      </c>
    </row>
    <row r="222" spans="1:34" s="9" customFormat="1" ht="11.1" customHeight="1">
      <c r="A222" s="151"/>
      <c r="B222" s="134"/>
      <c r="C222" s="145"/>
      <c r="D222" s="145"/>
      <c r="E222" s="145"/>
      <c r="F222" s="135" t="s">
        <v>11</v>
      </c>
      <c r="G222" s="135"/>
      <c r="H222" s="145"/>
      <c r="I222" s="135" t="s">
        <v>11</v>
      </c>
      <c r="J222" s="135" t="s">
        <v>11</v>
      </c>
      <c r="K222" s="135"/>
      <c r="L222" s="145"/>
      <c r="M222" s="135" t="s">
        <v>11</v>
      </c>
      <c r="N222" s="135" t="s">
        <v>11</v>
      </c>
      <c r="O222" s="135"/>
      <c r="P222" s="136" t="s">
        <v>11</v>
      </c>
      <c r="Q222" s="135" t="s">
        <v>11</v>
      </c>
      <c r="R222" s="135" t="s">
        <v>11</v>
      </c>
      <c r="S222" s="135"/>
      <c r="T222" s="131" t="s">
        <v>11</v>
      </c>
      <c r="U222" s="135" t="s">
        <v>11</v>
      </c>
      <c r="V222" s="135" t="s">
        <v>11</v>
      </c>
      <c r="X222" s="131" t="s">
        <v>11</v>
      </c>
      <c r="Y222" s="135"/>
      <c r="Z222" s="135" t="str">
        <f t="shared" si="10"/>
        <v/>
      </c>
      <c r="AB222" s="131" t="s">
        <v>11</v>
      </c>
      <c r="AC222" s="135"/>
      <c r="AD222" s="135" t="str">
        <f t="shared" si="11"/>
        <v/>
      </c>
      <c r="AF222" s="18"/>
      <c r="AG222" s="18" t="s">
        <v>11</v>
      </c>
      <c r="AH222" s="18" t="s">
        <v>11</v>
      </c>
    </row>
    <row r="223" spans="1:34" s="9" customFormat="1" ht="11.1" customHeight="1">
      <c r="A223" s="133" t="s">
        <v>541</v>
      </c>
      <c r="B223" s="134" t="s">
        <v>664</v>
      </c>
      <c r="C223" s="131">
        <f>SUM(C225)</f>
        <v>50647.26</v>
      </c>
      <c r="D223" s="131">
        <f>SUM(D225)</f>
        <v>44646.62</v>
      </c>
      <c r="E223" s="131">
        <v>72208.31</v>
      </c>
      <c r="F223" s="135">
        <v>3.9778256240646987E-4</v>
      </c>
      <c r="G223" s="135"/>
      <c r="H223" s="131">
        <v>77857.043450000012</v>
      </c>
      <c r="I223" s="135">
        <v>3.8429368301888539E-4</v>
      </c>
      <c r="J223" s="135">
        <v>7.8228301562521196E-2</v>
      </c>
      <c r="K223" s="135"/>
      <c r="L223" s="131">
        <v>113393.41032</v>
      </c>
      <c r="M223" s="135">
        <v>5.04728908221515E-4</v>
      </c>
      <c r="N223" s="135">
        <v>0.45643098293119139</v>
      </c>
      <c r="O223" s="135"/>
      <c r="P223" s="136">
        <v>168935.81724000003</v>
      </c>
      <c r="Q223" s="135">
        <v>6.781348515828607E-4</v>
      </c>
      <c r="R223" s="135">
        <v>0.48982041163818524</v>
      </c>
      <c r="S223" s="135"/>
      <c r="T223" s="136">
        <v>181883.94503</v>
      </c>
      <c r="U223" s="135">
        <v>6.8116172362798718E-4</v>
      </c>
      <c r="V223" s="135">
        <v>7.6645249074712832E-2</v>
      </c>
      <c r="X223" s="136">
        <f>+X225</f>
        <v>214125.18162000002</v>
      </c>
      <c r="Y223" s="135">
        <f t="shared" si="12"/>
        <v>7.1840790085288448E-4</v>
      </c>
      <c r="Z223" s="135">
        <f t="shared" si="10"/>
        <v>0.17726268574547432</v>
      </c>
      <c r="AB223" s="136">
        <f>+AB225</f>
        <v>202073.14721000005</v>
      </c>
      <c r="AC223" s="135">
        <f>+AB223/$X$11</f>
        <v>6.7797231697625145E-4</v>
      </c>
      <c r="AD223" s="135">
        <f t="shared" si="11"/>
        <v>-5.6284993286722623E-2</v>
      </c>
      <c r="AF223" s="18">
        <v>244873.30574999997</v>
      </c>
      <c r="AG223" s="18">
        <v>6.5199498623612893E-4</v>
      </c>
      <c r="AH223" s="18">
        <v>0.21180527512406583</v>
      </c>
    </row>
    <row r="224" spans="1:34" ht="11.1" customHeight="1">
      <c r="A224" s="130"/>
      <c r="B224" s="142"/>
      <c r="C224" s="107"/>
      <c r="D224" s="107"/>
      <c r="E224" s="107"/>
      <c r="F224" s="135" t="s">
        <v>11</v>
      </c>
      <c r="G224" s="135"/>
      <c r="H224" s="107"/>
      <c r="I224" s="135" t="s">
        <v>11</v>
      </c>
      <c r="J224" s="135" t="s">
        <v>11</v>
      </c>
      <c r="K224" s="135"/>
      <c r="L224" s="107"/>
      <c r="M224" s="135" t="s">
        <v>11</v>
      </c>
      <c r="N224" s="135" t="s">
        <v>11</v>
      </c>
      <c r="O224" s="135"/>
      <c r="P224" s="136" t="s">
        <v>11</v>
      </c>
      <c r="Q224" s="135" t="s">
        <v>11</v>
      </c>
      <c r="R224" s="135" t="s">
        <v>11</v>
      </c>
      <c r="S224" s="135"/>
      <c r="T224" s="131" t="s">
        <v>11</v>
      </c>
      <c r="U224" s="135" t="s">
        <v>11</v>
      </c>
      <c r="V224" s="135" t="s">
        <v>11</v>
      </c>
      <c r="X224" s="131" t="s">
        <v>11</v>
      </c>
      <c r="Y224" s="135"/>
      <c r="Z224" s="135" t="str">
        <f t="shared" si="10"/>
        <v/>
      </c>
      <c r="AB224" s="131" t="s">
        <v>11</v>
      </c>
      <c r="AC224" s="135"/>
      <c r="AD224" s="135" t="str">
        <f t="shared" si="11"/>
        <v/>
      </c>
      <c r="AF224" s="170"/>
      <c r="AG224" s="170" t="s">
        <v>11</v>
      </c>
      <c r="AH224" s="170" t="s">
        <v>11</v>
      </c>
    </row>
    <row r="225" spans="1:34" s="9" customFormat="1" ht="11.1" customHeight="1">
      <c r="A225" s="133" t="s">
        <v>547</v>
      </c>
      <c r="B225" s="142" t="s">
        <v>665</v>
      </c>
      <c r="C225" s="131">
        <f>SUM(C227:C231)</f>
        <v>50647.26</v>
      </c>
      <c r="D225" s="131">
        <f>SUM(D227:D231)</f>
        <v>44646.62</v>
      </c>
      <c r="E225" s="131">
        <v>72208.31</v>
      </c>
      <c r="F225" s="135">
        <v>3.9778256240646987E-4</v>
      </c>
      <c r="G225" s="135"/>
      <c r="H225" s="131">
        <v>77857.043450000012</v>
      </c>
      <c r="I225" s="135">
        <v>3.8429368301888539E-4</v>
      </c>
      <c r="J225" s="135">
        <v>7.8228301562521196E-2</v>
      </c>
      <c r="K225" s="135"/>
      <c r="L225" s="131">
        <v>113393.41032</v>
      </c>
      <c r="M225" s="135">
        <v>5.04728908221515E-4</v>
      </c>
      <c r="N225" s="135">
        <v>0.45643098293119139</v>
      </c>
      <c r="O225" s="135"/>
      <c r="P225" s="136">
        <v>168935.81724000003</v>
      </c>
      <c r="Q225" s="135">
        <v>6.781348515828607E-4</v>
      </c>
      <c r="R225" s="135">
        <v>0.48982041163818524</v>
      </c>
      <c r="S225" s="135"/>
      <c r="T225" s="136">
        <v>181883.94503</v>
      </c>
      <c r="U225" s="135">
        <v>6.8116172362798718E-4</v>
      </c>
      <c r="V225" s="135">
        <v>7.6645249074712832E-2</v>
      </c>
      <c r="X225" s="136">
        <f>SUM(X227:X231)</f>
        <v>214125.18162000002</v>
      </c>
      <c r="Y225" s="135">
        <f t="shared" si="12"/>
        <v>7.1840790085288448E-4</v>
      </c>
      <c r="Z225" s="135">
        <f t="shared" si="10"/>
        <v>0.17726268574547432</v>
      </c>
      <c r="AB225" s="136">
        <f>SUM(AB227:AB231)</f>
        <v>202073.14721000005</v>
      </c>
      <c r="AC225" s="135">
        <f>+AB225/$X$11</f>
        <v>6.7797231697625145E-4</v>
      </c>
      <c r="AD225" s="135">
        <f t="shared" si="11"/>
        <v>-5.6284993286722623E-2</v>
      </c>
      <c r="AF225" s="18">
        <v>244873.30574999997</v>
      </c>
      <c r="AG225" s="18">
        <v>6.5199498623612893E-4</v>
      </c>
      <c r="AH225" s="18">
        <v>0.21180527512406583</v>
      </c>
    </row>
    <row r="226" spans="1:34" ht="11.1" customHeight="1">
      <c r="A226" s="130"/>
      <c r="B226" s="142"/>
      <c r="C226" s="107"/>
      <c r="D226" s="107"/>
      <c r="E226" s="107"/>
      <c r="F226" s="135" t="s">
        <v>11</v>
      </c>
      <c r="G226" s="135"/>
      <c r="H226" s="107"/>
      <c r="I226" s="135" t="s">
        <v>11</v>
      </c>
      <c r="J226" s="135" t="s">
        <v>11</v>
      </c>
      <c r="K226" s="135"/>
      <c r="L226" s="107"/>
      <c r="M226" s="135" t="s">
        <v>11</v>
      </c>
      <c r="N226" s="135" t="s">
        <v>11</v>
      </c>
      <c r="O226" s="135"/>
      <c r="P226" s="136" t="s">
        <v>11</v>
      </c>
      <c r="Q226" s="135" t="s">
        <v>11</v>
      </c>
      <c r="R226" s="135" t="s">
        <v>11</v>
      </c>
      <c r="S226" s="135"/>
      <c r="T226" s="131" t="s">
        <v>11</v>
      </c>
      <c r="U226" s="135" t="s">
        <v>11</v>
      </c>
      <c r="V226" s="135" t="s">
        <v>11</v>
      </c>
      <c r="X226" s="131" t="s">
        <v>11</v>
      </c>
      <c r="Y226" s="135"/>
      <c r="Z226" s="135" t="str">
        <f t="shared" si="10"/>
        <v/>
      </c>
      <c r="AB226" s="131" t="s">
        <v>11</v>
      </c>
      <c r="AC226" s="135"/>
      <c r="AD226" s="135" t="str">
        <f t="shared" si="11"/>
        <v/>
      </c>
      <c r="AF226" s="18"/>
      <c r="AG226" s="18" t="s">
        <v>11</v>
      </c>
      <c r="AH226" s="18" t="s">
        <v>11</v>
      </c>
    </row>
    <row r="227" spans="1:34" ht="11.1" customHeight="1">
      <c r="A227" s="130"/>
      <c r="B227" s="142" t="s">
        <v>666</v>
      </c>
      <c r="C227" s="138">
        <v>15766.6</v>
      </c>
      <c r="D227" s="138">
        <v>18704.68</v>
      </c>
      <c r="E227" s="138">
        <v>19628.810000000001</v>
      </c>
      <c r="F227" s="135">
        <v>1.0813157569800125E-4</v>
      </c>
      <c r="G227" s="135"/>
      <c r="H227" s="138">
        <v>24284.253570000001</v>
      </c>
      <c r="I227" s="135">
        <v>1.1986436718179561E-4</v>
      </c>
      <c r="J227" s="135">
        <v>0.23717400952986958</v>
      </c>
      <c r="K227" s="135"/>
      <c r="L227" s="138">
        <v>25317.55672</v>
      </c>
      <c r="M227" s="135">
        <v>1.1269175806654477E-4</v>
      </c>
      <c r="N227" s="135">
        <v>4.255033604477388E-2</v>
      </c>
      <c r="O227" s="135"/>
      <c r="P227" s="148">
        <v>35125.731670000001</v>
      </c>
      <c r="Q227" s="135">
        <v>1.4100019298414845E-4</v>
      </c>
      <c r="R227" s="135">
        <v>0.38740606206490213</v>
      </c>
      <c r="S227" s="135"/>
      <c r="T227" s="143">
        <v>45514.910149999996</v>
      </c>
      <c r="U227" s="135">
        <v>1.7045492741777355E-4</v>
      </c>
      <c r="V227" s="135">
        <v>0.29577116222387845</v>
      </c>
      <c r="X227" s="143">
        <v>47517.482889999999</v>
      </c>
      <c r="Y227" s="135">
        <f t="shared" si="12"/>
        <v>1.5942513103105874E-4</v>
      </c>
      <c r="Z227" s="135">
        <f t="shared" si="10"/>
        <v>4.3998169685500375E-2</v>
      </c>
      <c r="AB227" s="143">
        <f>53563906.31/1000</f>
        <v>53563.906310000006</v>
      </c>
      <c r="AC227" s="135">
        <f>+AB227/$X$11</f>
        <v>1.7971138752815165E-4</v>
      </c>
      <c r="AD227" s="135">
        <f t="shared" si="11"/>
        <v>0.12724629025483311</v>
      </c>
      <c r="AF227" s="18">
        <v>50673.053869999996</v>
      </c>
      <c r="AG227" s="18">
        <v>1.3492110526021792E-4</v>
      </c>
      <c r="AH227" s="18">
        <v>-5.3970157129117145E-2</v>
      </c>
    </row>
    <row r="228" spans="1:34" ht="11.1" customHeight="1">
      <c r="A228" s="130"/>
      <c r="B228" s="142" t="s">
        <v>667</v>
      </c>
      <c r="C228" s="138">
        <v>24218.59</v>
      </c>
      <c r="D228" s="138">
        <v>17179.509999999998</v>
      </c>
      <c r="E228" s="138">
        <v>43572.04</v>
      </c>
      <c r="F228" s="135">
        <v>2.400305133921179E-4</v>
      </c>
      <c r="G228" s="135"/>
      <c r="H228" s="138">
        <v>41550.768520000005</v>
      </c>
      <c r="I228" s="135">
        <v>2.050899592285502E-4</v>
      </c>
      <c r="J228" s="135">
        <v>-4.6389186276336744E-2</v>
      </c>
      <c r="K228" s="135"/>
      <c r="L228" s="138">
        <v>73946.881599999993</v>
      </c>
      <c r="M228" s="135">
        <v>3.291472468375941E-4</v>
      </c>
      <c r="N228" s="135">
        <v>0.77967542440054927</v>
      </c>
      <c r="O228" s="135"/>
      <c r="P228" s="148">
        <v>120494.61068000001</v>
      </c>
      <c r="Q228" s="135">
        <v>4.8368425515077211E-4</v>
      </c>
      <c r="R228" s="135">
        <v>0.6294752134618754</v>
      </c>
      <c r="S228" s="135"/>
      <c r="T228" s="143">
        <v>121699.88204000001</v>
      </c>
      <c r="U228" s="135">
        <v>4.5577030673056942E-4</v>
      </c>
      <c r="V228" s="135">
        <v>1.0002699317406506E-2</v>
      </c>
      <c r="X228" s="143">
        <v>154990.45803000001</v>
      </c>
      <c r="Y228" s="135">
        <f t="shared" si="12"/>
        <v>5.2000595522278014E-4</v>
      </c>
      <c r="Z228" s="135">
        <f t="shared" si="10"/>
        <v>0.27354649348845</v>
      </c>
      <c r="AB228" s="143">
        <f>137581469.33/1000</f>
        <v>137581.46933000002</v>
      </c>
      <c r="AC228" s="135">
        <f>+AB228/$X$11</f>
        <v>4.6159734147022374E-4</v>
      </c>
      <c r="AD228" s="135">
        <f t="shared" si="11"/>
        <v>-0.11232297085431089</v>
      </c>
      <c r="AF228" s="18">
        <v>184930.35397999999</v>
      </c>
      <c r="AG228" s="18">
        <v>4.9239202790413823E-4</v>
      </c>
      <c r="AH228" s="18">
        <v>0.34415161344461237</v>
      </c>
    </row>
    <row r="229" spans="1:34" ht="11.1" customHeight="1">
      <c r="A229" s="130"/>
      <c r="B229" s="142" t="s">
        <v>668</v>
      </c>
      <c r="C229" s="138">
        <v>8259.39</v>
      </c>
      <c r="D229" s="138">
        <v>5470.5</v>
      </c>
      <c r="E229" s="138">
        <v>5013.26</v>
      </c>
      <c r="F229" s="135">
        <v>2.761714557243978E-5</v>
      </c>
      <c r="G229" s="135"/>
      <c r="H229" s="138">
        <v>8061.8829500000002</v>
      </c>
      <c r="I229" s="135">
        <v>3.979255509377625E-5</v>
      </c>
      <c r="J229" s="135">
        <v>0.60811187730139671</v>
      </c>
      <c r="K229" s="135"/>
      <c r="L229" s="138">
        <v>9658.5113499999989</v>
      </c>
      <c r="M229" s="135">
        <v>4.2991297950854421E-5</v>
      </c>
      <c r="N229" s="135">
        <v>0.1980465866227937</v>
      </c>
      <c r="O229" s="135"/>
      <c r="P229" s="148">
        <v>10003.6384</v>
      </c>
      <c r="Q229" s="135">
        <v>4.0156172637062055E-5</v>
      </c>
      <c r="R229" s="135">
        <v>3.5732944497704713E-2</v>
      </c>
      <c r="S229" s="135"/>
      <c r="T229" s="143">
        <v>9077.7340000000004</v>
      </c>
      <c r="U229" s="135">
        <v>3.39964307298068E-5</v>
      </c>
      <c r="V229" s="135">
        <v>-9.255676414693273E-2</v>
      </c>
      <c r="X229" s="143">
        <v>8937.8125500000006</v>
      </c>
      <c r="Y229" s="135">
        <f t="shared" si="12"/>
        <v>2.9987108959735375E-5</v>
      </c>
      <c r="Z229" s="135">
        <f t="shared" si="10"/>
        <v>-1.5413697955899548E-2</v>
      </c>
      <c r="AB229" s="143">
        <f>8813915.42/1000</f>
        <v>8813.9154199999994</v>
      </c>
      <c r="AC229" s="135">
        <f>+AB229/$X$11</f>
        <v>2.9571423721728394E-5</v>
      </c>
      <c r="AD229" s="135">
        <f t="shared" si="11"/>
        <v>-1.3862131176604413E-2</v>
      </c>
      <c r="AF229" s="18">
        <v>7958.4630999999999</v>
      </c>
      <c r="AG229" s="18">
        <v>2.1190051824769965E-5</v>
      </c>
      <c r="AH229" s="18">
        <v>-9.7057014872057784E-2</v>
      </c>
    </row>
    <row r="230" spans="1:34" ht="11.1" customHeight="1">
      <c r="A230" s="130"/>
      <c r="B230" s="142" t="s">
        <v>669</v>
      </c>
      <c r="C230" s="138">
        <v>90.44</v>
      </c>
      <c r="D230" s="138">
        <v>124.48</v>
      </c>
      <c r="E230" s="138">
        <v>105.56</v>
      </c>
      <c r="F230" s="135">
        <v>5.8151101012649324E-7</v>
      </c>
      <c r="G230" s="135"/>
      <c r="H230" s="138">
        <v>38.888949999999994</v>
      </c>
      <c r="I230" s="135">
        <v>1.9195151988830471E-7</v>
      </c>
      <c r="J230" s="135">
        <v>-0.63159388025767338</v>
      </c>
      <c r="K230" s="135"/>
      <c r="L230" s="138">
        <v>135.20995000000002</v>
      </c>
      <c r="M230" s="135">
        <v>6.0183718129296708E-7</v>
      </c>
      <c r="N230" s="135">
        <v>2.4768218221371376</v>
      </c>
      <c r="O230" s="135"/>
      <c r="P230" s="148">
        <v>97.861100000000008</v>
      </c>
      <c r="Q230" s="135">
        <v>3.9282979541251648E-7</v>
      </c>
      <c r="R230" s="135">
        <v>-0.2762285615814517</v>
      </c>
      <c r="S230" s="135"/>
      <c r="T230" s="143">
        <v>33.33</v>
      </c>
      <c r="U230" s="135">
        <v>1.2482201353602788E-7</v>
      </c>
      <c r="V230" s="135">
        <v>-0.65941523240593047</v>
      </c>
      <c r="X230" s="143">
        <v>58.888300000000001</v>
      </c>
      <c r="Y230" s="135">
        <f t="shared" si="12"/>
        <v>1.9757517386662854E-7</v>
      </c>
      <c r="Z230" s="135">
        <f t="shared" si="10"/>
        <v>0.76682568256825689</v>
      </c>
      <c r="AB230" s="143">
        <f>218185.6/1000</f>
        <v>218.18559999999999</v>
      </c>
      <c r="AC230" s="135">
        <f>+AB230/$X$11</f>
        <v>7.3203094426557856E-7</v>
      </c>
      <c r="AD230" s="135">
        <f t="shared" si="11"/>
        <v>2.7050755413214511</v>
      </c>
      <c r="AF230" s="18">
        <v>33.33</v>
      </c>
      <c r="AG230" s="18">
        <v>8.8743821318915571E-8</v>
      </c>
      <c r="AH230" s="18">
        <v>-0.8472401478374374</v>
      </c>
    </row>
    <row r="231" spans="1:34" ht="11.1" customHeight="1">
      <c r="A231" s="130"/>
      <c r="B231" s="142" t="s">
        <v>670</v>
      </c>
      <c r="C231" s="138">
        <v>2312.2399999999998</v>
      </c>
      <c r="D231" s="138">
        <v>3167.45</v>
      </c>
      <c r="E231" s="138">
        <v>3888.64</v>
      </c>
      <c r="F231" s="135">
        <v>2.1421816733784448E-5</v>
      </c>
      <c r="G231" s="135"/>
      <c r="H231" s="138">
        <v>3921.24946</v>
      </c>
      <c r="I231" s="135">
        <v>1.9354849994875003E-5</v>
      </c>
      <c r="J231" s="135">
        <v>8.385826407175806E-3</v>
      </c>
      <c r="K231" s="135"/>
      <c r="L231" s="138">
        <v>4335.2507000000005</v>
      </c>
      <c r="M231" s="135">
        <v>1.9296768185228694E-5</v>
      </c>
      <c r="N231" s="135">
        <v>0.10557890902457415</v>
      </c>
      <c r="O231" s="135"/>
      <c r="P231" s="148">
        <v>3213.9753900000001</v>
      </c>
      <c r="Q231" s="135">
        <v>1.2901401015465418E-5</v>
      </c>
      <c r="R231" s="135">
        <v>-0.25864139990796847</v>
      </c>
      <c r="S231" s="135"/>
      <c r="T231" s="143">
        <v>5558.0888399999994</v>
      </c>
      <c r="U231" s="135">
        <v>2.0815236736301396E-5</v>
      </c>
      <c r="V231" s="135">
        <v>0.72935015535386516</v>
      </c>
      <c r="X231" s="143">
        <v>2620.5398500000001</v>
      </c>
      <c r="Y231" s="135">
        <f t="shared" si="12"/>
        <v>8.7921304654435377E-6</v>
      </c>
      <c r="Z231" s="135">
        <f t="shared" si="10"/>
        <v>-0.52851781872561787</v>
      </c>
      <c r="AB231" s="143">
        <f>1895670.55/1000</f>
        <v>1895.67055</v>
      </c>
      <c r="AC231" s="135">
        <f>+AB231/$X$11</f>
        <v>6.3601333118819423E-6</v>
      </c>
      <c r="AD231" s="135">
        <f t="shared" si="11"/>
        <v>-0.27661067623146429</v>
      </c>
      <c r="AF231" s="18">
        <v>1278.1048000000001</v>
      </c>
      <c r="AG231" s="18">
        <v>3.4030574256840182E-6</v>
      </c>
      <c r="AH231" s="18">
        <v>-0.32577693945817748</v>
      </c>
    </row>
    <row r="232" spans="1:34" ht="11.1" customHeight="1">
      <c r="A232" s="157"/>
      <c r="B232" s="4"/>
      <c r="C232" s="107"/>
      <c r="D232" s="107"/>
      <c r="E232" s="107"/>
      <c r="F232" s="135" t="s">
        <v>11</v>
      </c>
      <c r="G232" s="135"/>
      <c r="H232" s="107"/>
      <c r="I232" s="135" t="s">
        <v>11</v>
      </c>
      <c r="J232" s="135" t="s">
        <v>11</v>
      </c>
      <c r="K232" s="135"/>
      <c r="L232" s="107"/>
      <c r="M232" s="135" t="s">
        <v>11</v>
      </c>
      <c r="N232" s="135" t="s">
        <v>11</v>
      </c>
      <c r="O232" s="135"/>
      <c r="P232" s="136" t="s">
        <v>11</v>
      </c>
      <c r="Q232" s="135" t="s">
        <v>11</v>
      </c>
      <c r="R232" s="135" t="s">
        <v>11</v>
      </c>
      <c r="S232" s="135"/>
      <c r="T232" s="131" t="s">
        <v>11</v>
      </c>
      <c r="U232" s="135" t="s">
        <v>11</v>
      </c>
      <c r="V232" s="135" t="s">
        <v>11</v>
      </c>
      <c r="X232" s="131" t="s">
        <v>11</v>
      </c>
      <c r="Y232" s="135"/>
      <c r="Z232" s="135" t="str">
        <f t="shared" si="10"/>
        <v/>
      </c>
      <c r="AB232" s="131" t="s">
        <v>11</v>
      </c>
      <c r="AC232" s="135"/>
      <c r="AD232" s="135" t="str">
        <f t="shared" si="11"/>
        <v/>
      </c>
      <c r="AF232" s="18"/>
      <c r="AG232" s="18" t="s">
        <v>11</v>
      </c>
      <c r="AH232" s="18" t="s">
        <v>11</v>
      </c>
    </row>
    <row r="233" spans="1:34" ht="11.1" customHeight="1">
      <c r="A233" s="133" t="s">
        <v>539</v>
      </c>
      <c r="B233" s="134" t="s">
        <v>671</v>
      </c>
      <c r="C233" s="158">
        <f>SUM(C235)</f>
        <v>24406922.689999998</v>
      </c>
      <c r="D233" s="158">
        <f>SUM(D235)</f>
        <v>26762486.049999997</v>
      </c>
      <c r="E233" s="158">
        <v>29626108.950000003</v>
      </c>
      <c r="F233" s="135">
        <v>0.16320489334626792</v>
      </c>
      <c r="G233" s="135"/>
      <c r="H233" s="158">
        <v>35922822.367250003</v>
      </c>
      <c r="I233" s="135">
        <v>0.17731104470733272</v>
      </c>
      <c r="J233" s="135">
        <v>0.21253933237999514</v>
      </c>
      <c r="K233" s="135"/>
      <c r="L233" s="158">
        <v>39662480.782769993</v>
      </c>
      <c r="M233" s="135">
        <v>0.17654289227522652</v>
      </c>
      <c r="N233" s="135">
        <v>0.10410257794580609</v>
      </c>
      <c r="O233" s="135"/>
      <c r="P233" s="159">
        <v>42813102.110799998</v>
      </c>
      <c r="Q233" s="135">
        <v>0.17185850295123128</v>
      </c>
      <c r="R233" s="135">
        <v>7.9435811019634567E-2</v>
      </c>
      <c r="S233" s="135"/>
      <c r="T233" s="159">
        <v>44903120.092699997</v>
      </c>
      <c r="U233" s="135">
        <v>0.16816375229585614</v>
      </c>
      <c r="V233" s="135">
        <v>4.8817251702318785E-2</v>
      </c>
      <c r="X233" s="159">
        <f>+X235</f>
        <v>48035382.969700001</v>
      </c>
      <c r="Y233" s="135">
        <f t="shared" si="12"/>
        <v>0.16116272913275753</v>
      </c>
      <c r="Z233" s="135">
        <f t="shared" si="10"/>
        <v>6.9756018524628607E-2</v>
      </c>
      <c r="AB233" s="159">
        <f>+AB235</f>
        <v>61613779.569760017</v>
      </c>
      <c r="AC233" s="135">
        <f>+AB233/$X$11</f>
        <v>0.20671938587249863</v>
      </c>
      <c r="AD233" s="135">
        <f t="shared" si="11"/>
        <v>0.28267489006229146</v>
      </c>
      <c r="AF233" s="18">
        <v>75993031.863849998</v>
      </c>
      <c r="AG233" s="18">
        <v>0.20233759499574444</v>
      </c>
      <c r="AH233" s="18">
        <v>0.23337721520247889</v>
      </c>
    </row>
    <row r="234" spans="1:34" ht="11.1" customHeight="1">
      <c r="A234" s="157"/>
      <c r="B234" s="160"/>
      <c r="C234" s="107"/>
      <c r="D234" s="107"/>
      <c r="E234" s="146"/>
      <c r="F234" s="135" t="s">
        <v>11</v>
      </c>
      <c r="G234" s="135"/>
      <c r="H234" s="107"/>
      <c r="I234" s="135" t="s">
        <v>11</v>
      </c>
      <c r="J234" s="135" t="s">
        <v>11</v>
      </c>
      <c r="K234" s="135"/>
      <c r="L234" s="107"/>
      <c r="M234" s="135" t="s">
        <v>11</v>
      </c>
      <c r="N234" s="135" t="s">
        <v>11</v>
      </c>
      <c r="O234" s="135"/>
      <c r="P234" s="136" t="s">
        <v>11</v>
      </c>
      <c r="Q234" s="135" t="s">
        <v>11</v>
      </c>
      <c r="R234" s="135" t="s">
        <v>11</v>
      </c>
      <c r="S234" s="135"/>
      <c r="T234" s="131" t="s">
        <v>11</v>
      </c>
      <c r="U234" s="135" t="s">
        <v>11</v>
      </c>
      <c r="V234" s="135" t="s">
        <v>11</v>
      </c>
      <c r="X234" s="131" t="s">
        <v>11</v>
      </c>
      <c r="Y234" s="135"/>
      <c r="Z234" s="135" t="str">
        <f t="shared" si="10"/>
        <v/>
      </c>
      <c r="AB234" s="131" t="s">
        <v>11</v>
      </c>
      <c r="AC234" s="135"/>
      <c r="AD234" s="135" t="str">
        <f t="shared" si="11"/>
        <v/>
      </c>
      <c r="AF234" s="18"/>
      <c r="AG234" s="18" t="s">
        <v>11</v>
      </c>
      <c r="AH234" s="18" t="s">
        <v>11</v>
      </c>
    </row>
    <row r="235" spans="1:34" ht="11.1" customHeight="1">
      <c r="A235" s="139" t="s">
        <v>547</v>
      </c>
      <c r="B235" s="134" t="s">
        <v>672</v>
      </c>
      <c r="C235" s="131">
        <f>SUM(C237+C241)</f>
        <v>24406922.689999998</v>
      </c>
      <c r="D235" s="131">
        <f>SUM(D237+D241)</f>
        <v>26762486.049999997</v>
      </c>
      <c r="E235" s="131">
        <v>29626108.950000003</v>
      </c>
      <c r="F235" s="135">
        <v>0.16320489334626792</v>
      </c>
      <c r="G235" s="135"/>
      <c r="H235" s="131">
        <v>35922822.367250003</v>
      </c>
      <c r="I235" s="135">
        <v>0.17731104470733272</v>
      </c>
      <c r="J235" s="135">
        <v>0.21253933237999514</v>
      </c>
      <c r="K235" s="135"/>
      <c r="L235" s="131">
        <v>39662480.782769993</v>
      </c>
      <c r="M235" s="135">
        <v>0.17654289227522652</v>
      </c>
      <c r="N235" s="135">
        <v>0.10410257794580609</v>
      </c>
      <c r="O235" s="135"/>
      <c r="P235" s="136">
        <v>42813102.110799998</v>
      </c>
      <c r="Q235" s="135">
        <v>0.17185850295123128</v>
      </c>
      <c r="R235" s="135">
        <v>7.9435811019634567E-2</v>
      </c>
      <c r="S235" s="135"/>
      <c r="T235" s="136">
        <v>44903120.092699997</v>
      </c>
      <c r="U235" s="135">
        <v>0.16816375229585614</v>
      </c>
      <c r="V235" s="135">
        <v>4.8817251702318785E-2</v>
      </c>
      <c r="X235" s="136">
        <f>+X237+X241</f>
        <v>48035382.969700001</v>
      </c>
      <c r="Y235" s="135">
        <f t="shared" si="12"/>
        <v>0.16116272913275753</v>
      </c>
      <c r="Z235" s="135">
        <f t="shared" si="10"/>
        <v>6.9756018524628607E-2</v>
      </c>
      <c r="AB235" s="136">
        <f>+AB237+AB241</f>
        <v>61613779.569760017</v>
      </c>
      <c r="AC235" s="135">
        <f>+AB235/$X$11</f>
        <v>0.20671938587249863</v>
      </c>
      <c r="AD235" s="135">
        <f t="shared" si="11"/>
        <v>0.28267489006229146</v>
      </c>
      <c r="AF235" s="18">
        <v>75993031.863849998</v>
      </c>
      <c r="AG235" s="18">
        <v>0.20233759499574444</v>
      </c>
      <c r="AH235" s="18">
        <v>0.23337721520247889</v>
      </c>
    </row>
    <row r="236" spans="1:34" ht="11.1" customHeight="1">
      <c r="A236" s="130"/>
      <c r="B236" s="142"/>
      <c r="C236" s="107"/>
      <c r="D236" s="107"/>
      <c r="E236" s="146"/>
      <c r="F236" s="135" t="s">
        <v>11</v>
      </c>
      <c r="G236" s="135"/>
      <c r="H236" s="107"/>
      <c r="I236" s="135" t="s">
        <v>11</v>
      </c>
      <c r="J236" s="135" t="s">
        <v>11</v>
      </c>
      <c r="K236" s="135"/>
      <c r="L236" s="107"/>
      <c r="M236" s="135" t="s">
        <v>11</v>
      </c>
      <c r="N236" s="135" t="s">
        <v>11</v>
      </c>
      <c r="O236" s="135"/>
      <c r="P236" s="136" t="s">
        <v>11</v>
      </c>
      <c r="Q236" s="135" t="s">
        <v>11</v>
      </c>
      <c r="R236" s="135" t="s">
        <v>11</v>
      </c>
      <c r="S236" s="135"/>
      <c r="T236" s="131" t="s">
        <v>11</v>
      </c>
      <c r="U236" s="135" t="s">
        <v>11</v>
      </c>
      <c r="V236" s="135" t="s">
        <v>11</v>
      </c>
      <c r="X236" s="131" t="s">
        <v>11</v>
      </c>
      <c r="Y236" s="135"/>
      <c r="Z236" s="135" t="str">
        <f t="shared" si="10"/>
        <v/>
      </c>
      <c r="AB236" s="131" t="s">
        <v>11</v>
      </c>
      <c r="AC236" s="135"/>
      <c r="AD236" s="135" t="str">
        <f t="shared" si="11"/>
        <v/>
      </c>
      <c r="AF236" s="18"/>
      <c r="AG236" s="18" t="s">
        <v>11</v>
      </c>
      <c r="AH236" s="18" t="s">
        <v>11</v>
      </c>
    </row>
    <row r="237" spans="1:34" ht="11.1" customHeight="1">
      <c r="A237" s="130"/>
      <c r="B237" s="134" t="s">
        <v>673</v>
      </c>
      <c r="C237" s="131">
        <f>C239</f>
        <v>66784.789999999994</v>
      </c>
      <c r="D237" s="131">
        <f>D239</f>
        <v>55477.99</v>
      </c>
      <c r="E237" s="131">
        <v>846357.32000000007</v>
      </c>
      <c r="F237" s="135">
        <v>4.6624298984572913E-3</v>
      </c>
      <c r="G237" s="135"/>
      <c r="H237" s="131">
        <v>923492.9088199999</v>
      </c>
      <c r="I237" s="135">
        <v>4.5582580001278152E-3</v>
      </c>
      <c r="J237" s="135">
        <v>9.1138325382475363E-2</v>
      </c>
      <c r="K237" s="135"/>
      <c r="L237" s="131">
        <v>987158.42538000003</v>
      </c>
      <c r="M237" s="135">
        <v>4.3939713328812182E-3</v>
      </c>
      <c r="N237" s="135">
        <v>6.8939908419382703E-2</v>
      </c>
      <c r="O237" s="135"/>
      <c r="P237" s="136">
        <v>795649.83363999997</v>
      </c>
      <c r="Q237" s="135">
        <v>3.1938631526602906E-3</v>
      </c>
      <c r="R237" s="135">
        <v>-0.19399985535886005</v>
      </c>
      <c r="S237" s="135"/>
      <c r="T237" s="136">
        <v>2708806.0208100001</v>
      </c>
      <c r="U237" s="135">
        <v>1.0144573111191709E-2</v>
      </c>
      <c r="V237" s="135">
        <v>2.4045203131854453</v>
      </c>
      <c r="X237" s="136">
        <f>+X239</f>
        <v>12306.43723</v>
      </c>
      <c r="Y237" s="135">
        <f t="shared" si="12"/>
        <v>4.1289126624405877E-5</v>
      </c>
      <c r="Z237" s="135">
        <f t="shared" si="10"/>
        <v>-0.99545687762967983</v>
      </c>
      <c r="AB237" s="136">
        <f>+AB239</f>
        <v>4274392.01143</v>
      </c>
      <c r="AC237" s="135">
        <f>+AB237/$X$11</f>
        <v>1.4340942849978864E-2</v>
      </c>
      <c r="AD237" s="135">
        <f t="shared" si="11"/>
        <v>346.32976990368155</v>
      </c>
      <c r="AF237" s="18">
        <v>11672266.012290001</v>
      </c>
      <c r="AG237" s="18">
        <v>3.1078352516697119E-2</v>
      </c>
      <c r="AH237" s="18">
        <v>1.7307429877927922</v>
      </c>
    </row>
    <row r="238" spans="1:34" ht="8.25" customHeight="1">
      <c r="A238" s="130"/>
      <c r="B238" s="142"/>
      <c r="C238" s="131"/>
      <c r="D238" s="131"/>
      <c r="E238" s="131"/>
      <c r="F238" s="135" t="s">
        <v>11</v>
      </c>
      <c r="G238" s="135"/>
      <c r="H238" s="131"/>
      <c r="I238" s="135" t="s">
        <v>11</v>
      </c>
      <c r="J238" s="135" t="s">
        <v>11</v>
      </c>
      <c r="K238" s="135"/>
      <c r="L238" s="131"/>
      <c r="M238" s="135" t="s">
        <v>11</v>
      </c>
      <c r="N238" s="135" t="s">
        <v>11</v>
      </c>
      <c r="O238" s="135"/>
      <c r="P238" s="136" t="s">
        <v>11</v>
      </c>
      <c r="Q238" s="135" t="s">
        <v>11</v>
      </c>
      <c r="R238" s="135" t="s">
        <v>11</v>
      </c>
      <c r="S238" s="135"/>
      <c r="T238" s="131" t="s">
        <v>11</v>
      </c>
      <c r="U238" s="135" t="s">
        <v>11</v>
      </c>
      <c r="V238" s="135" t="s">
        <v>11</v>
      </c>
      <c r="X238" s="131" t="s">
        <v>11</v>
      </c>
      <c r="Y238" s="135"/>
      <c r="Z238" s="135" t="str">
        <f t="shared" si="10"/>
        <v/>
      </c>
      <c r="AB238" s="131" t="s">
        <v>11</v>
      </c>
      <c r="AC238" s="135"/>
      <c r="AD238" s="135" t="str">
        <f t="shared" si="11"/>
        <v/>
      </c>
      <c r="AF238" s="18"/>
      <c r="AG238" s="18" t="s">
        <v>11</v>
      </c>
      <c r="AH238" s="18" t="s">
        <v>11</v>
      </c>
    </row>
    <row r="239" spans="1:34" ht="11.1" customHeight="1">
      <c r="A239" s="130"/>
      <c r="B239" s="142" t="s">
        <v>674</v>
      </c>
      <c r="C239" s="143">
        <f>46872.49+19912.3</f>
        <v>66784.789999999994</v>
      </c>
      <c r="D239" s="143">
        <f>44066.27+11411.72</f>
        <v>55477.99</v>
      </c>
      <c r="E239" s="143">
        <v>846357.32000000007</v>
      </c>
      <c r="F239" s="135">
        <v>4.6624298984572913E-3</v>
      </c>
      <c r="G239" s="135"/>
      <c r="H239" s="143">
        <v>923492.9088199999</v>
      </c>
      <c r="I239" s="135">
        <v>4.5582580001278152E-3</v>
      </c>
      <c r="J239" s="135">
        <v>9.1138325382475363E-2</v>
      </c>
      <c r="K239" s="135"/>
      <c r="L239" s="143">
        <v>987158.42538000003</v>
      </c>
      <c r="M239" s="135">
        <v>4.3939713328812182E-3</v>
      </c>
      <c r="N239" s="135">
        <v>6.8939908419382703E-2</v>
      </c>
      <c r="O239" s="135"/>
      <c r="P239" s="148">
        <v>795649.83363999997</v>
      </c>
      <c r="Q239" s="135">
        <v>3.1938631526602906E-3</v>
      </c>
      <c r="R239" s="135">
        <v>-0.19399985535886005</v>
      </c>
      <c r="S239" s="135"/>
      <c r="T239" s="143">
        <v>2708806.0208100001</v>
      </c>
      <c r="U239" s="135">
        <v>1.0144573111191709E-2</v>
      </c>
      <c r="V239" s="135">
        <v>2.4045203131854453</v>
      </c>
      <c r="X239" s="143">
        <v>12306.43723</v>
      </c>
      <c r="Y239" s="135">
        <f t="shared" si="12"/>
        <v>4.1289126624405877E-5</v>
      </c>
      <c r="Z239" s="135">
        <f t="shared" si="10"/>
        <v>-0.99545687762967983</v>
      </c>
      <c r="AB239" s="143">
        <f>4274392011.43/1000</f>
        <v>4274392.01143</v>
      </c>
      <c r="AC239" s="135">
        <f>+AB239/$X$11</f>
        <v>1.4340942849978864E-2</v>
      </c>
      <c r="AD239" s="135">
        <f t="shared" si="11"/>
        <v>346.32976990368155</v>
      </c>
      <c r="AF239" s="18">
        <v>11672266.012290001</v>
      </c>
      <c r="AG239" s="18">
        <v>3.1078352516697119E-2</v>
      </c>
      <c r="AH239" s="18">
        <v>1.7307429877927922</v>
      </c>
    </row>
    <row r="240" spans="1:34" ht="7.5" customHeight="1">
      <c r="A240" s="130"/>
      <c r="B240" s="142"/>
      <c r="C240" s="107"/>
      <c r="D240" s="107"/>
      <c r="E240" s="138"/>
      <c r="F240" s="135" t="s">
        <v>11</v>
      </c>
      <c r="G240" s="135"/>
      <c r="H240" s="107"/>
      <c r="I240" s="135" t="s">
        <v>11</v>
      </c>
      <c r="J240" s="135" t="s">
        <v>11</v>
      </c>
      <c r="K240" s="135"/>
      <c r="L240" s="107"/>
      <c r="M240" s="135" t="s">
        <v>11</v>
      </c>
      <c r="N240" s="135" t="s">
        <v>11</v>
      </c>
      <c r="O240" s="135"/>
      <c r="P240" s="136" t="s">
        <v>11</v>
      </c>
      <c r="Q240" s="135" t="s">
        <v>11</v>
      </c>
      <c r="R240" s="135" t="s">
        <v>11</v>
      </c>
      <c r="S240" s="135"/>
      <c r="T240" s="131" t="s">
        <v>11</v>
      </c>
      <c r="U240" s="135" t="s">
        <v>11</v>
      </c>
      <c r="V240" s="135" t="s">
        <v>11</v>
      </c>
      <c r="X240" s="131" t="s">
        <v>11</v>
      </c>
      <c r="Y240" s="135"/>
      <c r="Z240" s="135" t="str">
        <f t="shared" si="10"/>
        <v/>
      </c>
      <c r="AB240" s="131" t="s">
        <v>11</v>
      </c>
      <c r="AC240" s="135"/>
      <c r="AD240" s="135" t="str">
        <f t="shared" si="11"/>
        <v/>
      </c>
      <c r="AF240" s="18"/>
      <c r="AG240" s="18" t="s">
        <v>11</v>
      </c>
      <c r="AH240" s="18" t="s">
        <v>11</v>
      </c>
    </row>
    <row r="241" spans="1:34" ht="11.1" customHeight="1">
      <c r="A241" s="130"/>
      <c r="B241" s="134" t="s">
        <v>675</v>
      </c>
      <c r="C241" s="146">
        <f>SUM(C243:C249)</f>
        <v>24340137.899999999</v>
      </c>
      <c r="D241" s="146">
        <f>SUM(D243:D249)</f>
        <v>26707008.059999999</v>
      </c>
      <c r="E241" s="146">
        <v>28779751.630000003</v>
      </c>
      <c r="F241" s="135">
        <v>0.15854246344781064</v>
      </c>
      <c r="G241" s="135"/>
      <c r="H241" s="146">
        <v>34999329.45843</v>
      </c>
      <c r="I241" s="135">
        <v>0.1727527867072049</v>
      </c>
      <c r="J241" s="135">
        <v>0.21610950325042802</v>
      </c>
      <c r="K241" s="135"/>
      <c r="L241" s="146">
        <v>38675322.357389994</v>
      </c>
      <c r="M241" s="135">
        <v>0.1721489209423453</v>
      </c>
      <c r="N241" s="135">
        <v>0.10503038074846854</v>
      </c>
      <c r="O241" s="135"/>
      <c r="P241" s="152">
        <v>42017452.277159996</v>
      </c>
      <c r="Q241" s="135">
        <v>0.16866463979857099</v>
      </c>
      <c r="R241" s="135">
        <v>8.6415050116095432E-2</v>
      </c>
      <c r="S241" s="135"/>
      <c r="T241" s="152">
        <v>42194314.071889997</v>
      </c>
      <c r="U241" s="135">
        <v>0.15801917918466443</v>
      </c>
      <c r="V241" s="135">
        <v>4.2092460428910725E-3</v>
      </c>
      <c r="X241" s="152">
        <f>SUM(X243:X249)</f>
        <v>48023076.532470003</v>
      </c>
      <c r="Y241" s="135">
        <f t="shared" si="12"/>
        <v>0.16112144000613313</v>
      </c>
      <c r="Z241" s="135">
        <f t="shared" si="10"/>
        <v>0.13814094597317197</v>
      </c>
      <c r="AB241" s="152">
        <f>SUM(AB243:AB249)</f>
        <v>57339387.558330014</v>
      </c>
      <c r="AC241" s="135">
        <f>+AB241/$X$11</f>
        <v>0.19237844302251975</v>
      </c>
      <c r="AD241" s="135">
        <f t="shared" si="11"/>
        <v>0.19399654704672956</v>
      </c>
      <c r="AF241" s="18">
        <v>64320765.851560004</v>
      </c>
      <c r="AG241" s="18">
        <v>0.17125924247904734</v>
      </c>
      <c r="AH241" s="18">
        <v>0.12175536904938158</v>
      </c>
    </row>
    <row r="242" spans="1:34" ht="8.25" customHeight="1">
      <c r="A242" s="130"/>
      <c r="B242" s="142"/>
      <c r="C242" s="107"/>
      <c r="D242" s="107"/>
      <c r="E242" s="107"/>
      <c r="F242" s="135" t="s">
        <v>11</v>
      </c>
      <c r="G242" s="135"/>
      <c r="H242" s="107"/>
      <c r="I242" s="135" t="s">
        <v>11</v>
      </c>
      <c r="J242" s="135" t="s">
        <v>11</v>
      </c>
      <c r="K242" s="135"/>
      <c r="L242" s="107"/>
      <c r="M242" s="135" t="s">
        <v>11</v>
      </c>
      <c r="N242" s="135" t="s">
        <v>11</v>
      </c>
      <c r="O242" s="135"/>
      <c r="P242" s="136" t="s">
        <v>11</v>
      </c>
      <c r="Q242" s="135" t="s">
        <v>11</v>
      </c>
      <c r="R242" s="135" t="s">
        <v>11</v>
      </c>
      <c r="S242" s="135"/>
      <c r="T242" s="131" t="s">
        <v>11</v>
      </c>
      <c r="U242" s="135" t="s">
        <v>11</v>
      </c>
      <c r="V242" s="135" t="s">
        <v>11</v>
      </c>
      <c r="X242" s="131" t="s">
        <v>11</v>
      </c>
      <c r="Y242" s="135"/>
      <c r="Z242" s="135" t="str">
        <f t="shared" si="10"/>
        <v/>
      </c>
      <c r="AB242" s="131" t="s">
        <v>11</v>
      </c>
      <c r="AC242" s="135"/>
      <c r="AD242" s="135" t="str">
        <f t="shared" si="11"/>
        <v/>
      </c>
      <c r="AF242" s="171"/>
      <c r="AG242" s="171" t="s">
        <v>11</v>
      </c>
      <c r="AH242" s="171" t="s">
        <v>11</v>
      </c>
    </row>
    <row r="243" spans="1:34" ht="11.1" customHeight="1">
      <c r="A243" s="130"/>
      <c r="B243" s="142" t="s">
        <v>676</v>
      </c>
      <c r="C243" s="138">
        <v>10644114.26</v>
      </c>
      <c r="D243" s="138">
        <v>12850145.35</v>
      </c>
      <c r="E243" s="138">
        <v>13941131.84</v>
      </c>
      <c r="F243" s="135">
        <v>7.6799182063139598E-2</v>
      </c>
      <c r="G243" s="135"/>
      <c r="H243" s="138">
        <v>19417011.50705</v>
      </c>
      <c r="I243" s="135">
        <v>9.5840203205973681E-2</v>
      </c>
      <c r="J243" s="135">
        <v>0.39278587491286504</v>
      </c>
      <c r="K243" s="135"/>
      <c r="L243" s="138">
        <v>22438353.070689999</v>
      </c>
      <c r="M243" s="135">
        <v>9.9876045845150141E-2</v>
      </c>
      <c r="N243" s="135">
        <v>0.15560281058405917</v>
      </c>
      <c r="O243" s="135"/>
      <c r="P243" s="148">
        <v>20204644.14903</v>
      </c>
      <c r="Q243" s="135">
        <v>8.1104608751037463E-2</v>
      </c>
      <c r="R243" s="135">
        <v>-9.9548701931148911E-2</v>
      </c>
      <c r="S243" s="135"/>
      <c r="T243" s="143">
        <v>18994856.27341</v>
      </c>
      <c r="U243" s="135">
        <v>7.1136399846219237E-2</v>
      </c>
      <c r="V243" s="135">
        <v>-5.9876722732485267E-2</v>
      </c>
      <c r="X243" s="143">
        <v>17504238.776769999</v>
      </c>
      <c r="Y243" s="135">
        <f t="shared" si="12"/>
        <v>5.8728185729989044E-2</v>
      </c>
      <c r="Z243" s="135">
        <f t="shared" ref="Z243:Z249" si="15">IF(C243&lt;&gt;0,(X243-T243)/T243,"")</f>
        <v>-7.8474797344302377E-2</v>
      </c>
      <c r="AB243" s="143">
        <f>19922805776.4/1000</f>
        <v>19922805.7764</v>
      </c>
      <c r="AC243" s="135">
        <f t="shared" ref="AC243:AC249" si="16">+AB243/$X$11</f>
        <v>6.6842680382746683E-2</v>
      </c>
      <c r="AD243" s="135">
        <f t="shared" si="11"/>
        <v>0.13817036150350612</v>
      </c>
      <c r="AF243" s="156">
        <v>17465863.316150002</v>
      </c>
      <c r="AG243" s="156">
        <v>4.650427402667321E-2</v>
      </c>
      <c r="AH243" s="156">
        <v>-0.12332311461673853</v>
      </c>
    </row>
    <row r="244" spans="1:34" ht="11.1" customHeight="1">
      <c r="A244" s="130"/>
      <c r="B244" s="142" t="s">
        <v>677</v>
      </c>
      <c r="C244" s="138">
        <f>7432106.54-46872.49</f>
        <v>7385234.0499999998</v>
      </c>
      <c r="D244" s="138">
        <f>5052094.26-44066.27</f>
        <v>5008027.99</v>
      </c>
      <c r="E244" s="138">
        <v>3747593.59</v>
      </c>
      <c r="F244" s="135">
        <v>2.064481748829548E-2</v>
      </c>
      <c r="G244" s="135"/>
      <c r="H244" s="138">
        <v>5439707.5627600001</v>
      </c>
      <c r="I244" s="135">
        <v>2.6849789835407947E-2</v>
      </c>
      <c r="J244" s="135">
        <v>0.45152013742237196</v>
      </c>
      <c r="K244" s="135"/>
      <c r="L244" s="138">
        <v>4044418.9375700001</v>
      </c>
      <c r="M244" s="135">
        <v>1.8002237951829914E-2</v>
      </c>
      <c r="N244" s="135">
        <v>-0.25650066829733364</v>
      </c>
      <c r="O244" s="135"/>
      <c r="P244" s="148">
        <v>7170920.1064900002</v>
      </c>
      <c r="Q244" s="135">
        <v>2.8785197370068061E-2</v>
      </c>
      <c r="R244" s="135">
        <v>0.77304087859861748</v>
      </c>
      <c r="S244" s="135"/>
      <c r="T244" s="143">
        <v>6659738.40338</v>
      </c>
      <c r="U244" s="135">
        <v>2.4940952809274022E-2</v>
      </c>
      <c r="V244" s="135">
        <v>-7.1285371405457168E-2</v>
      </c>
      <c r="X244" s="143">
        <v>13075093.17859</v>
      </c>
      <c r="Y244" s="135">
        <f t="shared" si="12"/>
        <v>4.3868031647751556E-2</v>
      </c>
      <c r="Z244" s="135">
        <f t="shared" si="15"/>
        <v>0.96330432017480316</v>
      </c>
      <c r="AB244" s="143">
        <f>20650059091.68/1000</f>
        <v>20650059.091680001</v>
      </c>
      <c r="AC244" s="135">
        <f t="shared" si="16"/>
        <v>6.9282676107050634E-2</v>
      </c>
      <c r="AD244" s="135">
        <f t="shared" ref="AD244:AD249" si="17">IF(C244&lt;&gt;0,(AB244-X244)/X244,"")</f>
        <v>0.57934316869678137</v>
      </c>
      <c r="AF244" s="18">
        <v>26486401.334099997</v>
      </c>
      <c r="AG244" s="18">
        <v>7.0522186239857704E-2</v>
      </c>
      <c r="AH244" s="18">
        <v>0.28263077681804227</v>
      </c>
    </row>
    <row r="245" spans="1:34" ht="11.1" customHeight="1">
      <c r="A245" s="130"/>
      <c r="B245" s="142" t="s">
        <v>678</v>
      </c>
      <c r="C245" s="138">
        <v>2134988.16</v>
      </c>
      <c r="D245" s="138">
        <v>3399996.79</v>
      </c>
      <c r="E245" s="138">
        <v>6063235.5700000003</v>
      </c>
      <c r="F245" s="135">
        <v>3.3401271702781204E-2</v>
      </c>
      <c r="G245" s="135"/>
      <c r="H245" s="138">
        <v>4727897.1554700006</v>
      </c>
      <c r="I245" s="135">
        <v>2.3336373053735295E-2</v>
      </c>
      <c r="J245" s="135">
        <v>-0.22023528512351692</v>
      </c>
      <c r="K245" s="135"/>
      <c r="L245" s="138">
        <v>5623750.32271</v>
      </c>
      <c r="M245" s="135">
        <v>2.5032048621534138E-2</v>
      </c>
      <c r="N245" s="135">
        <v>0.18948237192586365</v>
      </c>
      <c r="O245" s="135"/>
      <c r="P245" s="148">
        <v>7185130.8623500001</v>
      </c>
      <c r="Q245" s="135">
        <v>2.8842241571667482E-2</v>
      </c>
      <c r="R245" s="135">
        <v>0.27764044455081616</v>
      </c>
      <c r="S245" s="135"/>
      <c r="T245" s="143">
        <v>8795089.5581200011</v>
      </c>
      <c r="U245" s="135">
        <v>3.2937917427969768E-2</v>
      </c>
      <c r="V245" s="135">
        <v>0.22406811046492769</v>
      </c>
      <c r="X245" s="143">
        <v>9150563.7950299997</v>
      </c>
      <c r="Y245" s="135">
        <f t="shared" ref="Y245:Y249" si="18">+X245/$X$11</f>
        <v>3.0700907188367273E-2</v>
      </c>
      <c r="Z245" s="135">
        <f t="shared" si="15"/>
        <v>4.0417352724033337E-2</v>
      </c>
      <c r="AB245" s="143">
        <f>7428332149/1000</f>
        <v>7428332.1490000002</v>
      </c>
      <c r="AC245" s="135">
        <f t="shared" si="16"/>
        <v>2.492267591147548E-2</v>
      </c>
      <c r="AD245" s="135">
        <f t="shared" si="17"/>
        <v>-0.18821044086544758</v>
      </c>
      <c r="AF245" s="18">
        <v>9142547.6395599991</v>
      </c>
      <c r="AG245" s="18">
        <v>2.434277270101368E-2</v>
      </c>
      <c r="AH245" s="18">
        <v>0.23076721075144252</v>
      </c>
    </row>
    <row r="246" spans="1:34" ht="11.1" customHeight="1">
      <c r="A246" s="130"/>
      <c r="B246" s="142" t="s">
        <v>679</v>
      </c>
      <c r="C246" s="138">
        <v>1248246.78</v>
      </c>
      <c r="D246" s="138">
        <v>1663578.93</v>
      </c>
      <c r="E246" s="138">
        <v>1181761.25</v>
      </c>
      <c r="F246" s="135">
        <v>6.5101096837423952E-3</v>
      </c>
      <c r="G246" s="135"/>
      <c r="H246" s="138">
        <v>1394005.64919</v>
      </c>
      <c r="I246" s="135">
        <v>6.8806564099803012E-3</v>
      </c>
      <c r="J246" s="135">
        <v>0.17960006658705388</v>
      </c>
      <c r="K246" s="135"/>
      <c r="L246" s="138">
        <v>1950950.12173</v>
      </c>
      <c r="M246" s="135">
        <v>8.6839342970332738E-3</v>
      </c>
      <c r="N246" s="135">
        <v>0.39952813165686796</v>
      </c>
      <c r="O246" s="135"/>
      <c r="P246" s="148">
        <v>2540757.5978899999</v>
      </c>
      <c r="Q246" s="135">
        <v>1.019899926908573E-2</v>
      </c>
      <c r="R246" s="135">
        <v>0.30231807035486358</v>
      </c>
      <c r="S246" s="135"/>
      <c r="T246" s="143">
        <v>2642364.1646799999</v>
      </c>
      <c r="U246" s="135">
        <v>9.8957460405281125E-3</v>
      </c>
      <c r="V246" s="135">
        <v>3.9990657461530514E-2</v>
      </c>
      <c r="X246" s="143">
        <v>2531699.4137599999</v>
      </c>
      <c r="Y246" s="135">
        <f t="shared" si="18"/>
        <v>8.4940633683036112E-3</v>
      </c>
      <c r="Z246" s="135">
        <f t="shared" si="15"/>
        <v>-4.1880961148064139E-2</v>
      </c>
      <c r="AB246" s="143">
        <f>2816402526.44/1000</f>
        <v>2816402.5264400002</v>
      </c>
      <c r="AC246" s="135">
        <f t="shared" si="16"/>
        <v>9.4492661333370961E-3</v>
      </c>
      <c r="AD246" s="135">
        <f t="shared" si="17"/>
        <v>0.11245533775953608</v>
      </c>
      <c r="AF246" s="170">
        <v>3050967.0678300001</v>
      </c>
      <c r="AG246" s="170">
        <v>8.1234466341854571E-3</v>
      </c>
      <c r="AH246" s="170">
        <v>8.3285162255018669E-2</v>
      </c>
    </row>
    <row r="247" spans="1:34" ht="11.1" customHeight="1">
      <c r="A247" s="130"/>
      <c r="B247" s="142" t="s">
        <v>680</v>
      </c>
      <c r="C247" s="138">
        <v>543485.43000000005</v>
      </c>
      <c r="D247" s="138">
        <v>827952.2</v>
      </c>
      <c r="E247" s="138">
        <v>511017.55</v>
      </c>
      <c r="F247" s="135">
        <v>2.8151035590457153E-3</v>
      </c>
      <c r="G247" s="135"/>
      <c r="H247" s="138">
        <v>522328.78495</v>
      </c>
      <c r="I247" s="135">
        <v>2.5781566268198029E-3</v>
      </c>
      <c r="J247" s="135">
        <v>2.2134728934456387E-2</v>
      </c>
      <c r="K247" s="135"/>
      <c r="L247" s="138">
        <v>611503.45397000003</v>
      </c>
      <c r="M247" s="135">
        <v>2.7218818961786346E-3</v>
      </c>
      <c r="N247" s="135">
        <v>0.17072516696267523</v>
      </c>
      <c r="O247" s="135"/>
      <c r="P247" s="148">
        <v>784452.65553999995</v>
      </c>
      <c r="Q247" s="135">
        <v>3.1489159245766032E-3</v>
      </c>
      <c r="R247" s="135">
        <v>0.28282620555481719</v>
      </c>
      <c r="S247" s="135"/>
      <c r="T247" s="143">
        <v>728828.35808999999</v>
      </c>
      <c r="U247" s="135">
        <v>2.7294876441329419E-3</v>
      </c>
      <c r="V247" s="135">
        <v>-7.0908418828296793E-2</v>
      </c>
      <c r="X247" s="143">
        <v>809514.59152000002</v>
      </c>
      <c r="Y247" s="135">
        <f t="shared" si="18"/>
        <v>2.7159891891451577E-3</v>
      </c>
      <c r="Z247" s="135">
        <f t="shared" si="15"/>
        <v>0.11070677002943458</v>
      </c>
      <c r="AB247" s="143">
        <f>753511013.46/1000</f>
        <v>753511.01346000005</v>
      </c>
      <c r="AC247" s="135">
        <f t="shared" si="16"/>
        <v>2.5280924987608573E-3</v>
      </c>
      <c r="AD247" s="135">
        <f t="shared" si="17"/>
        <v>-6.9181678312732836E-2</v>
      </c>
      <c r="AF247" s="18">
        <v>654602.89049000002</v>
      </c>
      <c r="AG247" s="18">
        <v>1.7429331517698837E-3</v>
      </c>
      <c r="AH247" s="18">
        <v>-0.13126300903795687</v>
      </c>
    </row>
    <row r="248" spans="1:34" ht="11.1" customHeight="1">
      <c r="A248" s="130"/>
      <c r="B248" s="142" t="s">
        <v>681</v>
      </c>
      <c r="C248" s="138">
        <f>242092.6+409199.65+276932.81+550592.51+163506.81+112112.02</f>
        <v>1754436.4000000001</v>
      </c>
      <c r="D248" s="138">
        <f>312842.71+548892.47+149547.16+724909.3+194225.82+134060.72</f>
        <v>2064478.1800000002</v>
      </c>
      <c r="E248" s="138">
        <v>2507045.23</v>
      </c>
      <c r="F248" s="135">
        <v>1.3810860213434127E-2</v>
      </c>
      <c r="G248" s="135"/>
      <c r="H248" s="138">
        <v>2654343.1665599998</v>
      </c>
      <c r="I248" s="135">
        <v>1.3101541829396978E-2</v>
      </c>
      <c r="J248" s="135">
        <v>5.8753601569445889E-2</v>
      </c>
      <c r="K248" s="135"/>
      <c r="L248" s="138">
        <v>3143130.0143899997</v>
      </c>
      <c r="M248" s="135">
        <v>1.3990483010294732E-2</v>
      </c>
      <c r="N248" s="135">
        <v>0.18414606445309872</v>
      </c>
      <c r="O248" s="135"/>
      <c r="P248" s="148">
        <v>3015762.3687100001</v>
      </c>
      <c r="Q248" s="135">
        <v>1.2105742877538832E-2</v>
      </c>
      <c r="R248" s="135">
        <v>-4.0522550800278737E-2</v>
      </c>
      <c r="S248" s="135"/>
      <c r="T248" s="143">
        <v>3266501.92344</v>
      </c>
      <c r="U248" s="135">
        <v>1.2233163735466211E-2</v>
      </c>
      <c r="V248" s="135">
        <v>8.3143007994112755E-2</v>
      </c>
      <c r="X248" s="143">
        <v>3236873.5358500001</v>
      </c>
      <c r="Y248" s="135">
        <f t="shared" si="18"/>
        <v>1.0859981552020562E-2</v>
      </c>
      <c r="Z248" s="135">
        <f t="shared" si="15"/>
        <v>-9.0703720017399712E-3</v>
      </c>
      <c r="AB248" s="143">
        <f>+(228898673.24+1456487010.87+900668613.99+759872930.45+442753459.41+189820923.34)/1000</f>
        <v>3978501.6113</v>
      </c>
      <c r="AC248" s="135">
        <f t="shared" si="16"/>
        <v>1.3348205799475606E-2</v>
      </c>
      <c r="AD248" s="135">
        <f t="shared" si="17"/>
        <v>0.22911864403601082</v>
      </c>
      <c r="AF248" s="18">
        <v>4961163.2584600002</v>
      </c>
      <c r="AG248" s="18">
        <v>1.3209498522134509E-2</v>
      </c>
      <c r="AH248" s="18">
        <v>0.2469928991278979</v>
      </c>
    </row>
    <row r="249" spans="1:34" ht="11.1" customHeight="1">
      <c r="A249" s="130"/>
      <c r="B249" s="142" t="s">
        <v>682</v>
      </c>
      <c r="C249" s="138">
        <f>471184.41+158448.41</f>
        <v>629632.81999999995</v>
      </c>
      <c r="D249" s="138">
        <f>671557.19+221271.43</f>
        <v>892828.61999999988</v>
      </c>
      <c r="E249" s="138">
        <v>827966.60000000009</v>
      </c>
      <c r="F249" s="135">
        <v>4.5611187373720934E-3</v>
      </c>
      <c r="G249" s="135"/>
      <c r="H249" s="138">
        <v>844035.63245000003</v>
      </c>
      <c r="I249" s="135">
        <v>4.1660657458909038E-3</v>
      </c>
      <c r="J249" s="135">
        <v>1.9407826897848222E-2</v>
      </c>
      <c r="K249" s="135"/>
      <c r="L249" s="138">
        <v>863216.43632999994</v>
      </c>
      <c r="M249" s="135">
        <v>3.842289320324481E-3</v>
      </c>
      <c r="N249" s="135">
        <v>2.2725111526776875E-2</v>
      </c>
      <c r="O249" s="135"/>
      <c r="P249" s="148">
        <v>1115784.53715</v>
      </c>
      <c r="Q249" s="135">
        <v>4.4789340345968301E-3</v>
      </c>
      <c r="R249" s="135">
        <v>0.2925895409195447</v>
      </c>
      <c r="S249" s="135"/>
      <c r="T249" s="143">
        <v>1106935.3907699999</v>
      </c>
      <c r="U249" s="135">
        <v>4.1455116810741452E-3</v>
      </c>
      <c r="V249" s="135">
        <v>-7.9308738249797214E-3</v>
      </c>
      <c r="X249" s="143">
        <v>1715093.24095</v>
      </c>
      <c r="Y249" s="135">
        <f t="shared" si="18"/>
        <v>5.7542813305559116E-3</v>
      </c>
      <c r="Z249" s="135">
        <f t="shared" si="15"/>
        <v>0.54940681746290254</v>
      </c>
      <c r="AB249" s="143">
        <f>+(1008634017.8+781141372.25)/1000</f>
        <v>1789775.39005</v>
      </c>
      <c r="AC249" s="135">
        <f t="shared" si="16"/>
        <v>6.0048461896733589E-3</v>
      </c>
      <c r="AD249" s="135">
        <f t="shared" si="17"/>
        <v>4.3544075223941277E-2</v>
      </c>
      <c r="AF249" s="18">
        <v>2559220.34497</v>
      </c>
      <c r="AG249" s="18">
        <v>6.8141312034128761E-3</v>
      </c>
      <c r="AH249" s="18">
        <v>0.42991146218548931</v>
      </c>
    </row>
    <row r="250" spans="1:34" ht="11.1" customHeight="1" thickBot="1">
      <c r="A250" s="161"/>
      <c r="B250" s="162"/>
      <c r="C250" s="163"/>
      <c r="D250" s="163"/>
      <c r="E250" s="163"/>
      <c r="F250" s="163"/>
      <c r="G250" s="163"/>
      <c r="H250" s="163"/>
      <c r="I250" s="163"/>
      <c r="J250" s="163"/>
      <c r="K250" s="163"/>
      <c r="L250" s="163"/>
      <c r="M250" s="163"/>
      <c r="N250" s="163"/>
      <c r="O250" s="163"/>
      <c r="P250" s="164"/>
      <c r="Q250" s="164"/>
      <c r="R250" s="164"/>
      <c r="S250" s="164"/>
      <c r="T250" s="165"/>
      <c r="U250" s="165"/>
      <c r="V250" s="165"/>
      <c r="W250" s="165"/>
      <c r="X250" s="165"/>
      <c r="Y250" s="165"/>
      <c r="Z250" s="165"/>
      <c r="AA250" s="165"/>
      <c r="AB250" s="165"/>
      <c r="AC250" s="165"/>
      <c r="AD250" s="165"/>
      <c r="AF250" s="162"/>
      <c r="AG250" s="162"/>
      <c r="AH250" s="162"/>
    </row>
    <row r="251" spans="1:34" ht="11.1" customHeight="1">
      <c r="A251" s="166"/>
      <c r="B251" s="166"/>
      <c r="C251" s="107"/>
      <c r="D251" s="107"/>
      <c r="E251" s="107"/>
      <c r="F251" s="107"/>
      <c r="G251" s="107"/>
      <c r="H251" s="107"/>
      <c r="I251" s="107"/>
      <c r="J251" s="107"/>
      <c r="K251" s="107"/>
      <c r="L251" s="107"/>
      <c r="M251" s="107"/>
      <c r="N251" s="107"/>
      <c r="O251" s="107"/>
    </row>
    <row r="252" spans="1:34" ht="14.25" customHeight="1">
      <c r="A252" s="4"/>
      <c r="B252" s="22" t="s">
        <v>2113</v>
      </c>
      <c r="C252" s="107"/>
      <c r="D252" s="107"/>
      <c r="E252" s="138"/>
      <c r="F252" s="138"/>
      <c r="G252" s="138"/>
      <c r="H252" s="138"/>
      <c r="I252" s="138"/>
      <c r="J252" s="138"/>
      <c r="K252" s="138"/>
      <c r="L252" s="138"/>
      <c r="M252" s="138"/>
      <c r="N252" s="138"/>
      <c r="O252" s="138"/>
    </row>
    <row r="253" spans="1:34" ht="14.25" customHeight="1">
      <c r="A253" s="4"/>
      <c r="B253" s="22" t="s">
        <v>2114</v>
      </c>
      <c r="C253" s="107"/>
      <c r="D253" s="107"/>
      <c r="E253" s="107"/>
      <c r="F253" s="107"/>
      <c r="G253" s="107"/>
      <c r="H253" s="107"/>
      <c r="I253" s="107"/>
      <c r="J253" s="107"/>
      <c r="K253" s="107"/>
      <c r="L253" s="107"/>
      <c r="M253" s="107"/>
      <c r="N253" s="107"/>
      <c r="O253" s="107"/>
    </row>
    <row r="254" spans="1:34" ht="11.1" customHeight="1">
      <c r="B254" s="166"/>
      <c r="E254" s="168"/>
      <c r="F254" s="168"/>
      <c r="G254" s="168"/>
      <c r="H254" s="168"/>
      <c r="I254" s="168"/>
      <c r="J254" s="168"/>
      <c r="K254" s="168"/>
      <c r="L254" s="168"/>
      <c r="M254" s="168"/>
      <c r="N254" s="168"/>
      <c r="O254" s="168"/>
      <c r="T254" s="18"/>
    </row>
    <row r="255" spans="1:34" ht="11.1" customHeight="1">
      <c r="B255" s="142" t="s">
        <v>686</v>
      </c>
    </row>
    <row r="256" spans="1:34" ht="13.5" customHeight="1">
      <c r="B256" s="142" t="s">
        <v>683</v>
      </c>
    </row>
  </sheetData>
  <mergeCells count="22">
    <mergeCell ref="AB7:AD7"/>
    <mergeCell ref="AF7:AH7"/>
    <mergeCell ref="E90:F90"/>
    <mergeCell ref="H90:J90"/>
    <mergeCell ref="L90:N90"/>
    <mergeCell ref="P90:R90"/>
    <mergeCell ref="T90:V90"/>
    <mergeCell ref="X90:Z90"/>
    <mergeCell ref="AB90:AD90"/>
    <mergeCell ref="E7:F7"/>
    <mergeCell ref="H7:J7"/>
    <mergeCell ref="L7:N7"/>
    <mergeCell ref="P7:R7"/>
    <mergeCell ref="T7:V7"/>
    <mergeCell ref="X7:Z7"/>
    <mergeCell ref="AB175:AD175"/>
    <mergeCell ref="E175:F175"/>
    <mergeCell ref="H175:J175"/>
    <mergeCell ref="L175:N175"/>
    <mergeCell ref="P175:R175"/>
    <mergeCell ref="T175:V175"/>
    <mergeCell ref="X175:Z175"/>
  </mergeCells>
  <printOptions horizontalCentered="1" verticalCentered="1"/>
  <pageMargins left="0.51181102362204722" right="0.51181102362204722" top="0.35433070866141736" bottom="0.35433070866141736" header="0.31496062992125984" footer="0.31496062992125984"/>
  <pageSetup paperSize="9" scale="60" orientation="landscape" r:id="rId1"/>
  <drawing r:id="rId2"/>
  <legacyDrawing r:id="rId3"/>
</worksheet>
</file>

<file path=xl/worksheets/sheet29.xml><?xml version="1.0" encoding="utf-8"?>
<worksheet xmlns="http://schemas.openxmlformats.org/spreadsheetml/2006/main" xmlns:r="http://schemas.openxmlformats.org/officeDocument/2006/relationships">
  <dimension ref="A3:G5"/>
  <sheetViews>
    <sheetView workbookViewId="0">
      <selection activeCell="L4" sqref="L4"/>
    </sheetView>
  </sheetViews>
  <sheetFormatPr baseColWidth="10" defaultRowHeight="15"/>
  <cols>
    <col min="1" max="1" width="12.7109375" bestFit="1" customWidth="1"/>
    <col min="2" max="5" width="13.7109375" bestFit="1" customWidth="1"/>
    <col min="257" max="257" width="12.7109375" bestFit="1" customWidth="1"/>
    <col min="258" max="261" width="13.7109375" bestFit="1" customWidth="1"/>
    <col min="513" max="513" width="12.7109375" bestFit="1" customWidth="1"/>
    <col min="514" max="517" width="13.7109375" bestFit="1" customWidth="1"/>
    <col min="769" max="769" width="12.7109375" bestFit="1" customWidth="1"/>
    <col min="770" max="773" width="13.7109375" bestFit="1" customWidth="1"/>
    <col min="1025" max="1025" width="12.7109375" bestFit="1" customWidth="1"/>
    <col min="1026" max="1029" width="13.7109375" bestFit="1" customWidth="1"/>
    <col min="1281" max="1281" width="12.7109375" bestFit="1" customWidth="1"/>
    <col min="1282" max="1285" width="13.7109375" bestFit="1" customWidth="1"/>
    <col min="1537" max="1537" width="12.7109375" bestFit="1" customWidth="1"/>
    <col min="1538" max="1541" width="13.7109375" bestFit="1" customWidth="1"/>
    <col min="1793" max="1793" width="12.7109375" bestFit="1" customWidth="1"/>
    <col min="1794" max="1797" width="13.7109375" bestFit="1" customWidth="1"/>
    <col min="2049" max="2049" width="12.7109375" bestFit="1" customWidth="1"/>
    <col min="2050" max="2053" width="13.7109375" bestFit="1" customWidth="1"/>
    <col min="2305" max="2305" width="12.7109375" bestFit="1" customWidth="1"/>
    <col min="2306" max="2309" width="13.7109375" bestFit="1" customWidth="1"/>
    <col min="2561" max="2561" width="12.7109375" bestFit="1" customWidth="1"/>
    <col min="2562" max="2565" width="13.7109375" bestFit="1" customWidth="1"/>
    <col min="2817" max="2817" width="12.7109375" bestFit="1" customWidth="1"/>
    <col min="2818" max="2821" width="13.7109375" bestFit="1" customWidth="1"/>
    <col min="3073" max="3073" width="12.7109375" bestFit="1" customWidth="1"/>
    <col min="3074" max="3077" width="13.7109375" bestFit="1" customWidth="1"/>
    <col min="3329" max="3329" width="12.7109375" bestFit="1" customWidth="1"/>
    <col min="3330" max="3333" width="13.7109375" bestFit="1" customWidth="1"/>
    <col min="3585" max="3585" width="12.7109375" bestFit="1" customWidth="1"/>
    <col min="3586" max="3589" width="13.7109375" bestFit="1" customWidth="1"/>
    <col min="3841" max="3841" width="12.7109375" bestFit="1" customWidth="1"/>
    <col min="3842" max="3845" width="13.7109375" bestFit="1" customWidth="1"/>
    <col min="4097" max="4097" width="12.7109375" bestFit="1" customWidth="1"/>
    <col min="4098" max="4101" width="13.7109375" bestFit="1" customWidth="1"/>
    <col min="4353" max="4353" width="12.7109375" bestFit="1" customWidth="1"/>
    <col min="4354" max="4357" width="13.7109375" bestFit="1" customWidth="1"/>
    <col min="4609" max="4609" width="12.7109375" bestFit="1" customWidth="1"/>
    <col min="4610" max="4613" width="13.7109375" bestFit="1" customWidth="1"/>
    <col min="4865" max="4865" width="12.7109375" bestFit="1" customWidth="1"/>
    <col min="4866" max="4869" width="13.7109375" bestFit="1" customWidth="1"/>
    <col min="5121" max="5121" width="12.7109375" bestFit="1" customWidth="1"/>
    <col min="5122" max="5125" width="13.7109375" bestFit="1" customWidth="1"/>
    <col min="5377" max="5377" width="12.7109375" bestFit="1" customWidth="1"/>
    <col min="5378" max="5381" width="13.7109375" bestFit="1" customWidth="1"/>
    <col min="5633" max="5633" width="12.7109375" bestFit="1" customWidth="1"/>
    <col min="5634" max="5637" width="13.7109375" bestFit="1" customWidth="1"/>
    <col min="5889" max="5889" width="12.7109375" bestFit="1" customWidth="1"/>
    <col min="5890" max="5893" width="13.7109375" bestFit="1" customWidth="1"/>
    <col min="6145" max="6145" width="12.7109375" bestFit="1" customWidth="1"/>
    <col min="6146" max="6149" width="13.7109375" bestFit="1" customWidth="1"/>
    <col min="6401" max="6401" width="12.7109375" bestFit="1" customWidth="1"/>
    <col min="6402" max="6405" width="13.7109375" bestFit="1" customWidth="1"/>
    <col min="6657" max="6657" width="12.7109375" bestFit="1" customWidth="1"/>
    <col min="6658" max="6661" width="13.7109375" bestFit="1" customWidth="1"/>
    <col min="6913" max="6913" width="12.7109375" bestFit="1" customWidth="1"/>
    <col min="6914" max="6917" width="13.7109375" bestFit="1" customWidth="1"/>
    <col min="7169" max="7169" width="12.7109375" bestFit="1" customWidth="1"/>
    <col min="7170" max="7173" width="13.7109375" bestFit="1" customWidth="1"/>
    <col min="7425" max="7425" width="12.7109375" bestFit="1" customWidth="1"/>
    <col min="7426" max="7429" width="13.7109375" bestFit="1" customWidth="1"/>
    <col min="7681" max="7681" width="12.7109375" bestFit="1" customWidth="1"/>
    <col min="7682" max="7685" width="13.7109375" bestFit="1" customWidth="1"/>
    <col min="7937" max="7937" width="12.7109375" bestFit="1" customWidth="1"/>
    <col min="7938" max="7941" width="13.7109375" bestFit="1" customWidth="1"/>
    <col min="8193" max="8193" width="12.7109375" bestFit="1" customWidth="1"/>
    <col min="8194" max="8197" width="13.7109375" bestFit="1" customWidth="1"/>
    <col min="8449" max="8449" width="12.7109375" bestFit="1" customWidth="1"/>
    <col min="8450" max="8453" width="13.7109375" bestFit="1" customWidth="1"/>
    <col min="8705" max="8705" width="12.7109375" bestFit="1" customWidth="1"/>
    <col min="8706" max="8709" width="13.7109375" bestFit="1" customWidth="1"/>
    <col min="8961" max="8961" width="12.7109375" bestFit="1" customWidth="1"/>
    <col min="8962" max="8965" width="13.7109375" bestFit="1" customWidth="1"/>
    <col min="9217" max="9217" width="12.7109375" bestFit="1" customWidth="1"/>
    <col min="9218" max="9221" width="13.7109375" bestFit="1" customWidth="1"/>
    <col min="9473" max="9473" width="12.7109375" bestFit="1" customWidth="1"/>
    <col min="9474" max="9477" width="13.7109375" bestFit="1" customWidth="1"/>
    <col min="9729" max="9729" width="12.7109375" bestFit="1" customWidth="1"/>
    <col min="9730" max="9733" width="13.7109375" bestFit="1" customWidth="1"/>
    <col min="9985" max="9985" width="12.7109375" bestFit="1" customWidth="1"/>
    <col min="9986" max="9989" width="13.7109375" bestFit="1" customWidth="1"/>
    <col min="10241" max="10241" width="12.7109375" bestFit="1" customWidth="1"/>
    <col min="10242" max="10245" width="13.7109375" bestFit="1" customWidth="1"/>
    <col min="10497" max="10497" width="12.7109375" bestFit="1" customWidth="1"/>
    <col min="10498" max="10501" width="13.7109375" bestFit="1" customWidth="1"/>
    <col min="10753" max="10753" width="12.7109375" bestFit="1" customWidth="1"/>
    <col min="10754" max="10757" width="13.7109375" bestFit="1" customWidth="1"/>
    <col min="11009" max="11009" width="12.7109375" bestFit="1" customWidth="1"/>
    <col min="11010" max="11013" width="13.7109375" bestFit="1" customWidth="1"/>
    <col min="11265" max="11265" width="12.7109375" bestFit="1" customWidth="1"/>
    <col min="11266" max="11269" width="13.7109375" bestFit="1" customWidth="1"/>
    <col min="11521" max="11521" width="12.7109375" bestFit="1" customWidth="1"/>
    <col min="11522" max="11525" width="13.7109375" bestFit="1" customWidth="1"/>
    <col min="11777" max="11777" width="12.7109375" bestFit="1" customWidth="1"/>
    <col min="11778" max="11781" width="13.7109375" bestFit="1" customWidth="1"/>
    <col min="12033" max="12033" width="12.7109375" bestFit="1" customWidth="1"/>
    <col min="12034" max="12037" width="13.7109375" bestFit="1" customWidth="1"/>
    <col min="12289" max="12289" width="12.7109375" bestFit="1" customWidth="1"/>
    <col min="12290" max="12293" width="13.7109375" bestFit="1" customWidth="1"/>
    <col min="12545" max="12545" width="12.7109375" bestFit="1" customWidth="1"/>
    <col min="12546" max="12549" width="13.7109375" bestFit="1" customWidth="1"/>
    <col min="12801" max="12801" width="12.7109375" bestFit="1" customWidth="1"/>
    <col min="12802" max="12805" width="13.7109375" bestFit="1" customWidth="1"/>
    <col min="13057" max="13057" width="12.7109375" bestFit="1" customWidth="1"/>
    <col min="13058" max="13061" width="13.7109375" bestFit="1" customWidth="1"/>
    <col min="13313" max="13313" width="12.7109375" bestFit="1" customWidth="1"/>
    <col min="13314" max="13317" width="13.7109375" bestFit="1" customWidth="1"/>
    <col min="13569" max="13569" width="12.7109375" bestFit="1" customWidth="1"/>
    <col min="13570" max="13573" width="13.7109375" bestFit="1" customWidth="1"/>
    <col min="13825" max="13825" width="12.7109375" bestFit="1" customWidth="1"/>
    <col min="13826" max="13829" width="13.7109375" bestFit="1" customWidth="1"/>
    <col min="14081" max="14081" width="12.7109375" bestFit="1" customWidth="1"/>
    <col min="14082" max="14085" width="13.7109375" bestFit="1" customWidth="1"/>
    <col min="14337" max="14337" width="12.7109375" bestFit="1" customWidth="1"/>
    <col min="14338" max="14341" width="13.7109375" bestFit="1" customWidth="1"/>
    <col min="14593" max="14593" width="12.7109375" bestFit="1" customWidth="1"/>
    <col min="14594" max="14597" width="13.7109375" bestFit="1" customWidth="1"/>
    <col min="14849" max="14849" width="12.7109375" bestFit="1" customWidth="1"/>
    <col min="14850" max="14853" width="13.7109375" bestFit="1" customWidth="1"/>
    <col min="15105" max="15105" width="12.7109375" bestFit="1" customWidth="1"/>
    <col min="15106" max="15109" width="13.7109375" bestFit="1" customWidth="1"/>
    <col min="15361" max="15361" width="12.7109375" bestFit="1" customWidth="1"/>
    <col min="15362" max="15365" width="13.7109375" bestFit="1" customWidth="1"/>
    <col min="15617" max="15617" width="12.7109375" bestFit="1" customWidth="1"/>
    <col min="15618" max="15621" width="13.7109375" bestFit="1" customWidth="1"/>
    <col min="15873" max="15873" width="12.7109375" bestFit="1" customWidth="1"/>
    <col min="15874" max="15877" width="13.7109375" bestFit="1" customWidth="1"/>
    <col min="16129" max="16129" width="12.7109375" bestFit="1" customWidth="1"/>
    <col min="16130" max="16133" width="13.7109375" bestFit="1" customWidth="1"/>
  </cols>
  <sheetData>
    <row r="3" spans="1:7">
      <c r="B3" s="42"/>
      <c r="C3" s="42" t="s">
        <v>717</v>
      </c>
      <c r="D3" s="42" t="s">
        <v>718</v>
      </c>
      <c r="E3" s="42" t="s">
        <v>719</v>
      </c>
      <c r="F3" s="42" t="s">
        <v>720</v>
      </c>
    </row>
    <row r="4" spans="1:7">
      <c r="C4">
        <v>7.19</v>
      </c>
      <c r="D4">
        <v>11.62</v>
      </c>
      <c r="E4">
        <v>11.75</v>
      </c>
      <c r="F4">
        <v>12.76</v>
      </c>
    </row>
    <row r="5" spans="1:7">
      <c r="A5" s="31"/>
      <c r="B5" s="31"/>
      <c r="C5" s="31"/>
      <c r="D5" s="31"/>
      <c r="E5" s="31"/>
      <c r="G5"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sheetPr>
    <tabColor rgb="FFFFFF00"/>
  </sheetPr>
  <dimension ref="A1:B19"/>
  <sheetViews>
    <sheetView workbookViewId="0">
      <selection activeCell="B26" sqref="B26"/>
    </sheetView>
  </sheetViews>
  <sheetFormatPr baseColWidth="10" defaultRowHeight="15"/>
  <cols>
    <col min="1" max="1" width="14.140625" customWidth="1"/>
    <col min="2" max="2" width="111.42578125" customWidth="1"/>
  </cols>
  <sheetData>
    <row r="1" spans="1:2" ht="15.75">
      <c r="A1" s="28" t="s">
        <v>251</v>
      </c>
    </row>
    <row r="2" spans="1:2" ht="15" customHeight="1">
      <c r="A2" s="26" t="s">
        <v>252</v>
      </c>
    </row>
    <row r="3" spans="1:2">
      <c r="A3" s="25" t="s">
        <v>253</v>
      </c>
    </row>
    <row r="4" spans="1:2" ht="15.75">
      <c r="A4" s="27" t="s">
        <v>254</v>
      </c>
      <c r="B4" s="29" t="s">
        <v>255</v>
      </c>
    </row>
    <row r="5" spans="1:2" ht="15.75">
      <c r="A5" s="27" t="s">
        <v>256</v>
      </c>
      <c r="B5" s="29" t="s">
        <v>257</v>
      </c>
    </row>
    <row r="6" spans="1:2" ht="15.75">
      <c r="A6" s="27" t="s">
        <v>258</v>
      </c>
      <c r="B6" s="29" t="s">
        <v>2192</v>
      </c>
    </row>
    <row r="7" spans="1:2" ht="15.75">
      <c r="A7" s="27" t="s">
        <v>259</v>
      </c>
      <c r="B7" s="29" t="s">
        <v>260</v>
      </c>
    </row>
    <row r="8" spans="1:2" ht="15.75">
      <c r="A8" s="27" t="s">
        <v>261</v>
      </c>
      <c r="B8" s="29" t="s">
        <v>262</v>
      </c>
    </row>
    <row r="9" spans="1:2" ht="15.75">
      <c r="A9" s="27" t="s">
        <v>263</v>
      </c>
      <c r="B9" s="29" t="s">
        <v>2193</v>
      </c>
    </row>
    <row r="10" spans="1:2" ht="15.75">
      <c r="A10" s="27" t="s">
        <v>264</v>
      </c>
      <c r="B10" s="29" t="s">
        <v>2194</v>
      </c>
    </row>
    <row r="11" spans="1:2" ht="15.75">
      <c r="A11" s="27" t="s">
        <v>265</v>
      </c>
      <c r="B11" s="29" t="s">
        <v>266</v>
      </c>
    </row>
    <row r="12" spans="1:2" ht="15.75">
      <c r="A12" s="27" t="s">
        <v>267</v>
      </c>
      <c r="B12" s="29" t="s">
        <v>268</v>
      </c>
    </row>
    <row r="13" spans="1:2" ht="15.75">
      <c r="A13" s="27" t="s">
        <v>269</v>
      </c>
      <c r="B13" s="29" t="s">
        <v>2196</v>
      </c>
    </row>
    <row r="14" spans="1:2" ht="15.75">
      <c r="A14" s="27" t="s">
        <v>270</v>
      </c>
      <c r="B14" s="29" t="s">
        <v>2195</v>
      </c>
    </row>
    <row r="15" spans="1:2" ht="15.75">
      <c r="A15" s="27" t="s">
        <v>271</v>
      </c>
      <c r="B15" s="29" t="s">
        <v>2197</v>
      </c>
    </row>
    <row r="16" spans="1:2" ht="15.75">
      <c r="A16" s="27" t="s">
        <v>272</v>
      </c>
      <c r="B16" s="29" t="s">
        <v>2198</v>
      </c>
    </row>
    <row r="17" spans="1:2" ht="15.75">
      <c r="A17" s="27" t="s">
        <v>273</v>
      </c>
      <c r="B17" s="29" t="s">
        <v>274</v>
      </c>
    </row>
    <row r="18" spans="1:2" ht="15.75">
      <c r="A18" s="27" t="s">
        <v>275</v>
      </c>
      <c r="B18" s="193" t="s">
        <v>276</v>
      </c>
    </row>
    <row r="19" spans="1:2">
      <c r="A19" s="25"/>
    </row>
  </sheetData>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dimension ref="A1:S30"/>
  <sheetViews>
    <sheetView workbookViewId="0">
      <selection activeCell="D34" sqref="D34"/>
    </sheetView>
  </sheetViews>
  <sheetFormatPr baseColWidth="10" defaultRowHeight="15"/>
  <cols>
    <col min="2" max="2" width="9.140625" customWidth="1"/>
    <col min="3" max="3" width="2" customWidth="1"/>
    <col min="4" max="4" width="17.42578125" customWidth="1"/>
    <col min="5" max="5" width="6.7109375" customWidth="1"/>
    <col min="6" max="6" width="1.5703125" customWidth="1"/>
    <col min="7" max="7" width="17.5703125" customWidth="1"/>
    <col min="8" max="8" width="6.5703125" customWidth="1"/>
    <col min="9" max="9" width="1.7109375" customWidth="1"/>
    <col min="10" max="10" width="17.5703125" customWidth="1"/>
    <col min="11" max="11" width="6.5703125" customWidth="1"/>
    <col min="12" max="12" width="1.85546875" customWidth="1"/>
    <col min="13" max="13" width="17.5703125" customWidth="1"/>
    <col min="14" max="14" width="6.5703125" customWidth="1"/>
    <col min="15" max="15" width="1.85546875" customWidth="1"/>
    <col min="16" max="16" width="17.5703125" customWidth="1"/>
    <col min="17" max="17" width="6.5703125" customWidth="1"/>
    <col min="18" max="18" width="2.28515625" customWidth="1"/>
    <col min="19" max="19" width="16.42578125" bestFit="1" customWidth="1"/>
  </cols>
  <sheetData>
    <row r="1" spans="1:19">
      <c r="A1" t="s">
        <v>311</v>
      </c>
    </row>
    <row r="2" spans="1:19">
      <c r="A2" t="s">
        <v>312</v>
      </c>
    </row>
    <row r="3" spans="1:19" ht="8.25" customHeight="1"/>
    <row r="4" spans="1:19">
      <c r="A4" t="s">
        <v>687</v>
      </c>
    </row>
    <row r="5" spans="1:19" ht="11.25" customHeight="1" thickBot="1">
      <c r="A5" s="15"/>
      <c r="C5" s="172"/>
      <c r="D5" s="172"/>
      <c r="E5" s="172"/>
      <c r="F5" s="172"/>
      <c r="G5" s="172"/>
      <c r="H5" s="172"/>
      <c r="I5" s="172"/>
      <c r="J5" s="172"/>
      <c r="K5" s="172"/>
      <c r="L5" s="172"/>
      <c r="M5" s="172"/>
      <c r="N5" s="172"/>
      <c r="O5" s="172"/>
      <c r="P5" s="172"/>
      <c r="Q5" s="172"/>
      <c r="R5" s="172"/>
    </row>
    <row r="6" spans="1:19" ht="11.25" customHeight="1">
      <c r="A6" s="36"/>
      <c r="B6" s="6"/>
      <c r="D6" s="173"/>
      <c r="E6" s="173"/>
      <c r="G6" s="173"/>
      <c r="H6" s="173"/>
      <c r="J6" s="173"/>
      <c r="K6" s="173"/>
      <c r="M6" s="173"/>
      <c r="N6" s="173"/>
      <c r="P6" s="173"/>
      <c r="Q6" s="173"/>
    </row>
    <row r="7" spans="1:19">
      <c r="A7" s="36" t="s">
        <v>688</v>
      </c>
      <c r="B7" s="36"/>
      <c r="D7" s="1276" t="s">
        <v>528</v>
      </c>
      <c r="E7" s="1276"/>
      <c r="G7" s="1276" t="s">
        <v>529</v>
      </c>
      <c r="H7" s="1276"/>
      <c r="J7" s="1276" t="s">
        <v>530</v>
      </c>
      <c r="K7" s="1276"/>
      <c r="M7" s="1276" t="s">
        <v>531</v>
      </c>
      <c r="N7" s="1276"/>
      <c r="P7" s="1276" t="s">
        <v>685</v>
      </c>
      <c r="Q7" s="1276"/>
    </row>
    <row r="8" spans="1:19">
      <c r="A8" s="36"/>
      <c r="B8" s="36"/>
      <c r="D8" s="175" t="s">
        <v>9</v>
      </c>
      <c r="E8" s="175" t="s">
        <v>10</v>
      </c>
      <c r="G8" s="175" t="s">
        <v>9</v>
      </c>
      <c r="H8" s="175" t="s">
        <v>10</v>
      </c>
      <c r="J8" s="175" t="s">
        <v>9</v>
      </c>
      <c r="K8" s="175" t="s">
        <v>10</v>
      </c>
      <c r="M8" s="175" t="s">
        <v>9</v>
      </c>
      <c r="N8" s="175" t="s">
        <v>10</v>
      </c>
      <c r="P8" s="175" t="s">
        <v>9</v>
      </c>
      <c r="Q8" s="175" t="s">
        <v>10</v>
      </c>
    </row>
    <row r="9" spans="1:19" ht="12" customHeight="1" thickBot="1">
      <c r="A9" s="15"/>
      <c r="B9" s="15"/>
      <c r="C9" s="172"/>
      <c r="D9" s="172"/>
      <c r="E9" s="172"/>
      <c r="F9" s="172"/>
      <c r="G9" s="172"/>
      <c r="H9" s="172"/>
      <c r="I9" s="172"/>
      <c r="J9" s="172"/>
      <c r="K9" s="172"/>
      <c r="L9" s="172"/>
      <c r="M9" s="172"/>
      <c r="N9" s="172"/>
      <c r="O9" s="172"/>
      <c r="P9" s="172"/>
      <c r="Q9" s="172"/>
      <c r="R9" s="172"/>
    </row>
    <row r="10" spans="1:19">
      <c r="A10" s="36"/>
      <c r="B10" s="36"/>
      <c r="D10" s="176"/>
      <c r="E10" s="176"/>
      <c r="G10" s="176"/>
      <c r="H10" s="176"/>
      <c r="J10" s="176"/>
      <c r="K10" s="176"/>
      <c r="M10" s="176"/>
      <c r="N10" s="176"/>
      <c r="P10" s="176"/>
      <c r="Q10" s="176"/>
    </row>
    <row r="11" spans="1:19">
      <c r="A11" s="90" t="s">
        <v>689</v>
      </c>
      <c r="B11" s="36"/>
      <c r="D11" s="177">
        <f>D13+D18+D20+D22</f>
        <v>249118323362.5</v>
      </c>
      <c r="E11" s="178">
        <f>E13+E18+E20+E22</f>
        <v>100</v>
      </c>
      <c r="G11" s="177">
        <f>G13+G18+G20+G22</f>
        <v>267020207860.84998</v>
      </c>
      <c r="H11" s="178">
        <f>H13+H18+H20+H22</f>
        <v>100</v>
      </c>
      <c r="J11" s="177">
        <f>J13+J18+J20+J22</f>
        <v>298055159703.14001</v>
      </c>
      <c r="K11" s="178">
        <f>K13+K18+K20+K22</f>
        <v>100.00000000000001</v>
      </c>
      <c r="M11" s="177">
        <f>M13+M18+M20+M22</f>
        <v>333079758813.91998</v>
      </c>
      <c r="N11" s="178">
        <f>N13+N18+N20+N22</f>
        <v>100.00000000000001</v>
      </c>
      <c r="P11" s="177">
        <f>P13+P18+P20+P22</f>
        <v>375575442939.54999</v>
      </c>
      <c r="Q11" s="178">
        <f>Q13+Q18+Q20+Q22</f>
        <v>100</v>
      </c>
      <c r="S11" s="31"/>
    </row>
    <row r="12" spans="1:19" ht="12.75" customHeight="1">
      <c r="A12" s="36"/>
      <c r="B12" s="36"/>
      <c r="D12" s="179"/>
      <c r="E12" s="179"/>
      <c r="G12" s="179"/>
      <c r="H12" s="179"/>
      <c r="J12" s="179"/>
      <c r="K12" s="179"/>
      <c r="M12" s="179"/>
      <c r="N12" s="179"/>
      <c r="P12" s="179"/>
      <c r="Q12" s="179"/>
    </row>
    <row r="13" spans="1:19">
      <c r="A13" s="103" t="s">
        <v>690</v>
      </c>
      <c r="B13" s="103"/>
      <c r="D13" s="2">
        <f>202539980252.13+182250660.34</f>
        <v>202722230912.47</v>
      </c>
      <c r="E13" s="179">
        <f>D13/D$11*100</f>
        <v>81.375881218292577</v>
      </c>
      <c r="G13" s="2">
        <f>226549550667.22+192782313.61</f>
        <v>226742332980.82999</v>
      </c>
      <c r="H13" s="179">
        <f>G13/G$11*100</f>
        <v>84.915795249096021</v>
      </c>
      <c r="J13" s="2">
        <f>258370271959.22+224674459.99</f>
        <v>258594946419.20999</v>
      </c>
      <c r="K13" s="179">
        <f>J13/J$11*100</f>
        <v>86.760768267446878</v>
      </c>
      <c r="M13" s="2">
        <f>287973179684.87+212396224.32</f>
        <v>288185575909.19</v>
      </c>
      <c r="N13" s="179">
        <f>M13/M$11*100</f>
        <v>86.521491709794716</v>
      </c>
      <c r="P13" s="2">
        <f>321492652504.62+254787133.11</f>
        <v>321747439637.72998</v>
      </c>
      <c r="Q13" s="179">
        <f>P13/P$11*100</f>
        <v>85.667858664954352</v>
      </c>
    </row>
    <row r="14" spans="1:19" ht="12.75" customHeight="1">
      <c r="A14" s="103"/>
      <c r="B14" s="103"/>
      <c r="D14" s="179"/>
      <c r="E14" s="179"/>
      <c r="G14" s="179"/>
      <c r="H14" s="179"/>
      <c r="J14" s="179"/>
      <c r="K14" s="179"/>
      <c r="M14" s="179"/>
      <c r="N14" s="179"/>
      <c r="P14" s="179"/>
      <c r="Q14" s="179"/>
    </row>
    <row r="15" spans="1:19">
      <c r="A15" s="103" t="s">
        <v>691</v>
      </c>
      <c r="B15" s="103"/>
      <c r="D15" s="179">
        <v>170343246721.01999</v>
      </c>
      <c r="E15" s="179">
        <f>D15/D$11*100</f>
        <v>68.378449413834602</v>
      </c>
      <c r="G15" s="179">
        <v>193026456319.25</v>
      </c>
      <c r="H15" s="179">
        <f>G15/G$11*100</f>
        <v>72.289081738652627</v>
      </c>
      <c r="J15" s="179">
        <v>225836121793.75</v>
      </c>
      <c r="K15" s="179">
        <f>J15/J$11*100</f>
        <v>75.769908502399531</v>
      </c>
      <c r="M15" s="179">
        <v>237935278999</v>
      </c>
      <c r="N15" s="179">
        <f>M15/M$11*100</f>
        <v>71.434925930736654</v>
      </c>
      <c r="P15" s="179">
        <v>263336668921.14001</v>
      </c>
      <c r="Q15" s="179">
        <f>P15/P$11*100</f>
        <v>70.115518432211459</v>
      </c>
    </row>
    <row r="16" spans="1:19">
      <c r="A16" s="103" t="s">
        <v>692</v>
      </c>
      <c r="B16" s="103"/>
      <c r="D16" s="179">
        <f>D13-D15</f>
        <v>32378984191.450012</v>
      </c>
      <c r="E16" s="179">
        <f>D16/D$11*100</f>
        <v>12.997431804457966</v>
      </c>
      <c r="G16" s="179">
        <f>G13-G15</f>
        <v>33715876661.579987</v>
      </c>
      <c r="H16" s="179">
        <f>G16/G$11*100</f>
        <v>12.626713510443397</v>
      </c>
      <c r="J16" s="179">
        <f>J13-J15</f>
        <v>32758824625.459991</v>
      </c>
      <c r="K16" s="179">
        <f>J16/J$11*100</f>
        <v>10.990859765047334</v>
      </c>
      <c r="M16" s="179">
        <f>M13-M15</f>
        <v>50250296910.190002</v>
      </c>
      <c r="N16" s="179">
        <f>M16/M$11*100</f>
        <v>15.086565779058066</v>
      </c>
      <c r="P16" s="179">
        <f>P13-P15</f>
        <v>58410770716.589966</v>
      </c>
      <c r="Q16" s="179">
        <f>P16/P$11*100</f>
        <v>15.552340232742894</v>
      </c>
    </row>
    <row r="17" spans="1:18" ht="12.75" customHeight="1">
      <c r="A17" s="103"/>
      <c r="B17" s="103"/>
      <c r="D17" s="179"/>
      <c r="E17" s="179"/>
      <c r="G17" s="179"/>
      <c r="H17" s="179"/>
      <c r="J17" s="179"/>
      <c r="K17" s="179"/>
      <c r="M17" s="179"/>
      <c r="N17" s="179"/>
      <c r="P17" s="179"/>
      <c r="Q17" s="179"/>
    </row>
    <row r="18" spans="1:18">
      <c r="A18" s="103" t="s">
        <v>693</v>
      </c>
      <c r="B18" s="103"/>
      <c r="C18" s="1"/>
      <c r="D18" s="2">
        <v>6456959683.1499996</v>
      </c>
      <c r="E18" s="179">
        <f>D18/D$11*100</f>
        <v>2.5919248315405015</v>
      </c>
      <c r="G18" s="2">
        <v>5306555630.3599997</v>
      </c>
      <c r="H18" s="179">
        <f>G18/G$11*100</f>
        <v>1.9873236085282957</v>
      </c>
      <c r="J18" s="2">
        <v>5357169188.6300001</v>
      </c>
      <c r="K18" s="179">
        <f>J18/J$11*100</f>
        <v>1.7973750878749046</v>
      </c>
      <c r="M18" s="2">
        <v>5859559126.3599997</v>
      </c>
      <c r="N18" s="179">
        <f>M18/M$11*100</f>
        <v>1.7592060073615974</v>
      </c>
      <c r="P18" s="2">
        <v>6965706801.8299999</v>
      </c>
      <c r="Q18" s="179">
        <f>P18/P$11*100</f>
        <v>1.8546757869233617</v>
      </c>
    </row>
    <row r="19" spans="1:18" ht="12.75" customHeight="1">
      <c r="A19" s="103"/>
      <c r="B19" s="103"/>
      <c r="C19" s="1"/>
      <c r="D19" s="179"/>
      <c r="E19" s="179"/>
      <c r="G19" s="179"/>
      <c r="H19" s="179"/>
      <c r="J19" s="179"/>
      <c r="K19" s="179"/>
      <c r="M19" s="179"/>
      <c r="N19" s="179"/>
      <c r="P19" s="179"/>
      <c r="Q19" s="179"/>
    </row>
    <row r="20" spans="1:18">
      <c r="A20" s="180" t="s">
        <v>2131</v>
      </c>
      <c r="B20" s="103"/>
      <c r="C20" s="1"/>
      <c r="D20" s="179">
        <f>21994984932.91+6326313931.07+8418444462.31</f>
        <v>36739743326.290001</v>
      </c>
      <c r="E20" s="179">
        <f>D20/D$11*100</f>
        <v>14.747908877352565</v>
      </c>
      <c r="G20" s="179">
        <f>15533388497.36+7927066562.15+1417665110+6712139163.19</f>
        <v>31590259332.700001</v>
      </c>
      <c r="H20" s="179">
        <f>G20/G$11*100</f>
        <v>11.830662400338769</v>
      </c>
      <c r="J20" s="179">
        <f>14099827405.26+7030598696.84+7999021864.29+1438721597.47</f>
        <v>30568169563.860001</v>
      </c>
      <c r="K20" s="179">
        <f>J20/J$11*100</f>
        <v>10.255876661992898</v>
      </c>
      <c r="M20" s="179">
        <f>15648187325.92+7911056829.68+8449925859.74+3404384803.52</f>
        <v>35413554818.859993</v>
      </c>
      <c r="N20" s="179">
        <f>M20/M$11*100</f>
        <v>10.632154576118902</v>
      </c>
      <c r="P20" s="179">
        <f>15276160610.95+9841439214.44+9574372545.12+8775224368.38</f>
        <v>43467196738.889999</v>
      </c>
      <c r="Q20" s="179">
        <f>P20/P$11*100</f>
        <v>11.57349277116773</v>
      </c>
    </row>
    <row r="21" spans="1:18" ht="12.75" customHeight="1">
      <c r="A21" s="103"/>
      <c r="B21" s="103"/>
      <c r="C21" s="1"/>
      <c r="D21" s="179"/>
      <c r="E21" s="179"/>
      <c r="G21" s="179"/>
      <c r="H21" s="179"/>
      <c r="J21" s="179"/>
      <c r="K21" s="179"/>
      <c r="M21" s="179"/>
      <c r="N21" s="179"/>
      <c r="P21" s="179"/>
      <c r="Q21" s="179"/>
    </row>
    <row r="22" spans="1:18">
      <c r="A22" s="103" t="s">
        <v>694</v>
      </c>
      <c r="B22" s="103"/>
      <c r="C22" s="1"/>
      <c r="D22" s="179">
        <f>879399947.2+2319989493.39</f>
        <v>3199389440.5900002</v>
      </c>
      <c r="E22" s="179">
        <f>D22/D$11*100</f>
        <v>1.2842850728143618</v>
      </c>
      <c r="G22" s="179">
        <f>847094090.8+2533965826.16</f>
        <v>3381059916.96</v>
      </c>
      <c r="H22" s="179">
        <f>G22/G$11*100</f>
        <v>1.2662187420369113</v>
      </c>
      <c r="J22" s="179">
        <f>884444823.84+2650429707.6</f>
        <v>3534874531.4400001</v>
      </c>
      <c r="K22" s="179">
        <f>J22/J$11*100</f>
        <v>1.185979982685319</v>
      </c>
      <c r="M22" s="179">
        <f>925670343.3+2695398616.21</f>
        <v>3621068959.5100002</v>
      </c>
      <c r="N22" s="179">
        <f>M22/M$11*100</f>
        <v>1.0871477067247923</v>
      </c>
      <c r="P22" s="179">
        <f>891165600.75+2503934160.35</f>
        <v>3395099761.0999999</v>
      </c>
      <c r="Q22" s="179">
        <f>P22/P$11*100</f>
        <v>0.90397277695454958</v>
      </c>
    </row>
    <row r="23" spans="1:18" ht="12.75" customHeight="1" thickBot="1">
      <c r="C23" s="181"/>
      <c r="D23" s="181"/>
      <c r="E23" s="172"/>
      <c r="F23" s="172"/>
      <c r="G23" s="181"/>
      <c r="H23" s="172"/>
      <c r="I23" s="172"/>
      <c r="J23" s="181"/>
      <c r="K23" s="172"/>
      <c r="L23" s="172"/>
      <c r="M23" s="181"/>
      <c r="N23" s="172"/>
      <c r="O23" s="172"/>
      <c r="P23" s="181"/>
      <c r="Q23" s="172"/>
      <c r="R23" s="172"/>
    </row>
    <row r="24" spans="1:18">
      <c r="A24" s="6"/>
      <c r="B24" s="6"/>
      <c r="D24" s="179"/>
      <c r="G24" s="179"/>
      <c r="J24" s="179"/>
      <c r="M24" s="179"/>
      <c r="P24" s="179"/>
    </row>
    <row r="25" spans="1:18" s="42" customFormat="1" ht="14.25">
      <c r="A25" s="66" t="s">
        <v>2115</v>
      </c>
      <c r="B25" s="95"/>
      <c r="G25" s="179"/>
    </row>
    <row r="26" spans="1:18" s="42" customFormat="1">
      <c r="A26" s="66" t="s">
        <v>695</v>
      </c>
      <c r="B26" s="95"/>
      <c r="C26" s="1"/>
      <c r="D26" s="4"/>
      <c r="G26" s="182"/>
      <c r="P26" s="177"/>
    </row>
    <row r="27" spans="1:18" s="42" customFormat="1">
      <c r="A27" s="66" t="s">
        <v>696</v>
      </c>
      <c r="B27" s="95"/>
      <c r="C27" s="1"/>
      <c r="D27" s="4"/>
    </row>
    <row r="28" spans="1:18" s="42" customFormat="1" ht="10.5" customHeight="1">
      <c r="A28" s="95"/>
      <c r="B28" s="95"/>
      <c r="C28" s="1"/>
      <c r="D28" s="4"/>
    </row>
    <row r="29" spans="1:18" s="42" customFormat="1">
      <c r="A29" s="42" t="s">
        <v>697</v>
      </c>
      <c r="C29" s="1"/>
      <c r="D29" s="4"/>
    </row>
    <row r="30" spans="1:18" s="42" customFormat="1">
      <c r="A30" s="42" t="s">
        <v>365</v>
      </c>
      <c r="C30" s="1"/>
      <c r="D30" s="4"/>
    </row>
  </sheetData>
  <mergeCells count="5">
    <mergeCell ref="D7:E7"/>
    <mergeCell ref="G7:H7"/>
    <mergeCell ref="J7:K7"/>
    <mergeCell ref="M7:N7"/>
    <mergeCell ref="P7:Q7"/>
  </mergeCells>
  <printOptions horizontalCentered="1" verticalCentered="1"/>
  <pageMargins left="0" right="0" top="0" bottom="0" header="0.31496062992125984" footer="0.31496062992125984"/>
  <pageSetup paperSize="9" scale="90" orientation="landscape" r:id="rId1"/>
  <legacyDrawing r:id="rId2"/>
</worksheet>
</file>

<file path=xl/worksheets/sheet31.xml><?xml version="1.0" encoding="utf-8"?>
<worksheet xmlns="http://schemas.openxmlformats.org/spreadsheetml/2006/main" xmlns:r="http://schemas.openxmlformats.org/officeDocument/2006/relationships">
  <dimension ref="A1:AB1326"/>
  <sheetViews>
    <sheetView workbookViewId="0">
      <selection activeCell="E21" sqref="E21"/>
    </sheetView>
  </sheetViews>
  <sheetFormatPr baseColWidth="10" defaultColWidth="9.140625" defaultRowHeight="15"/>
  <cols>
    <col min="1" max="1" width="16.5703125" customWidth="1"/>
    <col min="2" max="2" width="2.28515625" customWidth="1"/>
    <col min="3" max="3" width="17.28515625" customWidth="1"/>
    <col min="4" max="4" width="2.7109375" customWidth="1"/>
    <col min="5" max="5" width="17.42578125" style="183" customWidth="1"/>
    <col min="6" max="6" width="7.140625" style="1" customWidth="1"/>
    <col min="7" max="7" width="2.7109375" style="1" customWidth="1"/>
    <col min="8" max="8" width="16" style="183" customWidth="1"/>
    <col min="9" max="9" width="7" style="183" customWidth="1"/>
    <col min="10" max="10" width="2.7109375" style="183" customWidth="1"/>
    <col min="11" max="11" width="15" style="183" customWidth="1"/>
    <col min="12" max="12" width="6.7109375" style="183" customWidth="1"/>
    <col min="13" max="13" width="2.7109375" style="183" customWidth="1"/>
    <col min="14" max="14" width="15.5703125" style="183" customWidth="1"/>
    <col min="15" max="15" width="6.85546875" style="183" customWidth="1"/>
    <col min="16" max="16" width="2.7109375" style="1" customWidth="1"/>
    <col min="17" max="17" width="15.140625" style="1" customWidth="1"/>
    <col min="18" max="18" width="8.42578125" style="2" customWidth="1"/>
    <col min="19" max="19" width="3" style="2" customWidth="1"/>
    <col min="20" max="20" width="15.42578125" style="1" customWidth="1"/>
    <col min="21" max="21" width="6.42578125" style="1" customWidth="1"/>
    <col min="22" max="22" width="2.42578125" style="1" customWidth="1"/>
    <col min="23" max="23" width="15.7109375" style="1" customWidth="1"/>
    <col min="24" max="24" width="7.42578125" style="1" customWidth="1"/>
    <col min="25" max="25" width="3.140625" style="1" customWidth="1"/>
    <col min="26" max="26" width="15.7109375" customWidth="1"/>
    <col min="28" max="28" width="2.85546875" customWidth="1"/>
    <col min="257" max="257" width="16.5703125" customWidth="1"/>
    <col min="258" max="258" width="2.28515625" customWidth="1"/>
    <col min="259" max="259" width="17.28515625" customWidth="1"/>
    <col min="260" max="260" width="2.7109375" customWidth="1"/>
    <col min="261" max="261" width="17.42578125" customWidth="1"/>
    <col min="262" max="262" width="7.140625" customWidth="1"/>
    <col min="263" max="263" width="2.7109375" customWidth="1"/>
    <col min="264" max="264" width="16" customWidth="1"/>
    <col min="265" max="265" width="7" customWidth="1"/>
    <col min="266" max="266" width="2.7109375" customWidth="1"/>
    <col min="267" max="267" width="16.28515625" customWidth="1"/>
    <col min="268" max="268" width="6.7109375" customWidth="1"/>
    <col min="269" max="269" width="2.7109375" customWidth="1"/>
    <col min="270" max="270" width="15.5703125" customWidth="1"/>
    <col min="271" max="271" width="6.85546875" customWidth="1"/>
    <col min="272" max="272" width="2.7109375" customWidth="1"/>
    <col min="273" max="273" width="15.140625" customWidth="1"/>
    <col min="274" max="274" width="8.42578125" customWidth="1"/>
    <col min="275" max="275" width="3" customWidth="1"/>
    <col min="276" max="276" width="15.42578125" customWidth="1"/>
    <col min="277" max="277" width="6.42578125" customWidth="1"/>
    <col min="278" max="278" width="2.42578125" customWidth="1"/>
    <col min="279" max="279" width="15.7109375" customWidth="1"/>
    <col min="280" max="280" width="7.42578125" customWidth="1"/>
    <col min="281" max="281" width="3.140625" customWidth="1"/>
    <col min="282" max="282" width="15.7109375" customWidth="1"/>
    <col min="284" max="284" width="2.85546875" customWidth="1"/>
    <col min="513" max="513" width="16.5703125" customWidth="1"/>
    <col min="514" max="514" width="2.28515625" customWidth="1"/>
    <col min="515" max="515" width="17.28515625" customWidth="1"/>
    <col min="516" max="516" width="2.7109375" customWidth="1"/>
    <col min="517" max="517" width="17.42578125" customWidth="1"/>
    <col min="518" max="518" width="7.140625" customWidth="1"/>
    <col min="519" max="519" width="2.7109375" customWidth="1"/>
    <col min="520" max="520" width="16" customWidth="1"/>
    <col min="521" max="521" width="7" customWidth="1"/>
    <col min="522" max="522" width="2.7109375" customWidth="1"/>
    <col min="523" max="523" width="16.28515625" customWidth="1"/>
    <col min="524" max="524" width="6.7109375" customWidth="1"/>
    <col min="525" max="525" width="2.7109375" customWidth="1"/>
    <col min="526" max="526" width="15.5703125" customWidth="1"/>
    <col min="527" max="527" width="6.85546875" customWidth="1"/>
    <col min="528" max="528" width="2.7109375" customWidth="1"/>
    <col min="529" max="529" width="15.140625" customWidth="1"/>
    <col min="530" max="530" width="8.42578125" customWidth="1"/>
    <col min="531" max="531" width="3" customWidth="1"/>
    <col min="532" max="532" width="15.42578125" customWidth="1"/>
    <col min="533" max="533" width="6.42578125" customWidth="1"/>
    <col min="534" max="534" width="2.42578125" customWidth="1"/>
    <col min="535" max="535" width="15.7109375" customWidth="1"/>
    <col min="536" max="536" width="7.42578125" customWidth="1"/>
    <col min="537" max="537" width="3.140625" customWidth="1"/>
    <col min="538" max="538" width="15.7109375" customWidth="1"/>
    <col min="540" max="540" width="2.85546875" customWidth="1"/>
    <col min="769" max="769" width="16.5703125" customWidth="1"/>
    <col min="770" max="770" width="2.28515625" customWidth="1"/>
    <col min="771" max="771" width="17.28515625" customWidth="1"/>
    <col min="772" max="772" width="2.7109375" customWidth="1"/>
    <col min="773" max="773" width="17.42578125" customWidth="1"/>
    <col min="774" max="774" width="7.140625" customWidth="1"/>
    <col min="775" max="775" width="2.7109375" customWidth="1"/>
    <col min="776" max="776" width="16" customWidth="1"/>
    <col min="777" max="777" width="7" customWidth="1"/>
    <col min="778" max="778" width="2.7109375" customWidth="1"/>
    <col min="779" max="779" width="16.28515625" customWidth="1"/>
    <col min="780" max="780" width="6.7109375" customWidth="1"/>
    <col min="781" max="781" width="2.7109375" customWidth="1"/>
    <col min="782" max="782" width="15.5703125" customWidth="1"/>
    <col min="783" max="783" width="6.85546875" customWidth="1"/>
    <col min="784" max="784" width="2.7109375" customWidth="1"/>
    <col min="785" max="785" width="15.140625" customWidth="1"/>
    <col min="786" max="786" width="8.42578125" customWidth="1"/>
    <col min="787" max="787" width="3" customWidth="1"/>
    <col min="788" max="788" width="15.42578125" customWidth="1"/>
    <col min="789" max="789" width="6.42578125" customWidth="1"/>
    <col min="790" max="790" width="2.42578125" customWidth="1"/>
    <col min="791" max="791" width="15.7109375" customWidth="1"/>
    <col min="792" max="792" width="7.42578125" customWidth="1"/>
    <col min="793" max="793" width="3.140625" customWidth="1"/>
    <col min="794" max="794" width="15.7109375" customWidth="1"/>
    <col min="796" max="796" width="2.85546875" customWidth="1"/>
    <col min="1025" max="1025" width="16.5703125" customWidth="1"/>
    <col min="1026" max="1026" width="2.28515625" customWidth="1"/>
    <col min="1027" max="1027" width="17.28515625" customWidth="1"/>
    <col min="1028" max="1028" width="2.7109375" customWidth="1"/>
    <col min="1029" max="1029" width="17.42578125" customWidth="1"/>
    <col min="1030" max="1030" width="7.140625" customWidth="1"/>
    <col min="1031" max="1031" width="2.7109375" customWidth="1"/>
    <col min="1032" max="1032" width="16" customWidth="1"/>
    <col min="1033" max="1033" width="7" customWidth="1"/>
    <col min="1034" max="1034" width="2.7109375" customWidth="1"/>
    <col min="1035" max="1035" width="16.28515625" customWidth="1"/>
    <col min="1036" max="1036" width="6.7109375" customWidth="1"/>
    <col min="1037" max="1037" width="2.7109375" customWidth="1"/>
    <col min="1038" max="1038" width="15.5703125" customWidth="1"/>
    <col min="1039" max="1039" width="6.85546875" customWidth="1"/>
    <col min="1040" max="1040" width="2.7109375" customWidth="1"/>
    <col min="1041" max="1041" width="15.140625" customWidth="1"/>
    <col min="1042" max="1042" width="8.42578125" customWidth="1"/>
    <col min="1043" max="1043" width="3" customWidth="1"/>
    <col min="1044" max="1044" width="15.42578125" customWidth="1"/>
    <col min="1045" max="1045" width="6.42578125" customWidth="1"/>
    <col min="1046" max="1046" width="2.42578125" customWidth="1"/>
    <col min="1047" max="1047" width="15.7109375" customWidth="1"/>
    <col min="1048" max="1048" width="7.42578125" customWidth="1"/>
    <col min="1049" max="1049" width="3.140625" customWidth="1"/>
    <col min="1050" max="1050" width="15.7109375" customWidth="1"/>
    <col min="1052" max="1052" width="2.85546875" customWidth="1"/>
    <col min="1281" max="1281" width="16.5703125" customWidth="1"/>
    <col min="1282" max="1282" width="2.28515625" customWidth="1"/>
    <col min="1283" max="1283" width="17.28515625" customWidth="1"/>
    <col min="1284" max="1284" width="2.7109375" customWidth="1"/>
    <col min="1285" max="1285" width="17.42578125" customWidth="1"/>
    <col min="1286" max="1286" width="7.140625" customWidth="1"/>
    <col min="1287" max="1287" width="2.7109375" customWidth="1"/>
    <col min="1288" max="1288" width="16" customWidth="1"/>
    <col min="1289" max="1289" width="7" customWidth="1"/>
    <col min="1290" max="1290" width="2.7109375" customWidth="1"/>
    <col min="1291" max="1291" width="16.28515625" customWidth="1"/>
    <col min="1292" max="1292" width="6.7109375" customWidth="1"/>
    <col min="1293" max="1293" width="2.7109375" customWidth="1"/>
    <col min="1294" max="1294" width="15.5703125" customWidth="1"/>
    <col min="1295" max="1295" width="6.85546875" customWidth="1"/>
    <col min="1296" max="1296" width="2.7109375" customWidth="1"/>
    <col min="1297" max="1297" width="15.140625" customWidth="1"/>
    <col min="1298" max="1298" width="8.42578125" customWidth="1"/>
    <col min="1299" max="1299" width="3" customWidth="1"/>
    <col min="1300" max="1300" width="15.42578125" customWidth="1"/>
    <col min="1301" max="1301" width="6.42578125" customWidth="1"/>
    <col min="1302" max="1302" width="2.42578125" customWidth="1"/>
    <col min="1303" max="1303" width="15.7109375" customWidth="1"/>
    <col min="1304" max="1304" width="7.42578125" customWidth="1"/>
    <col min="1305" max="1305" width="3.140625" customWidth="1"/>
    <col min="1306" max="1306" width="15.7109375" customWidth="1"/>
    <col min="1308" max="1308" width="2.85546875" customWidth="1"/>
    <col min="1537" max="1537" width="16.5703125" customWidth="1"/>
    <col min="1538" max="1538" width="2.28515625" customWidth="1"/>
    <col min="1539" max="1539" width="17.28515625" customWidth="1"/>
    <col min="1540" max="1540" width="2.7109375" customWidth="1"/>
    <col min="1541" max="1541" width="17.42578125" customWidth="1"/>
    <col min="1542" max="1542" width="7.140625" customWidth="1"/>
    <col min="1543" max="1543" width="2.7109375" customWidth="1"/>
    <col min="1544" max="1544" width="16" customWidth="1"/>
    <col min="1545" max="1545" width="7" customWidth="1"/>
    <col min="1546" max="1546" width="2.7109375" customWidth="1"/>
    <col min="1547" max="1547" width="16.28515625" customWidth="1"/>
    <col min="1548" max="1548" width="6.7109375" customWidth="1"/>
    <col min="1549" max="1549" width="2.7109375" customWidth="1"/>
    <col min="1550" max="1550" width="15.5703125" customWidth="1"/>
    <col min="1551" max="1551" width="6.85546875" customWidth="1"/>
    <col min="1552" max="1552" width="2.7109375" customWidth="1"/>
    <col min="1553" max="1553" width="15.140625" customWidth="1"/>
    <col min="1554" max="1554" width="8.42578125" customWidth="1"/>
    <col min="1555" max="1555" width="3" customWidth="1"/>
    <col min="1556" max="1556" width="15.42578125" customWidth="1"/>
    <col min="1557" max="1557" width="6.42578125" customWidth="1"/>
    <col min="1558" max="1558" width="2.42578125" customWidth="1"/>
    <col min="1559" max="1559" width="15.7109375" customWidth="1"/>
    <col min="1560" max="1560" width="7.42578125" customWidth="1"/>
    <col min="1561" max="1561" width="3.140625" customWidth="1"/>
    <col min="1562" max="1562" width="15.7109375" customWidth="1"/>
    <col min="1564" max="1564" width="2.85546875" customWidth="1"/>
    <col min="1793" max="1793" width="16.5703125" customWidth="1"/>
    <col min="1794" max="1794" width="2.28515625" customWidth="1"/>
    <col min="1795" max="1795" width="17.28515625" customWidth="1"/>
    <col min="1796" max="1796" width="2.7109375" customWidth="1"/>
    <col min="1797" max="1797" width="17.42578125" customWidth="1"/>
    <col min="1798" max="1798" width="7.140625" customWidth="1"/>
    <col min="1799" max="1799" width="2.7109375" customWidth="1"/>
    <col min="1800" max="1800" width="16" customWidth="1"/>
    <col min="1801" max="1801" width="7" customWidth="1"/>
    <col min="1802" max="1802" width="2.7109375" customWidth="1"/>
    <col min="1803" max="1803" width="16.28515625" customWidth="1"/>
    <col min="1804" max="1804" width="6.7109375" customWidth="1"/>
    <col min="1805" max="1805" width="2.7109375" customWidth="1"/>
    <col min="1806" max="1806" width="15.5703125" customWidth="1"/>
    <col min="1807" max="1807" width="6.85546875" customWidth="1"/>
    <col min="1808" max="1808" width="2.7109375" customWidth="1"/>
    <col min="1809" max="1809" width="15.140625" customWidth="1"/>
    <col min="1810" max="1810" width="8.42578125" customWidth="1"/>
    <col min="1811" max="1811" width="3" customWidth="1"/>
    <col min="1812" max="1812" width="15.42578125" customWidth="1"/>
    <col min="1813" max="1813" width="6.42578125" customWidth="1"/>
    <col min="1814" max="1814" width="2.42578125" customWidth="1"/>
    <col min="1815" max="1815" width="15.7109375" customWidth="1"/>
    <col min="1816" max="1816" width="7.42578125" customWidth="1"/>
    <col min="1817" max="1817" width="3.140625" customWidth="1"/>
    <col min="1818" max="1818" width="15.7109375" customWidth="1"/>
    <col min="1820" max="1820" width="2.85546875" customWidth="1"/>
    <col min="2049" max="2049" width="16.5703125" customWidth="1"/>
    <col min="2050" max="2050" width="2.28515625" customWidth="1"/>
    <col min="2051" max="2051" width="17.28515625" customWidth="1"/>
    <col min="2052" max="2052" width="2.7109375" customWidth="1"/>
    <col min="2053" max="2053" width="17.42578125" customWidth="1"/>
    <col min="2054" max="2054" width="7.140625" customWidth="1"/>
    <col min="2055" max="2055" width="2.7109375" customWidth="1"/>
    <col min="2056" max="2056" width="16" customWidth="1"/>
    <col min="2057" max="2057" width="7" customWidth="1"/>
    <col min="2058" max="2058" width="2.7109375" customWidth="1"/>
    <col min="2059" max="2059" width="16.28515625" customWidth="1"/>
    <col min="2060" max="2060" width="6.7109375" customWidth="1"/>
    <col min="2061" max="2061" width="2.7109375" customWidth="1"/>
    <col min="2062" max="2062" width="15.5703125" customWidth="1"/>
    <col min="2063" max="2063" width="6.85546875" customWidth="1"/>
    <col min="2064" max="2064" width="2.7109375" customWidth="1"/>
    <col min="2065" max="2065" width="15.140625" customWidth="1"/>
    <col min="2066" max="2066" width="8.42578125" customWidth="1"/>
    <col min="2067" max="2067" width="3" customWidth="1"/>
    <col min="2068" max="2068" width="15.42578125" customWidth="1"/>
    <col min="2069" max="2069" width="6.42578125" customWidth="1"/>
    <col min="2070" max="2070" width="2.42578125" customWidth="1"/>
    <col min="2071" max="2071" width="15.7109375" customWidth="1"/>
    <col min="2072" max="2072" width="7.42578125" customWidth="1"/>
    <col min="2073" max="2073" width="3.140625" customWidth="1"/>
    <col min="2074" max="2074" width="15.7109375" customWidth="1"/>
    <col min="2076" max="2076" width="2.85546875" customWidth="1"/>
    <col min="2305" max="2305" width="16.5703125" customWidth="1"/>
    <col min="2306" max="2306" width="2.28515625" customWidth="1"/>
    <col min="2307" max="2307" width="17.28515625" customWidth="1"/>
    <col min="2308" max="2308" width="2.7109375" customWidth="1"/>
    <col min="2309" max="2309" width="17.42578125" customWidth="1"/>
    <col min="2310" max="2310" width="7.140625" customWidth="1"/>
    <col min="2311" max="2311" width="2.7109375" customWidth="1"/>
    <col min="2312" max="2312" width="16" customWidth="1"/>
    <col min="2313" max="2313" width="7" customWidth="1"/>
    <col min="2314" max="2314" width="2.7109375" customWidth="1"/>
    <col min="2315" max="2315" width="16.28515625" customWidth="1"/>
    <col min="2316" max="2316" width="6.7109375" customWidth="1"/>
    <col min="2317" max="2317" width="2.7109375" customWidth="1"/>
    <col min="2318" max="2318" width="15.5703125" customWidth="1"/>
    <col min="2319" max="2319" width="6.85546875" customWidth="1"/>
    <col min="2320" max="2320" width="2.7109375" customWidth="1"/>
    <col min="2321" max="2321" width="15.140625" customWidth="1"/>
    <col min="2322" max="2322" width="8.42578125" customWidth="1"/>
    <col min="2323" max="2323" width="3" customWidth="1"/>
    <col min="2324" max="2324" width="15.42578125" customWidth="1"/>
    <col min="2325" max="2325" width="6.42578125" customWidth="1"/>
    <col min="2326" max="2326" width="2.42578125" customWidth="1"/>
    <col min="2327" max="2327" width="15.7109375" customWidth="1"/>
    <col min="2328" max="2328" width="7.42578125" customWidth="1"/>
    <col min="2329" max="2329" width="3.140625" customWidth="1"/>
    <col min="2330" max="2330" width="15.7109375" customWidth="1"/>
    <col min="2332" max="2332" width="2.85546875" customWidth="1"/>
    <col min="2561" max="2561" width="16.5703125" customWidth="1"/>
    <col min="2562" max="2562" width="2.28515625" customWidth="1"/>
    <col min="2563" max="2563" width="17.28515625" customWidth="1"/>
    <col min="2564" max="2564" width="2.7109375" customWidth="1"/>
    <col min="2565" max="2565" width="17.42578125" customWidth="1"/>
    <col min="2566" max="2566" width="7.140625" customWidth="1"/>
    <col min="2567" max="2567" width="2.7109375" customWidth="1"/>
    <col min="2568" max="2568" width="16" customWidth="1"/>
    <col min="2569" max="2569" width="7" customWidth="1"/>
    <col min="2570" max="2570" width="2.7109375" customWidth="1"/>
    <col min="2571" max="2571" width="16.28515625" customWidth="1"/>
    <col min="2572" max="2572" width="6.7109375" customWidth="1"/>
    <col min="2573" max="2573" width="2.7109375" customWidth="1"/>
    <col min="2574" max="2574" width="15.5703125" customWidth="1"/>
    <col min="2575" max="2575" width="6.85546875" customWidth="1"/>
    <col min="2576" max="2576" width="2.7109375" customWidth="1"/>
    <col min="2577" max="2577" width="15.140625" customWidth="1"/>
    <col min="2578" max="2578" width="8.42578125" customWidth="1"/>
    <col min="2579" max="2579" width="3" customWidth="1"/>
    <col min="2580" max="2580" width="15.42578125" customWidth="1"/>
    <col min="2581" max="2581" width="6.42578125" customWidth="1"/>
    <col min="2582" max="2582" width="2.42578125" customWidth="1"/>
    <col min="2583" max="2583" width="15.7109375" customWidth="1"/>
    <col min="2584" max="2584" width="7.42578125" customWidth="1"/>
    <col min="2585" max="2585" width="3.140625" customWidth="1"/>
    <col min="2586" max="2586" width="15.7109375" customWidth="1"/>
    <col min="2588" max="2588" width="2.85546875" customWidth="1"/>
    <col min="2817" max="2817" width="16.5703125" customWidth="1"/>
    <col min="2818" max="2818" width="2.28515625" customWidth="1"/>
    <col min="2819" max="2819" width="17.28515625" customWidth="1"/>
    <col min="2820" max="2820" width="2.7109375" customWidth="1"/>
    <col min="2821" max="2821" width="17.42578125" customWidth="1"/>
    <col min="2822" max="2822" width="7.140625" customWidth="1"/>
    <col min="2823" max="2823" width="2.7109375" customWidth="1"/>
    <col min="2824" max="2824" width="16" customWidth="1"/>
    <col min="2825" max="2825" width="7" customWidth="1"/>
    <col min="2826" max="2826" width="2.7109375" customWidth="1"/>
    <col min="2827" max="2827" width="16.28515625" customWidth="1"/>
    <col min="2828" max="2828" width="6.7109375" customWidth="1"/>
    <col min="2829" max="2829" width="2.7109375" customWidth="1"/>
    <col min="2830" max="2830" width="15.5703125" customWidth="1"/>
    <col min="2831" max="2831" width="6.85546875" customWidth="1"/>
    <col min="2832" max="2832" width="2.7109375" customWidth="1"/>
    <col min="2833" max="2833" width="15.140625" customWidth="1"/>
    <col min="2834" max="2834" width="8.42578125" customWidth="1"/>
    <col min="2835" max="2835" width="3" customWidth="1"/>
    <col min="2836" max="2836" width="15.42578125" customWidth="1"/>
    <col min="2837" max="2837" width="6.42578125" customWidth="1"/>
    <col min="2838" max="2838" width="2.42578125" customWidth="1"/>
    <col min="2839" max="2839" width="15.7109375" customWidth="1"/>
    <col min="2840" max="2840" width="7.42578125" customWidth="1"/>
    <col min="2841" max="2841" width="3.140625" customWidth="1"/>
    <col min="2842" max="2842" width="15.7109375" customWidth="1"/>
    <col min="2844" max="2844" width="2.85546875" customWidth="1"/>
    <col min="3073" max="3073" width="16.5703125" customWidth="1"/>
    <col min="3074" max="3074" width="2.28515625" customWidth="1"/>
    <col min="3075" max="3075" width="17.28515625" customWidth="1"/>
    <col min="3076" max="3076" width="2.7109375" customWidth="1"/>
    <col min="3077" max="3077" width="17.42578125" customWidth="1"/>
    <col min="3078" max="3078" width="7.140625" customWidth="1"/>
    <col min="3079" max="3079" width="2.7109375" customWidth="1"/>
    <col min="3080" max="3080" width="16" customWidth="1"/>
    <col min="3081" max="3081" width="7" customWidth="1"/>
    <col min="3082" max="3082" width="2.7109375" customWidth="1"/>
    <col min="3083" max="3083" width="16.28515625" customWidth="1"/>
    <col min="3084" max="3084" width="6.7109375" customWidth="1"/>
    <col min="3085" max="3085" width="2.7109375" customWidth="1"/>
    <col min="3086" max="3086" width="15.5703125" customWidth="1"/>
    <col min="3087" max="3087" width="6.85546875" customWidth="1"/>
    <col min="3088" max="3088" width="2.7109375" customWidth="1"/>
    <col min="3089" max="3089" width="15.140625" customWidth="1"/>
    <col min="3090" max="3090" width="8.42578125" customWidth="1"/>
    <col min="3091" max="3091" width="3" customWidth="1"/>
    <col min="3092" max="3092" width="15.42578125" customWidth="1"/>
    <col min="3093" max="3093" width="6.42578125" customWidth="1"/>
    <col min="3094" max="3094" width="2.42578125" customWidth="1"/>
    <col min="3095" max="3095" width="15.7109375" customWidth="1"/>
    <col min="3096" max="3096" width="7.42578125" customWidth="1"/>
    <col min="3097" max="3097" width="3.140625" customWidth="1"/>
    <col min="3098" max="3098" width="15.7109375" customWidth="1"/>
    <col min="3100" max="3100" width="2.85546875" customWidth="1"/>
    <col min="3329" max="3329" width="16.5703125" customWidth="1"/>
    <col min="3330" max="3330" width="2.28515625" customWidth="1"/>
    <col min="3331" max="3331" width="17.28515625" customWidth="1"/>
    <col min="3332" max="3332" width="2.7109375" customWidth="1"/>
    <col min="3333" max="3333" width="17.42578125" customWidth="1"/>
    <col min="3334" max="3334" width="7.140625" customWidth="1"/>
    <col min="3335" max="3335" width="2.7109375" customWidth="1"/>
    <col min="3336" max="3336" width="16" customWidth="1"/>
    <col min="3337" max="3337" width="7" customWidth="1"/>
    <col min="3338" max="3338" width="2.7109375" customWidth="1"/>
    <col min="3339" max="3339" width="16.28515625" customWidth="1"/>
    <col min="3340" max="3340" width="6.7109375" customWidth="1"/>
    <col min="3341" max="3341" width="2.7109375" customWidth="1"/>
    <col min="3342" max="3342" width="15.5703125" customWidth="1"/>
    <col min="3343" max="3343" width="6.85546875" customWidth="1"/>
    <col min="3344" max="3344" width="2.7109375" customWidth="1"/>
    <col min="3345" max="3345" width="15.140625" customWidth="1"/>
    <col min="3346" max="3346" width="8.42578125" customWidth="1"/>
    <col min="3347" max="3347" width="3" customWidth="1"/>
    <col min="3348" max="3348" width="15.42578125" customWidth="1"/>
    <col min="3349" max="3349" width="6.42578125" customWidth="1"/>
    <col min="3350" max="3350" width="2.42578125" customWidth="1"/>
    <col min="3351" max="3351" width="15.7109375" customWidth="1"/>
    <col min="3352" max="3352" width="7.42578125" customWidth="1"/>
    <col min="3353" max="3353" width="3.140625" customWidth="1"/>
    <col min="3354" max="3354" width="15.7109375" customWidth="1"/>
    <col min="3356" max="3356" width="2.85546875" customWidth="1"/>
    <col min="3585" max="3585" width="16.5703125" customWidth="1"/>
    <col min="3586" max="3586" width="2.28515625" customWidth="1"/>
    <col min="3587" max="3587" width="17.28515625" customWidth="1"/>
    <col min="3588" max="3588" width="2.7109375" customWidth="1"/>
    <col min="3589" max="3589" width="17.42578125" customWidth="1"/>
    <col min="3590" max="3590" width="7.140625" customWidth="1"/>
    <col min="3591" max="3591" width="2.7109375" customWidth="1"/>
    <col min="3592" max="3592" width="16" customWidth="1"/>
    <col min="3593" max="3593" width="7" customWidth="1"/>
    <col min="3594" max="3594" width="2.7109375" customWidth="1"/>
    <col min="3595" max="3595" width="16.28515625" customWidth="1"/>
    <col min="3596" max="3596" width="6.7109375" customWidth="1"/>
    <col min="3597" max="3597" width="2.7109375" customWidth="1"/>
    <col min="3598" max="3598" width="15.5703125" customWidth="1"/>
    <col min="3599" max="3599" width="6.85546875" customWidth="1"/>
    <col min="3600" max="3600" width="2.7109375" customWidth="1"/>
    <col min="3601" max="3601" width="15.140625" customWidth="1"/>
    <col min="3602" max="3602" width="8.42578125" customWidth="1"/>
    <col min="3603" max="3603" width="3" customWidth="1"/>
    <col min="3604" max="3604" width="15.42578125" customWidth="1"/>
    <col min="3605" max="3605" width="6.42578125" customWidth="1"/>
    <col min="3606" max="3606" width="2.42578125" customWidth="1"/>
    <col min="3607" max="3607" width="15.7109375" customWidth="1"/>
    <col min="3608" max="3608" width="7.42578125" customWidth="1"/>
    <col min="3609" max="3609" width="3.140625" customWidth="1"/>
    <col min="3610" max="3610" width="15.7109375" customWidth="1"/>
    <col min="3612" max="3612" width="2.85546875" customWidth="1"/>
    <col min="3841" max="3841" width="16.5703125" customWidth="1"/>
    <col min="3842" max="3842" width="2.28515625" customWidth="1"/>
    <col min="3843" max="3843" width="17.28515625" customWidth="1"/>
    <col min="3844" max="3844" width="2.7109375" customWidth="1"/>
    <col min="3845" max="3845" width="17.42578125" customWidth="1"/>
    <col min="3846" max="3846" width="7.140625" customWidth="1"/>
    <col min="3847" max="3847" width="2.7109375" customWidth="1"/>
    <col min="3848" max="3848" width="16" customWidth="1"/>
    <col min="3849" max="3849" width="7" customWidth="1"/>
    <col min="3850" max="3850" width="2.7109375" customWidth="1"/>
    <col min="3851" max="3851" width="16.28515625" customWidth="1"/>
    <col min="3852" max="3852" width="6.7109375" customWidth="1"/>
    <col min="3853" max="3853" width="2.7109375" customWidth="1"/>
    <col min="3854" max="3854" width="15.5703125" customWidth="1"/>
    <col min="3855" max="3855" width="6.85546875" customWidth="1"/>
    <col min="3856" max="3856" width="2.7109375" customWidth="1"/>
    <col min="3857" max="3857" width="15.140625" customWidth="1"/>
    <col min="3858" max="3858" width="8.42578125" customWidth="1"/>
    <col min="3859" max="3859" width="3" customWidth="1"/>
    <col min="3860" max="3860" width="15.42578125" customWidth="1"/>
    <col min="3861" max="3861" width="6.42578125" customWidth="1"/>
    <col min="3862" max="3862" width="2.42578125" customWidth="1"/>
    <col min="3863" max="3863" width="15.7109375" customWidth="1"/>
    <col min="3864" max="3864" width="7.42578125" customWidth="1"/>
    <col min="3865" max="3865" width="3.140625" customWidth="1"/>
    <col min="3866" max="3866" width="15.7109375" customWidth="1"/>
    <col min="3868" max="3868" width="2.85546875" customWidth="1"/>
    <col min="4097" max="4097" width="16.5703125" customWidth="1"/>
    <col min="4098" max="4098" width="2.28515625" customWidth="1"/>
    <col min="4099" max="4099" width="17.28515625" customWidth="1"/>
    <col min="4100" max="4100" width="2.7109375" customWidth="1"/>
    <col min="4101" max="4101" width="17.42578125" customWidth="1"/>
    <col min="4102" max="4102" width="7.140625" customWidth="1"/>
    <col min="4103" max="4103" width="2.7109375" customWidth="1"/>
    <col min="4104" max="4104" width="16" customWidth="1"/>
    <col min="4105" max="4105" width="7" customWidth="1"/>
    <col min="4106" max="4106" width="2.7109375" customWidth="1"/>
    <col min="4107" max="4107" width="16.28515625" customWidth="1"/>
    <col min="4108" max="4108" width="6.7109375" customWidth="1"/>
    <col min="4109" max="4109" width="2.7109375" customWidth="1"/>
    <col min="4110" max="4110" width="15.5703125" customWidth="1"/>
    <col min="4111" max="4111" width="6.85546875" customWidth="1"/>
    <col min="4112" max="4112" width="2.7109375" customWidth="1"/>
    <col min="4113" max="4113" width="15.140625" customWidth="1"/>
    <col min="4114" max="4114" width="8.42578125" customWidth="1"/>
    <col min="4115" max="4115" width="3" customWidth="1"/>
    <col min="4116" max="4116" width="15.42578125" customWidth="1"/>
    <col min="4117" max="4117" width="6.42578125" customWidth="1"/>
    <col min="4118" max="4118" width="2.42578125" customWidth="1"/>
    <col min="4119" max="4119" width="15.7109375" customWidth="1"/>
    <col min="4120" max="4120" width="7.42578125" customWidth="1"/>
    <col min="4121" max="4121" width="3.140625" customWidth="1"/>
    <col min="4122" max="4122" width="15.7109375" customWidth="1"/>
    <col min="4124" max="4124" width="2.85546875" customWidth="1"/>
    <col min="4353" max="4353" width="16.5703125" customWidth="1"/>
    <col min="4354" max="4354" width="2.28515625" customWidth="1"/>
    <col min="4355" max="4355" width="17.28515625" customWidth="1"/>
    <col min="4356" max="4356" width="2.7109375" customWidth="1"/>
    <col min="4357" max="4357" width="17.42578125" customWidth="1"/>
    <col min="4358" max="4358" width="7.140625" customWidth="1"/>
    <col min="4359" max="4359" width="2.7109375" customWidth="1"/>
    <col min="4360" max="4360" width="16" customWidth="1"/>
    <col min="4361" max="4361" width="7" customWidth="1"/>
    <col min="4362" max="4362" width="2.7109375" customWidth="1"/>
    <col min="4363" max="4363" width="16.28515625" customWidth="1"/>
    <col min="4364" max="4364" width="6.7109375" customWidth="1"/>
    <col min="4365" max="4365" width="2.7109375" customWidth="1"/>
    <col min="4366" max="4366" width="15.5703125" customWidth="1"/>
    <col min="4367" max="4367" width="6.85546875" customWidth="1"/>
    <col min="4368" max="4368" width="2.7109375" customWidth="1"/>
    <col min="4369" max="4369" width="15.140625" customWidth="1"/>
    <col min="4370" max="4370" width="8.42578125" customWidth="1"/>
    <col min="4371" max="4371" width="3" customWidth="1"/>
    <col min="4372" max="4372" width="15.42578125" customWidth="1"/>
    <col min="4373" max="4373" width="6.42578125" customWidth="1"/>
    <col min="4374" max="4374" width="2.42578125" customWidth="1"/>
    <col min="4375" max="4375" width="15.7109375" customWidth="1"/>
    <col min="4376" max="4376" width="7.42578125" customWidth="1"/>
    <col min="4377" max="4377" width="3.140625" customWidth="1"/>
    <col min="4378" max="4378" width="15.7109375" customWidth="1"/>
    <col min="4380" max="4380" width="2.85546875" customWidth="1"/>
    <col min="4609" max="4609" width="16.5703125" customWidth="1"/>
    <col min="4610" max="4610" width="2.28515625" customWidth="1"/>
    <col min="4611" max="4611" width="17.28515625" customWidth="1"/>
    <col min="4612" max="4612" width="2.7109375" customWidth="1"/>
    <col min="4613" max="4613" width="17.42578125" customWidth="1"/>
    <col min="4614" max="4614" width="7.140625" customWidth="1"/>
    <col min="4615" max="4615" width="2.7109375" customWidth="1"/>
    <col min="4616" max="4616" width="16" customWidth="1"/>
    <col min="4617" max="4617" width="7" customWidth="1"/>
    <col min="4618" max="4618" width="2.7109375" customWidth="1"/>
    <col min="4619" max="4619" width="16.28515625" customWidth="1"/>
    <col min="4620" max="4620" width="6.7109375" customWidth="1"/>
    <col min="4621" max="4621" width="2.7109375" customWidth="1"/>
    <col min="4622" max="4622" width="15.5703125" customWidth="1"/>
    <col min="4623" max="4623" width="6.85546875" customWidth="1"/>
    <col min="4624" max="4624" width="2.7109375" customWidth="1"/>
    <col min="4625" max="4625" width="15.140625" customWidth="1"/>
    <col min="4626" max="4626" width="8.42578125" customWidth="1"/>
    <col min="4627" max="4627" width="3" customWidth="1"/>
    <col min="4628" max="4628" width="15.42578125" customWidth="1"/>
    <col min="4629" max="4629" width="6.42578125" customWidth="1"/>
    <col min="4630" max="4630" width="2.42578125" customWidth="1"/>
    <col min="4631" max="4631" width="15.7109375" customWidth="1"/>
    <col min="4632" max="4632" width="7.42578125" customWidth="1"/>
    <col min="4633" max="4633" width="3.140625" customWidth="1"/>
    <col min="4634" max="4634" width="15.7109375" customWidth="1"/>
    <col min="4636" max="4636" width="2.85546875" customWidth="1"/>
    <col min="4865" max="4865" width="16.5703125" customWidth="1"/>
    <col min="4866" max="4866" width="2.28515625" customWidth="1"/>
    <col min="4867" max="4867" width="17.28515625" customWidth="1"/>
    <col min="4868" max="4868" width="2.7109375" customWidth="1"/>
    <col min="4869" max="4869" width="17.42578125" customWidth="1"/>
    <col min="4870" max="4870" width="7.140625" customWidth="1"/>
    <col min="4871" max="4871" width="2.7109375" customWidth="1"/>
    <col min="4872" max="4872" width="16" customWidth="1"/>
    <col min="4873" max="4873" width="7" customWidth="1"/>
    <col min="4874" max="4874" width="2.7109375" customWidth="1"/>
    <col min="4875" max="4875" width="16.28515625" customWidth="1"/>
    <col min="4876" max="4876" width="6.7109375" customWidth="1"/>
    <col min="4877" max="4877" width="2.7109375" customWidth="1"/>
    <col min="4878" max="4878" width="15.5703125" customWidth="1"/>
    <col min="4879" max="4879" width="6.85546875" customWidth="1"/>
    <col min="4880" max="4880" width="2.7109375" customWidth="1"/>
    <col min="4881" max="4881" width="15.140625" customWidth="1"/>
    <col min="4882" max="4882" width="8.42578125" customWidth="1"/>
    <col min="4883" max="4883" width="3" customWidth="1"/>
    <col min="4884" max="4884" width="15.42578125" customWidth="1"/>
    <col min="4885" max="4885" width="6.42578125" customWidth="1"/>
    <col min="4886" max="4886" width="2.42578125" customWidth="1"/>
    <col min="4887" max="4887" width="15.7109375" customWidth="1"/>
    <col min="4888" max="4888" width="7.42578125" customWidth="1"/>
    <col min="4889" max="4889" width="3.140625" customWidth="1"/>
    <col min="4890" max="4890" width="15.7109375" customWidth="1"/>
    <col min="4892" max="4892" width="2.85546875" customWidth="1"/>
    <col min="5121" max="5121" width="16.5703125" customWidth="1"/>
    <col min="5122" max="5122" width="2.28515625" customWidth="1"/>
    <col min="5123" max="5123" width="17.28515625" customWidth="1"/>
    <col min="5124" max="5124" width="2.7109375" customWidth="1"/>
    <col min="5125" max="5125" width="17.42578125" customWidth="1"/>
    <col min="5126" max="5126" width="7.140625" customWidth="1"/>
    <col min="5127" max="5127" width="2.7109375" customWidth="1"/>
    <col min="5128" max="5128" width="16" customWidth="1"/>
    <col min="5129" max="5129" width="7" customWidth="1"/>
    <col min="5130" max="5130" width="2.7109375" customWidth="1"/>
    <col min="5131" max="5131" width="16.28515625" customWidth="1"/>
    <col min="5132" max="5132" width="6.7109375" customWidth="1"/>
    <col min="5133" max="5133" width="2.7109375" customWidth="1"/>
    <col min="5134" max="5134" width="15.5703125" customWidth="1"/>
    <col min="5135" max="5135" width="6.85546875" customWidth="1"/>
    <col min="5136" max="5136" width="2.7109375" customWidth="1"/>
    <col min="5137" max="5137" width="15.140625" customWidth="1"/>
    <col min="5138" max="5138" width="8.42578125" customWidth="1"/>
    <col min="5139" max="5139" width="3" customWidth="1"/>
    <col min="5140" max="5140" width="15.42578125" customWidth="1"/>
    <col min="5141" max="5141" width="6.42578125" customWidth="1"/>
    <col min="5142" max="5142" width="2.42578125" customWidth="1"/>
    <col min="5143" max="5143" width="15.7109375" customWidth="1"/>
    <col min="5144" max="5144" width="7.42578125" customWidth="1"/>
    <col min="5145" max="5145" width="3.140625" customWidth="1"/>
    <col min="5146" max="5146" width="15.7109375" customWidth="1"/>
    <col min="5148" max="5148" width="2.85546875" customWidth="1"/>
    <col min="5377" max="5377" width="16.5703125" customWidth="1"/>
    <col min="5378" max="5378" width="2.28515625" customWidth="1"/>
    <col min="5379" max="5379" width="17.28515625" customWidth="1"/>
    <col min="5380" max="5380" width="2.7109375" customWidth="1"/>
    <col min="5381" max="5381" width="17.42578125" customWidth="1"/>
    <col min="5382" max="5382" width="7.140625" customWidth="1"/>
    <col min="5383" max="5383" width="2.7109375" customWidth="1"/>
    <col min="5384" max="5384" width="16" customWidth="1"/>
    <col min="5385" max="5385" width="7" customWidth="1"/>
    <col min="5386" max="5386" width="2.7109375" customWidth="1"/>
    <col min="5387" max="5387" width="16.28515625" customWidth="1"/>
    <col min="5388" max="5388" width="6.7109375" customWidth="1"/>
    <col min="5389" max="5389" width="2.7109375" customWidth="1"/>
    <col min="5390" max="5390" width="15.5703125" customWidth="1"/>
    <col min="5391" max="5391" width="6.85546875" customWidth="1"/>
    <col min="5392" max="5392" width="2.7109375" customWidth="1"/>
    <col min="5393" max="5393" width="15.140625" customWidth="1"/>
    <col min="5394" max="5394" width="8.42578125" customWidth="1"/>
    <col min="5395" max="5395" width="3" customWidth="1"/>
    <col min="5396" max="5396" width="15.42578125" customWidth="1"/>
    <col min="5397" max="5397" width="6.42578125" customWidth="1"/>
    <col min="5398" max="5398" width="2.42578125" customWidth="1"/>
    <col min="5399" max="5399" width="15.7109375" customWidth="1"/>
    <col min="5400" max="5400" width="7.42578125" customWidth="1"/>
    <col min="5401" max="5401" width="3.140625" customWidth="1"/>
    <col min="5402" max="5402" width="15.7109375" customWidth="1"/>
    <col min="5404" max="5404" width="2.85546875" customWidth="1"/>
    <col min="5633" max="5633" width="16.5703125" customWidth="1"/>
    <col min="5634" max="5634" width="2.28515625" customWidth="1"/>
    <col min="5635" max="5635" width="17.28515625" customWidth="1"/>
    <col min="5636" max="5636" width="2.7109375" customWidth="1"/>
    <col min="5637" max="5637" width="17.42578125" customWidth="1"/>
    <col min="5638" max="5638" width="7.140625" customWidth="1"/>
    <col min="5639" max="5639" width="2.7109375" customWidth="1"/>
    <col min="5640" max="5640" width="16" customWidth="1"/>
    <col min="5641" max="5641" width="7" customWidth="1"/>
    <col min="5642" max="5642" width="2.7109375" customWidth="1"/>
    <col min="5643" max="5643" width="16.28515625" customWidth="1"/>
    <col min="5644" max="5644" width="6.7109375" customWidth="1"/>
    <col min="5645" max="5645" width="2.7109375" customWidth="1"/>
    <col min="5646" max="5646" width="15.5703125" customWidth="1"/>
    <col min="5647" max="5647" width="6.85546875" customWidth="1"/>
    <col min="5648" max="5648" width="2.7109375" customWidth="1"/>
    <col min="5649" max="5649" width="15.140625" customWidth="1"/>
    <col min="5650" max="5650" width="8.42578125" customWidth="1"/>
    <col min="5651" max="5651" width="3" customWidth="1"/>
    <col min="5652" max="5652" width="15.42578125" customWidth="1"/>
    <col min="5653" max="5653" width="6.42578125" customWidth="1"/>
    <col min="5654" max="5654" width="2.42578125" customWidth="1"/>
    <col min="5655" max="5655" width="15.7109375" customWidth="1"/>
    <col min="5656" max="5656" width="7.42578125" customWidth="1"/>
    <col min="5657" max="5657" width="3.140625" customWidth="1"/>
    <col min="5658" max="5658" width="15.7109375" customWidth="1"/>
    <col min="5660" max="5660" width="2.85546875" customWidth="1"/>
    <col min="5889" max="5889" width="16.5703125" customWidth="1"/>
    <col min="5890" max="5890" width="2.28515625" customWidth="1"/>
    <col min="5891" max="5891" width="17.28515625" customWidth="1"/>
    <col min="5892" max="5892" width="2.7109375" customWidth="1"/>
    <col min="5893" max="5893" width="17.42578125" customWidth="1"/>
    <col min="5894" max="5894" width="7.140625" customWidth="1"/>
    <col min="5895" max="5895" width="2.7109375" customWidth="1"/>
    <col min="5896" max="5896" width="16" customWidth="1"/>
    <col min="5897" max="5897" width="7" customWidth="1"/>
    <col min="5898" max="5898" width="2.7109375" customWidth="1"/>
    <col min="5899" max="5899" width="16.28515625" customWidth="1"/>
    <col min="5900" max="5900" width="6.7109375" customWidth="1"/>
    <col min="5901" max="5901" width="2.7109375" customWidth="1"/>
    <col min="5902" max="5902" width="15.5703125" customWidth="1"/>
    <col min="5903" max="5903" width="6.85546875" customWidth="1"/>
    <col min="5904" max="5904" width="2.7109375" customWidth="1"/>
    <col min="5905" max="5905" width="15.140625" customWidth="1"/>
    <col min="5906" max="5906" width="8.42578125" customWidth="1"/>
    <col min="5907" max="5907" width="3" customWidth="1"/>
    <col min="5908" max="5908" width="15.42578125" customWidth="1"/>
    <col min="5909" max="5909" width="6.42578125" customWidth="1"/>
    <col min="5910" max="5910" width="2.42578125" customWidth="1"/>
    <col min="5911" max="5911" width="15.7109375" customWidth="1"/>
    <col min="5912" max="5912" width="7.42578125" customWidth="1"/>
    <col min="5913" max="5913" width="3.140625" customWidth="1"/>
    <col min="5914" max="5914" width="15.7109375" customWidth="1"/>
    <col min="5916" max="5916" width="2.85546875" customWidth="1"/>
    <col min="6145" max="6145" width="16.5703125" customWidth="1"/>
    <col min="6146" max="6146" width="2.28515625" customWidth="1"/>
    <col min="6147" max="6147" width="17.28515625" customWidth="1"/>
    <col min="6148" max="6148" width="2.7109375" customWidth="1"/>
    <col min="6149" max="6149" width="17.42578125" customWidth="1"/>
    <col min="6150" max="6150" width="7.140625" customWidth="1"/>
    <col min="6151" max="6151" width="2.7109375" customWidth="1"/>
    <col min="6152" max="6152" width="16" customWidth="1"/>
    <col min="6153" max="6153" width="7" customWidth="1"/>
    <col min="6154" max="6154" width="2.7109375" customWidth="1"/>
    <col min="6155" max="6155" width="16.28515625" customWidth="1"/>
    <col min="6156" max="6156" width="6.7109375" customWidth="1"/>
    <col min="6157" max="6157" width="2.7109375" customWidth="1"/>
    <col min="6158" max="6158" width="15.5703125" customWidth="1"/>
    <col min="6159" max="6159" width="6.85546875" customWidth="1"/>
    <col min="6160" max="6160" width="2.7109375" customWidth="1"/>
    <col min="6161" max="6161" width="15.140625" customWidth="1"/>
    <col min="6162" max="6162" width="8.42578125" customWidth="1"/>
    <col min="6163" max="6163" width="3" customWidth="1"/>
    <col min="6164" max="6164" width="15.42578125" customWidth="1"/>
    <col min="6165" max="6165" width="6.42578125" customWidth="1"/>
    <col min="6166" max="6166" width="2.42578125" customWidth="1"/>
    <col min="6167" max="6167" width="15.7109375" customWidth="1"/>
    <col min="6168" max="6168" width="7.42578125" customWidth="1"/>
    <col min="6169" max="6169" width="3.140625" customWidth="1"/>
    <col min="6170" max="6170" width="15.7109375" customWidth="1"/>
    <col min="6172" max="6172" width="2.85546875" customWidth="1"/>
    <col min="6401" max="6401" width="16.5703125" customWidth="1"/>
    <col min="6402" max="6402" width="2.28515625" customWidth="1"/>
    <col min="6403" max="6403" width="17.28515625" customWidth="1"/>
    <col min="6404" max="6404" width="2.7109375" customWidth="1"/>
    <col min="6405" max="6405" width="17.42578125" customWidth="1"/>
    <col min="6406" max="6406" width="7.140625" customWidth="1"/>
    <col min="6407" max="6407" width="2.7109375" customWidth="1"/>
    <col min="6408" max="6408" width="16" customWidth="1"/>
    <col min="6409" max="6409" width="7" customWidth="1"/>
    <col min="6410" max="6410" width="2.7109375" customWidth="1"/>
    <col min="6411" max="6411" width="16.28515625" customWidth="1"/>
    <col min="6412" max="6412" width="6.7109375" customWidth="1"/>
    <col min="6413" max="6413" width="2.7109375" customWidth="1"/>
    <col min="6414" max="6414" width="15.5703125" customWidth="1"/>
    <col min="6415" max="6415" width="6.85546875" customWidth="1"/>
    <col min="6416" max="6416" width="2.7109375" customWidth="1"/>
    <col min="6417" max="6417" width="15.140625" customWidth="1"/>
    <col min="6418" max="6418" width="8.42578125" customWidth="1"/>
    <col min="6419" max="6419" width="3" customWidth="1"/>
    <col min="6420" max="6420" width="15.42578125" customWidth="1"/>
    <col min="6421" max="6421" width="6.42578125" customWidth="1"/>
    <col min="6422" max="6422" width="2.42578125" customWidth="1"/>
    <col min="6423" max="6423" width="15.7109375" customWidth="1"/>
    <col min="6424" max="6424" width="7.42578125" customWidth="1"/>
    <col min="6425" max="6425" width="3.140625" customWidth="1"/>
    <col min="6426" max="6426" width="15.7109375" customWidth="1"/>
    <col min="6428" max="6428" width="2.85546875" customWidth="1"/>
    <col min="6657" max="6657" width="16.5703125" customWidth="1"/>
    <col min="6658" max="6658" width="2.28515625" customWidth="1"/>
    <col min="6659" max="6659" width="17.28515625" customWidth="1"/>
    <col min="6660" max="6660" width="2.7109375" customWidth="1"/>
    <col min="6661" max="6661" width="17.42578125" customWidth="1"/>
    <col min="6662" max="6662" width="7.140625" customWidth="1"/>
    <col min="6663" max="6663" width="2.7109375" customWidth="1"/>
    <col min="6664" max="6664" width="16" customWidth="1"/>
    <col min="6665" max="6665" width="7" customWidth="1"/>
    <col min="6666" max="6666" width="2.7109375" customWidth="1"/>
    <col min="6667" max="6667" width="16.28515625" customWidth="1"/>
    <col min="6668" max="6668" width="6.7109375" customWidth="1"/>
    <col min="6669" max="6669" width="2.7109375" customWidth="1"/>
    <col min="6670" max="6670" width="15.5703125" customWidth="1"/>
    <col min="6671" max="6671" width="6.85546875" customWidth="1"/>
    <col min="6672" max="6672" width="2.7109375" customWidth="1"/>
    <col min="6673" max="6673" width="15.140625" customWidth="1"/>
    <col min="6674" max="6674" width="8.42578125" customWidth="1"/>
    <col min="6675" max="6675" width="3" customWidth="1"/>
    <col min="6676" max="6676" width="15.42578125" customWidth="1"/>
    <col min="6677" max="6677" width="6.42578125" customWidth="1"/>
    <col min="6678" max="6678" width="2.42578125" customWidth="1"/>
    <col min="6679" max="6679" width="15.7109375" customWidth="1"/>
    <col min="6680" max="6680" width="7.42578125" customWidth="1"/>
    <col min="6681" max="6681" width="3.140625" customWidth="1"/>
    <col min="6682" max="6682" width="15.7109375" customWidth="1"/>
    <col min="6684" max="6684" width="2.85546875" customWidth="1"/>
    <col min="6913" max="6913" width="16.5703125" customWidth="1"/>
    <col min="6914" max="6914" width="2.28515625" customWidth="1"/>
    <col min="6915" max="6915" width="17.28515625" customWidth="1"/>
    <col min="6916" max="6916" width="2.7109375" customWidth="1"/>
    <col min="6917" max="6917" width="17.42578125" customWidth="1"/>
    <col min="6918" max="6918" width="7.140625" customWidth="1"/>
    <col min="6919" max="6919" width="2.7109375" customWidth="1"/>
    <col min="6920" max="6920" width="16" customWidth="1"/>
    <col min="6921" max="6921" width="7" customWidth="1"/>
    <col min="6922" max="6922" width="2.7109375" customWidth="1"/>
    <col min="6923" max="6923" width="16.28515625" customWidth="1"/>
    <col min="6924" max="6924" width="6.7109375" customWidth="1"/>
    <col min="6925" max="6925" width="2.7109375" customWidth="1"/>
    <col min="6926" max="6926" width="15.5703125" customWidth="1"/>
    <col min="6927" max="6927" width="6.85546875" customWidth="1"/>
    <col min="6928" max="6928" width="2.7109375" customWidth="1"/>
    <col min="6929" max="6929" width="15.140625" customWidth="1"/>
    <col min="6930" max="6930" width="8.42578125" customWidth="1"/>
    <col min="6931" max="6931" width="3" customWidth="1"/>
    <col min="6932" max="6932" width="15.42578125" customWidth="1"/>
    <col min="6933" max="6933" width="6.42578125" customWidth="1"/>
    <col min="6934" max="6934" width="2.42578125" customWidth="1"/>
    <col min="6935" max="6935" width="15.7109375" customWidth="1"/>
    <col min="6936" max="6936" width="7.42578125" customWidth="1"/>
    <col min="6937" max="6937" width="3.140625" customWidth="1"/>
    <col min="6938" max="6938" width="15.7109375" customWidth="1"/>
    <col min="6940" max="6940" width="2.85546875" customWidth="1"/>
    <col min="7169" max="7169" width="16.5703125" customWidth="1"/>
    <col min="7170" max="7170" width="2.28515625" customWidth="1"/>
    <col min="7171" max="7171" width="17.28515625" customWidth="1"/>
    <col min="7172" max="7172" width="2.7109375" customWidth="1"/>
    <col min="7173" max="7173" width="17.42578125" customWidth="1"/>
    <col min="7174" max="7174" width="7.140625" customWidth="1"/>
    <col min="7175" max="7175" width="2.7109375" customWidth="1"/>
    <col min="7176" max="7176" width="16" customWidth="1"/>
    <col min="7177" max="7177" width="7" customWidth="1"/>
    <col min="7178" max="7178" width="2.7109375" customWidth="1"/>
    <col min="7179" max="7179" width="16.28515625" customWidth="1"/>
    <col min="7180" max="7180" width="6.7109375" customWidth="1"/>
    <col min="7181" max="7181" width="2.7109375" customWidth="1"/>
    <col min="7182" max="7182" width="15.5703125" customWidth="1"/>
    <col min="7183" max="7183" width="6.85546875" customWidth="1"/>
    <col min="7184" max="7184" width="2.7109375" customWidth="1"/>
    <col min="7185" max="7185" width="15.140625" customWidth="1"/>
    <col min="7186" max="7186" width="8.42578125" customWidth="1"/>
    <col min="7187" max="7187" width="3" customWidth="1"/>
    <col min="7188" max="7188" width="15.42578125" customWidth="1"/>
    <col min="7189" max="7189" width="6.42578125" customWidth="1"/>
    <col min="7190" max="7190" width="2.42578125" customWidth="1"/>
    <col min="7191" max="7191" width="15.7109375" customWidth="1"/>
    <col min="7192" max="7192" width="7.42578125" customWidth="1"/>
    <col min="7193" max="7193" width="3.140625" customWidth="1"/>
    <col min="7194" max="7194" width="15.7109375" customWidth="1"/>
    <col min="7196" max="7196" width="2.85546875" customWidth="1"/>
    <col min="7425" max="7425" width="16.5703125" customWidth="1"/>
    <col min="7426" max="7426" width="2.28515625" customWidth="1"/>
    <col min="7427" max="7427" width="17.28515625" customWidth="1"/>
    <col min="7428" max="7428" width="2.7109375" customWidth="1"/>
    <col min="7429" max="7429" width="17.42578125" customWidth="1"/>
    <col min="7430" max="7430" width="7.140625" customWidth="1"/>
    <col min="7431" max="7431" width="2.7109375" customWidth="1"/>
    <col min="7432" max="7432" width="16" customWidth="1"/>
    <col min="7433" max="7433" width="7" customWidth="1"/>
    <col min="7434" max="7434" width="2.7109375" customWidth="1"/>
    <col min="7435" max="7435" width="16.28515625" customWidth="1"/>
    <col min="7436" max="7436" width="6.7109375" customWidth="1"/>
    <col min="7437" max="7437" width="2.7109375" customWidth="1"/>
    <col min="7438" max="7438" width="15.5703125" customWidth="1"/>
    <col min="7439" max="7439" width="6.85546875" customWidth="1"/>
    <col min="7440" max="7440" width="2.7109375" customWidth="1"/>
    <col min="7441" max="7441" width="15.140625" customWidth="1"/>
    <col min="7442" max="7442" width="8.42578125" customWidth="1"/>
    <col min="7443" max="7443" width="3" customWidth="1"/>
    <col min="7444" max="7444" width="15.42578125" customWidth="1"/>
    <col min="7445" max="7445" width="6.42578125" customWidth="1"/>
    <col min="7446" max="7446" width="2.42578125" customWidth="1"/>
    <col min="7447" max="7447" width="15.7109375" customWidth="1"/>
    <col min="7448" max="7448" width="7.42578125" customWidth="1"/>
    <col min="7449" max="7449" width="3.140625" customWidth="1"/>
    <col min="7450" max="7450" width="15.7109375" customWidth="1"/>
    <col min="7452" max="7452" width="2.85546875" customWidth="1"/>
    <col min="7681" max="7681" width="16.5703125" customWidth="1"/>
    <col min="7682" max="7682" width="2.28515625" customWidth="1"/>
    <col min="7683" max="7683" width="17.28515625" customWidth="1"/>
    <col min="7684" max="7684" width="2.7109375" customWidth="1"/>
    <col min="7685" max="7685" width="17.42578125" customWidth="1"/>
    <col min="7686" max="7686" width="7.140625" customWidth="1"/>
    <col min="7687" max="7687" width="2.7109375" customWidth="1"/>
    <col min="7688" max="7688" width="16" customWidth="1"/>
    <col min="7689" max="7689" width="7" customWidth="1"/>
    <col min="7690" max="7690" width="2.7109375" customWidth="1"/>
    <col min="7691" max="7691" width="16.28515625" customWidth="1"/>
    <col min="7692" max="7692" width="6.7109375" customWidth="1"/>
    <col min="7693" max="7693" width="2.7109375" customWidth="1"/>
    <col min="7694" max="7694" width="15.5703125" customWidth="1"/>
    <col min="7695" max="7695" width="6.85546875" customWidth="1"/>
    <col min="7696" max="7696" width="2.7109375" customWidth="1"/>
    <col min="7697" max="7697" width="15.140625" customWidth="1"/>
    <col min="7698" max="7698" width="8.42578125" customWidth="1"/>
    <col min="7699" max="7699" width="3" customWidth="1"/>
    <col min="7700" max="7700" width="15.42578125" customWidth="1"/>
    <col min="7701" max="7701" width="6.42578125" customWidth="1"/>
    <col min="7702" max="7702" width="2.42578125" customWidth="1"/>
    <col min="7703" max="7703" width="15.7109375" customWidth="1"/>
    <col min="7704" max="7704" width="7.42578125" customWidth="1"/>
    <col min="7705" max="7705" width="3.140625" customWidth="1"/>
    <col min="7706" max="7706" width="15.7109375" customWidth="1"/>
    <col min="7708" max="7708" width="2.85546875" customWidth="1"/>
    <col min="7937" max="7937" width="16.5703125" customWidth="1"/>
    <col min="7938" max="7938" width="2.28515625" customWidth="1"/>
    <col min="7939" max="7939" width="17.28515625" customWidth="1"/>
    <col min="7940" max="7940" width="2.7109375" customWidth="1"/>
    <col min="7941" max="7941" width="17.42578125" customWidth="1"/>
    <col min="7942" max="7942" width="7.140625" customWidth="1"/>
    <col min="7943" max="7943" width="2.7109375" customWidth="1"/>
    <col min="7944" max="7944" width="16" customWidth="1"/>
    <col min="7945" max="7945" width="7" customWidth="1"/>
    <col min="7946" max="7946" width="2.7109375" customWidth="1"/>
    <col min="7947" max="7947" width="16.28515625" customWidth="1"/>
    <col min="7948" max="7948" width="6.7109375" customWidth="1"/>
    <col min="7949" max="7949" width="2.7109375" customWidth="1"/>
    <col min="7950" max="7950" width="15.5703125" customWidth="1"/>
    <col min="7951" max="7951" width="6.85546875" customWidth="1"/>
    <col min="7952" max="7952" width="2.7109375" customWidth="1"/>
    <col min="7953" max="7953" width="15.140625" customWidth="1"/>
    <col min="7954" max="7954" width="8.42578125" customWidth="1"/>
    <col min="7955" max="7955" width="3" customWidth="1"/>
    <col min="7956" max="7956" width="15.42578125" customWidth="1"/>
    <col min="7957" max="7957" width="6.42578125" customWidth="1"/>
    <col min="7958" max="7958" width="2.42578125" customWidth="1"/>
    <col min="7959" max="7959" width="15.7109375" customWidth="1"/>
    <col min="7960" max="7960" width="7.42578125" customWidth="1"/>
    <col min="7961" max="7961" width="3.140625" customWidth="1"/>
    <col min="7962" max="7962" width="15.7109375" customWidth="1"/>
    <col min="7964" max="7964" width="2.85546875" customWidth="1"/>
    <col min="8193" max="8193" width="16.5703125" customWidth="1"/>
    <col min="8194" max="8194" width="2.28515625" customWidth="1"/>
    <col min="8195" max="8195" width="17.28515625" customWidth="1"/>
    <col min="8196" max="8196" width="2.7109375" customWidth="1"/>
    <col min="8197" max="8197" width="17.42578125" customWidth="1"/>
    <col min="8198" max="8198" width="7.140625" customWidth="1"/>
    <col min="8199" max="8199" width="2.7109375" customWidth="1"/>
    <col min="8200" max="8200" width="16" customWidth="1"/>
    <col min="8201" max="8201" width="7" customWidth="1"/>
    <col min="8202" max="8202" width="2.7109375" customWidth="1"/>
    <col min="8203" max="8203" width="16.28515625" customWidth="1"/>
    <col min="8204" max="8204" width="6.7109375" customWidth="1"/>
    <col min="8205" max="8205" width="2.7109375" customWidth="1"/>
    <col min="8206" max="8206" width="15.5703125" customWidth="1"/>
    <col min="8207" max="8207" width="6.85546875" customWidth="1"/>
    <col min="8208" max="8208" width="2.7109375" customWidth="1"/>
    <col min="8209" max="8209" width="15.140625" customWidth="1"/>
    <col min="8210" max="8210" width="8.42578125" customWidth="1"/>
    <col min="8211" max="8211" width="3" customWidth="1"/>
    <col min="8212" max="8212" width="15.42578125" customWidth="1"/>
    <col min="8213" max="8213" width="6.42578125" customWidth="1"/>
    <col min="8214" max="8214" width="2.42578125" customWidth="1"/>
    <col min="8215" max="8215" width="15.7109375" customWidth="1"/>
    <col min="8216" max="8216" width="7.42578125" customWidth="1"/>
    <col min="8217" max="8217" width="3.140625" customWidth="1"/>
    <col min="8218" max="8218" width="15.7109375" customWidth="1"/>
    <col min="8220" max="8220" width="2.85546875" customWidth="1"/>
    <col min="8449" max="8449" width="16.5703125" customWidth="1"/>
    <col min="8450" max="8450" width="2.28515625" customWidth="1"/>
    <col min="8451" max="8451" width="17.28515625" customWidth="1"/>
    <col min="8452" max="8452" width="2.7109375" customWidth="1"/>
    <col min="8453" max="8453" width="17.42578125" customWidth="1"/>
    <col min="8454" max="8454" width="7.140625" customWidth="1"/>
    <col min="8455" max="8455" width="2.7109375" customWidth="1"/>
    <col min="8456" max="8456" width="16" customWidth="1"/>
    <col min="8457" max="8457" width="7" customWidth="1"/>
    <col min="8458" max="8458" width="2.7109375" customWidth="1"/>
    <col min="8459" max="8459" width="16.28515625" customWidth="1"/>
    <col min="8460" max="8460" width="6.7109375" customWidth="1"/>
    <col min="8461" max="8461" width="2.7109375" customWidth="1"/>
    <col min="8462" max="8462" width="15.5703125" customWidth="1"/>
    <col min="8463" max="8463" width="6.85546875" customWidth="1"/>
    <col min="8464" max="8464" width="2.7109375" customWidth="1"/>
    <col min="8465" max="8465" width="15.140625" customWidth="1"/>
    <col min="8466" max="8466" width="8.42578125" customWidth="1"/>
    <col min="8467" max="8467" width="3" customWidth="1"/>
    <col min="8468" max="8468" width="15.42578125" customWidth="1"/>
    <col min="8469" max="8469" width="6.42578125" customWidth="1"/>
    <col min="8470" max="8470" width="2.42578125" customWidth="1"/>
    <col min="8471" max="8471" width="15.7109375" customWidth="1"/>
    <col min="8472" max="8472" width="7.42578125" customWidth="1"/>
    <col min="8473" max="8473" width="3.140625" customWidth="1"/>
    <col min="8474" max="8474" width="15.7109375" customWidth="1"/>
    <col min="8476" max="8476" width="2.85546875" customWidth="1"/>
    <col min="8705" max="8705" width="16.5703125" customWidth="1"/>
    <col min="8706" max="8706" width="2.28515625" customWidth="1"/>
    <col min="8707" max="8707" width="17.28515625" customWidth="1"/>
    <col min="8708" max="8708" width="2.7109375" customWidth="1"/>
    <col min="8709" max="8709" width="17.42578125" customWidth="1"/>
    <col min="8710" max="8710" width="7.140625" customWidth="1"/>
    <col min="8711" max="8711" width="2.7109375" customWidth="1"/>
    <col min="8712" max="8712" width="16" customWidth="1"/>
    <col min="8713" max="8713" width="7" customWidth="1"/>
    <col min="8714" max="8714" width="2.7109375" customWidth="1"/>
    <col min="8715" max="8715" width="16.28515625" customWidth="1"/>
    <col min="8716" max="8716" width="6.7109375" customWidth="1"/>
    <col min="8717" max="8717" width="2.7109375" customWidth="1"/>
    <col min="8718" max="8718" width="15.5703125" customWidth="1"/>
    <col min="8719" max="8719" width="6.85546875" customWidth="1"/>
    <col min="8720" max="8720" width="2.7109375" customWidth="1"/>
    <col min="8721" max="8721" width="15.140625" customWidth="1"/>
    <col min="8722" max="8722" width="8.42578125" customWidth="1"/>
    <col min="8723" max="8723" width="3" customWidth="1"/>
    <col min="8724" max="8724" width="15.42578125" customWidth="1"/>
    <col min="8725" max="8725" width="6.42578125" customWidth="1"/>
    <col min="8726" max="8726" width="2.42578125" customWidth="1"/>
    <col min="8727" max="8727" width="15.7109375" customWidth="1"/>
    <col min="8728" max="8728" width="7.42578125" customWidth="1"/>
    <col min="8729" max="8729" width="3.140625" customWidth="1"/>
    <col min="8730" max="8730" width="15.7109375" customWidth="1"/>
    <col min="8732" max="8732" width="2.85546875" customWidth="1"/>
    <col min="8961" max="8961" width="16.5703125" customWidth="1"/>
    <col min="8962" max="8962" width="2.28515625" customWidth="1"/>
    <col min="8963" max="8963" width="17.28515625" customWidth="1"/>
    <col min="8964" max="8964" width="2.7109375" customWidth="1"/>
    <col min="8965" max="8965" width="17.42578125" customWidth="1"/>
    <col min="8966" max="8966" width="7.140625" customWidth="1"/>
    <col min="8967" max="8967" width="2.7109375" customWidth="1"/>
    <col min="8968" max="8968" width="16" customWidth="1"/>
    <col min="8969" max="8969" width="7" customWidth="1"/>
    <col min="8970" max="8970" width="2.7109375" customWidth="1"/>
    <col min="8971" max="8971" width="16.28515625" customWidth="1"/>
    <col min="8972" max="8972" width="6.7109375" customWidth="1"/>
    <col min="8973" max="8973" width="2.7109375" customWidth="1"/>
    <col min="8974" max="8974" width="15.5703125" customWidth="1"/>
    <col min="8975" max="8975" width="6.85546875" customWidth="1"/>
    <col min="8976" max="8976" width="2.7109375" customWidth="1"/>
    <col min="8977" max="8977" width="15.140625" customWidth="1"/>
    <col min="8978" max="8978" width="8.42578125" customWidth="1"/>
    <col min="8979" max="8979" width="3" customWidth="1"/>
    <col min="8980" max="8980" width="15.42578125" customWidth="1"/>
    <col min="8981" max="8981" width="6.42578125" customWidth="1"/>
    <col min="8982" max="8982" width="2.42578125" customWidth="1"/>
    <col min="8983" max="8983" width="15.7109375" customWidth="1"/>
    <col min="8984" max="8984" width="7.42578125" customWidth="1"/>
    <col min="8985" max="8985" width="3.140625" customWidth="1"/>
    <col min="8986" max="8986" width="15.7109375" customWidth="1"/>
    <col min="8988" max="8988" width="2.85546875" customWidth="1"/>
    <col min="9217" max="9217" width="16.5703125" customWidth="1"/>
    <col min="9218" max="9218" width="2.28515625" customWidth="1"/>
    <col min="9219" max="9219" width="17.28515625" customWidth="1"/>
    <col min="9220" max="9220" width="2.7109375" customWidth="1"/>
    <col min="9221" max="9221" width="17.42578125" customWidth="1"/>
    <col min="9222" max="9222" width="7.140625" customWidth="1"/>
    <col min="9223" max="9223" width="2.7109375" customWidth="1"/>
    <col min="9224" max="9224" width="16" customWidth="1"/>
    <col min="9225" max="9225" width="7" customWidth="1"/>
    <col min="9226" max="9226" width="2.7109375" customWidth="1"/>
    <col min="9227" max="9227" width="16.28515625" customWidth="1"/>
    <col min="9228" max="9228" width="6.7109375" customWidth="1"/>
    <col min="9229" max="9229" width="2.7109375" customWidth="1"/>
    <col min="9230" max="9230" width="15.5703125" customWidth="1"/>
    <col min="9231" max="9231" width="6.85546875" customWidth="1"/>
    <col min="9232" max="9232" width="2.7109375" customWidth="1"/>
    <col min="9233" max="9233" width="15.140625" customWidth="1"/>
    <col min="9234" max="9234" width="8.42578125" customWidth="1"/>
    <col min="9235" max="9235" width="3" customWidth="1"/>
    <col min="9236" max="9236" width="15.42578125" customWidth="1"/>
    <col min="9237" max="9237" width="6.42578125" customWidth="1"/>
    <col min="9238" max="9238" width="2.42578125" customWidth="1"/>
    <col min="9239" max="9239" width="15.7109375" customWidth="1"/>
    <col min="9240" max="9240" width="7.42578125" customWidth="1"/>
    <col min="9241" max="9241" width="3.140625" customWidth="1"/>
    <col min="9242" max="9242" width="15.7109375" customWidth="1"/>
    <col min="9244" max="9244" width="2.85546875" customWidth="1"/>
    <col min="9473" max="9473" width="16.5703125" customWidth="1"/>
    <col min="9474" max="9474" width="2.28515625" customWidth="1"/>
    <col min="9475" max="9475" width="17.28515625" customWidth="1"/>
    <col min="9476" max="9476" width="2.7109375" customWidth="1"/>
    <col min="9477" max="9477" width="17.42578125" customWidth="1"/>
    <col min="9478" max="9478" width="7.140625" customWidth="1"/>
    <col min="9479" max="9479" width="2.7109375" customWidth="1"/>
    <col min="9480" max="9480" width="16" customWidth="1"/>
    <col min="9481" max="9481" width="7" customWidth="1"/>
    <col min="9482" max="9482" width="2.7109375" customWidth="1"/>
    <col min="9483" max="9483" width="16.28515625" customWidth="1"/>
    <col min="9484" max="9484" width="6.7109375" customWidth="1"/>
    <col min="9485" max="9485" width="2.7109375" customWidth="1"/>
    <col min="9486" max="9486" width="15.5703125" customWidth="1"/>
    <col min="9487" max="9487" width="6.85546875" customWidth="1"/>
    <col min="9488" max="9488" width="2.7109375" customWidth="1"/>
    <col min="9489" max="9489" width="15.140625" customWidth="1"/>
    <col min="9490" max="9490" width="8.42578125" customWidth="1"/>
    <col min="9491" max="9491" width="3" customWidth="1"/>
    <col min="9492" max="9492" width="15.42578125" customWidth="1"/>
    <col min="9493" max="9493" width="6.42578125" customWidth="1"/>
    <col min="9494" max="9494" width="2.42578125" customWidth="1"/>
    <col min="9495" max="9495" width="15.7109375" customWidth="1"/>
    <col min="9496" max="9496" width="7.42578125" customWidth="1"/>
    <col min="9497" max="9497" width="3.140625" customWidth="1"/>
    <col min="9498" max="9498" width="15.7109375" customWidth="1"/>
    <col min="9500" max="9500" width="2.85546875" customWidth="1"/>
    <col min="9729" max="9729" width="16.5703125" customWidth="1"/>
    <col min="9730" max="9730" width="2.28515625" customWidth="1"/>
    <col min="9731" max="9731" width="17.28515625" customWidth="1"/>
    <col min="9732" max="9732" width="2.7109375" customWidth="1"/>
    <col min="9733" max="9733" width="17.42578125" customWidth="1"/>
    <col min="9734" max="9734" width="7.140625" customWidth="1"/>
    <col min="9735" max="9735" width="2.7109375" customWidth="1"/>
    <col min="9736" max="9736" width="16" customWidth="1"/>
    <col min="9737" max="9737" width="7" customWidth="1"/>
    <col min="9738" max="9738" width="2.7109375" customWidth="1"/>
    <col min="9739" max="9739" width="16.28515625" customWidth="1"/>
    <col min="9740" max="9740" width="6.7109375" customWidth="1"/>
    <col min="9741" max="9741" width="2.7109375" customWidth="1"/>
    <col min="9742" max="9742" width="15.5703125" customWidth="1"/>
    <col min="9743" max="9743" width="6.85546875" customWidth="1"/>
    <col min="9744" max="9744" width="2.7109375" customWidth="1"/>
    <col min="9745" max="9745" width="15.140625" customWidth="1"/>
    <col min="9746" max="9746" width="8.42578125" customWidth="1"/>
    <col min="9747" max="9747" width="3" customWidth="1"/>
    <col min="9748" max="9748" width="15.42578125" customWidth="1"/>
    <col min="9749" max="9749" width="6.42578125" customWidth="1"/>
    <col min="9750" max="9750" width="2.42578125" customWidth="1"/>
    <col min="9751" max="9751" width="15.7109375" customWidth="1"/>
    <col min="9752" max="9752" width="7.42578125" customWidth="1"/>
    <col min="9753" max="9753" width="3.140625" customWidth="1"/>
    <col min="9754" max="9754" width="15.7109375" customWidth="1"/>
    <col min="9756" max="9756" width="2.85546875" customWidth="1"/>
    <col min="9985" max="9985" width="16.5703125" customWidth="1"/>
    <col min="9986" max="9986" width="2.28515625" customWidth="1"/>
    <col min="9987" max="9987" width="17.28515625" customWidth="1"/>
    <col min="9988" max="9988" width="2.7109375" customWidth="1"/>
    <col min="9989" max="9989" width="17.42578125" customWidth="1"/>
    <col min="9990" max="9990" width="7.140625" customWidth="1"/>
    <col min="9991" max="9991" width="2.7109375" customWidth="1"/>
    <col min="9992" max="9992" width="16" customWidth="1"/>
    <col min="9993" max="9993" width="7" customWidth="1"/>
    <col min="9994" max="9994" width="2.7109375" customWidth="1"/>
    <col min="9995" max="9995" width="16.28515625" customWidth="1"/>
    <col min="9996" max="9996" width="6.7109375" customWidth="1"/>
    <col min="9997" max="9997" width="2.7109375" customWidth="1"/>
    <col min="9998" max="9998" width="15.5703125" customWidth="1"/>
    <col min="9999" max="9999" width="6.85546875" customWidth="1"/>
    <col min="10000" max="10000" width="2.7109375" customWidth="1"/>
    <col min="10001" max="10001" width="15.140625" customWidth="1"/>
    <col min="10002" max="10002" width="8.42578125" customWidth="1"/>
    <col min="10003" max="10003" width="3" customWidth="1"/>
    <col min="10004" max="10004" width="15.42578125" customWidth="1"/>
    <col min="10005" max="10005" width="6.42578125" customWidth="1"/>
    <col min="10006" max="10006" width="2.42578125" customWidth="1"/>
    <col min="10007" max="10007" width="15.7109375" customWidth="1"/>
    <col min="10008" max="10008" width="7.42578125" customWidth="1"/>
    <col min="10009" max="10009" width="3.140625" customWidth="1"/>
    <col min="10010" max="10010" width="15.7109375" customWidth="1"/>
    <col min="10012" max="10012" width="2.85546875" customWidth="1"/>
    <col min="10241" max="10241" width="16.5703125" customWidth="1"/>
    <col min="10242" max="10242" width="2.28515625" customWidth="1"/>
    <col min="10243" max="10243" width="17.28515625" customWidth="1"/>
    <col min="10244" max="10244" width="2.7109375" customWidth="1"/>
    <col min="10245" max="10245" width="17.42578125" customWidth="1"/>
    <col min="10246" max="10246" width="7.140625" customWidth="1"/>
    <col min="10247" max="10247" width="2.7109375" customWidth="1"/>
    <col min="10248" max="10248" width="16" customWidth="1"/>
    <col min="10249" max="10249" width="7" customWidth="1"/>
    <col min="10250" max="10250" width="2.7109375" customWidth="1"/>
    <col min="10251" max="10251" width="16.28515625" customWidth="1"/>
    <col min="10252" max="10252" width="6.7109375" customWidth="1"/>
    <col min="10253" max="10253" width="2.7109375" customWidth="1"/>
    <col min="10254" max="10254" width="15.5703125" customWidth="1"/>
    <col min="10255" max="10255" width="6.85546875" customWidth="1"/>
    <col min="10256" max="10256" width="2.7109375" customWidth="1"/>
    <col min="10257" max="10257" width="15.140625" customWidth="1"/>
    <col min="10258" max="10258" width="8.42578125" customWidth="1"/>
    <col min="10259" max="10259" width="3" customWidth="1"/>
    <col min="10260" max="10260" width="15.42578125" customWidth="1"/>
    <col min="10261" max="10261" width="6.42578125" customWidth="1"/>
    <col min="10262" max="10262" width="2.42578125" customWidth="1"/>
    <col min="10263" max="10263" width="15.7109375" customWidth="1"/>
    <col min="10264" max="10264" width="7.42578125" customWidth="1"/>
    <col min="10265" max="10265" width="3.140625" customWidth="1"/>
    <col min="10266" max="10266" width="15.7109375" customWidth="1"/>
    <col min="10268" max="10268" width="2.85546875" customWidth="1"/>
    <col min="10497" max="10497" width="16.5703125" customWidth="1"/>
    <col min="10498" max="10498" width="2.28515625" customWidth="1"/>
    <col min="10499" max="10499" width="17.28515625" customWidth="1"/>
    <col min="10500" max="10500" width="2.7109375" customWidth="1"/>
    <col min="10501" max="10501" width="17.42578125" customWidth="1"/>
    <col min="10502" max="10502" width="7.140625" customWidth="1"/>
    <col min="10503" max="10503" width="2.7109375" customWidth="1"/>
    <col min="10504" max="10504" width="16" customWidth="1"/>
    <col min="10505" max="10505" width="7" customWidth="1"/>
    <col min="10506" max="10506" width="2.7109375" customWidth="1"/>
    <col min="10507" max="10507" width="16.28515625" customWidth="1"/>
    <col min="10508" max="10508" width="6.7109375" customWidth="1"/>
    <col min="10509" max="10509" width="2.7109375" customWidth="1"/>
    <col min="10510" max="10510" width="15.5703125" customWidth="1"/>
    <col min="10511" max="10511" width="6.85546875" customWidth="1"/>
    <col min="10512" max="10512" width="2.7109375" customWidth="1"/>
    <col min="10513" max="10513" width="15.140625" customWidth="1"/>
    <col min="10514" max="10514" width="8.42578125" customWidth="1"/>
    <col min="10515" max="10515" width="3" customWidth="1"/>
    <col min="10516" max="10516" width="15.42578125" customWidth="1"/>
    <col min="10517" max="10517" width="6.42578125" customWidth="1"/>
    <col min="10518" max="10518" width="2.42578125" customWidth="1"/>
    <col min="10519" max="10519" width="15.7109375" customWidth="1"/>
    <col min="10520" max="10520" width="7.42578125" customWidth="1"/>
    <col min="10521" max="10521" width="3.140625" customWidth="1"/>
    <col min="10522" max="10522" width="15.7109375" customWidth="1"/>
    <col min="10524" max="10524" width="2.85546875" customWidth="1"/>
    <col min="10753" max="10753" width="16.5703125" customWidth="1"/>
    <col min="10754" max="10754" width="2.28515625" customWidth="1"/>
    <col min="10755" max="10755" width="17.28515625" customWidth="1"/>
    <col min="10756" max="10756" width="2.7109375" customWidth="1"/>
    <col min="10757" max="10757" width="17.42578125" customWidth="1"/>
    <col min="10758" max="10758" width="7.140625" customWidth="1"/>
    <col min="10759" max="10759" width="2.7109375" customWidth="1"/>
    <col min="10760" max="10760" width="16" customWidth="1"/>
    <col min="10761" max="10761" width="7" customWidth="1"/>
    <col min="10762" max="10762" width="2.7109375" customWidth="1"/>
    <col min="10763" max="10763" width="16.28515625" customWidth="1"/>
    <col min="10764" max="10764" width="6.7109375" customWidth="1"/>
    <col min="10765" max="10765" width="2.7109375" customWidth="1"/>
    <col min="10766" max="10766" width="15.5703125" customWidth="1"/>
    <col min="10767" max="10767" width="6.85546875" customWidth="1"/>
    <col min="10768" max="10768" width="2.7109375" customWidth="1"/>
    <col min="10769" max="10769" width="15.140625" customWidth="1"/>
    <col min="10770" max="10770" width="8.42578125" customWidth="1"/>
    <col min="10771" max="10771" width="3" customWidth="1"/>
    <col min="10772" max="10772" width="15.42578125" customWidth="1"/>
    <col min="10773" max="10773" width="6.42578125" customWidth="1"/>
    <col min="10774" max="10774" width="2.42578125" customWidth="1"/>
    <col min="10775" max="10775" width="15.7109375" customWidth="1"/>
    <col min="10776" max="10776" width="7.42578125" customWidth="1"/>
    <col min="10777" max="10777" width="3.140625" customWidth="1"/>
    <col min="10778" max="10778" width="15.7109375" customWidth="1"/>
    <col min="10780" max="10780" width="2.85546875" customWidth="1"/>
    <col min="11009" max="11009" width="16.5703125" customWidth="1"/>
    <col min="11010" max="11010" width="2.28515625" customWidth="1"/>
    <col min="11011" max="11011" width="17.28515625" customWidth="1"/>
    <col min="11012" max="11012" width="2.7109375" customWidth="1"/>
    <col min="11013" max="11013" width="17.42578125" customWidth="1"/>
    <col min="11014" max="11014" width="7.140625" customWidth="1"/>
    <col min="11015" max="11015" width="2.7109375" customWidth="1"/>
    <col min="11016" max="11016" width="16" customWidth="1"/>
    <col min="11017" max="11017" width="7" customWidth="1"/>
    <col min="11018" max="11018" width="2.7109375" customWidth="1"/>
    <col min="11019" max="11019" width="16.28515625" customWidth="1"/>
    <col min="11020" max="11020" width="6.7109375" customWidth="1"/>
    <col min="11021" max="11021" width="2.7109375" customWidth="1"/>
    <col min="11022" max="11022" width="15.5703125" customWidth="1"/>
    <col min="11023" max="11023" width="6.85546875" customWidth="1"/>
    <col min="11024" max="11024" width="2.7109375" customWidth="1"/>
    <col min="11025" max="11025" width="15.140625" customWidth="1"/>
    <col min="11026" max="11026" width="8.42578125" customWidth="1"/>
    <col min="11027" max="11027" width="3" customWidth="1"/>
    <col min="11028" max="11028" width="15.42578125" customWidth="1"/>
    <col min="11029" max="11029" width="6.42578125" customWidth="1"/>
    <col min="11030" max="11030" width="2.42578125" customWidth="1"/>
    <col min="11031" max="11031" width="15.7109375" customWidth="1"/>
    <col min="11032" max="11032" width="7.42578125" customWidth="1"/>
    <col min="11033" max="11033" width="3.140625" customWidth="1"/>
    <col min="11034" max="11034" width="15.7109375" customWidth="1"/>
    <col min="11036" max="11036" width="2.85546875" customWidth="1"/>
    <col min="11265" max="11265" width="16.5703125" customWidth="1"/>
    <col min="11266" max="11266" width="2.28515625" customWidth="1"/>
    <col min="11267" max="11267" width="17.28515625" customWidth="1"/>
    <col min="11268" max="11268" width="2.7109375" customWidth="1"/>
    <col min="11269" max="11269" width="17.42578125" customWidth="1"/>
    <col min="11270" max="11270" width="7.140625" customWidth="1"/>
    <col min="11271" max="11271" width="2.7109375" customWidth="1"/>
    <col min="11272" max="11272" width="16" customWidth="1"/>
    <col min="11273" max="11273" width="7" customWidth="1"/>
    <col min="11274" max="11274" width="2.7109375" customWidth="1"/>
    <col min="11275" max="11275" width="16.28515625" customWidth="1"/>
    <col min="11276" max="11276" width="6.7109375" customWidth="1"/>
    <col min="11277" max="11277" width="2.7109375" customWidth="1"/>
    <col min="11278" max="11278" width="15.5703125" customWidth="1"/>
    <col min="11279" max="11279" width="6.85546875" customWidth="1"/>
    <col min="11280" max="11280" width="2.7109375" customWidth="1"/>
    <col min="11281" max="11281" width="15.140625" customWidth="1"/>
    <col min="11282" max="11282" width="8.42578125" customWidth="1"/>
    <col min="11283" max="11283" width="3" customWidth="1"/>
    <col min="11284" max="11284" width="15.42578125" customWidth="1"/>
    <col min="11285" max="11285" width="6.42578125" customWidth="1"/>
    <col min="11286" max="11286" width="2.42578125" customWidth="1"/>
    <col min="11287" max="11287" width="15.7109375" customWidth="1"/>
    <col min="11288" max="11288" width="7.42578125" customWidth="1"/>
    <col min="11289" max="11289" width="3.140625" customWidth="1"/>
    <col min="11290" max="11290" width="15.7109375" customWidth="1"/>
    <col min="11292" max="11292" width="2.85546875" customWidth="1"/>
    <col min="11521" max="11521" width="16.5703125" customWidth="1"/>
    <col min="11522" max="11522" width="2.28515625" customWidth="1"/>
    <col min="11523" max="11523" width="17.28515625" customWidth="1"/>
    <col min="11524" max="11524" width="2.7109375" customWidth="1"/>
    <col min="11525" max="11525" width="17.42578125" customWidth="1"/>
    <col min="11526" max="11526" width="7.140625" customWidth="1"/>
    <col min="11527" max="11527" width="2.7109375" customWidth="1"/>
    <col min="11528" max="11528" width="16" customWidth="1"/>
    <col min="11529" max="11529" width="7" customWidth="1"/>
    <col min="11530" max="11530" width="2.7109375" customWidth="1"/>
    <col min="11531" max="11531" width="16.28515625" customWidth="1"/>
    <col min="11532" max="11532" width="6.7109375" customWidth="1"/>
    <col min="11533" max="11533" width="2.7109375" customWidth="1"/>
    <col min="11534" max="11534" width="15.5703125" customWidth="1"/>
    <col min="11535" max="11535" width="6.85546875" customWidth="1"/>
    <col min="11536" max="11536" width="2.7109375" customWidth="1"/>
    <col min="11537" max="11537" width="15.140625" customWidth="1"/>
    <col min="11538" max="11538" width="8.42578125" customWidth="1"/>
    <col min="11539" max="11539" width="3" customWidth="1"/>
    <col min="11540" max="11540" width="15.42578125" customWidth="1"/>
    <col min="11541" max="11541" width="6.42578125" customWidth="1"/>
    <col min="11542" max="11542" width="2.42578125" customWidth="1"/>
    <col min="11543" max="11543" width="15.7109375" customWidth="1"/>
    <col min="11544" max="11544" width="7.42578125" customWidth="1"/>
    <col min="11545" max="11545" width="3.140625" customWidth="1"/>
    <col min="11546" max="11546" width="15.7109375" customWidth="1"/>
    <col min="11548" max="11548" width="2.85546875" customWidth="1"/>
    <col min="11777" max="11777" width="16.5703125" customWidth="1"/>
    <col min="11778" max="11778" width="2.28515625" customWidth="1"/>
    <col min="11779" max="11779" width="17.28515625" customWidth="1"/>
    <col min="11780" max="11780" width="2.7109375" customWidth="1"/>
    <col min="11781" max="11781" width="17.42578125" customWidth="1"/>
    <col min="11782" max="11782" width="7.140625" customWidth="1"/>
    <col min="11783" max="11783" width="2.7109375" customWidth="1"/>
    <col min="11784" max="11784" width="16" customWidth="1"/>
    <col min="11785" max="11785" width="7" customWidth="1"/>
    <col min="11786" max="11786" width="2.7109375" customWidth="1"/>
    <col min="11787" max="11787" width="16.28515625" customWidth="1"/>
    <col min="11788" max="11788" width="6.7109375" customWidth="1"/>
    <col min="11789" max="11789" width="2.7109375" customWidth="1"/>
    <col min="11790" max="11790" width="15.5703125" customWidth="1"/>
    <col min="11791" max="11791" width="6.85546875" customWidth="1"/>
    <col min="11792" max="11792" width="2.7109375" customWidth="1"/>
    <col min="11793" max="11793" width="15.140625" customWidth="1"/>
    <col min="11794" max="11794" width="8.42578125" customWidth="1"/>
    <col min="11795" max="11795" width="3" customWidth="1"/>
    <col min="11796" max="11796" width="15.42578125" customWidth="1"/>
    <col min="11797" max="11797" width="6.42578125" customWidth="1"/>
    <col min="11798" max="11798" width="2.42578125" customWidth="1"/>
    <col min="11799" max="11799" width="15.7109375" customWidth="1"/>
    <col min="11800" max="11800" width="7.42578125" customWidth="1"/>
    <col min="11801" max="11801" width="3.140625" customWidth="1"/>
    <col min="11802" max="11802" width="15.7109375" customWidth="1"/>
    <col min="11804" max="11804" width="2.85546875" customWidth="1"/>
    <col min="12033" max="12033" width="16.5703125" customWidth="1"/>
    <col min="12034" max="12034" width="2.28515625" customWidth="1"/>
    <col min="12035" max="12035" width="17.28515625" customWidth="1"/>
    <col min="12036" max="12036" width="2.7109375" customWidth="1"/>
    <col min="12037" max="12037" width="17.42578125" customWidth="1"/>
    <col min="12038" max="12038" width="7.140625" customWidth="1"/>
    <col min="12039" max="12039" width="2.7109375" customWidth="1"/>
    <col min="12040" max="12040" width="16" customWidth="1"/>
    <col min="12041" max="12041" width="7" customWidth="1"/>
    <col min="12042" max="12042" width="2.7109375" customWidth="1"/>
    <col min="12043" max="12043" width="16.28515625" customWidth="1"/>
    <col min="12044" max="12044" width="6.7109375" customWidth="1"/>
    <col min="12045" max="12045" width="2.7109375" customWidth="1"/>
    <col min="12046" max="12046" width="15.5703125" customWidth="1"/>
    <col min="12047" max="12047" width="6.85546875" customWidth="1"/>
    <col min="12048" max="12048" width="2.7109375" customWidth="1"/>
    <col min="12049" max="12049" width="15.140625" customWidth="1"/>
    <col min="12050" max="12050" width="8.42578125" customWidth="1"/>
    <col min="12051" max="12051" width="3" customWidth="1"/>
    <col min="12052" max="12052" width="15.42578125" customWidth="1"/>
    <col min="12053" max="12053" width="6.42578125" customWidth="1"/>
    <col min="12054" max="12054" width="2.42578125" customWidth="1"/>
    <col min="12055" max="12055" width="15.7109375" customWidth="1"/>
    <col min="12056" max="12056" width="7.42578125" customWidth="1"/>
    <col min="12057" max="12057" width="3.140625" customWidth="1"/>
    <col min="12058" max="12058" width="15.7109375" customWidth="1"/>
    <col min="12060" max="12060" width="2.85546875" customWidth="1"/>
    <col min="12289" max="12289" width="16.5703125" customWidth="1"/>
    <col min="12290" max="12290" width="2.28515625" customWidth="1"/>
    <col min="12291" max="12291" width="17.28515625" customWidth="1"/>
    <col min="12292" max="12292" width="2.7109375" customWidth="1"/>
    <col min="12293" max="12293" width="17.42578125" customWidth="1"/>
    <col min="12294" max="12294" width="7.140625" customWidth="1"/>
    <col min="12295" max="12295" width="2.7109375" customWidth="1"/>
    <col min="12296" max="12296" width="16" customWidth="1"/>
    <col min="12297" max="12297" width="7" customWidth="1"/>
    <col min="12298" max="12298" width="2.7109375" customWidth="1"/>
    <col min="12299" max="12299" width="16.28515625" customWidth="1"/>
    <col min="12300" max="12300" width="6.7109375" customWidth="1"/>
    <col min="12301" max="12301" width="2.7109375" customWidth="1"/>
    <col min="12302" max="12302" width="15.5703125" customWidth="1"/>
    <col min="12303" max="12303" width="6.85546875" customWidth="1"/>
    <col min="12304" max="12304" width="2.7109375" customWidth="1"/>
    <col min="12305" max="12305" width="15.140625" customWidth="1"/>
    <col min="12306" max="12306" width="8.42578125" customWidth="1"/>
    <col min="12307" max="12307" width="3" customWidth="1"/>
    <col min="12308" max="12308" width="15.42578125" customWidth="1"/>
    <col min="12309" max="12309" width="6.42578125" customWidth="1"/>
    <col min="12310" max="12310" width="2.42578125" customWidth="1"/>
    <col min="12311" max="12311" width="15.7109375" customWidth="1"/>
    <col min="12312" max="12312" width="7.42578125" customWidth="1"/>
    <col min="12313" max="12313" width="3.140625" customWidth="1"/>
    <col min="12314" max="12314" width="15.7109375" customWidth="1"/>
    <col min="12316" max="12316" width="2.85546875" customWidth="1"/>
    <col min="12545" max="12545" width="16.5703125" customWidth="1"/>
    <col min="12546" max="12546" width="2.28515625" customWidth="1"/>
    <col min="12547" max="12547" width="17.28515625" customWidth="1"/>
    <col min="12548" max="12548" width="2.7109375" customWidth="1"/>
    <col min="12549" max="12549" width="17.42578125" customWidth="1"/>
    <col min="12550" max="12550" width="7.140625" customWidth="1"/>
    <col min="12551" max="12551" width="2.7109375" customWidth="1"/>
    <col min="12552" max="12552" width="16" customWidth="1"/>
    <col min="12553" max="12553" width="7" customWidth="1"/>
    <col min="12554" max="12554" width="2.7109375" customWidth="1"/>
    <col min="12555" max="12555" width="16.28515625" customWidth="1"/>
    <col min="12556" max="12556" width="6.7109375" customWidth="1"/>
    <col min="12557" max="12557" width="2.7109375" customWidth="1"/>
    <col min="12558" max="12558" width="15.5703125" customWidth="1"/>
    <col min="12559" max="12559" width="6.85546875" customWidth="1"/>
    <col min="12560" max="12560" width="2.7109375" customWidth="1"/>
    <col min="12561" max="12561" width="15.140625" customWidth="1"/>
    <col min="12562" max="12562" width="8.42578125" customWidth="1"/>
    <col min="12563" max="12563" width="3" customWidth="1"/>
    <col min="12564" max="12564" width="15.42578125" customWidth="1"/>
    <col min="12565" max="12565" width="6.42578125" customWidth="1"/>
    <col min="12566" max="12566" width="2.42578125" customWidth="1"/>
    <col min="12567" max="12567" width="15.7109375" customWidth="1"/>
    <col min="12568" max="12568" width="7.42578125" customWidth="1"/>
    <col min="12569" max="12569" width="3.140625" customWidth="1"/>
    <col min="12570" max="12570" width="15.7109375" customWidth="1"/>
    <col min="12572" max="12572" width="2.85546875" customWidth="1"/>
    <col min="12801" max="12801" width="16.5703125" customWidth="1"/>
    <col min="12802" max="12802" width="2.28515625" customWidth="1"/>
    <col min="12803" max="12803" width="17.28515625" customWidth="1"/>
    <col min="12804" max="12804" width="2.7109375" customWidth="1"/>
    <col min="12805" max="12805" width="17.42578125" customWidth="1"/>
    <col min="12806" max="12806" width="7.140625" customWidth="1"/>
    <col min="12807" max="12807" width="2.7109375" customWidth="1"/>
    <col min="12808" max="12808" width="16" customWidth="1"/>
    <col min="12809" max="12809" width="7" customWidth="1"/>
    <col min="12810" max="12810" width="2.7109375" customWidth="1"/>
    <col min="12811" max="12811" width="16.28515625" customWidth="1"/>
    <col min="12812" max="12812" width="6.7109375" customWidth="1"/>
    <col min="12813" max="12813" width="2.7109375" customWidth="1"/>
    <col min="12814" max="12814" width="15.5703125" customWidth="1"/>
    <col min="12815" max="12815" width="6.85546875" customWidth="1"/>
    <col min="12816" max="12816" width="2.7109375" customWidth="1"/>
    <col min="12817" max="12817" width="15.140625" customWidth="1"/>
    <col min="12818" max="12818" width="8.42578125" customWidth="1"/>
    <col min="12819" max="12819" width="3" customWidth="1"/>
    <col min="12820" max="12820" width="15.42578125" customWidth="1"/>
    <col min="12821" max="12821" width="6.42578125" customWidth="1"/>
    <col min="12822" max="12822" width="2.42578125" customWidth="1"/>
    <col min="12823" max="12823" width="15.7109375" customWidth="1"/>
    <col min="12824" max="12824" width="7.42578125" customWidth="1"/>
    <col min="12825" max="12825" width="3.140625" customWidth="1"/>
    <col min="12826" max="12826" width="15.7109375" customWidth="1"/>
    <col min="12828" max="12828" width="2.85546875" customWidth="1"/>
    <col min="13057" max="13057" width="16.5703125" customWidth="1"/>
    <col min="13058" max="13058" width="2.28515625" customWidth="1"/>
    <col min="13059" max="13059" width="17.28515625" customWidth="1"/>
    <col min="13060" max="13060" width="2.7109375" customWidth="1"/>
    <col min="13061" max="13061" width="17.42578125" customWidth="1"/>
    <col min="13062" max="13062" width="7.140625" customWidth="1"/>
    <col min="13063" max="13063" width="2.7109375" customWidth="1"/>
    <col min="13064" max="13064" width="16" customWidth="1"/>
    <col min="13065" max="13065" width="7" customWidth="1"/>
    <col min="13066" max="13066" width="2.7109375" customWidth="1"/>
    <col min="13067" max="13067" width="16.28515625" customWidth="1"/>
    <col min="13068" max="13068" width="6.7109375" customWidth="1"/>
    <col min="13069" max="13069" width="2.7109375" customWidth="1"/>
    <col min="13070" max="13070" width="15.5703125" customWidth="1"/>
    <col min="13071" max="13071" width="6.85546875" customWidth="1"/>
    <col min="13072" max="13072" width="2.7109375" customWidth="1"/>
    <col min="13073" max="13073" width="15.140625" customWidth="1"/>
    <col min="13074" max="13074" width="8.42578125" customWidth="1"/>
    <col min="13075" max="13075" width="3" customWidth="1"/>
    <col min="13076" max="13076" width="15.42578125" customWidth="1"/>
    <col min="13077" max="13077" width="6.42578125" customWidth="1"/>
    <col min="13078" max="13078" width="2.42578125" customWidth="1"/>
    <col min="13079" max="13079" width="15.7109375" customWidth="1"/>
    <col min="13080" max="13080" width="7.42578125" customWidth="1"/>
    <col min="13081" max="13081" width="3.140625" customWidth="1"/>
    <col min="13082" max="13082" width="15.7109375" customWidth="1"/>
    <col min="13084" max="13084" width="2.85546875" customWidth="1"/>
    <col min="13313" max="13313" width="16.5703125" customWidth="1"/>
    <col min="13314" max="13314" width="2.28515625" customWidth="1"/>
    <col min="13315" max="13315" width="17.28515625" customWidth="1"/>
    <col min="13316" max="13316" width="2.7109375" customWidth="1"/>
    <col min="13317" max="13317" width="17.42578125" customWidth="1"/>
    <col min="13318" max="13318" width="7.140625" customWidth="1"/>
    <col min="13319" max="13319" width="2.7109375" customWidth="1"/>
    <col min="13320" max="13320" width="16" customWidth="1"/>
    <col min="13321" max="13321" width="7" customWidth="1"/>
    <col min="13322" max="13322" width="2.7109375" customWidth="1"/>
    <col min="13323" max="13323" width="16.28515625" customWidth="1"/>
    <col min="13324" max="13324" width="6.7109375" customWidth="1"/>
    <col min="13325" max="13325" width="2.7109375" customWidth="1"/>
    <col min="13326" max="13326" width="15.5703125" customWidth="1"/>
    <col min="13327" max="13327" width="6.85546875" customWidth="1"/>
    <col min="13328" max="13328" width="2.7109375" customWidth="1"/>
    <col min="13329" max="13329" width="15.140625" customWidth="1"/>
    <col min="13330" max="13330" width="8.42578125" customWidth="1"/>
    <col min="13331" max="13331" width="3" customWidth="1"/>
    <col min="13332" max="13332" width="15.42578125" customWidth="1"/>
    <col min="13333" max="13333" width="6.42578125" customWidth="1"/>
    <col min="13334" max="13334" width="2.42578125" customWidth="1"/>
    <col min="13335" max="13335" width="15.7109375" customWidth="1"/>
    <col min="13336" max="13336" width="7.42578125" customWidth="1"/>
    <col min="13337" max="13337" width="3.140625" customWidth="1"/>
    <col min="13338" max="13338" width="15.7109375" customWidth="1"/>
    <col min="13340" max="13340" width="2.85546875" customWidth="1"/>
    <col min="13569" max="13569" width="16.5703125" customWidth="1"/>
    <col min="13570" max="13570" width="2.28515625" customWidth="1"/>
    <col min="13571" max="13571" width="17.28515625" customWidth="1"/>
    <col min="13572" max="13572" width="2.7109375" customWidth="1"/>
    <col min="13573" max="13573" width="17.42578125" customWidth="1"/>
    <col min="13574" max="13574" width="7.140625" customWidth="1"/>
    <col min="13575" max="13575" width="2.7109375" customWidth="1"/>
    <col min="13576" max="13576" width="16" customWidth="1"/>
    <col min="13577" max="13577" width="7" customWidth="1"/>
    <col min="13578" max="13578" width="2.7109375" customWidth="1"/>
    <col min="13579" max="13579" width="16.28515625" customWidth="1"/>
    <col min="13580" max="13580" width="6.7109375" customWidth="1"/>
    <col min="13581" max="13581" width="2.7109375" customWidth="1"/>
    <col min="13582" max="13582" width="15.5703125" customWidth="1"/>
    <col min="13583" max="13583" width="6.85546875" customWidth="1"/>
    <col min="13584" max="13584" width="2.7109375" customWidth="1"/>
    <col min="13585" max="13585" width="15.140625" customWidth="1"/>
    <col min="13586" max="13586" width="8.42578125" customWidth="1"/>
    <col min="13587" max="13587" width="3" customWidth="1"/>
    <col min="13588" max="13588" width="15.42578125" customWidth="1"/>
    <col min="13589" max="13589" width="6.42578125" customWidth="1"/>
    <col min="13590" max="13590" width="2.42578125" customWidth="1"/>
    <col min="13591" max="13591" width="15.7109375" customWidth="1"/>
    <col min="13592" max="13592" width="7.42578125" customWidth="1"/>
    <col min="13593" max="13593" width="3.140625" customWidth="1"/>
    <col min="13594" max="13594" width="15.7109375" customWidth="1"/>
    <col min="13596" max="13596" width="2.85546875" customWidth="1"/>
    <col min="13825" max="13825" width="16.5703125" customWidth="1"/>
    <col min="13826" max="13826" width="2.28515625" customWidth="1"/>
    <col min="13827" max="13827" width="17.28515625" customWidth="1"/>
    <col min="13828" max="13828" width="2.7109375" customWidth="1"/>
    <col min="13829" max="13829" width="17.42578125" customWidth="1"/>
    <col min="13830" max="13830" width="7.140625" customWidth="1"/>
    <col min="13831" max="13831" width="2.7109375" customWidth="1"/>
    <col min="13832" max="13832" width="16" customWidth="1"/>
    <col min="13833" max="13833" width="7" customWidth="1"/>
    <col min="13834" max="13834" width="2.7109375" customWidth="1"/>
    <col min="13835" max="13835" width="16.28515625" customWidth="1"/>
    <col min="13836" max="13836" width="6.7109375" customWidth="1"/>
    <col min="13837" max="13837" width="2.7109375" customWidth="1"/>
    <col min="13838" max="13838" width="15.5703125" customWidth="1"/>
    <col min="13839" max="13839" width="6.85546875" customWidth="1"/>
    <col min="13840" max="13840" width="2.7109375" customWidth="1"/>
    <col min="13841" max="13841" width="15.140625" customWidth="1"/>
    <col min="13842" max="13842" width="8.42578125" customWidth="1"/>
    <col min="13843" max="13843" width="3" customWidth="1"/>
    <col min="13844" max="13844" width="15.42578125" customWidth="1"/>
    <col min="13845" max="13845" width="6.42578125" customWidth="1"/>
    <col min="13846" max="13846" width="2.42578125" customWidth="1"/>
    <col min="13847" max="13847" width="15.7109375" customWidth="1"/>
    <col min="13848" max="13848" width="7.42578125" customWidth="1"/>
    <col min="13849" max="13849" width="3.140625" customWidth="1"/>
    <col min="13850" max="13850" width="15.7109375" customWidth="1"/>
    <col min="13852" max="13852" width="2.85546875" customWidth="1"/>
    <col min="14081" max="14081" width="16.5703125" customWidth="1"/>
    <col min="14082" max="14082" width="2.28515625" customWidth="1"/>
    <col min="14083" max="14083" width="17.28515625" customWidth="1"/>
    <col min="14084" max="14084" width="2.7109375" customWidth="1"/>
    <col min="14085" max="14085" width="17.42578125" customWidth="1"/>
    <col min="14086" max="14086" width="7.140625" customWidth="1"/>
    <col min="14087" max="14087" width="2.7109375" customWidth="1"/>
    <col min="14088" max="14088" width="16" customWidth="1"/>
    <col min="14089" max="14089" width="7" customWidth="1"/>
    <col min="14090" max="14090" width="2.7109375" customWidth="1"/>
    <col min="14091" max="14091" width="16.28515625" customWidth="1"/>
    <col min="14092" max="14092" width="6.7109375" customWidth="1"/>
    <col min="14093" max="14093" width="2.7109375" customWidth="1"/>
    <col min="14094" max="14094" width="15.5703125" customWidth="1"/>
    <col min="14095" max="14095" width="6.85546875" customWidth="1"/>
    <col min="14096" max="14096" width="2.7109375" customWidth="1"/>
    <col min="14097" max="14097" width="15.140625" customWidth="1"/>
    <col min="14098" max="14098" width="8.42578125" customWidth="1"/>
    <col min="14099" max="14099" width="3" customWidth="1"/>
    <col min="14100" max="14100" width="15.42578125" customWidth="1"/>
    <col min="14101" max="14101" width="6.42578125" customWidth="1"/>
    <col min="14102" max="14102" width="2.42578125" customWidth="1"/>
    <col min="14103" max="14103" width="15.7109375" customWidth="1"/>
    <col min="14104" max="14104" width="7.42578125" customWidth="1"/>
    <col min="14105" max="14105" width="3.140625" customWidth="1"/>
    <col min="14106" max="14106" width="15.7109375" customWidth="1"/>
    <col min="14108" max="14108" width="2.85546875" customWidth="1"/>
    <col min="14337" max="14337" width="16.5703125" customWidth="1"/>
    <col min="14338" max="14338" width="2.28515625" customWidth="1"/>
    <col min="14339" max="14339" width="17.28515625" customWidth="1"/>
    <col min="14340" max="14340" width="2.7109375" customWidth="1"/>
    <col min="14341" max="14341" width="17.42578125" customWidth="1"/>
    <col min="14342" max="14342" width="7.140625" customWidth="1"/>
    <col min="14343" max="14343" width="2.7109375" customWidth="1"/>
    <col min="14344" max="14344" width="16" customWidth="1"/>
    <col min="14345" max="14345" width="7" customWidth="1"/>
    <col min="14346" max="14346" width="2.7109375" customWidth="1"/>
    <col min="14347" max="14347" width="16.28515625" customWidth="1"/>
    <col min="14348" max="14348" width="6.7109375" customWidth="1"/>
    <col min="14349" max="14349" width="2.7109375" customWidth="1"/>
    <col min="14350" max="14350" width="15.5703125" customWidth="1"/>
    <col min="14351" max="14351" width="6.85546875" customWidth="1"/>
    <col min="14352" max="14352" width="2.7109375" customWidth="1"/>
    <col min="14353" max="14353" width="15.140625" customWidth="1"/>
    <col min="14354" max="14354" width="8.42578125" customWidth="1"/>
    <col min="14355" max="14355" width="3" customWidth="1"/>
    <col min="14356" max="14356" width="15.42578125" customWidth="1"/>
    <col min="14357" max="14357" width="6.42578125" customWidth="1"/>
    <col min="14358" max="14358" width="2.42578125" customWidth="1"/>
    <col min="14359" max="14359" width="15.7109375" customWidth="1"/>
    <col min="14360" max="14360" width="7.42578125" customWidth="1"/>
    <col min="14361" max="14361" width="3.140625" customWidth="1"/>
    <col min="14362" max="14362" width="15.7109375" customWidth="1"/>
    <col min="14364" max="14364" width="2.85546875" customWidth="1"/>
    <col min="14593" max="14593" width="16.5703125" customWidth="1"/>
    <col min="14594" max="14594" width="2.28515625" customWidth="1"/>
    <col min="14595" max="14595" width="17.28515625" customWidth="1"/>
    <col min="14596" max="14596" width="2.7109375" customWidth="1"/>
    <col min="14597" max="14597" width="17.42578125" customWidth="1"/>
    <col min="14598" max="14598" width="7.140625" customWidth="1"/>
    <col min="14599" max="14599" width="2.7109375" customWidth="1"/>
    <col min="14600" max="14600" width="16" customWidth="1"/>
    <col min="14601" max="14601" width="7" customWidth="1"/>
    <col min="14602" max="14602" width="2.7109375" customWidth="1"/>
    <col min="14603" max="14603" width="16.28515625" customWidth="1"/>
    <col min="14604" max="14604" width="6.7109375" customWidth="1"/>
    <col min="14605" max="14605" width="2.7109375" customWidth="1"/>
    <col min="14606" max="14606" width="15.5703125" customWidth="1"/>
    <col min="14607" max="14607" width="6.85546875" customWidth="1"/>
    <col min="14608" max="14608" width="2.7109375" customWidth="1"/>
    <col min="14609" max="14609" width="15.140625" customWidth="1"/>
    <col min="14610" max="14610" width="8.42578125" customWidth="1"/>
    <col min="14611" max="14611" width="3" customWidth="1"/>
    <col min="14612" max="14612" width="15.42578125" customWidth="1"/>
    <col min="14613" max="14613" width="6.42578125" customWidth="1"/>
    <col min="14614" max="14614" width="2.42578125" customWidth="1"/>
    <col min="14615" max="14615" width="15.7109375" customWidth="1"/>
    <col min="14616" max="14616" width="7.42578125" customWidth="1"/>
    <col min="14617" max="14617" width="3.140625" customWidth="1"/>
    <col min="14618" max="14618" width="15.7109375" customWidth="1"/>
    <col min="14620" max="14620" width="2.85546875" customWidth="1"/>
    <col min="14849" max="14849" width="16.5703125" customWidth="1"/>
    <col min="14850" max="14850" width="2.28515625" customWidth="1"/>
    <col min="14851" max="14851" width="17.28515625" customWidth="1"/>
    <col min="14852" max="14852" width="2.7109375" customWidth="1"/>
    <col min="14853" max="14853" width="17.42578125" customWidth="1"/>
    <col min="14854" max="14854" width="7.140625" customWidth="1"/>
    <col min="14855" max="14855" width="2.7109375" customWidth="1"/>
    <col min="14856" max="14856" width="16" customWidth="1"/>
    <col min="14857" max="14857" width="7" customWidth="1"/>
    <col min="14858" max="14858" width="2.7109375" customWidth="1"/>
    <col min="14859" max="14859" width="16.28515625" customWidth="1"/>
    <col min="14860" max="14860" width="6.7109375" customWidth="1"/>
    <col min="14861" max="14861" width="2.7109375" customWidth="1"/>
    <col min="14862" max="14862" width="15.5703125" customWidth="1"/>
    <col min="14863" max="14863" width="6.85546875" customWidth="1"/>
    <col min="14864" max="14864" width="2.7109375" customWidth="1"/>
    <col min="14865" max="14865" width="15.140625" customWidth="1"/>
    <col min="14866" max="14866" width="8.42578125" customWidth="1"/>
    <col min="14867" max="14867" width="3" customWidth="1"/>
    <col min="14868" max="14868" width="15.42578125" customWidth="1"/>
    <col min="14869" max="14869" width="6.42578125" customWidth="1"/>
    <col min="14870" max="14870" width="2.42578125" customWidth="1"/>
    <col min="14871" max="14871" width="15.7109375" customWidth="1"/>
    <col min="14872" max="14872" width="7.42578125" customWidth="1"/>
    <col min="14873" max="14873" width="3.140625" customWidth="1"/>
    <col min="14874" max="14874" width="15.7109375" customWidth="1"/>
    <col min="14876" max="14876" width="2.85546875" customWidth="1"/>
    <col min="15105" max="15105" width="16.5703125" customWidth="1"/>
    <col min="15106" max="15106" width="2.28515625" customWidth="1"/>
    <col min="15107" max="15107" width="17.28515625" customWidth="1"/>
    <col min="15108" max="15108" width="2.7109375" customWidth="1"/>
    <col min="15109" max="15109" width="17.42578125" customWidth="1"/>
    <col min="15110" max="15110" width="7.140625" customWidth="1"/>
    <col min="15111" max="15111" width="2.7109375" customWidth="1"/>
    <col min="15112" max="15112" width="16" customWidth="1"/>
    <col min="15113" max="15113" width="7" customWidth="1"/>
    <col min="15114" max="15114" width="2.7109375" customWidth="1"/>
    <col min="15115" max="15115" width="16.28515625" customWidth="1"/>
    <col min="15116" max="15116" width="6.7109375" customWidth="1"/>
    <col min="15117" max="15117" width="2.7109375" customWidth="1"/>
    <col min="15118" max="15118" width="15.5703125" customWidth="1"/>
    <col min="15119" max="15119" width="6.85546875" customWidth="1"/>
    <col min="15120" max="15120" width="2.7109375" customWidth="1"/>
    <col min="15121" max="15121" width="15.140625" customWidth="1"/>
    <col min="15122" max="15122" width="8.42578125" customWidth="1"/>
    <col min="15123" max="15123" width="3" customWidth="1"/>
    <col min="15124" max="15124" width="15.42578125" customWidth="1"/>
    <col min="15125" max="15125" width="6.42578125" customWidth="1"/>
    <col min="15126" max="15126" width="2.42578125" customWidth="1"/>
    <col min="15127" max="15127" width="15.7109375" customWidth="1"/>
    <col min="15128" max="15128" width="7.42578125" customWidth="1"/>
    <col min="15129" max="15129" width="3.140625" customWidth="1"/>
    <col min="15130" max="15130" width="15.7109375" customWidth="1"/>
    <col min="15132" max="15132" width="2.85546875" customWidth="1"/>
    <col min="15361" max="15361" width="16.5703125" customWidth="1"/>
    <col min="15362" max="15362" width="2.28515625" customWidth="1"/>
    <col min="15363" max="15363" width="17.28515625" customWidth="1"/>
    <col min="15364" max="15364" width="2.7109375" customWidth="1"/>
    <col min="15365" max="15365" width="17.42578125" customWidth="1"/>
    <col min="15366" max="15366" width="7.140625" customWidth="1"/>
    <col min="15367" max="15367" width="2.7109375" customWidth="1"/>
    <col min="15368" max="15368" width="16" customWidth="1"/>
    <col min="15369" max="15369" width="7" customWidth="1"/>
    <col min="15370" max="15370" width="2.7109375" customWidth="1"/>
    <col min="15371" max="15371" width="16.28515625" customWidth="1"/>
    <col min="15372" max="15372" width="6.7109375" customWidth="1"/>
    <col min="15373" max="15373" width="2.7109375" customWidth="1"/>
    <col min="15374" max="15374" width="15.5703125" customWidth="1"/>
    <col min="15375" max="15375" width="6.85546875" customWidth="1"/>
    <col min="15376" max="15376" width="2.7109375" customWidth="1"/>
    <col min="15377" max="15377" width="15.140625" customWidth="1"/>
    <col min="15378" max="15378" width="8.42578125" customWidth="1"/>
    <col min="15379" max="15379" width="3" customWidth="1"/>
    <col min="15380" max="15380" width="15.42578125" customWidth="1"/>
    <col min="15381" max="15381" width="6.42578125" customWidth="1"/>
    <col min="15382" max="15382" width="2.42578125" customWidth="1"/>
    <col min="15383" max="15383" width="15.7109375" customWidth="1"/>
    <col min="15384" max="15384" width="7.42578125" customWidth="1"/>
    <col min="15385" max="15385" width="3.140625" customWidth="1"/>
    <col min="15386" max="15386" width="15.7109375" customWidth="1"/>
    <col min="15388" max="15388" width="2.85546875" customWidth="1"/>
    <col min="15617" max="15617" width="16.5703125" customWidth="1"/>
    <col min="15618" max="15618" width="2.28515625" customWidth="1"/>
    <col min="15619" max="15619" width="17.28515625" customWidth="1"/>
    <col min="15620" max="15620" width="2.7109375" customWidth="1"/>
    <col min="15621" max="15621" width="17.42578125" customWidth="1"/>
    <col min="15622" max="15622" width="7.140625" customWidth="1"/>
    <col min="15623" max="15623" width="2.7109375" customWidth="1"/>
    <col min="15624" max="15624" width="16" customWidth="1"/>
    <col min="15625" max="15625" width="7" customWidth="1"/>
    <col min="15626" max="15626" width="2.7109375" customWidth="1"/>
    <col min="15627" max="15627" width="16.28515625" customWidth="1"/>
    <col min="15628" max="15628" width="6.7109375" customWidth="1"/>
    <col min="15629" max="15629" width="2.7109375" customWidth="1"/>
    <col min="15630" max="15630" width="15.5703125" customWidth="1"/>
    <col min="15631" max="15631" width="6.85546875" customWidth="1"/>
    <col min="15632" max="15632" width="2.7109375" customWidth="1"/>
    <col min="15633" max="15633" width="15.140625" customWidth="1"/>
    <col min="15634" max="15634" width="8.42578125" customWidth="1"/>
    <col min="15635" max="15635" width="3" customWidth="1"/>
    <col min="15636" max="15636" width="15.42578125" customWidth="1"/>
    <col min="15637" max="15637" width="6.42578125" customWidth="1"/>
    <col min="15638" max="15638" width="2.42578125" customWidth="1"/>
    <col min="15639" max="15639" width="15.7109375" customWidth="1"/>
    <col min="15640" max="15640" width="7.42578125" customWidth="1"/>
    <col min="15641" max="15641" width="3.140625" customWidth="1"/>
    <col min="15642" max="15642" width="15.7109375" customWidth="1"/>
    <col min="15644" max="15644" width="2.85546875" customWidth="1"/>
    <col min="15873" max="15873" width="16.5703125" customWidth="1"/>
    <col min="15874" max="15874" width="2.28515625" customWidth="1"/>
    <col min="15875" max="15875" width="17.28515625" customWidth="1"/>
    <col min="15876" max="15876" width="2.7109375" customWidth="1"/>
    <col min="15877" max="15877" width="17.42578125" customWidth="1"/>
    <col min="15878" max="15878" width="7.140625" customWidth="1"/>
    <col min="15879" max="15879" width="2.7109375" customWidth="1"/>
    <col min="15880" max="15880" width="16" customWidth="1"/>
    <col min="15881" max="15881" width="7" customWidth="1"/>
    <col min="15882" max="15882" width="2.7109375" customWidth="1"/>
    <col min="15883" max="15883" width="16.28515625" customWidth="1"/>
    <col min="15884" max="15884" width="6.7109375" customWidth="1"/>
    <col min="15885" max="15885" width="2.7109375" customWidth="1"/>
    <col min="15886" max="15886" width="15.5703125" customWidth="1"/>
    <col min="15887" max="15887" width="6.85546875" customWidth="1"/>
    <col min="15888" max="15888" width="2.7109375" customWidth="1"/>
    <col min="15889" max="15889" width="15.140625" customWidth="1"/>
    <col min="15890" max="15890" width="8.42578125" customWidth="1"/>
    <col min="15891" max="15891" width="3" customWidth="1"/>
    <col min="15892" max="15892" width="15.42578125" customWidth="1"/>
    <col min="15893" max="15893" width="6.42578125" customWidth="1"/>
    <col min="15894" max="15894" width="2.42578125" customWidth="1"/>
    <col min="15895" max="15895" width="15.7109375" customWidth="1"/>
    <col min="15896" max="15896" width="7.42578125" customWidth="1"/>
    <col min="15897" max="15897" width="3.140625" customWidth="1"/>
    <col min="15898" max="15898" width="15.7109375" customWidth="1"/>
    <col min="15900" max="15900" width="2.85546875" customWidth="1"/>
    <col min="16129" max="16129" width="16.5703125" customWidth="1"/>
    <col min="16130" max="16130" width="2.28515625" customWidth="1"/>
    <col min="16131" max="16131" width="17.28515625" customWidth="1"/>
    <col min="16132" max="16132" width="2.7109375" customWidth="1"/>
    <col min="16133" max="16133" width="17.42578125" customWidth="1"/>
    <col min="16134" max="16134" width="7.140625" customWidth="1"/>
    <col min="16135" max="16135" width="2.7109375" customWidth="1"/>
    <col min="16136" max="16136" width="16" customWidth="1"/>
    <col min="16137" max="16137" width="7" customWidth="1"/>
    <col min="16138" max="16138" width="2.7109375" customWidth="1"/>
    <col min="16139" max="16139" width="16.28515625" customWidth="1"/>
    <col min="16140" max="16140" width="6.7109375" customWidth="1"/>
    <col min="16141" max="16141" width="2.7109375" customWidth="1"/>
    <col min="16142" max="16142" width="15.5703125" customWidth="1"/>
    <col min="16143" max="16143" width="6.85546875" customWidth="1"/>
    <col min="16144" max="16144" width="2.7109375" customWidth="1"/>
    <col min="16145" max="16145" width="15.140625" customWidth="1"/>
    <col min="16146" max="16146" width="8.42578125" customWidth="1"/>
    <col min="16147" max="16147" width="3" customWidth="1"/>
    <col min="16148" max="16148" width="15.42578125" customWidth="1"/>
    <col min="16149" max="16149" width="6.42578125" customWidth="1"/>
    <col min="16150" max="16150" width="2.42578125" customWidth="1"/>
    <col min="16151" max="16151" width="15.7109375" customWidth="1"/>
    <col min="16152" max="16152" width="7.42578125" customWidth="1"/>
    <col min="16153" max="16153" width="3.140625" customWidth="1"/>
    <col min="16154" max="16154" width="15.7109375" customWidth="1"/>
    <col min="16156" max="16156" width="2.85546875" customWidth="1"/>
  </cols>
  <sheetData>
    <row r="1" spans="1:28">
      <c r="A1" t="s">
        <v>496</v>
      </c>
    </row>
    <row r="2" spans="1:28">
      <c r="A2" t="s">
        <v>497</v>
      </c>
    </row>
    <row r="4" spans="1:28">
      <c r="A4" t="s">
        <v>698</v>
      </c>
    </row>
    <row r="5" spans="1:28" ht="11.25" customHeight="1" thickBot="1">
      <c r="Q5" s="183"/>
      <c r="R5" s="183"/>
      <c r="S5" s="1"/>
      <c r="T5" s="183"/>
      <c r="U5" s="183"/>
      <c r="W5" s="183"/>
      <c r="X5" s="183"/>
      <c r="Z5" s="1"/>
      <c r="AA5" s="1"/>
      <c r="AB5" s="1"/>
    </row>
    <row r="6" spans="1:28" ht="15" customHeight="1">
      <c r="A6" s="6"/>
      <c r="B6" s="6"/>
      <c r="C6" s="6"/>
      <c r="D6" s="6"/>
      <c r="E6" s="184"/>
      <c r="F6" s="5"/>
      <c r="G6" s="5"/>
      <c r="H6" s="184"/>
      <c r="I6" s="184"/>
      <c r="J6" s="184"/>
      <c r="K6" s="184"/>
      <c r="L6" s="184"/>
      <c r="M6" s="184"/>
      <c r="N6" s="184"/>
      <c r="O6" s="184"/>
      <c r="P6" s="51"/>
      <c r="Q6" s="184"/>
      <c r="R6" s="184"/>
      <c r="S6" s="51"/>
      <c r="T6" s="184"/>
      <c r="U6" s="184"/>
      <c r="V6" s="51"/>
      <c r="W6" s="184"/>
      <c r="X6" s="184"/>
      <c r="Y6" s="51"/>
      <c r="Z6" s="51"/>
      <c r="AA6" s="51"/>
      <c r="AB6" s="51"/>
    </row>
    <row r="7" spans="1:28" ht="15" customHeight="1">
      <c r="A7" s="36"/>
      <c r="B7" s="36"/>
      <c r="D7" s="36"/>
      <c r="E7" s="1278" t="s">
        <v>699</v>
      </c>
      <c r="F7" s="1278"/>
      <c r="G7" s="1278"/>
      <c r="H7" s="1278"/>
      <c r="I7" s="1278"/>
      <c r="J7" s="1278"/>
      <c r="K7" s="1278"/>
      <c r="L7" s="1278"/>
      <c r="M7" s="1278"/>
      <c r="N7" s="1278"/>
      <c r="O7" s="1278"/>
      <c r="P7" s="1278"/>
      <c r="Q7" s="1278"/>
      <c r="R7" s="1278"/>
      <c r="S7" s="1278"/>
      <c r="T7" s="1278"/>
      <c r="U7" s="1278"/>
      <c r="V7" s="1278"/>
      <c r="W7" s="1278"/>
      <c r="X7" s="1278"/>
      <c r="Y7" s="185"/>
    </row>
    <row r="8" spans="1:28" ht="15" customHeight="1">
      <c r="A8" s="36" t="s">
        <v>700</v>
      </c>
      <c r="B8" s="36"/>
      <c r="C8" s="69" t="s">
        <v>5</v>
      </c>
      <c r="D8" s="36"/>
      <c r="E8" s="1279" t="s">
        <v>690</v>
      </c>
      <c r="F8" s="1279"/>
      <c r="G8" s="186"/>
      <c r="H8" s="1279" t="s">
        <v>693</v>
      </c>
      <c r="I8" s="1279"/>
      <c r="J8" s="186"/>
      <c r="K8" s="1277" t="s">
        <v>701</v>
      </c>
      <c r="L8" s="1277"/>
      <c r="M8" s="186"/>
      <c r="N8" s="1277" t="s">
        <v>702</v>
      </c>
      <c r="O8" s="1277"/>
      <c r="P8" s="61"/>
      <c r="Q8" s="1277" t="s">
        <v>703</v>
      </c>
      <c r="R8" s="1277"/>
      <c r="S8" s="61"/>
      <c r="T8" s="1277" t="s">
        <v>704</v>
      </c>
      <c r="U8" s="1277"/>
      <c r="V8" s="61"/>
      <c r="W8" s="1277" t="s">
        <v>705</v>
      </c>
      <c r="X8" s="1277"/>
      <c r="Y8" s="61"/>
      <c r="Z8" s="1277" t="s">
        <v>706</v>
      </c>
      <c r="AA8" s="1277"/>
      <c r="AB8" s="61"/>
    </row>
    <row r="9" spans="1:28" ht="15" customHeight="1">
      <c r="B9" s="36"/>
      <c r="C9" s="36"/>
      <c r="D9" s="36"/>
      <c r="E9" s="187" t="s">
        <v>360</v>
      </c>
      <c r="F9" s="187" t="s">
        <v>10</v>
      </c>
      <c r="G9" s="64"/>
      <c r="H9" s="187" t="s">
        <v>360</v>
      </c>
      <c r="I9" s="187" t="s">
        <v>10</v>
      </c>
      <c r="J9" s="188"/>
      <c r="K9" s="187" t="s">
        <v>360</v>
      </c>
      <c r="L9" s="187" t="s">
        <v>10</v>
      </c>
      <c r="M9" s="188"/>
      <c r="N9" s="187" t="s">
        <v>360</v>
      </c>
      <c r="O9" s="187" t="s">
        <v>10</v>
      </c>
      <c r="P9" s="61"/>
      <c r="Q9" s="187" t="s">
        <v>360</v>
      </c>
      <c r="R9" s="187" t="s">
        <v>10</v>
      </c>
      <c r="S9" s="61"/>
      <c r="T9" s="187" t="s">
        <v>360</v>
      </c>
      <c r="U9" s="187" t="s">
        <v>10</v>
      </c>
      <c r="V9" s="61"/>
      <c r="W9" s="187" t="s">
        <v>360</v>
      </c>
      <c r="X9" s="187" t="s">
        <v>10</v>
      </c>
      <c r="Y9" s="61"/>
      <c r="Z9" s="187" t="s">
        <v>360</v>
      </c>
      <c r="AA9" s="187" t="s">
        <v>10</v>
      </c>
      <c r="AB9" s="61"/>
    </row>
    <row r="10" spans="1:28" ht="15" customHeight="1" thickBot="1">
      <c r="A10" s="15"/>
      <c r="B10" s="15"/>
      <c r="C10" s="15"/>
      <c r="D10" s="15"/>
      <c r="E10" s="181"/>
      <c r="F10" s="14"/>
      <c r="G10" s="14"/>
      <c r="H10" s="181"/>
      <c r="I10" s="181"/>
      <c r="J10" s="181"/>
      <c r="K10" s="181"/>
      <c r="L10" s="181"/>
      <c r="M10" s="181"/>
      <c r="N10" s="181"/>
      <c r="O10" s="181"/>
      <c r="P10" s="58"/>
      <c r="Q10" s="181"/>
      <c r="R10" s="181"/>
      <c r="S10" s="58"/>
      <c r="T10" s="181"/>
      <c r="U10" s="181"/>
      <c r="V10" s="58"/>
      <c r="W10" s="181"/>
      <c r="X10" s="181"/>
      <c r="Y10" s="58"/>
      <c r="Z10" s="181"/>
      <c r="AA10" s="181"/>
      <c r="AB10" s="58"/>
    </row>
    <row r="11" spans="1:28" ht="15" customHeight="1">
      <c r="A11" s="36"/>
      <c r="B11" s="36"/>
      <c r="C11" s="36"/>
      <c r="D11" s="36"/>
      <c r="E11" s="188"/>
      <c r="F11" s="64"/>
      <c r="G11" s="64"/>
      <c r="H11" s="188"/>
      <c r="I11" s="188"/>
      <c r="J11" s="188"/>
      <c r="K11" s="188"/>
      <c r="L11" s="188"/>
      <c r="Q11" s="183"/>
      <c r="R11" s="183"/>
      <c r="S11" s="1"/>
      <c r="T11" s="183"/>
      <c r="U11" s="183"/>
      <c r="W11" s="183"/>
      <c r="X11" s="183"/>
      <c r="Z11" s="183"/>
      <c r="AA11" s="183"/>
      <c r="AB11" s="1"/>
    </row>
    <row r="12" spans="1:28" ht="15" customHeight="1">
      <c r="A12" s="90" t="s">
        <v>689</v>
      </c>
      <c r="B12" s="36"/>
      <c r="C12" s="98">
        <f>IF(A12&lt;&gt;0,E12+H12+K12+N12+Q12+T12+W12+Z12,"")</f>
        <v>286035200279.58002</v>
      </c>
      <c r="D12" s="64"/>
      <c r="E12" s="188">
        <f>SUM(E14:E28)</f>
        <v>261358615128.76001</v>
      </c>
      <c r="F12" s="188">
        <f>SUM(F14:F28)</f>
        <v>99.999999999999986</v>
      </c>
      <c r="G12" s="64"/>
      <c r="H12" s="188">
        <f>SUM(H14:H28)</f>
        <v>2969385662.1300001</v>
      </c>
      <c r="I12" s="188">
        <f>SUM(I14:I28)</f>
        <v>100</v>
      </c>
      <c r="J12" s="188"/>
      <c r="K12" s="188">
        <f>SUM(K14:K28)</f>
        <v>7179178290.2600002</v>
      </c>
      <c r="L12" s="188">
        <f>SUM(L14:L28)</f>
        <v>100</v>
      </c>
      <c r="N12" s="188">
        <f>SUM(N14:N28)</f>
        <v>431049872.37</v>
      </c>
      <c r="O12" s="188">
        <f>SUM(O14:O28)</f>
        <v>100</v>
      </c>
      <c r="Q12" s="188">
        <f>SUM(Q14:Q28)</f>
        <v>2236611668.5700002</v>
      </c>
      <c r="R12" s="188">
        <f>SUM(R14:R28)</f>
        <v>100</v>
      </c>
      <c r="T12" s="188">
        <f>SUM(T14:T28)</f>
        <v>1429602831.3800001</v>
      </c>
      <c r="U12" s="188">
        <f>SUM(U14:U28)</f>
        <v>100.00000000000001</v>
      </c>
      <c r="V12" s="2"/>
      <c r="W12" s="188">
        <f>SUM(W14:W28)</f>
        <v>3120028412.0499997</v>
      </c>
      <c r="X12" s="188">
        <f>SUM(X14:X28)</f>
        <v>100.00000000000001</v>
      </c>
      <c r="Z12" s="188">
        <f>SUM(Z14:Z28)</f>
        <v>7310728414.0599995</v>
      </c>
      <c r="AA12" s="188">
        <f>SUM(AA14:AA28)</f>
        <v>100</v>
      </c>
      <c r="AB12" s="1"/>
    </row>
    <row r="13" spans="1:28" ht="15" customHeight="1">
      <c r="A13" s="36"/>
      <c r="B13" s="36"/>
      <c r="C13" s="98" t="str">
        <f t="shared" ref="C13:C28" si="0">IF(A13&lt;&gt;0,E13+H13+K13+N13+Q13+T13+W13+Z13,"")</f>
        <v/>
      </c>
      <c r="D13" s="64"/>
      <c r="E13" s="188"/>
      <c r="F13" s="183"/>
      <c r="G13" s="64"/>
      <c r="H13" s="188"/>
      <c r="I13" s="188"/>
      <c r="J13" s="188"/>
      <c r="K13" s="188"/>
      <c r="L13" s="188"/>
      <c r="Q13" s="2"/>
      <c r="T13" s="2"/>
      <c r="U13" s="2"/>
      <c r="V13" s="2"/>
      <c r="W13" s="2"/>
      <c r="X13" s="2"/>
      <c r="Z13" s="2"/>
      <c r="AA13" s="2"/>
      <c r="AB13" s="1"/>
    </row>
    <row r="14" spans="1:28" ht="13.9" customHeight="1">
      <c r="A14" s="103" t="s">
        <v>12</v>
      </c>
      <c r="B14" s="103"/>
      <c r="C14" s="98">
        <f t="shared" si="0"/>
        <v>97027259145.699997</v>
      </c>
      <c r="D14" s="189"/>
      <c r="E14" s="31">
        <v>91664711327.399994</v>
      </c>
      <c r="F14" s="183">
        <f>IF($A12&lt;&gt;"",E14/E$12*100,"")</f>
        <v>35.07238943787668</v>
      </c>
      <c r="G14" s="189"/>
      <c r="H14" s="183">
        <v>368306741.25</v>
      </c>
      <c r="I14" s="183">
        <f t="shared" ref="I14:I28" si="1">IF($A12&lt;&gt;"",H14/H$12*100,"")</f>
        <v>12.403466008043097</v>
      </c>
      <c r="K14" s="31">
        <v>466898107.38</v>
      </c>
      <c r="L14" s="183">
        <f t="shared" ref="L14:L28" si="2">IF($A12&lt;&gt;"",K14/K$12*100,"")</f>
        <v>6.5035034443070074</v>
      </c>
      <c r="N14" s="31">
        <v>192044666.53999999</v>
      </c>
      <c r="O14" s="183">
        <f t="shared" ref="O14:O26" si="3">IF($A12&lt;&gt;"",N14/N$12*100,"")</f>
        <v>44.552771929637586</v>
      </c>
      <c r="Q14" s="31">
        <v>2236611668.5700002</v>
      </c>
      <c r="R14" s="183">
        <f t="shared" ref="R14:R28" si="4">IF($A12&lt;&gt;"",Q14/Q$12*100,"")</f>
        <v>100</v>
      </c>
      <c r="T14" s="31">
        <v>83495722.079999998</v>
      </c>
      <c r="U14" s="183">
        <f>IF($A12&lt;&gt;"",T14/T$12*100,"")</f>
        <v>5.8404838216080837</v>
      </c>
      <c r="V14" s="2"/>
      <c r="W14" s="31">
        <v>2015190912.48</v>
      </c>
      <c r="X14" s="183">
        <f t="shared" ref="X14:X28" si="5">IF($A12&lt;&gt;"",W14/W$12*100,"")</f>
        <v>64.588864149346918</v>
      </c>
      <c r="Z14" s="2"/>
      <c r="AA14" s="183">
        <f t="shared" ref="AA14:AA28" si="6">IF($A12&lt;&gt;"",Z14/Z$12*100,"")</f>
        <v>0</v>
      </c>
      <c r="AB14" s="1"/>
    </row>
    <row r="15" spans="1:28" ht="13.9" customHeight="1">
      <c r="A15" s="103"/>
      <c r="B15" s="103"/>
      <c r="C15" s="98" t="str">
        <f t="shared" si="0"/>
        <v/>
      </c>
      <c r="D15" s="189"/>
      <c r="F15" s="183" t="str">
        <f t="shared" ref="F15:F28" si="7">IF($A13&lt;&gt;"",E15/E$12*100,"")</f>
        <v/>
      </c>
      <c r="G15" s="189"/>
      <c r="I15" s="183" t="str">
        <f t="shared" si="1"/>
        <v/>
      </c>
      <c r="L15" s="183" t="str">
        <f t="shared" si="2"/>
        <v/>
      </c>
      <c r="O15" s="183" t="str">
        <f t="shared" si="3"/>
        <v/>
      </c>
      <c r="Q15" s="2"/>
      <c r="R15" s="183" t="str">
        <f t="shared" si="4"/>
        <v/>
      </c>
      <c r="T15" s="2"/>
      <c r="U15" s="183" t="str">
        <f t="shared" ref="U15:U28" si="8">IF($A13&lt;&gt;"",T15/T$12*100,"")</f>
        <v/>
      </c>
      <c r="V15" s="2"/>
      <c r="W15" s="2"/>
      <c r="X15" s="183" t="str">
        <f t="shared" si="5"/>
        <v/>
      </c>
      <c r="Z15" s="2"/>
      <c r="AA15" s="183" t="str">
        <f t="shared" si="6"/>
        <v/>
      </c>
      <c r="AB15" s="1"/>
    </row>
    <row r="16" spans="1:28" ht="13.9" customHeight="1">
      <c r="A16" s="103" t="s">
        <v>86</v>
      </c>
      <c r="B16" s="103"/>
      <c r="C16" s="98">
        <f t="shared" si="0"/>
        <v>42072158205.369995</v>
      </c>
      <c r="D16" s="189"/>
      <c r="E16" s="31">
        <v>33033344325.91</v>
      </c>
      <c r="F16" s="183">
        <f t="shared" si="7"/>
        <v>12.6390876036881</v>
      </c>
      <c r="G16" s="189"/>
      <c r="H16" s="188">
        <v>1535056609.3499999</v>
      </c>
      <c r="I16" s="183">
        <f t="shared" si="1"/>
        <v>51.696100945300351</v>
      </c>
      <c r="J16" s="188"/>
      <c r="K16" s="2">
        <v>5730941700.8800001</v>
      </c>
      <c r="L16" s="183">
        <f t="shared" si="2"/>
        <v>79.827265310504629</v>
      </c>
      <c r="O16" s="183">
        <f t="shared" si="3"/>
        <v>0</v>
      </c>
      <c r="Q16" s="2"/>
      <c r="R16" s="183">
        <f t="shared" si="4"/>
        <v>0</v>
      </c>
      <c r="T16" s="31">
        <v>973015109.71000004</v>
      </c>
      <c r="U16" s="183">
        <f t="shared" si="8"/>
        <v>68.061918202186661</v>
      </c>
      <c r="V16" s="2"/>
      <c r="W16" s="31">
        <v>206782933.81999999</v>
      </c>
      <c r="X16" s="183">
        <f t="shared" si="5"/>
        <v>6.627597781525786</v>
      </c>
      <c r="Z16" s="31">
        <v>593017525.70000005</v>
      </c>
      <c r="AA16" s="183">
        <f t="shared" si="6"/>
        <v>8.1116065611124082</v>
      </c>
      <c r="AB16" s="1"/>
    </row>
    <row r="17" spans="1:28" ht="13.9" customHeight="1">
      <c r="A17" s="103"/>
      <c r="B17" s="103"/>
      <c r="C17" s="98" t="str">
        <f t="shared" si="0"/>
        <v/>
      </c>
      <c r="D17" s="189"/>
      <c r="F17" s="183" t="str">
        <f t="shared" si="7"/>
        <v/>
      </c>
      <c r="G17" s="189"/>
      <c r="H17" s="188"/>
      <c r="I17" s="183" t="str">
        <f t="shared" si="1"/>
        <v/>
      </c>
      <c r="J17" s="188"/>
      <c r="K17" s="188"/>
      <c r="L17" s="183" t="str">
        <f t="shared" si="2"/>
        <v/>
      </c>
      <c r="O17" s="183" t="str">
        <f t="shared" si="3"/>
        <v/>
      </c>
      <c r="Q17" s="2"/>
      <c r="R17" s="183" t="str">
        <f t="shared" si="4"/>
        <v/>
      </c>
      <c r="T17" s="2"/>
      <c r="U17" s="183" t="str">
        <f t="shared" si="8"/>
        <v/>
      </c>
      <c r="V17" s="2"/>
      <c r="W17" s="2"/>
      <c r="X17" s="183" t="str">
        <f t="shared" si="5"/>
        <v/>
      </c>
      <c r="Z17" s="2"/>
      <c r="AA17" s="183" t="str">
        <f t="shared" si="6"/>
        <v/>
      </c>
      <c r="AB17" s="1"/>
    </row>
    <row r="18" spans="1:28" ht="13.9" customHeight="1">
      <c r="A18" s="103" t="s">
        <v>150</v>
      </c>
      <c r="B18" s="103"/>
      <c r="C18" s="98">
        <f t="shared" si="0"/>
        <v>8492795079.6599998</v>
      </c>
      <c r="D18" s="189"/>
      <c r="E18" s="31">
        <v>6787777615.4399996</v>
      </c>
      <c r="F18" s="183">
        <f t="shared" si="7"/>
        <v>2.5971126347206717</v>
      </c>
      <c r="G18" s="189"/>
      <c r="H18" s="183">
        <v>628565392.94000006</v>
      </c>
      <c r="I18" s="183">
        <f t="shared" si="1"/>
        <v>21.168196538307438</v>
      </c>
      <c r="J18" s="188"/>
      <c r="K18" s="2">
        <v>528181749.17000002</v>
      </c>
      <c r="L18" s="183">
        <f t="shared" si="2"/>
        <v>7.3571337528500269</v>
      </c>
      <c r="N18" s="31">
        <v>239005205.83000001</v>
      </c>
      <c r="O18" s="183">
        <f t="shared" si="3"/>
        <v>55.447228070362421</v>
      </c>
      <c r="Q18" s="2"/>
      <c r="R18" s="183">
        <f t="shared" si="4"/>
        <v>0</v>
      </c>
      <c r="T18" s="31">
        <v>260513362.13999999</v>
      </c>
      <c r="U18" s="183">
        <f t="shared" si="8"/>
        <v>18.222778832112805</v>
      </c>
      <c r="V18" s="2"/>
      <c r="W18" s="31">
        <v>48751754.140000001</v>
      </c>
      <c r="X18" s="183">
        <f t="shared" si="5"/>
        <v>1.5625419932624234</v>
      </c>
      <c r="Z18" s="2"/>
      <c r="AA18" s="183">
        <f t="shared" si="6"/>
        <v>0</v>
      </c>
      <c r="AB18" s="1"/>
    </row>
    <row r="19" spans="1:28" ht="13.9" customHeight="1">
      <c r="A19" s="103"/>
      <c r="B19" s="103"/>
      <c r="C19" s="98" t="str">
        <f t="shared" si="0"/>
        <v/>
      </c>
      <c r="D19" s="189"/>
      <c r="F19" s="183" t="str">
        <f t="shared" si="7"/>
        <v/>
      </c>
      <c r="G19" s="189"/>
      <c r="H19" s="188"/>
      <c r="I19" s="183" t="str">
        <f t="shared" si="1"/>
        <v/>
      </c>
      <c r="L19" s="183" t="str">
        <f t="shared" si="2"/>
        <v/>
      </c>
      <c r="O19" s="183" t="str">
        <f t="shared" si="3"/>
        <v/>
      </c>
      <c r="Q19" s="2"/>
      <c r="R19" s="183" t="str">
        <f t="shared" si="4"/>
        <v/>
      </c>
      <c r="T19" s="2"/>
      <c r="U19" s="183" t="str">
        <f t="shared" si="8"/>
        <v/>
      </c>
      <c r="V19" s="2"/>
      <c r="W19" s="2"/>
      <c r="X19" s="183" t="str">
        <f t="shared" si="5"/>
        <v/>
      </c>
      <c r="Z19" s="2"/>
      <c r="AA19" s="183" t="str">
        <f t="shared" si="6"/>
        <v/>
      </c>
      <c r="AB19" s="1"/>
    </row>
    <row r="20" spans="1:28" ht="13.9" customHeight="1">
      <c r="A20" s="103" t="s">
        <v>163</v>
      </c>
      <c r="B20" s="103"/>
      <c r="C20" s="98">
        <f t="shared" si="0"/>
        <v>21323343526.670002</v>
      </c>
      <c r="D20" s="189"/>
      <c r="E20" s="183">
        <f>20940281129.35+300000</f>
        <v>20940581129.349998</v>
      </c>
      <c r="F20" s="183">
        <f t="shared" si="7"/>
        <v>8.0122023599771097</v>
      </c>
      <c r="G20" s="189"/>
      <c r="H20" s="183">
        <v>99526496.650000006</v>
      </c>
      <c r="I20" s="183">
        <f t="shared" si="1"/>
        <v>3.35175379605651</v>
      </c>
      <c r="K20" s="2">
        <v>47590839.450000003</v>
      </c>
      <c r="L20" s="183">
        <f t="shared" si="2"/>
        <v>0.66290092717945936</v>
      </c>
      <c r="O20" s="183">
        <f t="shared" si="3"/>
        <v>0</v>
      </c>
      <c r="Q20" s="2"/>
      <c r="R20" s="183">
        <f t="shared" si="4"/>
        <v>0</v>
      </c>
      <c r="T20" s="2"/>
      <c r="U20" s="183">
        <f t="shared" si="8"/>
        <v>0</v>
      </c>
      <c r="V20" s="2"/>
      <c r="W20" s="31">
        <v>235645061.22</v>
      </c>
      <c r="X20" s="183">
        <f t="shared" si="5"/>
        <v>7.5526575434346945</v>
      </c>
      <c r="Z20" s="2"/>
      <c r="AA20" s="183">
        <f t="shared" si="6"/>
        <v>0</v>
      </c>
      <c r="AB20" s="1"/>
    </row>
    <row r="21" spans="1:28" ht="13.9" customHeight="1">
      <c r="A21" s="103"/>
      <c r="B21" s="103"/>
      <c r="C21" s="98" t="str">
        <f t="shared" si="0"/>
        <v/>
      </c>
      <c r="D21" s="189"/>
      <c r="F21" s="183" t="str">
        <f t="shared" si="7"/>
        <v/>
      </c>
      <c r="G21" s="189"/>
      <c r="I21" s="183" t="str">
        <f t="shared" si="1"/>
        <v/>
      </c>
      <c r="L21" s="183" t="str">
        <f t="shared" si="2"/>
        <v/>
      </c>
      <c r="N21" s="183" t="str">
        <f>IF(A21&lt;&gt;0,H21-K21,"")</f>
        <v/>
      </c>
      <c r="O21" s="183" t="str">
        <f t="shared" si="3"/>
        <v/>
      </c>
      <c r="Q21" s="2"/>
      <c r="R21" s="183" t="str">
        <f t="shared" si="4"/>
        <v/>
      </c>
      <c r="T21" s="2"/>
      <c r="U21" s="183" t="str">
        <f t="shared" si="8"/>
        <v/>
      </c>
      <c r="V21" s="2"/>
      <c r="W21" s="2"/>
      <c r="X21" s="183" t="str">
        <f t="shared" si="5"/>
        <v/>
      </c>
      <c r="Z21" s="2"/>
      <c r="AA21" s="183" t="str">
        <f t="shared" si="6"/>
        <v/>
      </c>
      <c r="AB21" s="1"/>
    </row>
    <row r="22" spans="1:28" ht="13.9" customHeight="1">
      <c r="A22" s="103" t="s">
        <v>169</v>
      </c>
      <c r="B22" s="103"/>
      <c r="C22" s="98">
        <f t="shared" si="0"/>
        <v>26754799711.109997</v>
      </c>
      <c r="D22" s="189"/>
      <c r="E22" s="183">
        <v>26623562364.52</v>
      </c>
      <c r="F22" s="183">
        <f t="shared" si="7"/>
        <v>10.186602171657411</v>
      </c>
      <c r="G22" s="189"/>
      <c r="I22" s="183">
        <f t="shared" si="1"/>
        <v>0</v>
      </c>
      <c r="K22" s="2">
        <v>12431530.67</v>
      </c>
      <c r="L22" s="183">
        <f t="shared" si="2"/>
        <v>0.17316091295386651</v>
      </c>
      <c r="O22" s="183">
        <f t="shared" si="3"/>
        <v>0</v>
      </c>
      <c r="Q22" s="2"/>
      <c r="R22" s="183">
        <f t="shared" si="4"/>
        <v>0</v>
      </c>
      <c r="T22" s="2"/>
      <c r="U22" s="183">
        <f t="shared" si="8"/>
        <v>0</v>
      </c>
      <c r="V22" s="2"/>
      <c r="W22" s="31">
        <v>118805815.92</v>
      </c>
      <c r="X22" s="183">
        <f t="shared" si="5"/>
        <v>3.8078440395335762</v>
      </c>
      <c r="Z22" s="2"/>
      <c r="AA22" s="183">
        <f t="shared" si="6"/>
        <v>0</v>
      </c>
      <c r="AB22" s="1"/>
    </row>
    <row r="23" spans="1:28" ht="13.9" customHeight="1">
      <c r="A23" s="103"/>
      <c r="B23" s="103"/>
      <c r="C23" s="98" t="str">
        <f t="shared" si="0"/>
        <v/>
      </c>
      <c r="D23" s="189"/>
      <c r="F23" s="183" t="str">
        <f t="shared" si="7"/>
        <v/>
      </c>
      <c r="G23" s="189"/>
      <c r="I23" s="183" t="str">
        <f t="shared" si="1"/>
        <v/>
      </c>
      <c r="L23" s="183" t="str">
        <f t="shared" si="2"/>
        <v/>
      </c>
      <c r="N23" s="183" t="str">
        <f>IF(A23&lt;&gt;0,H23-K23,"")</f>
        <v/>
      </c>
      <c r="O23" s="183" t="str">
        <f t="shared" si="3"/>
        <v/>
      </c>
      <c r="Q23" s="2"/>
      <c r="R23" s="183" t="str">
        <f t="shared" si="4"/>
        <v/>
      </c>
      <c r="T23" s="2"/>
      <c r="U23" s="183" t="str">
        <f t="shared" si="8"/>
        <v/>
      </c>
      <c r="V23" s="2"/>
      <c r="W23" s="2"/>
      <c r="X23" s="183" t="str">
        <f t="shared" si="5"/>
        <v/>
      </c>
      <c r="Z23" s="2"/>
      <c r="AA23" s="183" t="str">
        <f t="shared" si="6"/>
        <v/>
      </c>
      <c r="AB23" s="1"/>
    </row>
    <row r="24" spans="1:28" ht="13.9" customHeight="1">
      <c r="A24" s="103" t="s">
        <v>183</v>
      </c>
      <c r="B24" s="103"/>
      <c r="C24" s="98">
        <f t="shared" si="0"/>
        <v>35511054136.440002</v>
      </c>
      <c r="D24" s="189"/>
      <c r="E24" s="183">
        <f>35002123157.91+10649768.1</f>
        <v>35012772926.010002</v>
      </c>
      <c r="F24" s="183">
        <f t="shared" si="7"/>
        <v>13.396448748689894</v>
      </c>
      <c r="G24" s="189"/>
      <c r="I24" s="183">
        <f t="shared" si="1"/>
        <v>0</v>
      </c>
      <c r="K24" s="2">
        <v>15154417.029999999</v>
      </c>
      <c r="L24" s="183">
        <f t="shared" si="2"/>
        <v>0.21108846190043803</v>
      </c>
      <c r="O24" s="183">
        <f t="shared" si="3"/>
        <v>0</v>
      </c>
      <c r="Q24" s="2"/>
      <c r="R24" s="183">
        <f t="shared" si="4"/>
        <v>0</v>
      </c>
      <c r="T24" s="31">
        <v>94099318.049999997</v>
      </c>
      <c r="U24" s="183">
        <f t="shared" si="8"/>
        <v>6.5822000337790065</v>
      </c>
      <c r="V24" s="2"/>
      <c r="W24" s="31">
        <v>309046910.29000002</v>
      </c>
      <c r="X24" s="183">
        <f t="shared" si="5"/>
        <v>9.9052594872667274</v>
      </c>
      <c r="Z24" s="31">
        <v>79980565.060000002</v>
      </c>
      <c r="AA24" s="183">
        <f t="shared" si="6"/>
        <v>1.0940163623939485</v>
      </c>
      <c r="AB24" s="1"/>
    </row>
    <row r="25" spans="1:28" ht="13.9" customHeight="1">
      <c r="A25" s="103"/>
      <c r="B25" s="103"/>
      <c r="C25" s="98" t="str">
        <f t="shared" si="0"/>
        <v/>
      </c>
      <c r="D25" s="189"/>
      <c r="F25" s="183" t="str">
        <f t="shared" si="7"/>
        <v/>
      </c>
      <c r="G25" s="189"/>
      <c r="I25" s="183" t="str">
        <f t="shared" si="1"/>
        <v/>
      </c>
      <c r="L25" s="183" t="str">
        <f t="shared" si="2"/>
        <v/>
      </c>
      <c r="N25" s="183" t="str">
        <f>IF(A25&lt;&gt;0,H25-K25,"")</f>
        <v/>
      </c>
      <c r="O25" s="183" t="str">
        <f t="shared" si="3"/>
        <v/>
      </c>
      <c r="Q25" s="2"/>
      <c r="R25" s="183" t="str">
        <f t="shared" si="4"/>
        <v/>
      </c>
      <c r="T25" s="2"/>
      <c r="U25" s="183" t="str">
        <f t="shared" si="8"/>
        <v/>
      </c>
      <c r="V25" s="2"/>
      <c r="W25" s="2"/>
      <c r="X25" s="183" t="str">
        <f t="shared" si="5"/>
        <v/>
      </c>
      <c r="Z25" s="2"/>
      <c r="AA25" s="183" t="str">
        <f t="shared" si="6"/>
        <v/>
      </c>
      <c r="AB25" s="1"/>
    </row>
    <row r="26" spans="1:28" ht="13.9" customHeight="1">
      <c r="A26" s="103" t="s">
        <v>213</v>
      </c>
      <c r="B26" s="103"/>
      <c r="C26" s="98">
        <f t="shared" si="0"/>
        <v>39017800391.810005</v>
      </c>
      <c r="D26" s="189"/>
      <c r="E26" s="183">
        <v>38062006968.459999</v>
      </c>
      <c r="F26" s="183">
        <f t="shared" si="7"/>
        <v>14.563134622407034</v>
      </c>
      <c r="G26" s="189"/>
      <c r="H26" s="183">
        <v>337930421.94</v>
      </c>
      <c r="I26" s="183">
        <f t="shared" si="1"/>
        <v>11.380482712292606</v>
      </c>
      <c r="K26" s="2">
        <v>377979945.68000001</v>
      </c>
      <c r="L26" s="183">
        <f t="shared" si="2"/>
        <v>5.2649471903045768</v>
      </c>
      <c r="O26" s="183">
        <f t="shared" si="3"/>
        <v>0</v>
      </c>
      <c r="Q26" s="2"/>
      <c r="R26" s="183">
        <f t="shared" si="4"/>
        <v>0</v>
      </c>
      <c r="T26" s="31">
        <v>18479319.399999999</v>
      </c>
      <c r="U26" s="183">
        <f t="shared" si="8"/>
        <v>1.2926191103134466</v>
      </c>
      <c r="V26" s="2"/>
      <c r="W26" s="31">
        <v>185805024.18000001</v>
      </c>
      <c r="X26" s="183">
        <f t="shared" si="5"/>
        <v>5.9552350056298913</v>
      </c>
      <c r="Z26" s="31">
        <v>35598712.149999999</v>
      </c>
      <c r="AA26" s="183">
        <f t="shared" si="6"/>
        <v>0.48693796477976836</v>
      </c>
      <c r="AB26" s="1"/>
    </row>
    <row r="27" spans="1:28" ht="13.9" customHeight="1">
      <c r="A27" s="103"/>
      <c r="B27" s="103"/>
      <c r="C27" s="98" t="str">
        <f t="shared" si="0"/>
        <v/>
      </c>
      <c r="D27" s="189"/>
      <c r="F27" s="183" t="str">
        <f t="shared" si="7"/>
        <v/>
      </c>
      <c r="G27" s="189"/>
      <c r="I27" s="183" t="str">
        <f t="shared" si="1"/>
        <v/>
      </c>
      <c r="L27" s="183" t="str">
        <f t="shared" si="2"/>
        <v/>
      </c>
      <c r="Q27" s="2"/>
      <c r="R27" s="183" t="str">
        <f t="shared" si="4"/>
        <v/>
      </c>
      <c r="T27" s="2"/>
      <c r="U27" s="183" t="str">
        <f t="shared" si="8"/>
        <v/>
      </c>
      <c r="V27" s="2"/>
      <c r="W27" s="2"/>
      <c r="X27" s="183" t="str">
        <f t="shared" si="5"/>
        <v/>
      </c>
      <c r="Z27" s="2"/>
      <c r="AA27" s="183" t="str">
        <f t="shared" si="6"/>
        <v/>
      </c>
      <c r="AB27" s="1"/>
    </row>
    <row r="28" spans="1:28" ht="13.9" customHeight="1">
      <c r="A28" s="103" t="s">
        <v>707</v>
      </c>
      <c r="B28" s="103"/>
      <c r="C28" s="98">
        <f t="shared" si="0"/>
        <v>15835990082.82</v>
      </c>
      <c r="D28" s="189"/>
      <c r="E28" s="183">
        <v>9233858471.6700001</v>
      </c>
      <c r="F28" s="183">
        <f t="shared" si="7"/>
        <v>3.5330224209830923</v>
      </c>
      <c r="G28" s="189"/>
      <c r="I28" s="183">
        <f t="shared" si="1"/>
        <v>0</v>
      </c>
      <c r="L28" s="183">
        <f t="shared" si="2"/>
        <v>0</v>
      </c>
      <c r="Q28" s="2"/>
      <c r="R28" s="183">
        <f t="shared" si="4"/>
        <v>0</v>
      </c>
      <c r="T28" s="2"/>
      <c r="U28" s="183">
        <f t="shared" si="8"/>
        <v>0</v>
      </c>
      <c r="V28" s="2"/>
      <c r="W28" s="2"/>
      <c r="X28" s="183">
        <f t="shared" si="5"/>
        <v>0</v>
      </c>
      <c r="Z28" s="31">
        <v>6602131611.1499996</v>
      </c>
      <c r="AA28" s="183">
        <f t="shared" si="6"/>
        <v>90.307439111713876</v>
      </c>
      <c r="AB28" s="1"/>
    </row>
    <row r="29" spans="1:28" ht="15" customHeight="1" thickBot="1">
      <c r="P29" s="183"/>
      <c r="Q29" s="183"/>
      <c r="R29" s="183"/>
      <c r="S29" s="183"/>
      <c r="T29" s="183"/>
      <c r="U29" s="183"/>
      <c r="V29" s="183"/>
      <c r="W29" s="183"/>
      <c r="X29" s="183"/>
      <c r="Y29" s="183"/>
      <c r="Z29" s="183"/>
      <c r="AA29" s="183"/>
      <c r="AB29" s="183"/>
    </row>
    <row r="30" spans="1:28" ht="13.15" customHeight="1">
      <c r="A30" s="6"/>
      <c r="B30" s="6"/>
      <c r="C30" s="6"/>
      <c r="D30" s="6"/>
      <c r="E30" s="184"/>
      <c r="F30" s="5"/>
      <c r="G30" s="5"/>
      <c r="H30" s="184"/>
      <c r="I30" s="184"/>
      <c r="J30" s="184"/>
      <c r="K30" s="184"/>
      <c r="L30" s="184"/>
      <c r="M30" s="184"/>
      <c r="N30" s="184"/>
      <c r="O30" s="184"/>
      <c r="P30" s="184"/>
      <c r="Q30" s="184"/>
      <c r="R30" s="184"/>
      <c r="S30" s="184"/>
      <c r="T30" s="184"/>
      <c r="U30" s="184"/>
      <c r="V30" s="184"/>
      <c r="W30" s="184"/>
      <c r="X30" s="184"/>
      <c r="Y30" s="184"/>
      <c r="Z30" s="184"/>
      <c r="AA30" s="184"/>
      <c r="AB30" s="184"/>
    </row>
    <row r="31" spans="1:28" s="1" customFormat="1">
      <c r="A31" s="4" t="s">
        <v>708</v>
      </c>
      <c r="E31" s="183"/>
      <c r="H31" s="183"/>
      <c r="I31" s="183"/>
      <c r="J31" s="183"/>
      <c r="K31" s="183"/>
      <c r="L31" s="183"/>
      <c r="M31" s="183"/>
      <c r="N31" s="183"/>
      <c r="O31" s="183"/>
      <c r="R31" s="2"/>
      <c r="S31" s="2"/>
    </row>
    <row r="32" spans="1:28">
      <c r="A32" s="42" t="s">
        <v>365</v>
      </c>
      <c r="W32" s="2"/>
    </row>
    <row r="34" spans="1:23">
      <c r="A34" s="31"/>
    </row>
    <row r="35" spans="1:23">
      <c r="A35" s="31"/>
      <c r="W35" s="2"/>
    </row>
    <row r="36" spans="1:23">
      <c r="A36" s="31"/>
      <c r="W36" s="2"/>
    </row>
    <row r="37" spans="1:23">
      <c r="A37" s="31"/>
    </row>
    <row r="38" spans="1:23">
      <c r="A38" s="31"/>
    </row>
    <row r="39" spans="1:23">
      <c r="A39" s="31"/>
    </row>
    <row r="40" spans="1:23">
      <c r="A40" s="31"/>
    </row>
    <row r="41" spans="1:23">
      <c r="A41" s="31"/>
    </row>
    <row r="42" spans="1:23">
      <c r="A42" s="31"/>
      <c r="C42" s="31"/>
    </row>
    <row r="43" spans="1:23">
      <c r="A43" s="31"/>
      <c r="C43" s="31"/>
    </row>
    <row r="44" spans="1:23">
      <c r="A44" s="31"/>
      <c r="C44" s="31"/>
    </row>
    <row r="45" spans="1:23">
      <c r="A45" s="31"/>
      <c r="C45" s="31"/>
    </row>
    <row r="46" spans="1:23">
      <c r="A46" s="31"/>
      <c r="C46" s="31"/>
    </row>
    <row r="47" spans="1:23">
      <c r="A47" s="31"/>
      <c r="C47" s="31"/>
    </row>
    <row r="48" spans="1:23">
      <c r="A48" s="31"/>
      <c r="C48" s="31"/>
    </row>
    <row r="49" spans="1:5">
      <c r="A49" s="31"/>
      <c r="C49" s="31"/>
    </row>
    <row r="50" spans="1:5">
      <c r="A50" s="31"/>
      <c r="C50" s="31"/>
    </row>
    <row r="51" spans="1:5">
      <c r="A51" s="31"/>
      <c r="C51" s="31"/>
      <c r="E51" s="1"/>
    </row>
    <row r="52" spans="1:5">
      <c r="A52" s="31"/>
      <c r="C52" s="31"/>
    </row>
    <row r="53" spans="1:5">
      <c r="A53" s="31"/>
    </row>
    <row r="54" spans="1:5">
      <c r="A54" s="31"/>
    </row>
    <row r="55" spans="1:5">
      <c r="A55" s="31"/>
    </row>
    <row r="56" spans="1:5">
      <c r="A56" s="31"/>
    </row>
    <row r="57" spans="1:5">
      <c r="A57" s="31"/>
    </row>
    <row r="58" spans="1:5">
      <c r="A58" s="31"/>
    </row>
    <row r="59" spans="1:5">
      <c r="A59" s="31"/>
    </row>
    <row r="60" spans="1:5">
      <c r="A60" s="190"/>
    </row>
    <row r="61" spans="1:5">
      <c r="A61" s="31"/>
    </row>
    <row r="62" spans="1:5">
      <c r="A62" s="31"/>
    </row>
    <row r="63" spans="1:5">
      <c r="A63" s="31"/>
    </row>
    <row r="64" spans="1:5">
      <c r="A64" s="31"/>
    </row>
    <row r="65" spans="1:1">
      <c r="A65" s="31"/>
    </row>
    <row r="66" spans="1:1">
      <c r="A66" s="31"/>
    </row>
    <row r="67" spans="1:1">
      <c r="A67" s="31"/>
    </row>
    <row r="68" spans="1:1">
      <c r="A68" s="31"/>
    </row>
    <row r="69" spans="1:1">
      <c r="A69" s="31"/>
    </row>
    <row r="70" spans="1:1">
      <c r="A70" s="31"/>
    </row>
    <row r="71" spans="1:1">
      <c r="A71" s="31"/>
    </row>
    <row r="72" spans="1:1">
      <c r="A72" s="31"/>
    </row>
    <row r="73" spans="1:1">
      <c r="A73" s="31"/>
    </row>
    <row r="74" spans="1:1">
      <c r="A74" s="31"/>
    </row>
    <row r="75" spans="1:1">
      <c r="A75" s="31"/>
    </row>
    <row r="76" spans="1:1">
      <c r="A76" s="31"/>
    </row>
    <row r="77" spans="1:1">
      <c r="A77" s="31"/>
    </row>
    <row r="78" spans="1:1">
      <c r="A78" s="31"/>
    </row>
    <row r="79" spans="1:1">
      <c r="A79" s="31"/>
    </row>
    <row r="80" spans="1:1">
      <c r="A80" s="31"/>
    </row>
    <row r="81" spans="1:1">
      <c r="A81" s="31"/>
    </row>
    <row r="82" spans="1:1">
      <c r="A82" s="31"/>
    </row>
    <row r="83" spans="1:1">
      <c r="A83" s="31"/>
    </row>
    <row r="84" spans="1:1">
      <c r="A84" s="31"/>
    </row>
    <row r="85" spans="1:1">
      <c r="A85" s="31"/>
    </row>
    <row r="86" spans="1:1">
      <c r="A86" s="31"/>
    </row>
    <row r="87" spans="1:1">
      <c r="A87" s="31"/>
    </row>
    <row r="88" spans="1:1">
      <c r="A88" s="31"/>
    </row>
    <row r="89" spans="1:1">
      <c r="A89" s="31"/>
    </row>
    <row r="90" spans="1:1">
      <c r="A90" s="31"/>
    </row>
    <row r="91" spans="1:1">
      <c r="A91" s="31"/>
    </row>
    <row r="92" spans="1:1">
      <c r="A92" s="31"/>
    </row>
    <row r="93" spans="1:1">
      <c r="A93" s="31"/>
    </row>
    <row r="94" spans="1:1">
      <c r="A94" s="31"/>
    </row>
    <row r="95" spans="1:1">
      <c r="A95" s="31"/>
    </row>
    <row r="96" spans="1:1">
      <c r="A96" s="31"/>
    </row>
    <row r="97" spans="1:1">
      <c r="A97" s="31"/>
    </row>
    <row r="98" spans="1:1">
      <c r="A98" s="31"/>
    </row>
    <row r="99" spans="1:1">
      <c r="A99" s="31"/>
    </row>
    <row r="100" spans="1:1">
      <c r="A100" s="31"/>
    </row>
    <row r="101" spans="1:1">
      <c r="A101" s="31"/>
    </row>
    <row r="102" spans="1:1">
      <c r="A102" s="31"/>
    </row>
    <row r="103" spans="1:1">
      <c r="A103" s="31"/>
    </row>
    <row r="104" spans="1:1">
      <c r="A104" s="31"/>
    </row>
    <row r="105" spans="1:1">
      <c r="A105" s="31"/>
    </row>
    <row r="106" spans="1:1">
      <c r="A106" s="31"/>
    </row>
    <row r="107" spans="1:1">
      <c r="A107" s="31"/>
    </row>
    <row r="108" spans="1:1">
      <c r="A108" s="31"/>
    </row>
    <row r="109" spans="1:1">
      <c r="A109" s="31"/>
    </row>
    <row r="110" spans="1:1">
      <c r="A110" s="31"/>
    </row>
    <row r="111" spans="1:1">
      <c r="A111" s="31"/>
    </row>
    <row r="112" spans="1:1">
      <c r="A112" s="31"/>
    </row>
    <row r="113" spans="1:1">
      <c r="A113" s="31"/>
    </row>
    <row r="114" spans="1:1">
      <c r="A114" s="31"/>
    </row>
    <row r="115" spans="1:1">
      <c r="A115" s="31"/>
    </row>
    <row r="116" spans="1:1">
      <c r="A116" s="31"/>
    </row>
    <row r="117" spans="1:1">
      <c r="A117" s="31"/>
    </row>
    <row r="118" spans="1:1">
      <c r="A118" s="31"/>
    </row>
    <row r="119" spans="1:1">
      <c r="A119" s="31"/>
    </row>
    <row r="120" spans="1:1">
      <c r="A120" s="31"/>
    </row>
    <row r="121" spans="1:1">
      <c r="A121" s="31"/>
    </row>
    <row r="122" spans="1:1">
      <c r="A122" s="31"/>
    </row>
    <row r="123" spans="1:1">
      <c r="A123" s="31"/>
    </row>
    <row r="124" spans="1:1">
      <c r="A124" s="31"/>
    </row>
    <row r="125" spans="1:1">
      <c r="A125" s="31"/>
    </row>
    <row r="126" spans="1:1">
      <c r="A126" s="31"/>
    </row>
    <row r="127" spans="1:1">
      <c r="A127" s="31"/>
    </row>
    <row r="128" spans="1:1">
      <c r="A128" s="31"/>
    </row>
    <row r="129" spans="1:1">
      <c r="A129" s="31"/>
    </row>
    <row r="130" spans="1:1">
      <c r="A130" s="31"/>
    </row>
    <row r="131" spans="1:1">
      <c r="A131" s="31"/>
    </row>
    <row r="132" spans="1:1">
      <c r="A132" s="31"/>
    </row>
    <row r="133" spans="1:1">
      <c r="A133" s="31"/>
    </row>
    <row r="134" spans="1:1">
      <c r="A134" s="31"/>
    </row>
    <row r="135" spans="1:1">
      <c r="A135" s="31"/>
    </row>
    <row r="136" spans="1:1">
      <c r="A136" s="31"/>
    </row>
    <row r="137" spans="1:1">
      <c r="A137" s="31"/>
    </row>
    <row r="138" spans="1:1">
      <c r="A138" s="31"/>
    </row>
    <row r="139" spans="1:1">
      <c r="A139" s="31"/>
    </row>
    <row r="140" spans="1:1">
      <c r="A140" s="31"/>
    </row>
    <row r="141" spans="1:1">
      <c r="A141" s="31"/>
    </row>
    <row r="142" spans="1:1">
      <c r="A142" s="31"/>
    </row>
    <row r="143" spans="1:1">
      <c r="A143" s="31"/>
    </row>
    <row r="144" spans="1:1">
      <c r="A144" s="31"/>
    </row>
    <row r="145" spans="1:1">
      <c r="A145" s="31"/>
    </row>
    <row r="146" spans="1:1">
      <c r="A146" s="31"/>
    </row>
    <row r="147" spans="1:1">
      <c r="A147" s="31"/>
    </row>
    <row r="148" spans="1:1">
      <c r="A148" s="31"/>
    </row>
    <row r="149" spans="1:1">
      <c r="A149" s="31"/>
    </row>
    <row r="150" spans="1:1">
      <c r="A150" s="31"/>
    </row>
    <row r="151" spans="1:1">
      <c r="A151" s="31"/>
    </row>
    <row r="152" spans="1:1">
      <c r="A152" s="31"/>
    </row>
    <row r="153" spans="1:1">
      <c r="A153" s="31"/>
    </row>
    <row r="154" spans="1:1">
      <c r="A154" s="31"/>
    </row>
    <row r="155" spans="1:1">
      <c r="A155" s="31"/>
    </row>
    <row r="156" spans="1:1">
      <c r="A156" s="31"/>
    </row>
    <row r="157" spans="1:1">
      <c r="A157" s="31"/>
    </row>
    <row r="158" spans="1:1">
      <c r="A158" s="31"/>
    </row>
    <row r="159" spans="1:1">
      <c r="A159" s="31"/>
    </row>
    <row r="160" spans="1:1">
      <c r="A160" s="31"/>
    </row>
    <row r="161" spans="1:1">
      <c r="A161" s="31"/>
    </row>
    <row r="162" spans="1:1">
      <c r="A162" s="31"/>
    </row>
    <row r="163" spans="1:1">
      <c r="A163" s="31"/>
    </row>
    <row r="164" spans="1:1">
      <c r="A164" s="31"/>
    </row>
    <row r="165" spans="1:1">
      <c r="A165" s="31"/>
    </row>
    <row r="166" spans="1:1">
      <c r="A166" s="31"/>
    </row>
    <row r="167" spans="1:1">
      <c r="A167" s="31"/>
    </row>
    <row r="168" spans="1:1">
      <c r="A168" s="31"/>
    </row>
    <row r="169" spans="1:1">
      <c r="A169" s="31"/>
    </row>
    <row r="170" spans="1:1">
      <c r="A170" s="31"/>
    </row>
    <row r="171" spans="1:1">
      <c r="A171" s="31"/>
    </row>
    <row r="172" spans="1:1">
      <c r="A172" s="31"/>
    </row>
    <row r="173" spans="1:1">
      <c r="A173" s="31"/>
    </row>
    <row r="174" spans="1:1">
      <c r="A174" s="31"/>
    </row>
    <row r="175" spans="1:1">
      <c r="A175" s="31"/>
    </row>
    <row r="176" spans="1:1">
      <c r="A176" s="31"/>
    </row>
    <row r="177" spans="1:1">
      <c r="A177" s="31"/>
    </row>
    <row r="178" spans="1:1">
      <c r="A178" s="31"/>
    </row>
    <row r="179" spans="1:1">
      <c r="A179" s="31"/>
    </row>
    <row r="180" spans="1:1">
      <c r="A180" s="31"/>
    </row>
    <row r="181" spans="1:1">
      <c r="A181" s="31"/>
    </row>
    <row r="182" spans="1:1">
      <c r="A182" s="31"/>
    </row>
    <row r="183" spans="1:1">
      <c r="A183" s="31"/>
    </row>
    <row r="184" spans="1:1">
      <c r="A184" s="31"/>
    </row>
    <row r="185" spans="1:1">
      <c r="A185" s="31"/>
    </row>
    <row r="186" spans="1:1">
      <c r="A186" s="31"/>
    </row>
    <row r="187" spans="1:1">
      <c r="A187" s="31"/>
    </row>
    <row r="188" spans="1:1">
      <c r="A188" s="31"/>
    </row>
    <row r="189" spans="1:1">
      <c r="A189" s="31"/>
    </row>
    <row r="190" spans="1:1">
      <c r="A190" s="31"/>
    </row>
    <row r="191" spans="1:1">
      <c r="A191" s="31"/>
    </row>
    <row r="192" spans="1:1">
      <c r="A192" s="31"/>
    </row>
    <row r="193" spans="1:1">
      <c r="A193" s="31"/>
    </row>
    <row r="194" spans="1:1">
      <c r="A194" s="31"/>
    </row>
    <row r="195" spans="1:1">
      <c r="A195" s="31"/>
    </row>
    <row r="196" spans="1:1">
      <c r="A196" s="31"/>
    </row>
    <row r="197" spans="1:1">
      <c r="A197" s="31"/>
    </row>
    <row r="198" spans="1:1">
      <c r="A198" s="31"/>
    </row>
    <row r="199" spans="1:1">
      <c r="A199" s="31"/>
    </row>
    <row r="200" spans="1:1">
      <c r="A200" s="31"/>
    </row>
    <row r="201" spans="1:1">
      <c r="A201" s="31"/>
    </row>
    <row r="202" spans="1:1">
      <c r="A202" s="31"/>
    </row>
    <row r="203" spans="1:1">
      <c r="A203" s="31"/>
    </row>
    <row r="204" spans="1:1">
      <c r="A204" s="31"/>
    </row>
    <row r="205" spans="1:1">
      <c r="A205" s="31"/>
    </row>
    <row r="206" spans="1:1">
      <c r="A206" s="31"/>
    </row>
    <row r="207" spans="1:1">
      <c r="A207" s="31"/>
    </row>
    <row r="208" spans="1:1">
      <c r="A208" s="31"/>
    </row>
    <row r="209" spans="1:1">
      <c r="A209" s="31"/>
    </row>
    <row r="210" spans="1:1">
      <c r="A210" s="31"/>
    </row>
    <row r="211" spans="1:1">
      <c r="A211" s="31"/>
    </row>
    <row r="212" spans="1:1">
      <c r="A212" s="31"/>
    </row>
    <row r="213" spans="1:1">
      <c r="A213" s="31"/>
    </row>
    <row r="214" spans="1:1">
      <c r="A214" s="31"/>
    </row>
    <row r="215" spans="1:1">
      <c r="A215" s="31"/>
    </row>
    <row r="216" spans="1:1">
      <c r="A216" s="31"/>
    </row>
    <row r="217" spans="1:1">
      <c r="A217" s="31"/>
    </row>
    <row r="218" spans="1:1">
      <c r="A218" s="31"/>
    </row>
    <row r="219" spans="1:1">
      <c r="A219" s="31"/>
    </row>
    <row r="220" spans="1:1">
      <c r="A220" s="31"/>
    </row>
    <row r="221" spans="1:1">
      <c r="A221" s="31"/>
    </row>
    <row r="222" spans="1:1">
      <c r="A222" s="31"/>
    </row>
    <row r="223" spans="1:1">
      <c r="A223" s="31"/>
    </row>
    <row r="224" spans="1:1">
      <c r="A224" s="31"/>
    </row>
    <row r="225" spans="1:1">
      <c r="A225" s="31"/>
    </row>
    <row r="226" spans="1:1">
      <c r="A226" s="31"/>
    </row>
    <row r="227" spans="1:1">
      <c r="A227" s="31"/>
    </row>
    <row r="228" spans="1:1">
      <c r="A228" s="31"/>
    </row>
    <row r="229" spans="1:1">
      <c r="A229" s="31"/>
    </row>
    <row r="230" spans="1:1">
      <c r="A230" s="31"/>
    </row>
    <row r="231" spans="1:1">
      <c r="A231" s="31"/>
    </row>
    <row r="232" spans="1:1">
      <c r="A232" s="31"/>
    </row>
    <row r="233" spans="1:1">
      <c r="A233" s="31"/>
    </row>
    <row r="234" spans="1:1">
      <c r="A234" s="31"/>
    </row>
    <row r="235" spans="1:1">
      <c r="A235" s="31"/>
    </row>
    <row r="236" spans="1:1">
      <c r="A236" s="31"/>
    </row>
    <row r="237" spans="1:1">
      <c r="A237" s="31"/>
    </row>
    <row r="238" spans="1:1">
      <c r="A238" s="31"/>
    </row>
    <row r="239" spans="1:1">
      <c r="A239" s="31"/>
    </row>
    <row r="240" spans="1:1">
      <c r="A240" s="31"/>
    </row>
    <row r="241" spans="1:1">
      <c r="A241" s="31"/>
    </row>
    <row r="242" spans="1:1">
      <c r="A242" s="31"/>
    </row>
    <row r="243" spans="1:1">
      <c r="A243" s="31"/>
    </row>
    <row r="244" spans="1:1">
      <c r="A244" s="31"/>
    </row>
    <row r="245" spans="1:1">
      <c r="A245" s="31"/>
    </row>
    <row r="246" spans="1:1">
      <c r="A246" s="31"/>
    </row>
    <row r="247" spans="1:1">
      <c r="A247" s="31"/>
    </row>
    <row r="248" spans="1:1">
      <c r="A248" s="31"/>
    </row>
    <row r="249" spans="1:1">
      <c r="A249" s="31"/>
    </row>
    <row r="250" spans="1:1">
      <c r="A250" s="31"/>
    </row>
    <row r="251" spans="1:1">
      <c r="A251" s="31"/>
    </row>
    <row r="252" spans="1:1">
      <c r="A252" s="31"/>
    </row>
    <row r="253" spans="1:1">
      <c r="A253" s="31"/>
    </row>
    <row r="254" spans="1:1">
      <c r="A254" s="31"/>
    </row>
    <row r="255" spans="1:1">
      <c r="A255" s="31"/>
    </row>
    <row r="256" spans="1:1">
      <c r="A256" s="31"/>
    </row>
    <row r="257" spans="1:1">
      <c r="A257" s="31"/>
    </row>
    <row r="258" spans="1:1">
      <c r="A258" s="31"/>
    </row>
    <row r="259" spans="1:1">
      <c r="A259" s="31"/>
    </row>
    <row r="260" spans="1:1">
      <c r="A260" s="31"/>
    </row>
    <row r="261" spans="1:1">
      <c r="A261" s="31"/>
    </row>
    <row r="262" spans="1:1">
      <c r="A262" s="31"/>
    </row>
    <row r="263" spans="1:1">
      <c r="A263" s="31"/>
    </row>
    <row r="264" spans="1:1">
      <c r="A264" s="31"/>
    </row>
    <row r="265" spans="1:1">
      <c r="A265" s="31"/>
    </row>
    <row r="266" spans="1:1">
      <c r="A266" s="31"/>
    </row>
    <row r="267" spans="1:1">
      <c r="A267" s="31"/>
    </row>
    <row r="268" spans="1:1">
      <c r="A268" s="31"/>
    </row>
    <row r="269" spans="1:1">
      <c r="A269" s="31"/>
    </row>
    <row r="270" spans="1:1">
      <c r="A270" s="31"/>
    </row>
    <row r="271" spans="1:1">
      <c r="A271" s="31"/>
    </row>
    <row r="272" spans="1:1">
      <c r="A272" s="31"/>
    </row>
    <row r="273" spans="1:1">
      <c r="A273" s="31"/>
    </row>
    <row r="274" spans="1:1">
      <c r="A274" s="31"/>
    </row>
    <row r="275" spans="1:1">
      <c r="A275" s="31"/>
    </row>
    <row r="276" spans="1:1">
      <c r="A276" s="31"/>
    </row>
    <row r="277" spans="1:1">
      <c r="A277" s="31"/>
    </row>
    <row r="278" spans="1:1">
      <c r="A278" s="31"/>
    </row>
    <row r="279" spans="1:1">
      <c r="A279" s="31"/>
    </row>
    <row r="280" spans="1:1">
      <c r="A280" s="31"/>
    </row>
    <row r="281" spans="1:1">
      <c r="A281" s="31"/>
    </row>
    <row r="282" spans="1:1">
      <c r="A282" s="31"/>
    </row>
    <row r="283" spans="1:1">
      <c r="A283" s="31"/>
    </row>
    <row r="284" spans="1:1">
      <c r="A284" s="31"/>
    </row>
    <row r="285" spans="1:1">
      <c r="A285" s="31"/>
    </row>
    <row r="286" spans="1:1">
      <c r="A286" s="31"/>
    </row>
    <row r="287" spans="1:1">
      <c r="A287" s="31"/>
    </row>
    <row r="288" spans="1:1">
      <c r="A288" s="31"/>
    </row>
    <row r="289" spans="1:1">
      <c r="A289" s="31"/>
    </row>
    <row r="290" spans="1:1">
      <c r="A290" s="31"/>
    </row>
    <row r="291" spans="1:1">
      <c r="A291" s="31"/>
    </row>
    <row r="292" spans="1:1">
      <c r="A292" s="31"/>
    </row>
    <row r="293" spans="1:1">
      <c r="A293" s="31"/>
    </row>
    <row r="294" spans="1:1">
      <c r="A294" s="31"/>
    </row>
    <row r="295" spans="1:1">
      <c r="A295" s="31"/>
    </row>
    <row r="296" spans="1:1">
      <c r="A296" s="31"/>
    </row>
    <row r="297" spans="1:1">
      <c r="A297" s="31"/>
    </row>
    <row r="298" spans="1:1">
      <c r="A298" s="31"/>
    </row>
    <row r="299" spans="1:1">
      <c r="A299" s="31"/>
    </row>
    <row r="300" spans="1:1">
      <c r="A300" s="31"/>
    </row>
    <row r="301" spans="1:1">
      <c r="A301" s="31"/>
    </row>
    <row r="302" spans="1:1">
      <c r="A302" s="31"/>
    </row>
    <row r="303" spans="1:1">
      <c r="A303" s="31"/>
    </row>
    <row r="304" spans="1:1">
      <c r="A304" s="31"/>
    </row>
    <row r="305" spans="1:1">
      <c r="A305" s="31"/>
    </row>
    <row r="306" spans="1:1">
      <c r="A306" s="31"/>
    </row>
    <row r="307" spans="1:1">
      <c r="A307" s="31"/>
    </row>
    <row r="308" spans="1:1">
      <c r="A308" s="31"/>
    </row>
    <row r="309" spans="1:1">
      <c r="A309" s="31"/>
    </row>
    <row r="310" spans="1:1">
      <c r="A310" s="31"/>
    </row>
    <row r="311" spans="1:1">
      <c r="A311" s="31"/>
    </row>
    <row r="312" spans="1:1">
      <c r="A312" s="31"/>
    </row>
    <row r="313" spans="1:1">
      <c r="A313" s="31"/>
    </row>
    <row r="314" spans="1:1">
      <c r="A314" s="31"/>
    </row>
    <row r="315" spans="1:1">
      <c r="A315" s="31"/>
    </row>
    <row r="316" spans="1:1">
      <c r="A316" s="31"/>
    </row>
    <row r="317" spans="1:1">
      <c r="A317" s="31"/>
    </row>
    <row r="318" spans="1:1">
      <c r="A318" s="31"/>
    </row>
    <row r="319" spans="1:1">
      <c r="A319" s="31"/>
    </row>
    <row r="320" spans="1:1">
      <c r="A320" s="31"/>
    </row>
    <row r="321" spans="1:1">
      <c r="A321" s="31"/>
    </row>
    <row r="322" spans="1:1">
      <c r="A322" s="31"/>
    </row>
    <row r="323" spans="1:1">
      <c r="A323" s="31"/>
    </row>
    <row r="324" spans="1:1">
      <c r="A324" s="31"/>
    </row>
    <row r="325" spans="1:1">
      <c r="A325" s="31"/>
    </row>
    <row r="326" spans="1:1">
      <c r="A326" s="31"/>
    </row>
    <row r="327" spans="1:1">
      <c r="A327" s="31"/>
    </row>
    <row r="328" spans="1:1">
      <c r="A328" s="31"/>
    </row>
    <row r="329" spans="1:1">
      <c r="A329" s="31"/>
    </row>
    <row r="330" spans="1:1">
      <c r="A330" s="31"/>
    </row>
    <row r="331" spans="1:1">
      <c r="A331" s="31"/>
    </row>
    <row r="332" spans="1:1">
      <c r="A332" s="31"/>
    </row>
    <row r="333" spans="1:1">
      <c r="A333" s="31"/>
    </row>
    <row r="334" spans="1:1">
      <c r="A334" s="31"/>
    </row>
    <row r="335" spans="1:1">
      <c r="A335" s="31"/>
    </row>
    <row r="336" spans="1:1">
      <c r="A336" s="31"/>
    </row>
    <row r="337" spans="1:1">
      <c r="A337" s="31"/>
    </row>
    <row r="338" spans="1:1">
      <c r="A338" s="31"/>
    </row>
    <row r="339" spans="1:1">
      <c r="A339" s="31"/>
    </row>
    <row r="340" spans="1:1">
      <c r="A340" s="31"/>
    </row>
    <row r="341" spans="1:1">
      <c r="A341" s="31"/>
    </row>
    <row r="342" spans="1:1">
      <c r="A342" s="31"/>
    </row>
    <row r="343" spans="1:1">
      <c r="A343" s="31"/>
    </row>
    <row r="344" spans="1:1">
      <c r="A344" s="31"/>
    </row>
    <row r="345" spans="1:1">
      <c r="A345" s="31"/>
    </row>
    <row r="346" spans="1:1">
      <c r="A346" s="31"/>
    </row>
    <row r="347" spans="1:1">
      <c r="A347" s="31"/>
    </row>
    <row r="348" spans="1:1">
      <c r="A348" s="31"/>
    </row>
    <row r="349" spans="1:1">
      <c r="A349" s="31"/>
    </row>
    <row r="350" spans="1:1">
      <c r="A350" s="31"/>
    </row>
    <row r="351" spans="1:1">
      <c r="A351" s="31"/>
    </row>
    <row r="352" spans="1:1">
      <c r="A352" s="31"/>
    </row>
    <row r="353" spans="1:1">
      <c r="A353" s="31"/>
    </row>
    <row r="354" spans="1:1">
      <c r="A354" s="31"/>
    </row>
    <row r="355" spans="1:1">
      <c r="A355" s="31"/>
    </row>
    <row r="356" spans="1:1">
      <c r="A356" s="31"/>
    </row>
    <row r="357" spans="1:1">
      <c r="A357" s="31"/>
    </row>
    <row r="358" spans="1:1">
      <c r="A358" s="31"/>
    </row>
    <row r="359" spans="1:1">
      <c r="A359" s="31"/>
    </row>
    <row r="360" spans="1:1">
      <c r="A360" s="31"/>
    </row>
    <row r="361" spans="1:1">
      <c r="A361" s="31"/>
    </row>
    <row r="362" spans="1:1">
      <c r="A362" s="31"/>
    </row>
    <row r="363" spans="1:1">
      <c r="A363" s="31"/>
    </row>
    <row r="364" spans="1:1">
      <c r="A364" s="31"/>
    </row>
    <row r="365" spans="1:1">
      <c r="A365" s="31"/>
    </row>
    <row r="366" spans="1:1">
      <c r="A366" s="31"/>
    </row>
    <row r="367" spans="1:1">
      <c r="A367" s="31"/>
    </row>
    <row r="368" spans="1:1">
      <c r="A368" s="31"/>
    </row>
    <row r="369" spans="1:1">
      <c r="A369" s="31"/>
    </row>
    <row r="370" spans="1:1">
      <c r="A370" s="31"/>
    </row>
    <row r="371" spans="1:1">
      <c r="A371" s="31"/>
    </row>
    <row r="372" spans="1:1">
      <c r="A372" s="31"/>
    </row>
    <row r="373" spans="1:1">
      <c r="A373" s="31"/>
    </row>
    <row r="374" spans="1:1">
      <c r="A374" s="31"/>
    </row>
    <row r="375" spans="1:1">
      <c r="A375" s="31"/>
    </row>
    <row r="376" spans="1:1">
      <c r="A376" s="31"/>
    </row>
    <row r="377" spans="1:1">
      <c r="A377" s="31"/>
    </row>
    <row r="378" spans="1:1">
      <c r="A378" s="31"/>
    </row>
    <row r="379" spans="1:1">
      <c r="A379" s="31"/>
    </row>
    <row r="380" spans="1:1">
      <c r="A380" s="31"/>
    </row>
    <row r="381" spans="1:1">
      <c r="A381" s="31"/>
    </row>
    <row r="382" spans="1:1">
      <c r="A382" s="31"/>
    </row>
    <row r="383" spans="1:1">
      <c r="A383" s="31"/>
    </row>
    <row r="384" spans="1:1">
      <c r="A384" s="31"/>
    </row>
    <row r="385" spans="1:1">
      <c r="A385" s="31"/>
    </row>
    <row r="386" spans="1:1">
      <c r="A386" s="31"/>
    </row>
    <row r="387" spans="1:1">
      <c r="A387" s="31"/>
    </row>
    <row r="388" spans="1:1">
      <c r="A388" s="31"/>
    </row>
    <row r="389" spans="1:1">
      <c r="A389" s="31"/>
    </row>
    <row r="390" spans="1:1">
      <c r="A390" s="31"/>
    </row>
    <row r="391" spans="1:1">
      <c r="A391" s="31"/>
    </row>
    <row r="392" spans="1:1">
      <c r="A392" s="31"/>
    </row>
    <row r="393" spans="1:1">
      <c r="A393" s="31"/>
    </row>
    <row r="394" spans="1:1">
      <c r="A394" s="31"/>
    </row>
    <row r="395" spans="1:1">
      <c r="A395" s="31"/>
    </row>
    <row r="396" spans="1:1">
      <c r="A396" s="31"/>
    </row>
    <row r="397" spans="1:1">
      <c r="A397" s="31"/>
    </row>
    <row r="398" spans="1:1">
      <c r="A398" s="31"/>
    </row>
    <row r="399" spans="1:1">
      <c r="A399" s="31"/>
    </row>
    <row r="400" spans="1:1">
      <c r="A400" s="31"/>
    </row>
    <row r="401" spans="1:1">
      <c r="A401" s="31"/>
    </row>
    <row r="402" spans="1:1">
      <c r="A402" s="31"/>
    </row>
    <row r="403" spans="1:1">
      <c r="A403" s="31"/>
    </row>
    <row r="404" spans="1:1">
      <c r="A404" s="31"/>
    </row>
    <row r="405" spans="1:1">
      <c r="A405" s="31"/>
    </row>
    <row r="406" spans="1:1">
      <c r="A406" s="31"/>
    </row>
    <row r="407" spans="1:1">
      <c r="A407" s="31"/>
    </row>
    <row r="408" spans="1:1">
      <c r="A408" s="31"/>
    </row>
    <row r="409" spans="1:1">
      <c r="A409" s="31"/>
    </row>
    <row r="410" spans="1:1">
      <c r="A410" s="31"/>
    </row>
    <row r="411" spans="1:1">
      <c r="A411" s="31"/>
    </row>
    <row r="412" spans="1:1">
      <c r="A412" s="31"/>
    </row>
    <row r="413" spans="1:1">
      <c r="A413" s="31"/>
    </row>
    <row r="414" spans="1:1">
      <c r="A414" s="31"/>
    </row>
    <row r="415" spans="1:1">
      <c r="A415" s="31"/>
    </row>
    <row r="416" spans="1:1">
      <c r="A416" s="31"/>
    </row>
    <row r="417" spans="1:1">
      <c r="A417" s="31"/>
    </row>
    <row r="418" spans="1:1">
      <c r="A418" s="31"/>
    </row>
    <row r="419" spans="1:1">
      <c r="A419" s="31"/>
    </row>
    <row r="420" spans="1:1">
      <c r="A420" s="31"/>
    </row>
    <row r="421" spans="1:1">
      <c r="A421" s="31"/>
    </row>
    <row r="422" spans="1:1">
      <c r="A422" s="31"/>
    </row>
    <row r="423" spans="1:1">
      <c r="A423" s="31"/>
    </row>
    <row r="424" spans="1:1">
      <c r="A424" s="31"/>
    </row>
    <row r="425" spans="1:1">
      <c r="A425" s="31"/>
    </row>
    <row r="426" spans="1:1">
      <c r="A426" s="31"/>
    </row>
    <row r="427" spans="1:1">
      <c r="A427" s="31"/>
    </row>
    <row r="428" spans="1:1">
      <c r="A428" s="31"/>
    </row>
    <row r="429" spans="1:1">
      <c r="A429" s="31"/>
    </row>
    <row r="430" spans="1:1">
      <c r="A430" s="31"/>
    </row>
    <row r="431" spans="1:1">
      <c r="A431" s="31"/>
    </row>
    <row r="432" spans="1:1">
      <c r="A432" s="31"/>
    </row>
    <row r="433" spans="1:1">
      <c r="A433" s="31"/>
    </row>
    <row r="434" spans="1:1">
      <c r="A434" s="31"/>
    </row>
    <row r="435" spans="1:1">
      <c r="A435" s="31"/>
    </row>
    <row r="436" spans="1:1">
      <c r="A436" s="31"/>
    </row>
    <row r="437" spans="1:1">
      <c r="A437" s="31"/>
    </row>
    <row r="438" spans="1:1">
      <c r="A438" s="31"/>
    </row>
    <row r="439" spans="1:1">
      <c r="A439" s="31"/>
    </row>
    <row r="440" spans="1:1">
      <c r="A440" s="31"/>
    </row>
    <row r="441" spans="1:1">
      <c r="A441" s="31"/>
    </row>
    <row r="442" spans="1:1">
      <c r="A442" s="31"/>
    </row>
    <row r="443" spans="1:1">
      <c r="A443" s="31"/>
    </row>
    <row r="444" spans="1:1">
      <c r="A444" s="31"/>
    </row>
    <row r="445" spans="1:1">
      <c r="A445" s="31"/>
    </row>
    <row r="446" spans="1:1">
      <c r="A446" s="31"/>
    </row>
    <row r="447" spans="1:1">
      <c r="A447" s="31"/>
    </row>
    <row r="448" spans="1:1">
      <c r="A448" s="31"/>
    </row>
    <row r="449" spans="1:1">
      <c r="A449" s="31"/>
    </row>
    <row r="450" spans="1:1">
      <c r="A450" s="31"/>
    </row>
    <row r="451" spans="1:1">
      <c r="A451" s="31"/>
    </row>
    <row r="452" spans="1:1">
      <c r="A452" s="31"/>
    </row>
    <row r="453" spans="1:1">
      <c r="A453" s="31"/>
    </row>
    <row r="454" spans="1:1">
      <c r="A454" s="31"/>
    </row>
    <row r="455" spans="1:1">
      <c r="A455" s="31"/>
    </row>
    <row r="456" spans="1:1">
      <c r="A456" s="31"/>
    </row>
    <row r="457" spans="1:1">
      <c r="A457" s="31"/>
    </row>
    <row r="458" spans="1:1">
      <c r="A458" s="31"/>
    </row>
    <row r="459" spans="1:1">
      <c r="A459" s="31"/>
    </row>
    <row r="460" spans="1:1">
      <c r="A460" s="31"/>
    </row>
    <row r="461" spans="1:1">
      <c r="A461" s="31"/>
    </row>
    <row r="462" spans="1:1">
      <c r="A462" s="31"/>
    </row>
    <row r="463" spans="1:1">
      <c r="A463" s="31"/>
    </row>
    <row r="464" spans="1:1">
      <c r="A464" s="31"/>
    </row>
    <row r="465" spans="1:1">
      <c r="A465" s="31"/>
    </row>
    <row r="466" spans="1:1">
      <c r="A466" s="31"/>
    </row>
    <row r="467" spans="1:1">
      <c r="A467" s="31"/>
    </row>
    <row r="468" spans="1:1">
      <c r="A468" s="31"/>
    </row>
    <row r="469" spans="1:1">
      <c r="A469" s="31"/>
    </row>
    <row r="470" spans="1:1">
      <c r="A470" s="31"/>
    </row>
    <row r="471" spans="1:1">
      <c r="A471" s="31"/>
    </row>
    <row r="472" spans="1:1">
      <c r="A472" s="31"/>
    </row>
    <row r="473" spans="1:1">
      <c r="A473" s="31"/>
    </row>
    <row r="474" spans="1:1">
      <c r="A474" s="31"/>
    </row>
    <row r="475" spans="1:1">
      <c r="A475" s="31"/>
    </row>
    <row r="476" spans="1:1">
      <c r="A476" s="31"/>
    </row>
    <row r="477" spans="1:1">
      <c r="A477" s="31"/>
    </row>
    <row r="478" spans="1:1">
      <c r="A478" s="31"/>
    </row>
    <row r="479" spans="1:1">
      <c r="A479" s="31"/>
    </row>
    <row r="480" spans="1:1">
      <c r="A480" s="31"/>
    </row>
    <row r="481" spans="1:1">
      <c r="A481" s="31"/>
    </row>
    <row r="482" spans="1:1">
      <c r="A482" s="31"/>
    </row>
    <row r="483" spans="1:1">
      <c r="A483" s="31"/>
    </row>
    <row r="484" spans="1:1">
      <c r="A484" s="31"/>
    </row>
    <row r="485" spans="1:1">
      <c r="A485" s="31"/>
    </row>
    <row r="486" spans="1:1">
      <c r="A486" s="31"/>
    </row>
    <row r="487" spans="1:1">
      <c r="A487" s="31"/>
    </row>
    <row r="488" spans="1:1">
      <c r="A488" s="31"/>
    </row>
    <row r="489" spans="1:1">
      <c r="A489" s="31"/>
    </row>
    <row r="490" spans="1:1">
      <c r="A490" s="31"/>
    </row>
    <row r="491" spans="1:1">
      <c r="A491" s="31"/>
    </row>
    <row r="492" spans="1:1">
      <c r="A492" s="31"/>
    </row>
    <row r="493" spans="1:1">
      <c r="A493" s="31"/>
    </row>
    <row r="494" spans="1:1">
      <c r="A494" s="31"/>
    </row>
    <row r="495" spans="1:1">
      <c r="A495" s="31"/>
    </row>
    <row r="496" spans="1:1">
      <c r="A496" s="31"/>
    </row>
    <row r="497" spans="1:1">
      <c r="A497" s="31"/>
    </row>
    <row r="498" spans="1:1">
      <c r="A498" s="31"/>
    </row>
    <row r="499" spans="1:1">
      <c r="A499" s="31"/>
    </row>
    <row r="500" spans="1:1">
      <c r="A500" s="31"/>
    </row>
    <row r="501" spans="1:1">
      <c r="A501" s="31"/>
    </row>
    <row r="502" spans="1:1">
      <c r="A502" s="31"/>
    </row>
    <row r="503" spans="1:1">
      <c r="A503" s="31"/>
    </row>
    <row r="504" spans="1:1">
      <c r="A504" s="31"/>
    </row>
    <row r="505" spans="1:1">
      <c r="A505" s="31"/>
    </row>
    <row r="506" spans="1:1">
      <c r="A506" s="31"/>
    </row>
    <row r="507" spans="1:1">
      <c r="A507" s="31"/>
    </row>
    <row r="508" spans="1:1">
      <c r="A508" s="31"/>
    </row>
    <row r="509" spans="1:1">
      <c r="A509" s="31"/>
    </row>
    <row r="510" spans="1:1">
      <c r="A510" s="31"/>
    </row>
    <row r="511" spans="1:1">
      <c r="A511" s="31"/>
    </row>
    <row r="512" spans="1:1">
      <c r="A512" s="31"/>
    </row>
    <row r="513" spans="1:1">
      <c r="A513" s="31"/>
    </row>
    <row r="514" spans="1:1">
      <c r="A514" s="31"/>
    </row>
    <row r="515" spans="1:1">
      <c r="A515" s="31"/>
    </row>
    <row r="516" spans="1:1">
      <c r="A516" s="31"/>
    </row>
    <row r="517" spans="1:1">
      <c r="A517" s="31"/>
    </row>
    <row r="518" spans="1:1">
      <c r="A518" s="31"/>
    </row>
    <row r="519" spans="1:1">
      <c r="A519" s="31"/>
    </row>
    <row r="520" spans="1:1">
      <c r="A520" s="31"/>
    </row>
    <row r="521" spans="1:1">
      <c r="A521" s="31"/>
    </row>
    <row r="522" spans="1:1">
      <c r="A522" s="31"/>
    </row>
    <row r="523" spans="1:1">
      <c r="A523" s="31"/>
    </row>
    <row r="524" spans="1:1">
      <c r="A524" s="31"/>
    </row>
    <row r="525" spans="1:1">
      <c r="A525" s="31"/>
    </row>
    <row r="526" spans="1:1">
      <c r="A526" s="31"/>
    </row>
    <row r="527" spans="1:1">
      <c r="A527" s="31"/>
    </row>
    <row r="528" spans="1:1">
      <c r="A528" s="31"/>
    </row>
    <row r="529" spans="1:1">
      <c r="A529" s="31"/>
    </row>
    <row r="530" spans="1:1">
      <c r="A530" s="31"/>
    </row>
    <row r="531" spans="1:1">
      <c r="A531" s="31"/>
    </row>
    <row r="532" spans="1:1">
      <c r="A532" s="31"/>
    </row>
    <row r="533" spans="1:1">
      <c r="A533" s="31"/>
    </row>
    <row r="534" spans="1:1">
      <c r="A534" s="31"/>
    </row>
    <row r="535" spans="1:1">
      <c r="A535" s="31"/>
    </row>
    <row r="536" spans="1:1">
      <c r="A536" s="31"/>
    </row>
    <row r="537" spans="1:1">
      <c r="A537" s="31"/>
    </row>
    <row r="538" spans="1:1">
      <c r="A538" s="31"/>
    </row>
    <row r="539" spans="1:1">
      <c r="A539" s="31"/>
    </row>
    <row r="540" spans="1:1">
      <c r="A540" s="31"/>
    </row>
    <row r="541" spans="1:1">
      <c r="A541" s="31"/>
    </row>
    <row r="542" spans="1:1">
      <c r="A542" s="31"/>
    </row>
    <row r="543" spans="1:1">
      <c r="A543" s="31"/>
    </row>
    <row r="544" spans="1:1">
      <c r="A544" s="31"/>
    </row>
    <row r="545" spans="1:1">
      <c r="A545" s="31"/>
    </row>
    <row r="546" spans="1:1">
      <c r="A546" s="31"/>
    </row>
    <row r="547" spans="1:1">
      <c r="A547" s="31"/>
    </row>
    <row r="548" spans="1:1">
      <c r="A548" s="31"/>
    </row>
    <row r="549" spans="1:1">
      <c r="A549" s="31"/>
    </row>
    <row r="550" spans="1:1">
      <c r="A550" s="31"/>
    </row>
    <row r="551" spans="1:1">
      <c r="A551" s="31"/>
    </row>
    <row r="552" spans="1:1">
      <c r="A552" s="31"/>
    </row>
    <row r="553" spans="1:1">
      <c r="A553" s="31"/>
    </row>
    <row r="554" spans="1:1">
      <c r="A554" s="31"/>
    </row>
    <row r="555" spans="1:1">
      <c r="A555" s="31"/>
    </row>
    <row r="556" spans="1:1">
      <c r="A556" s="31"/>
    </row>
    <row r="557" spans="1:1">
      <c r="A557" s="31"/>
    </row>
    <row r="558" spans="1:1">
      <c r="A558" s="31"/>
    </row>
    <row r="559" spans="1:1">
      <c r="A559" s="31"/>
    </row>
    <row r="560" spans="1:1">
      <c r="A560" s="31"/>
    </row>
    <row r="561" spans="1:1">
      <c r="A561" s="31"/>
    </row>
    <row r="562" spans="1:1">
      <c r="A562" s="31"/>
    </row>
    <row r="563" spans="1:1">
      <c r="A563" s="31"/>
    </row>
    <row r="564" spans="1:1">
      <c r="A564" s="31"/>
    </row>
    <row r="565" spans="1:1">
      <c r="A565" s="31"/>
    </row>
    <row r="566" spans="1:1">
      <c r="A566" s="31"/>
    </row>
    <row r="567" spans="1:1">
      <c r="A567" s="31"/>
    </row>
    <row r="568" spans="1:1">
      <c r="A568" s="31"/>
    </row>
    <row r="569" spans="1:1">
      <c r="A569" s="31"/>
    </row>
    <row r="570" spans="1:1">
      <c r="A570" s="31"/>
    </row>
    <row r="571" spans="1:1">
      <c r="A571" s="31"/>
    </row>
    <row r="572" spans="1:1">
      <c r="A572" s="31"/>
    </row>
    <row r="573" spans="1:1">
      <c r="A573" s="31"/>
    </row>
    <row r="574" spans="1:1">
      <c r="A574" s="31"/>
    </row>
    <row r="575" spans="1:1">
      <c r="A575" s="31"/>
    </row>
    <row r="576" spans="1:1">
      <c r="A576" s="31"/>
    </row>
    <row r="577" spans="1:1">
      <c r="A577" s="31"/>
    </row>
    <row r="578" spans="1:1">
      <c r="A578" s="31"/>
    </row>
    <row r="579" spans="1:1">
      <c r="A579" s="31"/>
    </row>
    <row r="580" spans="1:1">
      <c r="A580" s="31"/>
    </row>
    <row r="581" spans="1:1">
      <c r="A581" s="31"/>
    </row>
    <row r="582" spans="1:1">
      <c r="A582" s="31"/>
    </row>
    <row r="583" spans="1:1">
      <c r="A583" s="31"/>
    </row>
    <row r="584" spans="1:1">
      <c r="A584" s="31"/>
    </row>
    <row r="585" spans="1:1">
      <c r="A585" s="31"/>
    </row>
    <row r="586" spans="1:1">
      <c r="A586" s="31"/>
    </row>
    <row r="587" spans="1:1">
      <c r="A587" s="31"/>
    </row>
    <row r="588" spans="1:1">
      <c r="A588" s="31"/>
    </row>
    <row r="589" spans="1:1">
      <c r="A589" s="31"/>
    </row>
    <row r="590" spans="1:1">
      <c r="A590" s="31"/>
    </row>
    <row r="591" spans="1:1">
      <c r="A591" s="31"/>
    </row>
    <row r="592" spans="1:1">
      <c r="A592" s="31"/>
    </row>
    <row r="593" spans="1:1">
      <c r="A593" s="31"/>
    </row>
    <row r="594" spans="1:1">
      <c r="A594" s="31"/>
    </row>
    <row r="595" spans="1:1">
      <c r="A595" s="31"/>
    </row>
    <row r="596" spans="1:1">
      <c r="A596" s="31"/>
    </row>
    <row r="597" spans="1:1">
      <c r="A597" s="31"/>
    </row>
    <row r="598" spans="1:1">
      <c r="A598" s="31"/>
    </row>
    <row r="599" spans="1:1">
      <c r="A599" s="31"/>
    </row>
    <row r="600" spans="1:1">
      <c r="A600" s="31"/>
    </row>
    <row r="601" spans="1:1">
      <c r="A601" s="31"/>
    </row>
    <row r="602" spans="1:1">
      <c r="A602" s="31"/>
    </row>
    <row r="603" spans="1:1">
      <c r="A603" s="31"/>
    </row>
    <row r="604" spans="1:1">
      <c r="A604" s="31"/>
    </row>
    <row r="605" spans="1:1">
      <c r="A605" s="31"/>
    </row>
    <row r="606" spans="1:1">
      <c r="A606" s="31"/>
    </row>
    <row r="607" spans="1:1">
      <c r="A607" s="31"/>
    </row>
    <row r="608" spans="1:1">
      <c r="A608" s="31"/>
    </row>
    <row r="609" spans="1:1">
      <c r="A609" s="31"/>
    </row>
    <row r="610" spans="1:1">
      <c r="A610" s="31"/>
    </row>
    <row r="611" spans="1:1">
      <c r="A611" s="31"/>
    </row>
    <row r="612" spans="1:1">
      <c r="A612" s="31"/>
    </row>
    <row r="613" spans="1:1">
      <c r="A613" s="31"/>
    </row>
    <row r="614" spans="1:1">
      <c r="A614" s="31"/>
    </row>
    <row r="615" spans="1:1">
      <c r="A615" s="31"/>
    </row>
    <row r="616" spans="1:1">
      <c r="A616" s="31"/>
    </row>
    <row r="617" spans="1:1">
      <c r="A617" s="31"/>
    </row>
    <row r="618" spans="1:1">
      <c r="A618" s="31"/>
    </row>
    <row r="619" spans="1:1">
      <c r="A619" s="31"/>
    </row>
    <row r="620" spans="1:1">
      <c r="A620" s="31"/>
    </row>
    <row r="621" spans="1:1">
      <c r="A621" s="31"/>
    </row>
    <row r="622" spans="1:1">
      <c r="A622" s="31"/>
    </row>
    <row r="623" spans="1:1">
      <c r="A623" s="31"/>
    </row>
    <row r="624" spans="1:1">
      <c r="A624" s="31"/>
    </row>
    <row r="625" spans="1:1">
      <c r="A625" s="31"/>
    </row>
    <row r="626" spans="1:1">
      <c r="A626" s="31"/>
    </row>
    <row r="627" spans="1:1">
      <c r="A627" s="31"/>
    </row>
    <row r="628" spans="1:1">
      <c r="A628" s="31"/>
    </row>
    <row r="629" spans="1:1">
      <c r="A629" s="31"/>
    </row>
    <row r="630" spans="1:1">
      <c r="A630" s="31"/>
    </row>
    <row r="631" spans="1:1">
      <c r="A631" s="31"/>
    </row>
    <row r="632" spans="1:1">
      <c r="A632" s="31"/>
    </row>
    <row r="633" spans="1:1">
      <c r="A633" s="31"/>
    </row>
    <row r="634" spans="1:1">
      <c r="A634" s="31"/>
    </row>
    <row r="635" spans="1:1">
      <c r="A635" s="31"/>
    </row>
    <row r="636" spans="1:1">
      <c r="A636" s="31"/>
    </row>
    <row r="637" spans="1:1">
      <c r="A637" s="31"/>
    </row>
    <row r="638" spans="1:1">
      <c r="A638" s="31"/>
    </row>
    <row r="639" spans="1:1">
      <c r="A639" s="31"/>
    </row>
    <row r="640" spans="1:1">
      <c r="A640" s="31"/>
    </row>
    <row r="641" spans="1:1">
      <c r="A641" s="31"/>
    </row>
    <row r="642" spans="1:1">
      <c r="A642" s="31"/>
    </row>
    <row r="643" spans="1:1">
      <c r="A643" s="31"/>
    </row>
    <row r="644" spans="1:1">
      <c r="A644" s="31"/>
    </row>
    <row r="645" spans="1:1">
      <c r="A645" s="31"/>
    </row>
    <row r="646" spans="1:1">
      <c r="A646" s="31"/>
    </row>
    <row r="647" spans="1:1">
      <c r="A647" s="31"/>
    </row>
    <row r="648" spans="1:1">
      <c r="A648" s="31"/>
    </row>
    <row r="649" spans="1:1">
      <c r="A649" s="31"/>
    </row>
    <row r="650" spans="1:1">
      <c r="A650" s="31"/>
    </row>
    <row r="651" spans="1:1">
      <c r="A651" s="31"/>
    </row>
    <row r="652" spans="1:1">
      <c r="A652" s="31"/>
    </row>
    <row r="653" spans="1:1">
      <c r="A653" s="31"/>
    </row>
    <row r="654" spans="1:1">
      <c r="A654" s="31"/>
    </row>
    <row r="655" spans="1:1">
      <c r="A655" s="31"/>
    </row>
    <row r="656" spans="1:1">
      <c r="A656" s="31"/>
    </row>
    <row r="657" spans="1:1">
      <c r="A657" s="31"/>
    </row>
    <row r="658" spans="1:1">
      <c r="A658" s="31"/>
    </row>
    <row r="659" spans="1:1">
      <c r="A659" s="31"/>
    </row>
    <row r="660" spans="1:1">
      <c r="A660" s="31"/>
    </row>
    <row r="661" spans="1:1">
      <c r="A661" s="31"/>
    </row>
    <row r="662" spans="1:1">
      <c r="A662" s="31"/>
    </row>
    <row r="663" spans="1:1">
      <c r="A663" s="31"/>
    </row>
    <row r="664" spans="1:1">
      <c r="A664" s="31"/>
    </row>
    <row r="665" spans="1:1">
      <c r="A665" s="31"/>
    </row>
    <row r="666" spans="1:1">
      <c r="A666" s="31"/>
    </row>
    <row r="667" spans="1:1">
      <c r="A667" s="31"/>
    </row>
    <row r="668" spans="1:1">
      <c r="A668" s="31"/>
    </row>
    <row r="669" spans="1:1">
      <c r="A669" s="31"/>
    </row>
    <row r="670" spans="1:1">
      <c r="A670" s="31"/>
    </row>
    <row r="671" spans="1:1">
      <c r="A671" s="31"/>
    </row>
    <row r="672" spans="1:1">
      <c r="A672" s="31"/>
    </row>
    <row r="673" spans="1:1">
      <c r="A673" s="31"/>
    </row>
    <row r="674" spans="1:1">
      <c r="A674" s="31"/>
    </row>
    <row r="675" spans="1:1">
      <c r="A675" s="31"/>
    </row>
    <row r="676" spans="1:1">
      <c r="A676" s="31"/>
    </row>
    <row r="677" spans="1:1">
      <c r="A677" s="31"/>
    </row>
    <row r="678" spans="1:1">
      <c r="A678" s="31"/>
    </row>
    <row r="679" spans="1:1">
      <c r="A679" s="31"/>
    </row>
    <row r="680" spans="1:1">
      <c r="A680" s="31"/>
    </row>
    <row r="681" spans="1:1">
      <c r="A681" s="31"/>
    </row>
    <row r="682" spans="1:1">
      <c r="A682" s="31"/>
    </row>
    <row r="683" spans="1:1">
      <c r="A683" s="31"/>
    </row>
    <row r="684" spans="1:1">
      <c r="A684" s="31"/>
    </row>
    <row r="685" spans="1:1">
      <c r="A685" s="31"/>
    </row>
    <row r="686" spans="1:1">
      <c r="A686" s="31"/>
    </row>
    <row r="687" spans="1:1">
      <c r="A687" s="31"/>
    </row>
    <row r="688" spans="1:1">
      <c r="A688" s="31"/>
    </row>
    <row r="689" spans="1:1">
      <c r="A689" s="31"/>
    </row>
    <row r="690" spans="1:1">
      <c r="A690" s="31"/>
    </row>
    <row r="691" spans="1:1">
      <c r="A691" s="31"/>
    </row>
    <row r="692" spans="1:1">
      <c r="A692" s="31"/>
    </row>
    <row r="693" spans="1:1">
      <c r="A693" s="31"/>
    </row>
    <row r="694" spans="1:1">
      <c r="A694" s="31"/>
    </row>
    <row r="695" spans="1:1">
      <c r="A695" s="31"/>
    </row>
    <row r="696" spans="1:1">
      <c r="A696" s="31"/>
    </row>
    <row r="697" spans="1:1">
      <c r="A697" s="31"/>
    </row>
    <row r="698" spans="1:1">
      <c r="A698" s="31"/>
    </row>
    <row r="699" spans="1:1">
      <c r="A699" s="31"/>
    </row>
    <row r="700" spans="1:1">
      <c r="A700" s="31"/>
    </row>
    <row r="701" spans="1:1">
      <c r="A701" s="31"/>
    </row>
    <row r="702" spans="1:1">
      <c r="A702" s="31"/>
    </row>
    <row r="703" spans="1:1">
      <c r="A703" s="31"/>
    </row>
    <row r="704" spans="1:1">
      <c r="A704" s="31"/>
    </row>
    <row r="705" spans="1:1">
      <c r="A705" s="31"/>
    </row>
    <row r="706" spans="1:1">
      <c r="A706" s="31"/>
    </row>
    <row r="707" spans="1:1">
      <c r="A707" s="31"/>
    </row>
    <row r="708" spans="1:1">
      <c r="A708" s="31"/>
    </row>
    <row r="709" spans="1:1">
      <c r="A709" s="31"/>
    </row>
    <row r="710" spans="1:1">
      <c r="A710" s="31"/>
    </row>
    <row r="711" spans="1:1">
      <c r="A711" s="31"/>
    </row>
    <row r="712" spans="1:1">
      <c r="A712" s="31"/>
    </row>
    <row r="713" spans="1:1">
      <c r="A713" s="31"/>
    </row>
    <row r="714" spans="1:1">
      <c r="A714" s="31"/>
    </row>
    <row r="715" spans="1:1">
      <c r="A715" s="31"/>
    </row>
    <row r="716" spans="1:1">
      <c r="A716" s="31"/>
    </row>
    <row r="717" spans="1:1">
      <c r="A717" s="31"/>
    </row>
    <row r="718" spans="1:1">
      <c r="A718" s="31"/>
    </row>
    <row r="719" spans="1:1">
      <c r="A719" s="31"/>
    </row>
    <row r="720" spans="1:1">
      <c r="A720" s="31"/>
    </row>
    <row r="721" spans="1:1">
      <c r="A721" s="31"/>
    </row>
    <row r="722" spans="1:1">
      <c r="A722" s="31"/>
    </row>
    <row r="723" spans="1:1">
      <c r="A723" s="31"/>
    </row>
    <row r="724" spans="1:1">
      <c r="A724" s="31"/>
    </row>
    <row r="725" spans="1:1">
      <c r="A725" s="31"/>
    </row>
    <row r="726" spans="1:1">
      <c r="A726" s="31"/>
    </row>
    <row r="727" spans="1:1">
      <c r="A727" s="31"/>
    </row>
    <row r="728" spans="1:1">
      <c r="A728" s="31"/>
    </row>
    <row r="729" spans="1:1">
      <c r="A729" s="31"/>
    </row>
    <row r="730" spans="1:1">
      <c r="A730" s="31"/>
    </row>
    <row r="731" spans="1:1">
      <c r="A731" s="31"/>
    </row>
    <row r="732" spans="1:1">
      <c r="A732" s="31"/>
    </row>
    <row r="733" spans="1:1">
      <c r="A733" s="31"/>
    </row>
    <row r="734" spans="1:1">
      <c r="A734" s="31"/>
    </row>
    <row r="735" spans="1:1">
      <c r="A735" s="31"/>
    </row>
    <row r="736" spans="1:1">
      <c r="A736" s="31"/>
    </row>
    <row r="737" spans="1:1">
      <c r="A737" s="31"/>
    </row>
    <row r="738" spans="1:1">
      <c r="A738" s="31"/>
    </row>
    <row r="739" spans="1:1">
      <c r="A739" s="31"/>
    </row>
    <row r="740" spans="1:1">
      <c r="A740" s="31"/>
    </row>
    <row r="741" spans="1:1">
      <c r="A741" s="31"/>
    </row>
    <row r="742" spans="1:1">
      <c r="A742" s="31"/>
    </row>
    <row r="743" spans="1:1">
      <c r="A743" s="31"/>
    </row>
    <row r="744" spans="1:1">
      <c r="A744" s="31"/>
    </row>
    <row r="745" spans="1:1">
      <c r="A745" s="31"/>
    </row>
    <row r="746" spans="1:1">
      <c r="A746" s="31"/>
    </row>
    <row r="747" spans="1:1">
      <c r="A747" s="31"/>
    </row>
    <row r="748" spans="1:1">
      <c r="A748" s="31"/>
    </row>
    <row r="749" spans="1:1">
      <c r="A749" s="31"/>
    </row>
    <row r="750" spans="1:1">
      <c r="A750" s="31"/>
    </row>
    <row r="751" spans="1:1">
      <c r="A751" s="31"/>
    </row>
    <row r="752" spans="1:1">
      <c r="A752" s="31"/>
    </row>
    <row r="753" spans="1:1">
      <c r="A753" s="31"/>
    </row>
    <row r="754" spans="1:1">
      <c r="A754" s="31"/>
    </row>
    <row r="755" spans="1:1">
      <c r="A755" s="31"/>
    </row>
    <row r="756" spans="1:1">
      <c r="A756" s="31"/>
    </row>
    <row r="757" spans="1:1">
      <c r="A757" s="31"/>
    </row>
    <row r="758" spans="1:1">
      <c r="A758" s="31"/>
    </row>
    <row r="759" spans="1:1">
      <c r="A759" s="31"/>
    </row>
    <row r="760" spans="1:1">
      <c r="A760" s="31"/>
    </row>
    <row r="761" spans="1:1">
      <c r="A761" s="31"/>
    </row>
    <row r="762" spans="1:1">
      <c r="A762" s="31"/>
    </row>
    <row r="763" spans="1:1">
      <c r="A763" s="31"/>
    </row>
    <row r="764" spans="1:1">
      <c r="A764" s="31"/>
    </row>
    <row r="765" spans="1:1">
      <c r="A765" s="31"/>
    </row>
    <row r="766" spans="1:1">
      <c r="A766" s="31"/>
    </row>
    <row r="767" spans="1:1">
      <c r="A767" s="31"/>
    </row>
    <row r="768" spans="1:1">
      <c r="A768" s="31"/>
    </row>
    <row r="769" spans="1:1">
      <c r="A769" s="31"/>
    </row>
    <row r="770" spans="1:1">
      <c r="A770" s="31"/>
    </row>
    <row r="771" spans="1:1">
      <c r="A771" s="31"/>
    </row>
    <row r="772" spans="1:1">
      <c r="A772" s="31"/>
    </row>
    <row r="773" spans="1:1">
      <c r="A773" s="31"/>
    </row>
    <row r="774" spans="1:1">
      <c r="A774" s="31"/>
    </row>
    <row r="775" spans="1:1">
      <c r="A775" s="31"/>
    </row>
    <row r="776" spans="1:1">
      <c r="A776" s="31"/>
    </row>
    <row r="777" spans="1:1">
      <c r="A777" s="31"/>
    </row>
    <row r="778" spans="1:1">
      <c r="A778" s="31"/>
    </row>
    <row r="779" spans="1:1">
      <c r="A779" s="31"/>
    </row>
    <row r="780" spans="1:1">
      <c r="A780" s="31"/>
    </row>
    <row r="781" spans="1:1">
      <c r="A781" s="31"/>
    </row>
    <row r="782" spans="1:1">
      <c r="A782" s="31"/>
    </row>
    <row r="783" spans="1:1">
      <c r="A783" s="31"/>
    </row>
    <row r="784" spans="1:1">
      <c r="A784" s="31"/>
    </row>
    <row r="785" spans="1:1">
      <c r="A785" s="31"/>
    </row>
    <row r="786" spans="1:1">
      <c r="A786" s="31"/>
    </row>
    <row r="787" spans="1:1">
      <c r="A787" s="31"/>
    </row>
    <row r="788" spans="1:1">
      <c r="A788" s="31"/>
    </row>
    <row r="789" spans="1:1">
      <c r="A789" s="31"/>
    </row>
    <row r="790" spans="1:1">
      <c r="A790" s="31"/>
    </row>
    <row r="791" spans="1:1">
      <c r="A791" s="31"/>
    </row>
    <row r="792" spans="1:1">
      <c r="A792" s="31"/>
    </row>
    <row r="793" spans="1:1">
      <c r="A793" s="31"/>
    </row>
    <row r="794" spans="1:1">
      <c r="A794" s="31"/>
    </row>
    <row r="795" spans="1:1">
      <c r="A795" s="31"/>
    </row>
    <row r="796" spans="1:1">
      <c r="A796" s="31"/>
    </row>
    <row r="797" spans="1:1">
      <c r="A797" s="31"/>
    </row>
    <row r="798" spans="1:1">
      <c r="A798" s="31"/>
    </row>
    <row r="799" spans="1:1">
      <c r="A799" s="31"/>
    </row>
    <row r="800" spans="1:1">
      <c r="A800" s="31"/>
    </row>
    <row r="801" spans="1:1">
      <c r="A801" s="31"/>
    </row>
    <row r="802" spans="1:1">
      <c r="A802" s="31"/>
    </row>
    <row r="803" spans="1:1">
      <c r="A803" s="31"/>
    </row>
    <row r="804" spans="1:1">
      <c r="A804" s="31"/>
    </row>
    <row r="805" spans="1:1">
      <c r="A805" s="31"/>
    </row>
    <row r="806" spans="1:1">
      <c r="A806" s="31"/>
    </row>
    <row r="807" spans="1:1">
      <c r="A807" s="31"/>
    </row>
    <row r="808" spans="1:1">
      <c r="A808" s="31"/>
    </row>
    <row r="809" spans="1:1">
      <c r="A809" s="31"/>
    </row>
    <row r="810" spans="1:1">
      <c r="A810" s="31"/>
    </row>
    <row r="811" spans="1:1">
      <c r="A811" s="31"/>
    </row>
    <row r="812" spans="1:1">
      <c r="A812" s="31"/>
    </row>
    <row r="813" spans="1:1">
      <c r="A813" s="31"/>
    </row>
    <row r="814" spans="1:1">
      <c r="A814" s="31"/>
    </row>
    <row r="815" spans="1:1">
      <c r="A815" s="31"/>
    </row>
    <row r="816" spans="1:1">
      <c r="A816" s="31"/>
    </row>
    <row r="817" spans="1:1">
      <c r="A817" s="31"/>
    </row>
    <row r="818" spans="1:1">
      <c r="A818" s="31"/>
    </row>
    <row r="819" spans="1:1">
      <c r="A819" s="31"/>
    </row>
    <row r="820" spans="1:1">
      <c r="A820" s="31"/>
    </row>
    <row r="821" spans="1:1">
      <c r="A821" s="31"/>
    </row>
    <row r="822" spans="1:1">
      <c r="A822" s="31"/>
    </row>
    <row r="823" spans="1:1">
      <c r="A823" s="31"/>
    </row>
    <row r="824" spans="1:1">
      <c r="A824" s="31"/>
    </row>
    <row r="825" spans="1:1">
      <c r="A825" s="31"/>
    </row>
    <row r="826" spans="1:1">
      <c r="A826" s="31"/>
    </row>
    <row r="827" spans="1:1">
      <c r="A827" s="31"/>
    </row>
    <row r="828" spans="1:1">
      <c r="A828" s="31"/>
    </row>
    <row r="829" spans="1:1">
      <c r="A829" s="31"/>
    </row>
    <row r="830" spans="1:1">
      <c r="A830" s="31"/>
    </row>
    <row r="831" spans="1:1">
      <c r="A831" s="31"/>
    </row>
    <row r="832" spans="1:1">
      <c r="A832" s="31"/>
    </row>
    <row r="833" spans="1:1">
      <c r="A833" s="31"/>
    </row>
    <row r="834" spans="1:1">
      <c r="A834" s="31"/>
    </row>
    <row r="835" spans="1:1">
      <c r="A835" s="31"/>
    </row>
    <row r="836" spans="1:1">
      <c r="A836" s="31"/>
    </row>
    <row r="837" spans="1:1">
      <c r="A837" s="31"/>
    </row>
    <row r="838" spans="1:1">
      <c r="A838" s="31"/>
    </row>
    <row r="839" spans="1:1">
      <c r="A839" s="31"/>
    </row>
    <row r="840" spans="1:1">
      <c r="A840" s="31"/>
    </row>
    <row r="841" spans="1:1">
      <c r="A841" s="31"/>
    </row>
    <row r="842" spans="1:1">
      <c r="A842" s="31"/>
    </row>
    <row r="843" spans="1:1">
      <c r="A843" s="31"/>
    </row>
    <row r="844" spans="1:1">
      <c r="A844" s="31"/>
    </row>
    <row r="845" spans="1:1">
      <c r="A845" s="31"/>
    </row>
    <row r="846" spans="1:1">
      <c r="A846" s="31"/>
    </row>
    <row r="847" spans="1:1">
      <c r="A847" s="31"/>
    </row>
    <row r="848" spans="1:1">
      <c r="A848" s="31"/>
    </row>
    <row r="849" spans="1:1">
      <c r="A849" s="31"/>
    </row>
    <row r="850" spans="1:1">
      <c r="A850" s="31"/>
    </row>
    <row r="851" spans="1:1">
      <c r="A851" s="31"/>
    </row>
    <row r="852" spans="1:1">
      <c r="A852" s="31"/>
    </row>
    <row r="853" spans="1:1">
      <c r="A853" s="31"/>
    </row>
    <row r="854" spans="1:1">
      <c r="A854" s="31"/>
    </row>
    <row r="855" spans="1:1">
      <c r="A855" s="31"/>
    </row>
    <row r="856" spans="1:1">
      <c r="A856" s="31"/>
    </row>
    <row r="857" spans="1:1">
      <c r="A857" s="31"/>
    </row>
    <row r="858" spans="1:1">
      <c r="A858" s="31"/>
    </row>
    <row r="859" spans="1:1">
      <c r="A859" s="31"/>
    </row>
    <row r="860" spans="1:1">
      <c r="A860" s="31"/>
    </row>
    <row r="861" spans="1:1">
      <c r="A861" s="31"/>
    </row>
    <row r="862" spans="1:1">
      <c r="A862" s="31"/>
    </row>
    <row r="863" spans="1:1">
      <c r="A863" s="31"/>
    </row>
    <row r="864" spans="1:1">
      <c r="A864" s="31"/>
    </row>
    <row r="865" spans="1:1">
      <c r="A865" s="31"/>
    </row>
    <row r="866" spans="1:1">
      <c r="A866" s="31"/>
    </row>
    <row r="867" spans="1:1">
      <c r="A867" s="31"/>
    </row>
    <row r="868" spans="1:1">
      <c r="A868" s="31"/>
    </row>
    <row r="869" spans="1:1">
      <c r="A869" s="31"/>
    </row>
    <row r="870" spans="1:1">
      <c r="A870" s="31"/>
    </row>
    <row r="871" spans="1:1">
      <c r="A871" s="31"/>
    </row>
    <row r="872" spans="1:1">
      <c r="A872" s="31"/>
    </row>
    <row r="873" spans="1:1">
      <c r="A873" s="31"/>
    </row>
    <row r="874" spans="1:1">
      <c r="A874" s="31"/>
    </row>
    <row r="875" spans="1:1">
      <c r="A875" s="31"/>
    </row>
    <row r="876" spans="1:1">
      <c r="A876" s="31"/>
    </row>
    <row r="877" spans="1:1">
      <c r="A877" s="31"/>
    </row>
    <row r="878" spans="1:1">
      <c r="A878" s="31"/>
    </row>
    <row r="879" spans="1:1">
      <c r="A879" s="31"/>
    </row>
    <row r="880" spans="1:1">
      <c r="A880" s="31"/>
    </row>
    <row r="881" spans="1:1">
      <c r="A881" s="31"/>
    </row>
    <row r="882" spans="1:1">
      <c r="A882" s="31"/>
    </row>
    <row r="883" spans="1:1">
      <c r="A883" s="31"/>
    </row>
    <row r="884" spans="1:1">
      <c r="A884" s="31"/>
    </row>
    <row r="885" spans="1:1">
      <c r="A885" s="31"/>
    </row>
    <row r="886" spans="1:1">
      <c r="A886" s="31"/>
    </row>
    <row r="887" spans="1:1">
      <c r="A887" s="31"/>
    </row>
    <row r="888" spans="1:1">
      <c r="A888" s="31"/>
    </row>
    <row r="889" spans="1:1">
      <c r="A889" s="31"/>
    </row>
    <row r="890" spans="1:1">
      <c r="A890" s="31"/>
    </row>
    <row r="891" spans="1:1">
      <c r="A891" s="31"/>
    </row>
    <row r="892" spans="1:1">
      <c r="A892" s="31"/>
    </row>
    <row r="893" spans="1:1">
      <c r="A893" s="31"/>
    </row>
    <row r="894" spans="1:1">
      <c r="A894" s="31"/>
    </row>
    <row r="895" spans="1:1">
      <c r="A895" s="31"/>
    </row>
    <row r="896" spans="1:1">
      <c r="A896" s="31"/>
    </row>
    <row r="897" spans="1:1">
      <c r="A897" s="31"/>
    </row>
    <row r="898" spans="1:1">
      <c r="A898" s="31"/>
    </row>
    <row r="899" spans="1:1">
      <c r="A899" s="31"/>
    </row>
    <row r="900" spans="1:1">
      <c r="A900" s="31"/>
    </row>
    <row r="901" spans="1:1">
      <c r="A901" s="31"/>
    </row>
    <row r="902" spans="1:1">
      <c r="A902" s="31"/>
    </row>
    <row r="903" spans="1:1">
      <c r="A903" s="31"/>
    </row>
    <row r="904" spans="1:1">
      <c r="A904" s="31"/>
    </row>
    <row r="905" spans="1:1">
      <c r="A905" s="31"/>
    </row>
    <row r="906" spans="1:1">
      <c r="A906" s="31"/>
    </row>
    <row r="907" spans="1:1">
      <c r="A907" s="31"/>
    </row>
    <row r="908" spans="1:1">
      <c r="A908" s="31"/>
    </row>
    <row r="909" spans="1:1">
      <c r="A909" s="31"/>
    </row>
    <row r="910" spans="1:1">
      <c r="A910" s="31"/>
    </row>
    <row r="911" spans="1:1">
      <c r="A911" s="31"/>
    </row>
    <row r="912" spans="1:1">
      <c r="A912" s="31"/>
    </row>
    <row r="913" spans="1:1">
      <c r="A913" s="31"/>
    </row>
    <row r="914" spans="1:1">
      <c r="A914" s="31"/>
    </row>
    <row r="915" spans="1:1">
      <c r="A915" s="31"/>
    </row>
    <row r="916" spans="1:1">
      <c r="A916" s="31"/>
    </row>
    <row r="917" spans="1:1">
      <c r="A917" s="31"/>
    </row>
    <row r="918" spans="1:1">
      <c r="A918" s="31"/>
    </row>
    <row r="919" spans="1:1">
      <c r="A919" s="31"/>
    </row>
    <row r="920" spans="1:1">
      <c r="A920" s="31"/>
    </row>
    <row r="921" spans="1:1">
      <c r="A921" s="31"/>
    </row>
    <row r="922" spans="1:1">
      <c r="A922" s="31"/>
    </row>
    <row r="923" spans="1:1">
      <c r="A923" s="31"/>
    </row>
    <row r="924" spans="1:1">
      <c r="A924" s="31"/>
    </row>
    <row r="925" spans="1:1">
      <c r="A925" s="31"/>
    </row>
    <row r="926" spans="1:1">
      <c r="A926" s="31"/>
    </row>
    <row r="927" spans="1:1">
      <c r="A927" s="31"/>
    </row>
    <row r="928" spans="1:1">
      <c r="A928" s="31"/>
    </row>
    <row r="929" spans="1:1">
      <c r="A929" s="31"/>
    </row>
    <row r="930" spans="1:1">
      <c r="A930" s="31"/>
    </row>
    <row r="931" spans="1:1">
      <c r="A931" s="31"/>
    </row>
    <row r="932" spans="1:1">
      <c r="A932" s="31"/>
    </row>
    <row r="933" spans="1:1">
      <c r="A933" s="31"/>
    </row>
    <row r="934" spans="1:1">
      <c r="A934" s="31"/>
    </row>
    <row r="935" spans="1:1">
      <c r="A935" s="31"/>
    </row>
    <row r="936" spans="1:1">
      <c r="A936" s="31"/>
    </row>
    <row r="937" spans="1:1">
      <c r="A937" s="31"/>
    </row>
    <row r="938" spans="1:1">
      <c r="A938" s="31"/>
    </row>
    <row r="939" spans="1:1">
      <c r="A939" s="31"/>
    </row>
    <row r="940" spans="1:1">
      <c r="A940" s="31"/>
    </row>
    <row r="941" spans="1:1">
      <c r="A941" s="31"/>
    </row>
    <row r="942" spans="1:1">
      <c r="A942" s="31"/>
    </row>
    <row r="943" spans="1:1">
      <c r="A943" s="31"/>
    </row>
    <row r="944" spans="1:1">
      <c r="A944" s="31"/>
    </row>
    <row r="945" spans="1:1">
      <c r="A945" s="31"/>
    </row>
    <row r="946" spans="1:1">
      <c r="A946" s="31"/>
    </row>
    <row r="947" spans="1:1">
      <c r="A947" s="31"/>
    </row>
    <row r="948" spans="1:1">
      <c r="A948" s="31"/>
    </row>
    <row r="949" spans="1:1">
      <c r="A949" s="31"/>
    </row>
    <row r="950" spans="1:1">
      <c r="A950" s="31"/>
    </row>
    <row r="951" spans="1:1">
      <c r="A951" s="31"/>
    </row>
    <row r="952" spans="1:1">
      <c r="A952" s="31"/>
    </row>
    <row r="953" spans="1:1">
      <c r="A953" s="31"/>
    </row>
    <row r="954" spans="1:1">
      <c r="A954" s="31"/>
    </row>
    <row r="955" spans="1:1">
      <c r="A955" s="31"/>
    </row>
    <row r="956" spans="1:1">
      <c r="A956" s="31"/>
    </row>
    <row r="957" spans="1:1">
      <c r="A957" s="31"/>
    </row>
    <row r="958" spans="1:1">
      <c r="A958" s="31"/>
    </row>
    <row r="959" spans="1:1">
      <c r="A959" s="31"/>
    </row>
    <row r="960" spans="1:1">
      <c r="A960" s="31"/>
    </row>
    <row r="961" spans="1:1">
      <c r="A961" s="31"/>
    </row>
    <row r="962" spans="1:1">
      <c r="A962" s="31"/>
    </row>
    <row r="963" spans="1:1">
      <c r="A963" s="31"/>
    </row>
    <row r="964" spans="1:1">
      <c r="A964" s="31"/>
    </row>
    <row r="965" spans="1:1">
      <c r="A965" s="31"/>
    </row>
    <row r="966" spans="1:1">
      <c r="A966" s="31"/>
    </row>
    <row r="967" spans="1:1">
      <c r="A967" s="31"/>
    </row>
    <row r="968" spans="1:1">
      <c r="A968" s="31"/>
    </row>
    <row r="969" spans="1:1">
      <c r="A969" s="31"/>
    </row>
    <row r="970" spans="1:1">
      <c r="A970" s="31"/>
    </row>
    <row r="971" spans="1:1">
      <c r="A971" s="31"/>
    </row>
    <row r="972" spans="1:1">
      <c r="A972" s="31"/>
    </row>
    <row r="973" spans="1:1">
      <c r="A973" s="31"/>
    </row>
    <row r="974" spans="1:1">
      <c r="A974" s="31"/>
    </row>
    <row r="975" spans="1:1">
      <c r="A975" s="31"/>
    </row>
    <row r="976" spans="1:1">
      <c r="A976" s="31"/>
    </row>
    <row r="977" spans="1:1">
      <c r="A977" s="31"/>
    </row>
    <row r="978" spans="1:1">
      <c r="A978" s="31"/>
    </row>
    <row r="979" spans="1:1">
      <c r="A979" s="31"/>
    </row>
    <row r="980" spans="1:1">
      <c r="A980" s="31"/>
    </row>
    <row r="981" spans="1:1">
      <c r="A981" s="31"/>
    </row>
    <row r="982" spans="1:1">
      <c r="A982" s="31"/>
    </row>
    <row r="983" spans="1:1">
      <c r="A983" s="31"/>
    </row>
    <row r="984" spans="1:1">
      <c r="A984" s="31"/>
    </row>
    <row r="985" spans="1:1">
      <c r="A985" s="31"/>
    </row>
    <row r="986" spans="1:1">
      <c r="A986" s="31"/>
    </row>
    <row r="987" spans="1:1">
      <c r="A987" s="31"/>
    </row>
    <row r="988" spans="1:1">
      <c r="A988" s="31"/>
    </row>
    <row r="989" spans="1:1">
      <c r="A989" s="31"/>
    </row>
    <row r="990" spans="1:1">
      <c r="A990" s="31"/>
    </row>
    <row r="991" spans="1:1">
      <c r="A991" s="31"/>
    </row>
    <row r="992" spans="1:1">
      <c r="A992" s="31"/>
    </row>
    <row r="993" spans="1:1">
      <c r="A993" s="31"/>
    </row>
    <row r="994" spans="1:1">
      <c r="A994" s="31"/>
    </row>
    <row r="995" spans="1:1">
      <c r="A995" s="31"/>
    </row>
    <row r="996" spans="1:1">
      <c r="A996" s="31"/>
    </row>
    <row r="997" spans="1:1">
      <c r="A997" s="31"/>
    </row>
    <row r="998" spans="1:1">
      <c r="A998" s="31"/>
    </row>
    <row r="999" spans="1:1">
      <c r="A999" s="31"/>
    </row>
    <row r="1000" spans="1:1">
      <c r="A1000" s="31"/>
    </row>
    <row r="1001" spans="1:1">
      <c r="A1001" s="31"/>
    </row>
    <row r="1002" spans="1:1">
      <c r="A1002" s="31"/>
    </row>
    <row r="1003" spans="1:1">
      <c r="A1003" s="31"/>
    </row>
    <row r="1004" spans="1:1">
      <c r="A1004" s="31"/>
    </row>
    <row r="1005" spans="1:1">
      <c r="A1005" s="31"/>
    </row>
    <row r="1006" spans="1:1">
      <c r="A1006" s="31"/>
    </row>
    <row r="1007" spans="1:1">
      <c r="A1007" s="31"/>
    </row>
    <row r="1008" spans="1:1">
      <c r="A1008" s="31"/>
    </row>
    <row r="1009" spans="1:1">
      <c r="A1009" s="31"/>
    </row>
    <row r="1010" spans="1:1">
      <c r="A1010" s="31"/>
    </row>
    <row r="1011" spans="1:1">
      <c r="A1011" s="31"/>
    </row>
    <row r="1012" spans="1:1">
      <c r="A1012" s="31"/>
    </row>
    <row r="1013" spans="1:1">
      <c r="A1013" s="31"/>
    </row>
    <row r="1014" spans="1:1">
      <c r="A1014" s="31"/>
    </row>
    <row r="1015" spans="1:1">
      <c r="A1015" s="31"/>
    </row>
    <row r="1016" spans="1:1">
      <c r="A1016" s="31"/>
    </row>
    <row r="1017" spans="1:1">
      <c r="A1017" s="31"/>
    </row>
    <row r="1018" spans="1:1">
      <c r="A1018" s="31"/>
    </row>
    <row r="1019" spans="1:1">
      <c r="A1019" s="31"/>
    </row>
    <row r="1020" spans="1:1">
      <c r="A1020" s="31"/>
    </row>
    <row r="1021" spans="1:1">
      <c r="A1021" s="31"/>
    </row>
    <row r="1022" spans="1:1">
      <c r="A1022" s="31"/>
    </row>
    <row r="1023" spans="1:1">
      <c r="A1023" s="31"/>
    </row>
    <row r="1024" spans="1:1">
      <c r="A1024" s="31"/>
    </row>
    <row r="1025" spans="1:1">
      <c r="A1025" s="31"/>
    </row>
    <row r="1026" spans="1:1">
      <c r="A1026" s="31"/>
    </row>
    <row r="1027" spans="1:1">
      <c r="A1027" s="31"/>
    </row>
    <row r="1028" spans="1:1">
      <c r="A1028" s="31"/>
    </row>
    <row r="1029" spans="1:1">
      <c r="A1029" s="31"/>
    </row>
    <row r="1030" spans="1:1">
      <c r="A1030" s="31"/>
    </row>
    <row r="1031" spans="1:1">
      <c r="A1031" s="31"/>
    </row>
    <row r="1032" spans="1:1">
      <c r="A1032" s="31"/>
    </row>
    <row r="1033" spans="1:1">
      <c r="A1033" s="31"/>
    </row>
    <row r="1034" spans="1:1">
      <c r="A1034" s="31"/>
    </row>
    <row r="1035" spans="1:1">
      <c r="A1035" s="31"/>
    </row>
    <row r="1036" spans="1:1">
      <c r="A1036" s="31"/>
    </row>
    <row r="1037" spans="1:1">
      <c r="A1037" s="31"/>
    </row>
    <row r="1038" spans="1:1">
      <c r="A1038" s="31"/>
    </row>
    <row r="1039" spans="1:1">
      <c r="A1039" s="31"/>
    </row>
    <row r="1040" spans="1:1">
      <c r="A1040" s="31"/>
    </row>
    <row r="1041" spans="1:1">
      <c r="A1041" s="31"/>
    </row>
    <row r="1042" spans="1:1">
      <c r="A1042" s="31"/>
    </row>
    <row r="1043" spans="1:1">
      <c r="A1043" s="31"/>
    </row>
    <row r="1044" spans="1:1">
      <c r="A1044" s="31"/>
    </row>
    <row r="1045" spans="1:1">
      <c r="A1045" s="31"/>
    </row>
    <row r="1046" spans="1:1">
      <c r="A1046" s="31"/>
    </row>
    <row r="1047" spans="1:1">
      <c r="A1047" s="31"/>
    </row>
    <row r="1048" spans="1:1">
      <c r="A1048" s="31"/>
    </row>
    <row r="1049" spans="1:1">
      <c r="A1049" s="31"/>
    </row>
    <row r="1050" spans="1:1">
      <c r="A1050" s="31"/>
    </row>
    <row r="1051" spans="1:1">
      <c r="A1051" s="31"/>
    </row>
    <row r="1052" spans="1:1">
      <c r="A1052" s="31"/>
    </row>
    <row r="1053" spans="1:1">
      <c r="A1053" s="31"/>
    </row>
    <row r="1054" spans="1:1">
      <c r="A1054" s="31"/>
    </row>
    <row r="1055" spans="1:1">
      <c r="A1055" s="31"/>
    </row>
    <row r="1056" spans="1:1">
      <c r="A1056" s="31"/>
    </row>
    <row r="1057" spans="1:1">
      <c r="A1057" s="31"/>
    </row>
    <row r="1058" spans="1:1">
      <c r="A1058" s="31"/>
    </row>
    <row r="1059" spans="1:1">
      <c r="A1059" s="31"/>
    </row>
    <row r="1060" spans="1:1">
      <c r="A1060" s="31"/>
    </row>
    <row r="1061" spans="1:1">
      <c r="A1061" s="31"/>
    </row>
    <row r="1062" spans="1:1">
      <c r="A1062" s="31"/>
    </row>
    <row r="1063" spans="1:1">
      <c r="A1063" s="31"/>
    </row>
    <row r="1064" spans="1:1">
      <c r="A1064" s="31"/>
    </row>
    <row r="1065" spans="1:1">
      <c r="A1065" s="31"/>
    </row>
    <row r="1066" spans="1:1">
      <c r="A1066" s="31"/>
    </row>
    <row r="1067" spans="1:1">
      <c r="A1067" s="31"/>
    </row>
    <row r="1068" spans="1:1">
      <c r="A1068" s="31"/>
    </row>
    <row r="1069" spans="1:1">
      <c r="A1069" s="31"/>
    </row>
    <row r="1070" spans="1:1">
      <c r="A1070" s="31"/>
    </row>
    <row r="1071" spans="1:1">
      <c r="A1071" s="31"/>
    </row>
    <row r="1072" spans="1:1">
      <c r="A1072" s="31"/>
    </row>
    <row r="1073" spans="1:1">
      <c r="A1073" s="31"/>
    </row>
    <row r="1074" spans="1:1">
      <c r="A1074" s="31"/>
    </row>
    <row r="1075" spans="1:1">
      <c r="A1075" s="31"/>
    </row>
    <row r="1076" spans="1:1">
      <c r="A1076" s="31"/>
    </row>
    <row r="1077" spans="1:1">
      <c r="A1077" s="31"/>
    </row>
    <row r="1078" spans="1:1">
      <c r="A1078" s="31"/>
    </row>
    <row r="1079" spans="1:1">
      <c r="A1079" s="31"/>
    </row>
    <row r="1080" spans="1:1">
      <c r="A1080" s="31"/>
    </row>
    <row r="1081" spans="1:1">
      <c r="A1081" s="31"/>
    </row>
    <row r="1082" spans="1:1">
      <c r="A1082" s="31"/>
    </row>
    <row r="1083" spans="1:1">
      <c r="A1083" s="31"/>
    </row>
    <row r="1084" spans="1:1">
      <c r="A1084" s="31"/>
    </row>
    <row r="1085" spans="1:1">
      <c r="A1085" s="31"/>
    </row>
    <row r="1086" spans="1:1">
      <c r="A1086" s="31"/>
    </row>
    <row r="1087" spans="1:1">
      <c r="A1087" s="31"/>
    </row>
    <row r="1088" spans="1:1">
      <c r="A1088" s="31"/>
    </row>
    <row r="1089" spans="1:1">
      <c r="A1089" s="31"/>
    </row>
    <row r="1090" spans="1:1">
      <c r="A1090" s="31"/>
    </row>
    <row r="1091" spans="1:1">
      <c r="A1091" s="31"/>
    </row>
    <row r="1092" spans="1:1">
      <c r="A1092" s="31"/>
    </row>
    <row r="1093" spans="1:1">
      <c r="A1093" s="31"/>
    </row>
    <row r="1094" spans="1:1">
      <c r="A1094" s="31"/>
    </row>
    <row r="1095" spans="1:1">
      <c r="A1095" s="31"/>
    </row>
    <row r="1096" spans="1:1">
      <c r="A1096" s="31"/>
    </row>
    <row r="1097" spans="1:1">
      <c r="A1097" s="31"/>
    </row>
    <row r="1098" spans="1:1">
      <c r="A1098" s="31"/>
    </row>
    <row r="1099" spans="1:1">
      <c r="A1099" s="31"/>
    </row>
    <row r="1100" spans="1:1">
      <c r="A1100" s="31"/>
    </row>
    <row r="1101" spans="1:1">
      <c r="A1101" s="31"/>
    </row>
    <row r="1102" spans="1:1">
      <c r="A1102" s="31"/>
    </row>
    <row r="1103" spans="1:1">
      <c r="A1103" s="31"/>
    </row>
    <row r="1104" spans="1:1">
      <c r="A1104" s="31"/>
    </row>
    <row r="1105" spans="1:1">
      <c r="A1105" s="31"/>
    </row>
    <row r="1106" spans="1:1">
      <c r="A1106" s="31"/>
    </row>
    <row r="1107" spans="1:1">
      <c r="A1107" s="31"/>
    </row>
    <row r="1108" spans="1:1">
      <c r="A1108" s="31"/>
    </row>
    <row r="1109" spans="1:1">
      <c r="A1109" s="31"/>
    </row>
    <row r="1110" spans="1:1">
      <c r="A1110" s="31"/>
    </row>
    <row r="1111" spans="1:1">
      <c r="A1111" s="31"/>
    </row>
    <row r="1112" spans="1:1">
      <c r="A1112" s="31"/>
    </row>
    <row r="1113" spans="1:1">
      <c r="A1113" s="31"/>
    </row>
    <row r="1114" spans="1:1">
      <c r="A1114" s="31"/>
    </row>
    <row r="1115" spans="1:1">
      <c r="A1115" s="31"/>
    </row>
    <row r="1116" spans="1:1">
      <c r="A1116" s="31"/>
    </row>
    <row r="1117" spans="1:1">
      <c r="A1117" s="31"/>
    </row>
    <row r="1118" spans="1:1">
      <c r="A1118" s="31"/>
    </row>
    <row r="1119" spans="1:1">
      <c r="A1119" s="31"/>
    </row>
    <row r="1120" spans="1:1">
      <c r="A1120" s="31"/>
    </row>
    <row r="1121" spans="1:1">
      <c r="A1121" s="31"/>
    </row>
    <row r="1122" spans="1:1">
      <c r="A1122" s="31"/>
    </row>
    <row r="1123" spans="1:1">
      <c r="A1123" s="31"/>
    </row>
    <row r="1124" spans="1:1">
      <c r="A1124" s="31"/>
    </row>
    <row r="1125" spans="1:1">
      <c r="A1125" s="31"/>
    </row>
    <row r="1126" spans="1:1">
      <c r="A1126" s="31"/>
    </row>
    <row r="1127" spans="1:1">
      <c r="A1127" s="31"/>
    </row>
    <row r="1128" spans="1:1">
      <c r="A1128" s="31"/>
    </row>
    <row r="1129" spans="1:1">
      <c r="A1129" s="31"/>
    </row>
    <row r="1130" spans="1:1">
      <c r="A1130" s="31"/>
    </row>
    <row r="1131" spans="1:1">
      <c r="A1131" s="31"/>
    </row>
    <row r="1132" spans="1:1">
      <c r="A1132" s="31"/>
    </row>
    <row r="1133" spans="1:1">
      <c r="A1133" s="31"/>
    </row>
    <row r="1134" spans="1:1">
      <c r="A1134" s="31"/>
    </row>
    <row r="1135" spans="1:1">
      <c r="A1135" s="31"/>
    </row>
    <row r="1136" spans="1:1">
      <c r="A1136" s="31"/>
    </row>
    <row r="1137" spans="1:1">
      <c r="A1137" s="31"/>
    </row>
    <row r="1138" spans="1:1">
      <c r="A1138" s="31"/>
    </row>
    <row r="1139" spans="1:1">
      <c r="A1139" s="31"/>
    </row>
    <row r="1140" spans="1:1">
      <c r="A1140" s="31"/>
    </row>
    <row r="1141" spans="1:1">
      <c r="A1141" s="31"/>
    </row>
    <row r="1142" spans="1:1">
      <c r="A1142" s="31"/>
    </row>
    <row r="1143" spans="1:1">
      <c r="A1143" s="31"/>
    </row>
    <row r="1144" spans="1:1">
      <c r="A1144" s="31"/>
    </row>
    <row r="1145" spans="1:1">
      <c r="A1145" s="31"/>
    </row>
    <row r="1146" spans="1:1">
      <c r="A1146" s="31"/>
    </row>
    <row r="1147" spans="1:1">
      <c r="A1147" s="31"/>
    </row>
    <row r="1148" spans="1:1">
      <c r="A1148" s="31"/>
    </row>
    <row r="1149" spans="1:1">
      <c r="A1149" s="31"/>
    </row>
    <row r="1150" spans="1:1">
      <c r="A1150" s="31"/>
    </row>
    <row r="1151" spans="1:1">
      <c r="A1151" s="31"/>
    </row>
    <row r="1152" spans="1:1">
      <c r="A1152" s="31"/>
    </row>
    <row r="1153" spans="1:1">
      <c r="A1153" s="31"/>
    </row>
    <row r="1154" spans="1:1">
      <c r="A1154" s="31"/>
    </row>
    <row r="1155" spans="1:1">
      <c r="A1155" s="31"/>
    </row>
    <row r="1156" spans="1:1">
      <c r="A1156" s="31"/>
    </row>
    <row r="1157" spans="1:1">
      <c r="A1157" s="31"/>
    </row>
    <row r="1158" spans="1:1">
      <c r="A1158" s="31"/>
    </row>
    <row r="1159" spans="1:1">
      <c r="A1159" s="31"/>
    </row>
    <row r="1160" spans="1:1">
      <c r="A1160" s="31"/>
    </row>
    <row r="1161" spans="1:1">
      <c r="A1161" s="31"/>
    </row>
    <row r="1162" spans="1:1">
      <c r="A1162" s="31"/>
    </row>
    <row r="1163" spans="1:1">
      <c r="A1163" s="31"/>
    </row>
    <row r="1164" spans="1:1">
      <c r="A1164" s="31"/>
    </row>
    <row r="1165" spans="1:1">
      <c r="A1165" s="31"/>
    </row>
    <row r="1166" spans="1:1">
      <c r="A1166" s="31"/>
    </row>
    <row r="1167" spans="1:1">
      <c r="A1167" s="31"/>
    </row>
    <row r="1168" spans="1:1">
      <c r="A1168" s="31"/>
    </row>
    <row r="1169" spans="1:1">
      <c r="A1169" s="31"/>
    </row>
    <row r="1170" spans="1:1">
      <c r="A1170" s="31"/>
    </row>
    <row r="1171" spans="1:1">
      <c r="A1171" s="31"/>
    </row>
    <row r="1172" spans="1:1">
      <c r="A1172" s="31"/>
    </row>
    <row r="1173" spans="1:1">
      <c r="A1173" s="31"/>
    </row>
    <row r="1174" spans="1:1">
      <c r="A1174" s="31"/>
    </row>
    <row r="1175" spans="1:1">
      <c r="A1175" s="31"/>
    </row>
    <row r="1176" spans="1:1">
      <c r="A1176" s="31"/>
    </row>
    <row r="1177" spans="1:1">
      <c r="A1177" s="31"/>
    </row>
    <row r="1178" spans="1:1">
      <c r="A1178" s="31"/>
    </row>
    <row r="1179" spans="1:1">
      <c r="A1179" s="31"/>
    </row>
    <row r="1180" spans="1:1">
      <c r="A1180" s="31"/>
    </row>
    <row r="1181" spans="1:1">
      <c r="A1181" s="31"/>
    </row>
    <row r="1182" spans="1:1">
      <c r="A1182" s="31"/>
    </row>
    <row r="1183" spans="1:1">
      <c r="A1183" s="31"/>
    </row>
    <row r="1184" spans="1:1">
      <c r="A1184" s="31"/>
    </row>
    <row r="1185" spans="1:1">
      <c r="A1185" s="31"/>
    </row>
    <row r="1186" spans="1:1">
      <c r="A1186" s="31"/>
    </row>
    <row r="1187" spans="1:1">
      <c r="A1187" s="31"/>
    </row>
    <row r="1188" spans="1:1">
      <c r="A1188" s="31"/>
    </row>
    <row r="1189" spans="1:1">
      <c r="A1189" s="31"/>
    </row>
    <row r="1190" spans="1:1">
      <c r="A1190" s="31"/>
    </row>
    <row r="1191" spans="1:1">
      <c r="A1191" s="31"/>
    </row>
    <row r="1192" spans="1:1">
      <c r="A1192" s="31"/>
    </row>
    <row r="1193" spans="1:1">
      <c r="A1193" s="31"/>
    </row>
    <row r="1194" spans="1:1">
      <c r="A1194" s="31"/>
    </row>
    <row r="1195" spans="1:1">
      <c r="A1195" s="31"/>
    </row>
    <row r="1196" spans="1:1">
      <c r="A1196" s="31"/>
    </row>
    <row r="1197" spans="1:1">
      <c r="A1197" s="31"/>
    </row>
    <row r="1198" spans="1:1">
      <c r="A1198" s="31"/>
    </row>
    <row r="1199" spans="1:1">
      <c r="A1199" s="31"/>
    </row>
    <row r="1200" spans="1:1">
      <c r="A1200" s="31"/>
    </row>
    <row r="1201" spans="1:1">
      <c r="A1201" s="31"/>
    </row>
    <row r="1202" spans="1:1">
      <c r="A1202" s="31"/>
    </row>
    <row r="1203" spans="1:1">
      <c r="A1203" s="31"/>
    </row>
    <row r="1204" spans="1:1">
      <c r="A1204" s="31"/>
    </row>
    <row r="1205" spans="1:1">
      <c r="A1205" s="31"/>
    </row>
    <row r="1206" spans="1:1">
      <c r="A1206" s="31"/>
    </row>
    <row r="1207" spans="1:1">
      <c r="A1207" s="31"/>
    </row>
    <row r="1208" spans="1:1">
      <c r="A1208" s="31"/>
    </row>
    <row r="1209" spans="1:1">
      <c r="A1209" s="31"/>
    </row>
    <row r="1210" spans="1:1">
      <c r="A1210" s="31"/>
    </row>
    <row r="1211" spans="1:1">
      <c r="A1211" s="31"/>
    </row>
    <row r="1212" spans="1:1">
      <c r="A1212" s="31"/>
    </row>
    <row r="1213" spans="1:1">
      <c r="A1213" s="31"/>
    </row>
    <row r="1214" spans="1:1">
      <c r="A1214" s="31"/>
    </row>
    <row r="1215" spans="1:1">
      <c r="A1215" s="31"/>
    </row>
    <row r="1216" spans="1:1">
      <c r="A1216" s="31"/>
    </row>
    <row r="1217" spans="1:1">
      <c r="A1217" s="31"/>
    </row>
    <row r="1218" spans="1:1">
      <c r="A1218" s="31"/>
    </row>
    <row r="1219" spans="1:1">
      <c r="A1219" s="31"/>
    </row>
    <row r="1220" spans="1:1">
      <c r="A1220" s="31"/>
    </row>
    <row r="1221" spans="1:1">
      <c r="A1221" s="31"/>
    </row>
    <row r="1222" spans="1:1">
      <c r="A1222" s="31"/>
    </row>
    <row r="1223" spans="1:1">
      <c r="A1223" s="31"/>
    </row>
    <row r="1224" spans="1:1">
      <c r="A1224" s="31"/>
    </row>
    <row r="1225" spans="1:1">
      <c r="A1225" s="31"/>
    </row>
    <row r="1226" spans="1:1">
      <c r="A1226" s="31"/>
    </row>
    <row r="1227" spans="1:1">
      <c r="A1227" s="31"/>
    </row>
    <row r="1228" spans="1:1">
      <c r="A1228" s="31"/>
    </row>
    <row r="1229" spans="1:1">
      <c r="A1229" s="31"/>
    </row>
    <row r="1230" spans="1:1">
      <c r="A1230" s="31"/>
    </row>
    <row r="1231" spans="1:1">
      <c r="A1231" s="31"/>
    </row>
    <row r="1232" spans="1:1">
      <c r="A1232" s="31"/>
    </row>
    <row r="1233" spans="1:1">
      <c r="A1233" s="31"/>
    </row>
    <row r="1234" spans="1:1">
      <c r="A1234" s="31"/>
    </row>
    <row r="1235" spans="1:1">
      <c r="A1235" s="31"/>
    </row>
    <row r="1236" spans="1:1">
      <c r="A1236" s="31"/>
    </row>
    <row r="1237" spans="1:1">
      <c r="A1237" s="31"/>
    </row>
    <row r="1238" spans="1:1">
      <c r="A1238" s="31"/>
    </row>
    <row r="1239" spans="1:1">
      <c r="A1239" s="31"/>
    </row>
    <row r="1240" spans="1:1">
      <c r="A1240" s="31"/>
    </row>
    <row r="1241" spans="1:1">
      <c r="A1241" s="31"/>
    </row>
    <row r="1242" spans="1:1">
      <c r="A1242" s="31"/>
    </row>
    <row r="1243" spans="1:1">
      <c r="A1243" s="31"/>
    </row>
    <row r="1244" spans="1:1">
      <c r="A1244" s="31"/>
    </row>
    <row r="1245" spans="1:1">
      <c r="A1245" s="31"/>
    </row>
    <row r="1246" spans="1:1">
      <c r="A1246" s="31"/>
    </row>
    <row r="1247" spans="1:1">
      <c r="A1247" s="31"/>
    </row>
    <row r="1248" spans="1:1">
      <c r="A1248" s="31"/>
    </row>
    <row r="1249" spans="1:1">
      <c r="A1249" s="31"/>
    </row>
    <row r="1250" spans="1:1">
      <c r="A1250" s="31"/>
    </row>
    <row r="1251" spans="1:1">
      <c r="A1251" s="31"/>
    </row>
    <row r="1252" spans="1:1">
      <c r="A1252" s="31"/>
    </row>
    <row r="1253" spans="1:1">
      <c r="A1253" s="31"/>
    </row>
    <row r="1254" spans="1:1">
      <c r="A1254" s="31"/>
    </row>
    <row r="1255" spans="1:1">
      <c r="A1255" s="31"/>
    </row>
    <row r="1256" spans="1:1">
      <c r="A1256" s="31"/>
    </row>
    <row r="1257" spans="1:1">
      <c r="A1257" s="31"/>
    </row>
    <row r="1258" spans="1:1">
      <c r="A1258" s="31"/>
    </row>
    <row r="1259" spans="1:1">
      <c r="A1259" s="31"/>
    </row>
    <row r="1260" spans="1:1">
      <c r="A1260" s="31"/>
    </row>
    <row r="1261" spans="1:1">
      <c r="A1261" s="31"/>
    </row>
    <row r="1262" spans="1:1">
      <c r="A1262" s="31"/>
    </row>
    <row r="1263" spans="1:1">
      <c r="A1263" s="31"/>
    </row>
    <row r="1264" spans="1:1">
      <c r="A1264" s="31"/>
    </row>
    <row r="1265" spans="1:1">
      <c r="A1265" s="31"/>
    </row>
    <row r="1266" spans="1:1">
      <c r="A1266" s="31"/>
    </row>
    <row r="1267" spans="1:1">
      <c r="A1267" s="31"/>
    </row>
    <row r="1268" spans="1:1">
      <c r="A1268" s="31"/>
    </row>
    <row r="1269" spans="1:1">
      <c r="A1269" s="31"/>
    </row>
    <row r="1270" spans="1:1">
      <c r="A1270" s="31"/>
    </row>
    <row r="1271" spans="1:1">
      <c r="A1271" s="31"/>
    </row>
    <row r="1272" spans="1:1">
      <c r="A1272" s="31"/>
    </row>
    <row r="1273" spans="1:1">
      <c r="A1273" s="31"/>
    </row>
    <row r="1274" spans="1:1">
      <c r="A1274" s="31"/>
    </row>
    <row r="1275" spans="1:1">
      <c r="A1275" s="31"/>
    </row>
    <row r="1276" spans="1:1">
      <c r="A1276" s="31"/>
    </row>
    <row r="1277" spans="1:1">
      <c r="A1277" s="31"/>
    </row>
    <row r="1278" spans="1:1">
      <c r="A1278" s="31"/>
    </row>
    <row r="1279" spans="1:1">
      <c r="A1279" s="31"/>
    </row>
    <row r="1280" spans="1:1">
      <c r="A1280" s="31"/>
    </row>
    <row r="1281" spans="1:1">
      <c r="A1281" s="31"/>
    </row>
    <row r="1282" spans="1:1">
      <c r="A1282" s="31"/>
    </row>
    <row r="1283" spans="1:1">
      <c r="A1283" s="31"/>
    </row>
    <row r="1284" spans="1:1">
      <c r="A1284" s="31"/>
    </row>
    <row r="1285" spans="1:1">
      <c r="A1285" s="31"/>
    </row>
    <row r="1286" spans="1:1">
      <c r="A1286" s="31"/>
    </row>
    <row r="1287" spans="1:1">
      <c r="A1287" s="31"/>
    </row>
    <row r="1288" spans="1:1">
      <c r="A1288" s="31"/>
    </row>
    <row r="1289" spans="1:1">
      <c r="A1289" s="31"/>
    </row>
    <row r="1290" spans="1:1">
      <c r="A1290" s="31"/>
    </row>
    <row r="1291" spans="1:1">
      <c r="A1291" s="31"/>
    </row>
    <row r="1292" spans="1:1">
      <c r="A1292" s="31"/>
    </row>
    <row r="1293" spans="1:1">
      <c r="A1293" s="31"/>
    </row>
    <row r="1294" spans="1:1">
      <c r="A1294" s="31"/>
    </row>
    <row r="1295" spans="1:1">
      <c r="A1295" s="31"/>
    </row>
    <row r="1296" spans="1:1">
      <c r="A1296" s="31"/>
    </row>
    <row r="1297" spans="1:1">
      <c r="A1297" s="31"/>
    </row>
    <row r="1298" spans="1:1">
      <c r="A1298" s="31"/>
    </row>
    <row r="1299" spans="1:1">
      <c r="A1299" s="31"/>
    </row>
    <row r="1300" spans="1:1">
      <c r="A1300" s="31"/>
    </row>
    <row r="1301" spans="1:1">
      <c r="A1301" s="31"/>
    </row>
    <row r="1302" spans="1:1">
      <c r="A1302" s="31"/>
    </row>
    <row r="1303" spans="1:1">
      <c r="A1303" s="31"/>
    </row>
    <row r="1304" spans="1:1">
      <c r="A1304" s="31"/>
    </row>
    <row r="1305" spans="1:1">
      <c r="A1305" s="31"/>
    </row>
    <row r="1306" spans="1:1">
      <c r="A1306" s="31"/>
    </row>
    <row r="1307" spans="1:1">
      <c r="A1307" s="31"/>
    </row>
    <row r="1308" spans="1:1">
      <c r="A1308" s="31"/>
    </row>
    <row r="1309" spans="1:1">
      <c r="A1309" s="31"/>
    </row>
    <row r="1310" spans="1:1">
      <c r="A1310" s="31"/>
    </row>
    <row r="1311" spans="1:1">
      <c r="A1311" s="31"/>
    </row>
    <row r="1312" spans="1:1">
      <c r="A1312" s="31"/>
    </row>
    <row r="1313" spans="1:1">
      <c r="A1313" s="31"/>
    </row>
    <row r="1314" spans="1:1">
      <c r="A1314" s="31"/>
    </row>
    <row r="1315" spans="1:1">
      <c r="A1315" s="31"/>
    </row>
    <row r="1316" spans="1:1">
      <c r="A1316" s="31"/>
    </row>
    <row r="1317" spans="1:1">
      <c r="A1317" s="31"/>
    </row>
    <row r="1318" spans="1:1">
      <c r="A1318" s="31"/>
    </row>
    <row r="1319" spans="1:1">
      <c r="A1319" s="31"/>
    </row>
    <row r="1320" spans="1:1">
      <c r="A1320" s="31"/>
    </row>
    <row r="1321" spans="1:1">
      <c r="A1321" s="31"/>
    </row>
    <row r="1322" spans="1:1">
      <c r="A1322" s="31"/>
    </row>
    <row r="1323" spans="1:1">
      <c r="A1323" s="31"/>
    </row>
    <row r="1324" spans="1:1">
      <c r="A1324" s="31"/>
    </row>
    <row r="1325" spans="1:1">
      <c r="A1325" s="31"/>
    </row>
    <row r="1326" spans="1:1">
      <c r="A1326" s="31"/>
    </row>
  </sheetData>
  <mergeCells count="9">
    <mergeCell ref="Z8:AA8"/>
    <mergeCell ref="E7:X7"/>
    <mergeCell ref="E8:F8"/>
    <mergeCell ref="H8:I8"/>
    <mergeCell ref="K8:L8"/>
    <mergeCell ref="N8:O8"/>
    <mergeCell ref="Q8:R8"/>
    <mergeCell ref="T8:U8"/>
    <mergeCell ref="W8:X8"/>
  </mergeCells>
  <printOptions horizontalCentered="1" verticalCentered="1"/>
  <pageMargins left="0" right="0" top="0" bottom="0" header="0.31496062992125984" footer="0.31496062992125984"/>
  <pageSetup paperSize="9" scale="55" orientation="landscape" r:id="rId1"/>
  <legacyDrawing r:id="rId2"/>
</worksheet>
</file>

<file path=xl/worksheets/sheet32.xml><?xml version="1.0" encoding="utf-8"?>
<worksheet xmlns="http://schemas.openxmlformats.org/spreadsheetml/2006/main" xmlns:r="http://schemas.openxmlformats.org/officeDocument/2006/relationships">
  <dimension ref="A1:Q46"/>
  <sheetViews>
    <sheetView workbookViewId="0">
      <selection activeCell="O31" sqref="O31"/>
    </sheetView>
  </sheetViews>
  <sheetFormatPr baseColWidth="10" defaultColWidth="9.140625" defaultRowHeight="15"/>
  <cols>
    <col min="1" max="1" width="18.140625" customWidth="1"/>
    <col min="2" max="2" width="1.7109375" customWidth="1"/>
    <col min="3" max="3" width="17.7109375" customWidth="1"/>
    <col min="4" max="4" width="7.85546875" customWidth="1"/>
    <col min="5" max="5" width="3.42578125" customWidth="1"/>
    <col min="6" max="6" width="17.7109375" customWidth="1"/>
    <col min="8" max="8" width="3.140625" customWidth="1"/>
    <col min="9" max="9" width="17.7109375" customWidth="1"/>
    <col min="11" max="11" width="2.85546875" customWidth="1"/>
    <col min="12" max="12" width="17.7109375" customWidth="1"/>
    <col min="14" max="14" width="2.85546875" customWidth="1"/>
    <col min="15" max="15" width="17.7109375" customWidth="1"/>
    <col min="17" max="17" width="2.28515625" customWidth="1"/>
    <col min="257" max="257" width="18.140625" customWidth="1"/>
    <col min="258" max="258" width="1.7109375" customWidth="1"/>
    <col min="259" max="259" width="17.7109375" customWidth="1"/>
    <col min="260" max="260" width="7.85546875" customWidth="1"/>
    <col min="261" max="261" width="3.42578125" customWidth="1"/>
    <col min="262" max="262" width="17.7109375" customWidth="1"/>
    <col min="264" max="264" width="3.140625" customWidth="1"/>
    <col min="265" max="265" width="17.7109375" customWidth="1"/>
    <col min="267" max="267" width="2.85546875" customWidth="1"/>
    <col min="268" max="268" width="17.7109375" customWidth="1"/>
    <col min="270" max="270" width="2.85546875" customWidth="1"/>
    <col min="271" max="271" width="17.7109375" customWidth="1"/>
    <col min="273" max="273" width="2.28515625" customWidth="1"/>
    <col min="513" max="513" width="18.140625" customWidth="1"/>
    <col min="514" max="514" width="1.7109375" customWidth="1"/>
    <col min="515" max="515" width="17.7109375" customWidth="1"/>
    <col min="516" max="516" width="7.85546875" customWidth="1"/>
    <col min="517" max="517" width="3.42578125" customWidth="1"/>
    <col min="518" max="518" width="17.7109375" customWidth="1"/>
    <col min="520" max="520" width="3.140625" customWidth="1"/>
    <col min="521" max="521" width="17.7109375" customWidth="1"/>
    <col min="523" max="523" width="2.85546875" customWidth="1"/>
    <col min="524" max="524" width="17.7109375" customWidth="1"/>
    <col min="526" max="526" width="2.85546875" customWidth="1"/>
    <col min="527" max="527" width="17.7109375" customWidth="1"/>
    <col min="529" max="529" width="2.28515625" customWidth="1"/>
    <col min="769" max="769" width="18.140625" customWidth="1"/>
    <col min="770" max="770" width="1.7109375" customWidth="1"/>
    <col min="771" max="771" width="17.7109375" customWidth="1"/>
    <col min="772" max="772" width="7.85546875" customWidth="1"/>
    <col min="773" max="773" width="3.42578125" customWidth="1"/>
    <col min="774" max="774" width="17.7109375" customWidth="1"/>
    <col min="776" max="776" width="3.140625" customWidth="1"/>
    <col min="777" max="777" width="17.7109375" customWidth="1"/>
    <col min="779" max="779" width="2.85546875" customWidth="1"/>
    <col min="780" max="780" width="17.7109375" customWidth="1"/>
    <col min="782" max="782" width="2.85546875" customWidth="1"/>
    <col min="783" max="783" width="17.7109375" customWidth="1"/>
    <col min="785" max="785" width="2.28515625" customWidth="1"/>
    <col min="1025" max="1025" width="18.140625" customWidth="1"/>
    <col min="1026" max="1026" width="1.7109375" customWidth="1"/>
    <col min="1027" max="1027" width="17.7109375" customWidth="1"/>
    <col min="1028" max="1028" width="7.85546875" customWidth="1"/>
    <col min="1029" max="1029" width="3.42578125" customWidth="1"/>
    <col min="1030" max="1030" width="17.7109375" customWidth="1"/>
    <col min="1032" max="1032" width="3.140625" customWidth="1"/>
    <col min="1033" max="1033" width="17.7109375" customWidth="1"/>
    <col min="1035" max="1035" width="2.85546875" customWidth="1"/>
    <col min="1036" max="1036" width="17.7109375" customWidth="1"/>
    <col min="1038" max="1038" width="2.85546875" customWidth="1"/>
    <col min="1039" max="1039" width="17.7109375" customWidth="1"/>
    <col min="1041" max="1041" width="2.28515625" customWidth="1"/>
    <col min="1281" max="1281" width="18.140625" customWidth="1"/>
    <col min="1282" max="1282" width="1.7109375" customWidth="1"/>
    <col min="1283" max="1283" width="17.7109375" customWidth="1"/>
    <col min="1284" max="1284" width="7.85546875" customWidth="1"/>
    <col min="1285" max="1285" width="3.42578125" customWidth="1"/>
    <col min="1286" max="1286" width="17.7109375" customWidth="1"/>
    <col min="1288" max="1288" width="3.140625" customWidth="1"/>
    <col min="1289" max="1289" width="17.7109375" customWidth="1"/>
    <col min="1291" max="1291" width="2.85546875" customWidth="1"/>
    <col min="1292" max="1292" width="17.7109375" customWidth="1"/>
    <col min="1294" max="1294" width="2.85546875" customWidth="1"/>
    <col min="1295" max="1295" width="17.7109375" customWidth="1"/>
    <col min="1297" max="1297" width="2.28515625" customWidth="1"/>
    <col min="1537" max="1537" width="18.140625" customWidth="1"/>
    <col min="1538" max="1538" width="1.7109375" customWidth="1"/>
    <col min="1539" max="1539" width="17.7109375" customWidth="1"/>
    <col min="1540" max="1540" width="7.85546875" customWidth="1"/>
    <col min="1541" max="1541" width="3.42578125" customWidth="1"/>
    <col min="1542" max="1542" width="17.7109375" customWidth="1"/>
    <col min="1544" max="1544" width="3.140625" customWidth="1"/>
    <col min="1545" max="1545" width="17.7109375" customWidth="1"/>
    <col min="1547" max="1547" width="2.85546875" customWidth="1"/>
    <col min="1548" max="1548" width="17.7109375" customWidth="1"/>
    <col min="1550" max="1550" width="2.85546875" customWidth="1"/>
    <col min="1551" max="1551" width="17.7109375" customWidth="1"/>
    <col min="1553" max="1553" width="2.28515625" customWidth="1"/>
    <col min="1793" max="1793" width="18.140625" customWidth="1"/>
    <col min="1794" max="1794" width="1.7109375" customWidth="1"/>
    <col min="1795" max="1795" width="17.7109375" customWidth="1"/>
    <col min="1796" max="1796" width="7.85546875" customWidth="1"/>
    <col min="1797" max="1797" width="3.42578125" customWidth="1"/>
    <col min="1798" max="1798" width="17.7109375" customWidth="1"/>
    <col min="1800" max="1800" width="3.140625" customWidth="1"/>
    <col min="1801" max="1801" width="17.7109375" customWidth="1"/>
    <col min="1803" max="1803" width="2.85546875" customWidth="1"/>
    <col min="1804" max="1804" width="17.7109375" customWidth="1"/>
    <col min="1806" max="1806" width="2.85546875" customWidth="1"/>
    <col min="1807" max="1807" width="17.7109375" customWidth="1"/>
    <col min="1809" max="1809" width="2.28515625" customWidth="1"/>
    <col min="2049" max="2049" width="18.140625" customWidth="1"/>
    <col min="2050" max="2050" width="1.7109375" customWidth="1"/>
    <col min="2051" max="2051" width="17.7109375" customWidth="1"/>
    <col min="2052" max="2052" width="7.85546875" customWidth="1"/>
    <col min="2053" max="2053" width="3.42578125" customWidth="1"/>
    <col min="2054" max="2054" width="17.7109375" customWidth="1"/>
    <col min="2056" max="2056" width="3.140625" customWidth="1"/>
    <col min="2057" max="2057" width="17.7109375" customWidth="1"/>
    <col min="2059" max="2059" width="2.85546875" customWidth="1"/>
    <col min="2060" max="2060" width="17.7109375" customWidth="1"/>
    <col min="2062" max="2062" width="2.85546875" customWidth="1"/>
    <col min="2063" max="2063" width="17.7109375" customWidth="1"/>
    <col min="2065" max="2065" width="2.28515625" customWidth="1"/>
    <col min="2305" max="2305" width="18.140625" customWidth="1"/>
    <col min="2306" max="2306" width="1.7109375" customWidth="1"/>
    <col min="2307" max="2307" width="17.7109375" customWidth="1"/>
    <col min="2308" max="2308" width="7.85546875" customWidth="1"/>
    <col min="2309" max="2309" width="3.42578125" customWidth="1"/>
    <col min="2310" max="2310" width="17.7109375" customWidth="1"/>
    <col min="2312" max="2312" width="3.140625" customWidth="1"/>
    <col min="2313" max="2313" width="17.7109375" customWidth="1"/>
    <col min="2315" max="2315" width="2.85546875" customWidth="1"/>
    <col min="2316" max="2316" width="17.7109375" customWidth="1"/>
    <col min="2318" max="2318" width="2.85546875" customWidth="1"/>
    <col min="2319" max="2319" width="17.7109375" customWidth="1"/>
    <col min="2321" max="2321" width="2.28515625" customWidth="1"/>
    <col min="2561" max="2561" width="18.140625" customWidth="1"/>
    <col min="2562" max="2562" width="1.7109375" customWidth="1"/>
    <col min="2563" max="2563" width="17.7109375" customWidth="1"/>
    <col min="2564" max="2564" width="7.85546875" customWidth="1"/>
    <col min="2565" max="2565" width="3.42578125" customWidth="1"/>
    <col min="2566" max="2566" width="17.7109375" customWidth="1"/>
    <col min="2568" max="2568" width="3.140625" customWidth="1"/>
    <col min="2569" max="2569" width="17.7109375" customWidth="1"/>
    <col min="2571" max="2571" width="2.85546875" customWidth="1"/>
    <col min="2572" max="2572" width="17.7109375" customWidth="1"/>
    <col min="2574" max="2574" width="2.85546875" customWidth="1"/>
    <col min="2575" max="2575" width="17.7109375" customWidth="1"/>
    <col min="2577" max="2577" width="2.28515625" customWidth="1"/>
    <col min="2817" max="2817" width="18.140625" customWidth="1"/>
    <col min="2818" max="2818" width="1.7109375" customWidth="1"/>
    <col min="2819" max="2819" width="17.7109375" customWidth="1"/>
    <col min="2820" max="2820" width="7.85546875" customWidth="1"/>
    <col min="2821" max="2821" width="3.42578125" customWidth="1"/>
    <col min="2822" max="2822" width="17.7109375" customWidth="1"/>
    <col min="2824" max="2824" width="3.140625" customWidth="1"/>
    <col min="2825" max="2825" width="17.7109375" customWidth="1"/>
    <col min="2827" max="2827" width="2.85546875" customWidth="1"/>
    <col min="2828" max="2828" width="17.7109375" customWidth="1"/>
    <col min="2830" max="2830" width="2.85546875" customWidth="1"/>
    <col min="2831" max="2831" width="17.7109375" customWidth="1"/>
    <col min="2833" max="2833" width="2.28515625" customWidth="1"/>
    <col min="3073" max="3073" width="18.140625" customWidth="1"/>
    <col min="3074" max="3074" width="1.7109375" customWidth="1"/>
    <col min="3075" max="3075" width="17.7109375" customWidth="1"/>
    <col min="3076" max="3076" width="7.85546875" customWidth="1"/>
    <col min="3077" max="3077" width="3.42578125" customWidth="1"/>
    <col min="3078" max="3078" width="17.7109375" customWidth="1"/>
    <col min="3080" max="3080" width="3.140625" customWidth="1"/>
    <col min="3081" max="3081" width="17.7109375" customWidth="1"/>
    <col min="3083" max="3083" width="2.85546875" customWidth="1"/>
    <col min="3084" max="3084" width="17.7109375" customWidth="1"/>
    <col min="3086" max="3086" width="2.85546875" customWidth="1"/>
    <col min="3087" max="3087" width="17.7109375" customWidth="1"/>
    <col min="3089" max="3089" width="2.28515625" customWidth="1"/>
    <col min="3329" max="3329" width="18.140625" customWidth="1"/>
    <col min="3330" max="3330" width="1.7109375" customWidth="1"/>
    <col min="3331" max="3331" width="17.7109375" customWidth="1"/>
    <col min="3332" max="3332" width="7.85546875" customWidth="1"/>
    <col min="3333" max="3333" width="3.42578125" customWidth="1"/>
    <col min="3334" max="3334" width="17.7109375" customWidth="1"/>
    <col min="3336" max="3336" width="3.140625" customWidth="1"/>
    <col min="3337" max="3337" width="17.7109375" customWidth="1"/>
    <col min="3339" max="3339" width="2.85546875" customWidth="1"/>
    <col min="3340" max="3340" width="17.7109375" customWidth="1"/>
    <col min="3342" max="3342" width="2.85546875" customWidth="1"/>
    <col min="3343" max="3343" width="17.7109375" customWidth="1"/>
    <col min="3345" max="3345" width="2.28515625" customWidth="1"/>
    <col min="3585" max="3585" width="18.140625" customWidth="1"/>
    <col min="3586" max="3586" width="1.7109375" customWidth="1"/>
    <col min="3587" max="3587" width="17.7109375" customWidth="1"/>
    <col min="3588" max="3588" width="7.85546875" customWidth="1"/>
    <col min="3589" max="3589" width="3.42578125" customWidth="1"/>
    <col min="3590" max="3590" width="17.7109375" customWidth="1"/>
    <col min="3592" max="3592" width="3.140625" customWidth="1"/>
    <col min="3593" max="3593" width="17.7109375" customWidth="1"/>
    <col min="3595" max="3595" width="2.85546875" customWidth="1"/>
    <col min="3596" max="3596" width="17.7109375" customWidth="1"/>
    <col min="3598" max="3598" width="2.85546875" customWidth="1"/>
    <col min="3599" max="3599" width="17.7109375" customWidth="1"/>
    <col min="3601" max="3601" width="2.28515625" customWidth="1"/>
    <col min="3841" max="3841" width="18.140625" customWidth="1"/>
    <col min="3842" max="3842" width="1.7109375" customWidth="1"/>
    <col min="3843" max="3843" width="17.7109375" customWidth="1"/>
    <col min="3844" max="3844" width="7.85546875" customWidth="1"/>
    <col min="3845" max="3845" width="3.42578125" customWidth="1"/>
    <col min="3846" max="3846" width="17.7109375" customWidth="1"/>
    <col min="3848" max="3848" width="3.140625" customWidth="1"/>
    <col min="3849" max="3849" width="17.7109375" customWidth="1"/>
    <col min="3851" max="3851" width="2.85546875" customWidth="1"/>
    <col min="3852" max="3852" width="17.7109375" customWidth="1"/>
    <col min="3854" max="3854" width="2.85546875" customWidth="1"/>
    <col min="3855" max="3855" width="17.7109375" customWidth="1"/>
    <col min="3857" max="3857" width="2.28515625" customWidth="1"/>
    <col min="4097" max="4097" width="18.140625" customWidth="1"/>
    <col min="4098" max="4098" width="1.7109375" customWidth="1"/>
    <col min="4099" max="4099" width="17.7109375" customWidth="1"/>
    <col min="4100" max="4100" width="7.85546875" customWidth="1"/>
    <col min="4101" max="4101" width="3.42578125" customWidth="1"/>
    <col min="4102" max="4102" width="17.7109375" customWidth="1"/>
    <col min="4104" max="4104" width="3.140625" customWidth="1"/>
    <col min="4105" max="4105" width="17.7109375" customWidth="1"/>
    <col min="4107" max="4107" width="2.85546875" customWidth="1"/>
    <col min="4108" max="4108" width="17.7109375" customWidth="1"/>
    <col min="4110" max="4110" width="2.85546875" customWidth="1"/>
    <col min="4111" max="4111" width="17.7109375" customWidth="1"/>
    <col min="4113" max="4113" width="2.28515625" customWidth="1"/>
    <col min="4353" max="4353" width="18.140625" customWidth="1"/>
    <col min="4354" max="4354" width="1.7109375" customWidth="1"/>
    <col min="4355" max="4355" width="17.7109375" customWidth="1"/>
    <col min="4356" max="4356" width="7.85546875" customWidth="1"/>
    <col min="4357" max="4357" width="3.42578125" customWidth="1"/>
    <col min="4358" max="4358" width="17.7109375" customWidth="1"/>
    <col min="4360" max="4360" width="3.140625" customWidth="1"/>
    <col min="4361" max="4361" width="17.7109375" customWidth="1"/>
    <col min="4363" max="4363" width="2.85546875" customWidth="1"/>
    <col min="4364" max="4364" width="17.7109375" customWidth="1"/>
    <col min="4366" max="4366" width="2.85546875" customWidth="1"/>
    <col min="4367" max="4367" width="17.7109375" customWidth="1"/>
    <col min="4369" max="4369" width="2.28515625" customWidth="1"/>
    <col min="4609" max="4609" width="18.140625" customWidth="1"/>
    <col min="4610" max="4610" width="1.7109375" customWidth="1"/>
    <col min="4611" max="4611" width="17.7109375" customWidth="1"/>
    <col min="4612" max="4612" width="7.85546875" customWidth="1"/>
    <col min="4613" max="4613" width="3.42578125" customWidth="1"/>
    <col min="4614" max="4614" width="17.7109375" customWidth="1"/>
    <col min="4616" max="4616" width="3.140625" customWidth="1"/>
    <col min="4617" max="4617" width="17.7109375" customWidth="1"/>
    <col min="4619" max="4619" width="2.85546875" customWidth="1"/>
    <col min="4620" max="4620" width="17.7109375" customWidth="1"/>
    <col min="4622" max="4622" width="2.85546875" customWidth="1"/>
    <col min="4623" max="4623" width="17.7109375" customWidth="1"/>
    <col min="4625" max="4625" width="2.28515625" customWidth="1"/>
    <col min="4865" max="4865" width="18.140625" customWidth="1"/>
    <col min="4866" max="4866" width="1.7109375" customWidth="1"/>
    <col min="4867" max="4867" width="17.7109375" customWidth="1"/>
    <col min="4868" max="4868" width="7.85546875" customWidth="1"/>
    <col min="4869" max="4869" width="3.42578125" customWidth="1"/>
    <col min="4870" max="4870" width="17.7109375" customWidth="1"/>
    <col min="4872" max="4872" width="3.140625" customWidth="1"/>
    <col min="4873" max="4873" width="17.7109375" customWidth="1"/>
    <col min="4875" max="4875" width="2.85546875" customWidth="1"/>
    <col min="4876" max="4876" width="17.7109375" customWidth="1"/>
    <col min="4878" max="4878" width="2.85546875" customWidth="1"/>
    <col min="4879" max="4879" width="17.7109375" customWidth="1"/>
    <col min="4881" max="4881" width="2.28515625" customWidth="1"/>
    <col min="5121" max="5121" width="18.140625" customWidth="1"/>
    <col min="5122" max="5122" width="1.7109375" customWidth="1"/>
    <col min="5123" max="5123" width="17.7109375" customWidth="1"/>
    <col min="5124" max="5124" width="7.85546875" customWidth="1"/>
    <col min="5125" max="5125" width="3.42578125" customWidth="1"/>
    <col min="5126" max="5126" width="17.7109375" customWidth="1"/>
    <col min="5128" max="5128" width="3.140625" customWidth="1"/>
    <col min="5129" max="5129" width="17.7109375" customWidth="1"/>
    <col min="5131" max="5131" width="2.85546875" customWidth="1"/>
    <col min="5132" max="5132" width="17.7109375" customWidth="1"/>
    <col min="5134" max="5134" width="2.85546875" customWidth="1"/>
    <col min="5135" max="5135" width="17.7109375" customWidth="1"/>
    <col min="5137" max="5137" width="2.28515625" customWidth="1"/>
    <col min="5377" max="5377" width="18.140625" customWidth="1"/>
    <col min="5378" max="5378" width="1.7109375" customWidth="1"/>
    <col min="5379" max="5379" width="17.7109375" customWidth="1"/>
    <col min="5380" max="5380" width="7.85546875" customWidth="1"/>
    <col min="5381" max="5381" width="3.42578125" customWidth="1"/>
    <col min="5382" max="5382" width="17.7109375" customWidth="1"/>
    <col min="5384" max="5384" width="3.140625" customWidth="1"/>
    <col min="5385" max="5385" width="17.7109375" customWidth="1"/>
    <col min="5387" max="5387" width="2.85546875" customWidth="1"/>
    <col min="5388" max="5388" width="17.7109375" customWidth="1"/>
    <col min="5390" max="5390" width="2.85546875" customWidth="1"/>
    <col min="5391" max="5391" width="17.7109375" customWidth="1"/>
    <col min="5393" max="5393" width="2.28515625" customWidth="1"/>
    <col min="5633" max="5633" width="18.140625" customWidth="1"/>
    <col min="5634" max="5634" width="1.7109375" customWidth="1"/>
    <col min="5635" max="5635" width="17.7109375" customWidth="1"/>
    <col min="5636" max="5636" width="7.85546875" customWidth="1"/>
    <col min="5637" max="5637" width="3.42578125" customWidth="1"/>
    <col min="5638" max="5638" width="17.7109375" customWidth="1"/>
    <col min="5640" max="5640" width="3.140625" customWidth="1"/>
    <col min="5641" max="5641" width="17.7109375" customWidth="1"/>
    <col min="5643" max="5643" width="2.85546875" customWidth="1"/>
    <col min="5644" max="5644" width="17.7109375" customWidth="1"/>
    <col min="5646" max="5646" width="2.85546875" customWidth="1"/>
    <col min="5647" max="5647" width="17.7109375" customWidth="1"/>
    <col min="5649" max="5649" width="2.28515625" customWidth="1"/>
    <col min="5889" max="5889" width="18.140625" customWidth="1"/>
    <col min="5890" max="5890" width="1.7109375" customWidth="1"/>
    <col min="5891" max="5891" width="17.7109375" customWidth="1"/>
    <col min="5892" max="5892" width="7.85546875" customWidth="1"/>
    <col min="5893" max="5893" width="3.42578125" customWidth="1"/>
    <col min="5894" max="5894" width="17.7109375" customWidth="1"/>
    <col min="5896" max="5896" width="3.140625" customWidth="1"/>
    <col min="5897" max="5897" width="17.7109375" customWidth="1"/>
    <col min="5899" max="5899" width="2.85546875" customWidth="1"/>
    <col min="5900" max="5900" width="17.7109375" customWidth="1"/>
    <col min="5902" max="5902" width="2.85546875" customWidth="1"/>
    <col min="5903" max="5903" width="17.7109375" customWidth="1"/>
    <col min="5905" max="5905" width="2.28515625" customWidth="1"/>
    <col min="6145" max="6145" width="18.140625" customWidth="1"/>
    <col min="6146" max="6146" width="1.7109375" customWidth="1"/>
    <col min="6147" max="6147" width="17.7109375" customWidth="1"/>
    <col min="6148" max="6148" width="7.85546875" customWidth="1"/>
    <col min="6149" max="6149" width="3.42578125" customWidth="1"/>
    <col min="6150" max="6150" width="17.7109375" customWidth="1"/>
    <col min="6152" max="6152" width="3.140625" customWidth="1"/>
    <col min="6153" max="6153" width="17.7109375" customWidth="1"/>
    <col min="6155" max="6155" width="2.85546875" customWidth="1"/>
    <col min="6156" max="6156" width="17.7109375" customWidth="1"/>
    <col min="6158" max="6158" width="2.85546875" customWidth="1"/>
    <col min="6159" max="6159" width="17.7109375" customWidth="1"/>
    <col min="6161" max="6161" width="2.28515625" customWidth="1"/>
    <col min="6401" max="6401" width="18.140625" customWidth="1"/>
    <col min="6402" max="6402" width="1.7109375" customWidth="1"/>
    <col min="6403" max="6403" width="17.7109375" customWidth="1"/>
    <col min="6404" max="6404" width="7.85546875" customWidth="1"/>
    <col min="6405" max="6405" width="3.42578125" customWidth="1"/>
    <col min="6406" max="6406" width="17.7109375" customWidth="1"/>
    <col min="6408" max="6408" width="3.140625" customWidth="1"/>
    <col min="6409" max="6409" width="17.7109375" customWidth="1"/>
    <col min="6411" max="6411" width="2.85546875" customWidth="1"/>
    <col min="6412" max="6412" width="17.7109375" customWidth="1"/>
    <col min="6414" max="6414" width="2.85546875" customWidth="1"/>
    <col min="6415" max="6415" width="17.7109375" customWidth="1"/>
    <col min="6417" max="6417" width="2.28515625" customWidth="1"/>
    <col min="6657" max="6657" width="18.140625" customWidth="1"/>
    <col min="6658" max="6658" width="1.7109375" customWidth="1"/>
    <col min="6659" max="6659" width="17.7109375" customWidth="1"/>
    <col min="6660" max="6660" width="7.85546875" customWidth="1"/>
    <col min="6661" max="6661" width="3.42578125" customWidth="1"/>
    <col min="6662" max="6662" width="17.7109375" customWidth="1"/>
    <col min="6664" max="6664" width="3.140625" customWidth="1"/>
    <col min="6665" max="6665" width="17.7109375" customWidth="1"/>
    <col min="6667" max="6667" width="2.85546875" customWidth="1"/>
    <col min="6668" max="6668" width="17.7109375" customWidth="1"/>
    <col min="6670" max="6670" width="2.85546875" customWidth="1"/>
    <col min="6671" max="6671" width="17.7109375" customWidth="1"/>
    <col min="6673" max="6673" width="2.28515625" customWidth="1"/>
    <col min="6913" max="6913" width="18.140625" customWidth="1"/>
    <col min="6914" max="6914" width="1.7109375" customWidth="1"/>
    <col min="6915" max="6915" width="17.7109375" customWidth="1"/>
    <col min="6916" max="6916" width="7.85546875" customWidth="1"/>
    <col min="6917" max="6917" width="3.42578125" customWidth="1"/>
    <col min="6918" max="6918" width="17.7109375" customWidth="1"/>
    <col min="6920" max="6920" width="3.140625" customWidth="1"/>
    <col min="6921" max="6921" width="17.7109375" customWidth="1"/>
    <col min="6923" max="6923" width="2.85546875" customWidth="1"/>
    <col min="6924" max="6924" width="17.7109375" customWidth="1"/>
    <col min="6926" max="6926" width="2.85546875" customWidth="1"/>
    <col min="6927" max="6927" width="17.7109375" customWidth="1"/>
    <col min="6929" max="6929" width="2.28515625" customWidth="1"/>
    <col min="7169" max="7169" width="18.140625" customWidth="1"/>
    <col min="7170" max="7170" width="1.7109375" customWidth="1"/>
    <col min="7171" max="7171" width="17.7109375" customWidth="1"/>
    <col min="7172" max="7172" width="7.85546875" customWidth="1"/>
    <col min="7173" max="7173" width="3.42578125" customWidth="1"/>
    <col min="7174" max="7174" width="17.7109375" customWidth="1"/>
    <col min="7176" max="7176" width="3.140625" customWidth="1"/>
    <col min="7177" max="7177" width="17.7109375" customWidth="1"/>
    <col min="7179" max="7179" width="2.85546875" customWidth="1"/>
    <col min="7180" max="7180" width="17.7109375" customWidth="1"/>
    <col min="7182" max="7182" width="2.85546875" customWidth="1"/>
    <col min="7183" max="7183" width="17.7109375" customWidth="1"/>
    <col min="7185" max="7185" width="2.28515625" customWidth="1"/>
    <col min="7425" max="7425" width="18.140625" customWidth="1"/>
    <col min="7426" max="7426" width="1.7109375" customWidth="1"/>
    <col min="7427" max="7427" width="17.7109375" customWidth="1"/>
    <col min="7428" max="7428" width="7.85546875" customWidth="1"/>
    <col min="7429" max="7429" width="3.42578125" customWidth="1"/>
    <col min="7430" max="7430" width="17.7109375" customWidth="1"/>
    <col min="7432" max="7432" width="3.140625" customWidth="1"/>
    <col min="7433" max="7433" width="17.7109375" customWidth="1"/>
    <col min="7435" max="7435" width="2.85546875" customWidth="1"/>
    <col min="7436" max="7436" width="17.7109375" customWidth="1"/>
    <col min="7438" max="7438" width="2.85546875" customWidth="1"/>
    <col min="7439" max="7439" width="17.7109375" customWidth="1"/>
    <col min="7441" max="7441" width="2.28515625" customWidth="1"/>
    <col min="7681" max="7681" width="18.140625" customWidth="1"/>
    <col min="7682" max="7682" width="1.7109375" customWidth="1"/>
    <col min="7683" max="7683" width="17.7109375" customWidth="1"/>
    <col min="7684" max="7684" width="7.85546875" customWidth="1"/>
    <col min="7685" max="7685" width="3.42578125" customWidth="1"/>
    <col min="7686" max="7686" width="17.7109375" customWidth="1"/>
    <col min="7688" max="7688" width="3.140625" customWidth="1"/>
    <col min="7689" max="7689" width="17.7109375" customWidth="1"/>
    <col min="7691" max="7691" width="2.85546875" customWidth="1"/>
    <col min="7692" max="7692" width="17.7109375" customWidth="1"/>
    <col min="7694" max="7694" width="2.85546875" customWidth="1"/>
    <col min="7695" max="7695" width="17.7109375" customWidth="1"/>
    <col min="7697" max="7697" width="2.28515625" customWidth="1"/>
    <col min="7937" max="7937" width="18.140625" customWidth="1"/>
    <col min="7938" max="7938" width="1.7109375" customWidth="1"/>
    <col min="7939" max="7939" width="17.7109375" customWidth="1"/>
    <col min="7940" max="7940" width="7.85546875" customWidth="1"/>
    <col min="7941" max="7941" width="3.42578125" customWidth="1"/>
    <col min="7942" max="7942" width="17.7109375" customWidth="1"/>
    <col min="7944" max="7944" width="3.140625" customWidth="1"/>
    <col min="7945" max="7945" width="17.7109375" customWidth="1"/>
    <col min="7947" max="7947" width="2.85546875" customWidth="1"/>
    <col min="7948" max="7948" width="17.7109375" customWidth="1"/>
    <col min="7950" max="7950" width="2.85546875" customWidth="1"/>
    <col min="7951" max="7951" width="17.7109375" customWidth="1"/>
    <col min="7953" max="7953" width="2.28515625" customWidth="1"/>
    <col min="8193" max="8193" width="18.140625" customWidth="1"/>
    <col min="8194" max="8194" width="1.7109375" customWidth="1"/>
    <col min="8195" max="8195" width="17.7109375" customWidth="1"/>
    <col min="8196" max="8196" width="7.85546875" customWidth="1"/>
    <col min="8197" max="8197" width="3.42578125" customWidth="1"/>
    <col min="8198" max="8198" width="17.7109375" customWidth="1"/>
    <col min="8200" max="8200" width="3.140625" customWidth="1"/>
    <col min="8201" max="8201" width="17.7109375" customWidth="1"/>
    <col min="8203" max="8203" width="2.85546875" customWidth="1"/>
    <col min="8204" max="8204" width="17.7109375" customWidth="1"/>
    <col min="8206" max="8206" width="2.85546875" customWidth="1"/>
    <col min="8207" max="8207" width="17.7109375" customWidth="1"/>
    <col min="8209" max="8209" width="2.28515625" customWidth="1"/>
    <col min="8449" max="8449" width="18.140625" customWidth="1"/>
    <col min="8450" max="8450" width="1.7109375" customWidth="1"/>
    <col min="8451" max="8451" width="17.7109375" customWidth="1"/>
    <col min="8452" max="8452" width="7.85546875" customWidth="1"/>
    <col min="8453" max="8453" width="3.42578125" customWidth="1"/>
    <col min="8454" max="8454" width="17.7109375" customWidth="1"/>
    <col min="8456" max="8456" width="3.140625" customWidth="1"/>
    <col min="8457" max="8457" width="17.7109375" customWidth="1"/>
    <col min="8459" max="8459" width="2.85546875" customWidth="1"/>
    <col min="8460" max="8460" width="17.7109375" customWidth="1"/>
    <col min="8462" max="8462" width="2.85546875" customWidth="1"/>
    <col min="8463" max="8463" width="17.7109375" customWidth="1"/>
    <col min="8465" max="8465" width="2.28515625" customWidth="1"/>
    <col min="8705" max="8705" width="18.140625" customWidth="1"/>
    <col min="8706" max="8706" width="1.7109375" customWidth="1"/>
    <col min="8707" max="8707" width="17.7109375" customWidth="1"/>
    <col min="8708" max="8708" width="7.85546875" customWidth="1"/>
    <col min="8709" max="8709" width="3.42578125" customWidth="1"/>
    <col min="8710" max="8710" width="17.7109375" customWidth="1"/>
    <col min="8712" max="8712" width="3.140625" customWidth="1"/>
    <col min="8713" max="8713" width="17.7109375" customWidth="1"/>
    <col min="8715" max="8715" width="2.85546875" customWidth="1"/>
    <col min="8716" max="8716" width="17.7109375" customWidth="1"/>
    <col min="8718" max="8718" width="2.85546875" customWidth="1"/>
    <col min="8719" max="8719" width="17.7109375" customWidth="1"/>
    <col min="8721" max="8721" width="2.28515625" customWidth="1"/>
    <col min="8961" max="8961" width="18.140625" customWidth="1"/>
    <col min="8962" max="8962" width="1.7109375" customWidth="1"/>
    <col min="8963" max="8963" width="17.7109375" customWidth="1"/>
    <col min="8964" max="8964" width="7.85546875" customWidth="1"/>
    <col min="8965" max="8965" width="3.42578125" customWidth="1"/>
    <col min="8966" max="8966" width="17.7109375" customWidth="1"/>
    <col min="8968" max="8968" width="3.140625" customWidth="1"/>
    <col min="8969" max="8969" width="17.7109375" customWidth="1"/>
    <col min="8971" max="8971" width="2.85546875" customWidth="1"/>
    <col min="8972" max="8972" width="17.7109375" customWidth="1"/>
    <col min="8974" max="8974" width="2.85546875" customWidth="1"/>
    <col min="8975" max="8975" width="17.7109375" customWidth="1"/>
    <col min="8977" max="8977" width="2.28515625" customWidth="1"/>
    <col min="9217" max="9217" width="18.140625" customWidth="1"/>
    <col min="9218" max="9218" width="1.7109375" customWidth="1"/>
    <col min="9219" max="9219" width="17.7109375" customWidth="1"/>
    <col min="9220" max="9220" width="7.85546875" customWidth="1"/>
    <col min="9221" max="9221" width="3.42578125" customWidth="1"/>
    <col min="9222" max="9222" width="17.7109375" customWidth="1"/>
    <col min="9224" max="9224" width="3.140625" customWidth="1"/>
    <col min="9225" max="9225" width="17.7109375" customWidth="1"/>
    <col min="9227" max="9227" width="2.85546875" customWidth="1"/>
    <col min="9228" max="9228" width="17.7109375" customWidth="1"/>
    <col min="9230" max="9230" width="2.85546875" customWidth="1"/>
    <col min="9231" max="9231" width="17.7109375" customWidth="1"/>
    <col min="9233" max="9233" width="2.28515625" customWidth="1"/>
    <col min="9473" max="9473" width="18.140625" customWidth="1"/>
    <col min="9474" max="9474" width="1.7109375" customWidth="1"/>
    <col min="9475" max="9475" width="17.7109375" customWidth="1"/>
    <col min="9476" max="9476" width="7.85546875" customWidth="1"/>
    <col min="9477" max="9477" width="3.42578125" customWidth="1"/>
    <col min="9478" max="9478" width="17.7109375" customWidth="1"/>
    <col min="9480" max="9480" width="3.140625" customWidth="1"/>
    <col min="9481" max="9481" width="17.7109375" customWidth="1"/>
    <col min="9483" max="9483" width="2.85546875" customWidth="1"/>
    <col min="9484" max="9484" width="17.7109375" customWidth="1"/>
    <col min="9486" max="9486" width="2.85546875" customWidth="1"/>
    <col min="9487" max="9487" width="17.7109375" customWidth="1"/>
    <col min="9489" max="9489" width="2.28515625" customWidth="1"/>
    <col min="9729" max="9729" width="18.140625" customWidth="1"/>
    <col min="9730" max="9730" width="1.7109375" customWidth="1"/>
    <col min="9731" max="9731" width="17.7109375" customWidth="1"/>
    <col min="9732" max="9732" width="7.85546875" customWidth="1"/>
    <col min="9733" max="9733" width="3.42578125" customWidth="1"/>
    <col min="9734" max="9734" width="17.7109375" customWidth="1"/>
    <col min="9736" max="9736" width="3.140625" customWidth="1"/>
    <col min="9737" max="9737" width="17.7109375" customWidth="1"/>
    <col min="9739" max="9739" width="2.85546875" customWidth="1"/>
    <col min="9740" max="9740" width="17.7109375" customWidth="1"/>
    <col min="9742" max="9742" width="2.85546875" customWidth="1"/>
    <col min="9743" max="9743" width="17.7109375" customWidth="1"/>
    <col min="9745" max="9745" width="2.28515625" customWidth="1"/>
    <col min="9985" max="9985" width="18.140625" customWidth="1"/>
    <col min="9986" max="9986" width="1.7109375" customWidth="1"/>
    <col min="9987" max="9987" width="17.7109375" customWidth="1"/>
    <col min="9988" max="9988" width="7.85546875" customWidth="1"/>
    <col min="9989" max="9989" width="3.42578125" customWidth="1"/>
    <col min="9990" max="9990" width="17.7109375" customWidth="1"/>
    <col min="9992" max="9992" width="3.140625" customWidth="1"/>
    <col min="9993" max="9993" width="17.7109375" customWidth="1"/>
    <col min="9995" max="9995" width="2.85546875" customWidth="1"/>
    <col min="9996" max="9996" width="17.7109375" customWidth="1"/>
    <col min="9998" max="9998" width="2.85546875" customWidth="1"/>
    <col min="9999" max="9999" width="17.7109375" customWidth="1"/>
    <col min="10001" max="10001" width="2.28515625" customWidth="1"/>
    <col min="10241" max="10241" width="18.140625" customWidth="1"/>
    <col min="10242" max="10242" width="1.7109375" customWidth="1"/>
    <col min="10243" max="10243" width="17.7109375" customWidth="1"/>
    <col min="10244" max="10244" width="7.85546875" customWidth="1"/>
    <col min="10245" max="10245" width="3.42578125" customWidth="1"/>
    <col min="10246" max="10246" width="17.7109375" customWidth="1"/>
    <col min="10248" max="10248" width="3.140625" customWidth="1"/>
    <col min="10249" max="10249" width="17.7109375" customWidth="1"/>
    <col min="10251" max="10251" width="2.85546875" customWidth="1"/>
    <col min="10252" max="10252" width="17.7109375" customWidth="1"/>
    <col min="10254" max="10254" width="2.85546875" customWidth="1"/>
    <col min="10255" max="10255" width="17.7109375" customWidth="1"/>
    <col min="10257" max="10257" width="2.28515625" customWidth="1"/>
    <col min="10497" max="10497" width="18.140625" customWidth="1"/>
    <col min="10498" max="10498" width="1.7109375" customWidth="1"/>
    <col min="10499" max="10499" width="17.7109375" customWidth="1"/>
    <col min="10500" max="10500" width="7.85546875" customWidth="1"/>
    <col min="10501" max="10501" width="3.42578125" customWidth="1"/>
    <col min="10502" max="10502" width="17.7109375" customWidth="1"/>
    <col min="10504" max="10504" width="3.140625" customWidth="1"/>
    <col min="10505" max="10505" width="17.7109375" customWidth="1"/>
    <col min="10507" max="10507" width="2.85546875" customWidth="1"/>
    <col min="10508" max="10508" width="17.7109375" customWidth="1"/>
    <col min="10510" max="10510" width="2.85546875" customWidth="1"/>
    <col min="10511" max="10511" width="17.7109375" customWidth="1"/>
    <col min="10513" max="10513" width="2.28515625" customWidth="1"/>
    <col min="10753" max="10753" width="18.140625" customWidth="1"/>
    <col min="10754" max="10754" width="1.7109375" customWidth="1"/>
    <col min="10755" max="10755" width="17.7109375" customWidth="1"/>
    <col min="10756" max="10756" width="7.85546875" customWidth="1"/>
    <col min="10757" max="10757" width="3.42578125" customWidth="1"/>
    <col min="10758" max="10758" width="17.7109375" customWidth="1"/>
    <col min="10760" max="10760" width="3.140625" customWidth="1"/>
    <col min="10761" max="10761" width="17.7109375" customWidth="1"/>
    <col min="10763" max="10763" width="2.85546875" customWidth="1"/>
    <col min="10764" max="10764" width="17.7109375" customWidth="1"/>
    <col min="10766" max="10766" width="2.85546875" customWidth="1"/>
    <col min="10767" max="10767" width="17.7109375" customWidth="1"/>
    <col min="10769" max="10769" width="2.28515625" customWidth="1"/>
    <col min="11009" max="11009" width="18.140625" customWidth="1"/>
    <col min="11010" max="11010" width="1.7109375" customWidth="1"/>
    <col min="11011" max="11011" width="17.7109375" customWidth="1"/>
    <col min="11012" max="11012" width="7.85546875" customWidth="1"/>
    <col min="11013" max="11013" width="3.42578125" customWidth="1"/>
    <col min="11014" max="11014" width="17.7109375" customWidth="1"/>
    <col min="11016" max="11016" width="3.140625" customWidth="1"/>
    <col min="11017" max="11017" width="17.7109375" customWidth="1"/>
    <col min="11019" max="11019" width="2.85546875" customWidth="1"/>
    <col min="11020" max="11020" width="17.7109375" customWidth="1"/>
    <col min="11022" max="11022" width="2.85546875" customWidth="1"/>
    <col min="11023" max="11023" width="17.7109375" customWidth="1"/>
    <col min="11025" max="11025" width="2.28515625" customWidth="1"/>
    <col min="11265" max="11265" width="18.140625" customWidth="1"/>
    <col min="11266" max="11266" width="1.7109375" customWidth="1"/>
    <col min="11267" max="11267" width="17.7109375" customWidth="1"/>
    <col min="11268" max="11268" width="7.85546875" customWidth="1"/>
    <col min="11269" max="11269" width="3.42578125" customWidth="1"/>
    <col min="11270" max="11270" width="17.7109375" customWidth="1"/>
    <col min="11272" max="11272" width="3.140625" customWidth="1"/>
    <col min="11273" max="11273" width="17.7109375" customWidth="1"/>
    <col min="11275" max="11275" width="2.85546875" customWidth="1"/>
    <col min="11276" max="11276" width="17.7109375" customWidth="1"/>
    <col min="11278" max="11278" width="2.85546875" customWidth="1"/>
    <col min="11279" max="11279" width="17.7109375" customWidth="1"/>
    <col min="11281" max="11281" width="2.28515625" customWidth="1"/>
    <col min="11521" max="11521" width="18.140625" customWidth="1"/>
    <col min="11522" max="11522" width="1.7109375" customWidth="1"/>
    <col min="11523" max="11523" width="17.7109375" customWidth="1"/>
    <col min="11524" max="11524" width="7.85546875" customWidth="1"/>
    <col min="11525" max="11525" width="3.42578125" customWidth="1"/>
    <col min="11526" max="11526" width="17.7109375" customWidth="1"/>
    <col min="11528" max="11528" width="3.140625" customWidth="1"/>
    <col min="11529" max="11529" width="17.7109375" customWidth="1"/>
    <col min="11531" max="11531" width="2.85546875" customWidth="1"/>
    <col min="11532" max="11532" width="17.7109375" customWidth="1"/>
    <col min="11534" max="11534" width="2.85546875" customWidth="1"/>
    <col min="11535" max="11535" width="17.7109375" customWidth="1"/>
    <col min="11537" max="11537" width="2.28515625" customWidth="1"/>
    <col min="11777" max="11777" width="18.140625" customWidth="1"/>
    <col min="11778" max="11778" width="1.7109375" customWidth="1"/>
    <col min="11779" max="11779" width="17.7109375" customWidth="1"/>
    <col min="11780" max="11780" width="7.85546875" customWidth="1"/>
    <col min="11781" max="11781" width="3.42578125" customWidth="1"/>
    <col min="11782" max="11782" width="17.7109375" customWidth="1"/>
    <col min="11784" max="11784" width="3.140625" customWidth="1"/>
    <col min="11785" max="11785" width="17.7109375" customWidth="1"/>
    <col min="11787" max="11787" width="2.85546875" customWidth="1"/>
    <col min="11788" max="11788" width="17.7109375" customWidth="1"/>
    <col min="11790" max="11790" width="2.85546875" customWidth="1"/>
    <col min="11791" max="11791" width="17.7109375" customWidth="1"/>
    <col min="11793" max="11793" width="2.28515625" customWidth="1"/>
    <col min="12033" max="12033" width="18.140625" customWidth="1"/>
    <col min="12034" max="12034" width="1.7109375" customWidth="1"/>
    <col min="12035" max="12035" width="17.7109375" customWidth="1"/>
    <col min="12036" max="12036" width="7.85546875" customWidth="1"/>
    <col min="12037" max="12037" width="3.42578125" customWidth="1"/>
    <col min="12038" max="12038" width="17.7109375" customWidth="1"/>
    <col min="12040" max="12040" width="3.140625" customWidth="1"/>
    <col min="12041" max="12041" width="17.7109375" customWidth="1"/>
    <col min="12043" max="12043" width="2.85546875" customWidth="1"/>
    <col min="12044" max="12044" width="17.7109375" customWidth="1"/>
    <col min="12046" max="12046" width="2.85546875" customWidth="1"/>
    <col min="12047" max="12047" width="17.7109375" customWidth="1"/>
    <col min="12049" max="12049" width="2.28515625" customWidth="1"/>
    <col min="12289" max="12289" width="18.140625" customWidth="1"/>
    <col min="12290" max="12290" width="1.7109375" customWidth="1"/>
    <col min="12291" max="12291" width="17.7109375" customWidth="1"/>
    <col min="12292" max="12292" width="7.85546875" customWidth="1"/>
    <col min="12293" max="12293" width="3.42578125" customWidth="1"/>
    <col min="12294" max="12294" width="17.7109375" customWidth="1"/>
    <col min="12296" max="12296" width="3.140625" customWidth="1"/>
    <col min="12297" max="12297" width="17.7109375" customWidth="1"/>
    <col min="12299" max="12299" width="2.85546875" customWidth="1"/>
    <col min="12300" max="12300" width="17.7109375" customWidth="1"/>
    <col min="12302" max="12302" width="2.85546875" customWidth="1"/>
    <col min="12303" max="12303" width="17.7109375" customWidth="1"/>
    <col min="12305" max="12305" width="2.28515625" customWidth="1"/>
    <col min="12545" max="12545" width="18.140625" customWidth="1"/>
    <col min="12546" max="12546" width="1.7109375" customWidth="1"/>
    <col min="12547" max="12547" width="17.7109375" customWidth="1"/>
    <col min="12548" max="12548" width="7.85546875" customWidth="1"/>
    <col min="12549" max="12549" width="3.42578125" customWidth="1"/>
    <col min="12550" max="12550" width="17.7109375" customWidth="1"/>
    <col min="12552" max="12552" width="3.140625" customWidth="1"/>
    <col min="12553" max="12553" width="17.7109375" customWidth="1"/>
    <col min="12555" max="12555" width="2.85546875" customWidth="1"/>
    <col min="12556" max="12556" width="17.7109375" customWidth="1"/>
    <col min="12558" max="12558" width="2.85546875" customWidth="1"/>
    <col min="12559" max="12559" width="17.7109375" customWidth="1"/>
    <col min="12561" max="12561" width="2.28515625" customWidth="1"/>
    <col min="12801" max="12801" width="18.140625" customWidth="1"/>
    <col min="12802" max="12802" width="1.7109375" customWidth="1"/>
    <col min="12803" max="12803" width="17.7109375" customWidth="1"/>
    <col min="12804" max="12804" width="7.85546875" customWidth="1"/>
    <col min="12805" max="12805" width="3.42578125" customWidth="1"/>
    <col min="12806" max="12806" width="17.7109375" customWidth="1"/>
    <col min="12808" max="12808" width="3.140625" customWidth="1"/>
    <col min="12809" max="12809" width="17.7109375" customWidth="1"/>
    <col min="12811" max="12811" width="2.85546875" customWidth="1"/>
    <col min="12812" max="12812" width="17.7109375" customWidth="1"/>
    <col min="12814" max="12814" width="2.85546875" customWidth="1"/>
    <col min="12815" max="12815" width="17.7109375" customWidth="1"/>
    <col min="12817" max="12817" width="2.28515625" customWidth="1"/>
    <col min="13057" max="13057" width="18.140625" customWidth="1"/>
    <col min="13058" max="13058" width="1.7109375" customWidth="1"/>
    <col min="13059" max="13059" width="17.7109375" customWidth="1"/>
    <col min="13060" max="13060" width="7.85546875" customWidth="1"/>
    <col min="13061" max="13061" width="3.42578125" customWidth="1"/>
    <col min="13062" max="13062" width="17.7109375" customWidth="1"/>
    <col min="13064" max="13064" width="3.140625" customWidth="1"/>
    <col min="13065" max="13065" width="17.7109375" customWidth="1"/>
    <col min="13067" max="13067" width="2.85546875" customWidth="1"/>
    <col min="13068" max="13068" width="17.7109375" customWidth="1"/>
    <col min="13070" max="13070" width="2.85546875" customWidth="1"/>
    <col min="13071" max="13071" width="17.7109375" customWidth="1"/>
    <col min="13073" max="13073" width="2.28515625" customWidth="1"/>
    <col min="13313" max="13313" width="18.140625" customWidth="1"/>
    <col min="13314" max="13314" width="1.7109375" customWidth="1"/>
    <col min="13315" max="13315" width="17.7109375" customWidth="1"/>
    <col min="13316" max="13316" width="7.85546875" customWidth="1"/>
    <col min="13317" max="13317" width="3.42578125" customWidth="1"/>
    <col min="13318" max="13318" width="17.7109375" customWidth="1"/>
    <col min="13320" max="13320" width="3.140625" customWidth="1"/>
    <col min="13321" max="13321" width="17.7109375" customWidth="1"/>
    <col min="13323" max="13323" width="2.85546875" customWidth="1"/>
    <col min="13324" max="13324" width="17.7109375" customWidth="1"/>
    <col min="13326" max="13326" width="2.85546875" customWidth="1"/>
    <col min="13327" max="13327" width="17.7109375" customWidth="1"/>
    <col min="13329" max="13329" width="2.28515625" customWidth="1"/>
    <col min="13569" max="13569" width="18.140625" customWidth="1"/>
    <col min="13570" max="13570" width="1.7109375" customWidth="1"/>
    <col min="13571" max="13571" width="17.7109375" customWidth="1"/>
    <col min="13572" max="13572" width="7.85546875" customWidth="1"/>
    <col min="13573" max="13573" width="3.42578125" customWidth="1"/>
    <col min="13574" max="13574" width="17.7109375" customWidth="1"/>
    <col min="13576" max="13576" width="3.140625" customWidth="1"/>
    <col min="13577" max="13577" width="17.7109375" customWidth="1"/>
    <col min="13579" max="13579" width="2.85546875" customWidth="1"/>
    <col min="13580" max="13580" width="17.7109375" customWidth="1"/>
    <col min="13582" max="13582" width="2.85546875" customWidth="1"/>
    <col min="13583" max="13583" width="17.7109375" customWidth="1"/>
    <col min="13585" max="13585" width="2.28515625" customWidth="1"/>
    <col min="13825" max="13825" width="18.140625" customWidth="1"/>
    <col min="13826" max="13826" width="1.7109375" customWidth="1"/>
    <col min="13827" max="13827" width="17.7109375" customWidth="1"/>
    <col min="13828" max="13828" width="7.85546875" customWidth="1"/>
    <col min="13829" max="13829" width="3.42578125" customWidth="1"/>
    <col min="13830" max="13830" width="17.7109375" customWidth="1"/>
    <col min="13832" max="13832" width="3.140625" customWidth="1"/>
    <col min="13833" max="13833" width="17.7109375" customWidth="1"/>
    <col min="13835" max="13835" width="2.85546875" customWidth="1"/>
    <col min="13836" max="13836" width="17.7109375" customWidth="1"/>
    <col min="13838" max="13838" width="2.85546875" customWidth="1"/>
    <col min="13839" max="13839" width="17.7109375" customWidth="1"/>
    <col min="13841" max="13841" width="2.28515625" customWidth="1"/>
    <col min="14081" max="14081" width="18.140625" customWidth="1"/>
    <col min="14082" max="14082" width="1.7109375" customWidth="1"/>
    <col min="14083" max="14083" width="17.7109375" customWidth="1"/>
    <col min="14084" max="14084" width="7.85546875" customWidth="1"/>
    <col min="14085" max="14085" width="3.42578125" customWidth="1"/>
    <col min="14086" max="14086" width="17.7109375" customWidth="1"/>
    <col min="14088" max="14088" width="3.140625" customWidth="1"/>
    <col min="14089" max="14089" width="17.7109375" customWidth="1"/>
    <col min="14091" max="14091" width="2.85546875" customWidth="1"/>
    <col min="14092" max="14092" width="17.7109375" customWidth="1"/>
    <col min="14094" max="14094" width="2.85546875" customWidth="1"/>
    <col min="14095" max="14095" width="17.7109375" customWidth="1"/>
    <col min="14097" max="14097" width="2.28515625" customWidth="1"/>
    <col min="14337" max="14337" width="18.140625" customWidth="1"/>
    <col min="14338" max="14338" width="1.7109375" customWidth="1"/>
    <col min="14339" max="14339" width="17.7109375" customWidth="1"/>
    <col min="14340" max="14340" width="7.85546875" customWidth="1"/>
    <col min="14341" max="14341" width="3.42578125" customWidth="1"/>
    <col min="14342" max="14342" width="17.7109375" customWidth="1"/>
    <col min="14344" max="14344" width="3.140625" customWidth="1"/>
    <col min="14345" max="14345" width="17.7109375" customWidth="1"/>
    <col min="14347" max="14347" width="2.85546875" customWidth="1"/>
    <col min="14348" max="14348" width="17.7109375" customWidth="1"/>
    <col min="14350" max="14350" width="2.85546875" customWidth="1"/>
    <col min="14351" max="14351" width="17.7109375" customWidth="1"/>
    <col min="14353" max="14353" width="2.28515625" customWidth="1"/>
    <col min="14593" max="14593" width="18.140625" customWidth="1"/>
    <col min="14594" max="14594" width="1.7109375" customWidth="1"/>
    <col min="14595" max="14595" width="17.7109375" customWidth="1"/>
    <col min="14596" max="14596" width="7.85546875" customWidth="1"/>
    <col min="14597" max="14597" width="3.42578125" customWidth="1"/>
    <col min="14598" max="14598" width="17.7109375" customWidth="1"/>
    <col min="14600" max="14600" width="3.140625" customWidth="1"/>
    <col min="14601" max="14601" width="17.7109375" customWidth="1"/>
    <col min="14603" max="14603" width="2.85546875" customWidth="1"/>
    <col min="14604" max="14604" width="17.7109375" customWidth="1"/>
    <col min="14606" max="14606" width="2.85546875" customWidth="1"/>
    <col min="14607" max="14607" width="17.7109375" customWidth="1"/>
    <col min="14609" max="14609" width="2.28515625" customWidth="1"/>
    <col min="14849" max="14849" width="18.140625" customWidth="1"/>
    <col min="14850" max="14850" width="1.7109375" customWidth="1"/>
    <col min="14851" max="14851" width="17.7109375" customWidth="1"/>
    <col min="14852" max="14852" width="7.85546875" customWidth="1"/>
    <col min="14853" max="14853" width="3.42578125" customWidth="1"/>
    <col min="14854" max="14854" width="17.7109375" customWidth="1"/>
    <col min="14856" max="14856" width="3.140625" customWidth="1"/>
    <col min="14857" max="14857" width="17.7109375" customWidth="1"/>
    <col min="14859" max="14859" width="2.85546875" customWidth="1"/>
    <col min="14860" max="14860" width="17.7109375" customWidth="1"/>
    <col min="14862" max="14862" width="2.85546875" customWidth="1"/>
    <col min="14863" max="14863" width="17.7109375" customWidth="1"/>
    <col min="14865" max="14865" width="2.28515625" customWidth="1"/>
    <col min="15105" max="15105" width="18.140625" customWidth="1"/>
    <col min="15106" max="15106" width="1.7109375" customWidth="1"/>
    <col min="15107" max="15107" width="17.7109375" customWidth="1"/>
    <col min="15108" max="15108" width="7.85546875" customWidth="1"/>
    <col min="15109" max="15109" width="3.42578125" customWidth="1"/>
    <col min="15110" max="15110" width="17.7109375" customWidth="1"/>
    <col min="15112" max="15112" width="3.140625" customWidth="1"/>
    <col min="15113" max="15113" width="17.7109375" customWidth="1"/>
    <col min="15115" max="15115" width="2.85546875" customWidth="1"/>
    <col min="15116" max="15116" width="17.7109375" customWidth="1"/>
    <col min="15118" max="15118" width="2.85546875" customWidth="1"/>
    <col min="15119" max="15119" width="17.7109375" customWidth="1"/>
    <col min="15121" max="15121" width="2.28515625" customWidth="1"/>
    <col min="15361" max="15361" width="18.140625" customWidth="1"/>
    <col min="15362" max="15362" width="1.7109375" customWidth="1"/>
    <col min="15363" max="15363" width="17.7109375" customWidth="1"/>
    <col min="15364" max="15364" width="7.85546875" customWidth="1"/>
    <col min="15365" max="15365" width="3.42578125" customWidth="1"/>
    <col min="15366" max="15366" width="17.7109375" customWidth="1"/>
    <col min="15368" max="15368" width="3.140625" customWidth="1"/>
    <col min="15369" max="15369" width="17.7109375" customWidth="1"/>
    <col min="15371" max="15371" width="2.85546875" customWidth="1"/>
    <col min="15372" max="15372" width="17.7109375" customWidth="1"/>
    <col min="15374" max="15374" width="2.85546875" customWidth="1"/>
    <col min="15375" max="15375" width="17.7109375" customWidth="1"/>
    <col min="15377" max="15377" width="2.28515625" customWidth="1"/>
    <col min="15617" max="15617" width="18.140625" customWidth="1"/>
    <col min="15618" max="15618" width="1.7109375" customWidth="1"/>
    <col min="15619" max="15619" width="17.7109375" customWidth="1"/>
    <col min="15620" max="15620" width="7.85546875" customWidth="1"/>
    <col min="15621" max="15621" width="3.42578125" customWidth="1"/>
    <col min="15622" max="15622" width="17.7109375" customWidth="1"/>
    <col min="15624" max="15624" width="3.140625" customWidth="1"/>
    <col min="15625" max="15625" width="17.7109375" customWidth="1"/>
    <col min="15627" max="15627" width="2.85546875" customWidth="1"/>
    <col min="15628" max="15628" width="17.7109375" customWidth="1"/>
    <col min="15630" max="15630" width="2.85546875" customWidth="1"/>
    <col min="15631" max="15631" width="17.7109375" customWidth="1"/>
    <col min="15633" max="15633" width="2.28515625" customWidth="1"/>
    <col min="15873" max="15873" width="18.140625" customWidth="1"/>
    <col min="15874" max="15874" width="1.7109375" customWidth="1"/>
    <col min="15875" max="15875" width="17.7109375" customWidth="1"/>
    <col min="15876" max="15876" width="7.85546875" customWidth="1"/>
    <col min="15877" max="15877" width="3.42578125" customWidth="1"/>
    <col min="15878" max="15878" width="17.7109375" customWidth="1"/>
    <col min="15880" max="15880" width="3.140625" customWidth="1"/>
    <col min="15881" max="15881" width="17.7109375" customWidth="1"/>
    <col min="15883" max="15883" width="2.85546875" customWidth="1"/>
    <col min="15884" max="15884" width="17.7109375" customWidth="1"/>
    <col min="15886" max="15886" width="2.85546875" customWidth="1"/>
    <col min="15887" max="15887" width="17.7109375" customWidth="1"/>
    <col min="15889" max="15889" width="2.28515625" customWidth="1"/>
    <col min="16129" max="16129" width="18.140625" customWidth="1"/>
    <col min="16130" max="16130" width="1.7109375" customWidth="1"/>
    <col min="16131" max="16131" width="17.7109375" customWidth="1"/>
    <col min="16132" max="16132" width="7.85546875" customWidth="1"/>
    <col min="16133" max="16133" width="3.42578125" customWidth="1"/>
    <col min="16134" max="16134" width="17.7109375" customWidth="1"/>
    <col min="16136" max="16136" width="3.140625" customWidth="1"/>
    <col min="16137" max="16137" width="17.7109375" customWidth="1"/>
    <col min="16139" max="16139" width="2.85546875" customWidth="1"/>
    <col min="16140" max="16140" width="17.7109375" customWidth="1"/>
    <col min="16142" max="16142" width="2.85546875" customWidth="1"/>
    <col min="16143" max="16143" width="17.7109375" customWidth="1"/>
    <col min="16145" max="16145" width="2.28515625" customWidth="1"/>
  </cols>
  <sheetData>
    <row r="1" spans="1:17">
      <c r="A1" t="s">
        <v>311</v>
      </c>
    </row>
    <row r="2" spans="1:17">
      <c r="A2" t="s">
        <v>312</v>
      </c>
    </row>
    <row r="4" spans="1:17">
      <c r="A4" s="42" t="s">
        <v>709</v>
      </c>
    </row>
    <row r="6" spans="1:17" ht="15.75" thickBot="1"/>
    <row r="7" spans="1:17" ht="15.95" customHeight="1">
      <c r="A7" s="6"/>
      <c r="B7" s="6"/>
      <c r="C7" s="191"/>
      <c r="D7" s="191"/>
      <c r="E7" s="191"/>
      <c r="F7" s="191"/>
      <c r="G7" s="191"/>
      <c r="H7" s="191"/>
      <c r="I7" s="191"/>
      <c r="J7" s="191"/>
      <c r="K7" s="191"/>
      <c r="L7" s="191"/>
      <c r="M7" s="191"/>
      <c r="N7" s="191"/>
      <c r="O7" s="191"/>
      <c r="P7" s="191"/>
      <c r="Q7" s="191"/>
    </row>
    <row r="8" spans="1:17" ht="15.95" customHeight="1">
      <c r="A8" s="36" t="s">
        <v>699</v>
      </c>
      <c r="B8" s="36"/>
      <c r="C8" s="1276" t="s">
        <v>528</v>
      </c>
      <c r="D8" s="1276"/>
      <c r="E8" s="192"/>
      <c r="F8" s="1276" t="s">
        <v>529</v>
      </c>
      <c r="G8" s="1276"/>
      <c r="H8" s="192"/>
      <c r="I8" s="1276" t="s">
        <v>530</v>
      </c>
      <c r="J8" s="1276"/>
      <c r="K8" s="192"/>
      <c r="L8" s="1276" t="s">
        <v>531</v>
      </c>
      <c r="M8" s="1276"/>
      <c r="N8" s="192"/>
      <c r="O8" s="1280" t="s">
        <v>685</v>
      </c>
      <c r="P8" s="1276"/>
      <c r="Q8" s="192"/>
    </row>
    <row r="9" spans="1:17" ht="15.95" customHeight="1">
      <c r="A9" s="36"/>
      <c r="B9" s="36"/>
      <c r="C9" s="175" t="s">
        <v>9</v>
      </c>
      <c r="D9" s="175" t="s">
        <v>10</v>
      </c>
      <c r="E9" s="192"/>
      <c r="F9" s="175" t="s">
        <v>9</v>
      </c>
      <c r="G9" s="175" t="s">
        <v>10</v>
      </c>
      <c r="H9" s="192"/>
      <c r="I9" s="175" t="s">
        <v>9</v>
      </c>
      <c r="J9" s="175" t="s">
        <v>10</v>
      </c>
      <c r="K9" s="192"/>
      <c r="L9" s="175" t="s">
        <v>9</v>
      </c>
      <c r="M9" s="175" t="s">
        <v>10</v>
      </c>
      <c r="N9" s="192"/>
      <c r="O9" s="175" t="s">
        <v>9</v>
      </c>
      <c r="P9" s="175" t="s">
        <v>10</v>
      </c>
      <c r="Q9" s="192"/>
    </row>
    <row r="10" spans="1:17" ht="15.95" customHeight="1" thickBot="1">
      <c r="A10" s="15"/>
      <c r="B10" s="15"/>
      <c r="C10" s="172"/>
      <c r="D10" s="172"/>
      <c r="E10" s="172"/>
      <c r="F10" s="172"/>
      <c r="G10" s="172"/>
      <c r="H10" s="172"/>
      <c r="I10" s="172"/>
      <c r="J10" s="172"/>
      <c r="K10" s="172"/>
      <c r="L10" s="172"/>
      <c r="M10" s="172"/>
      <c r="N10" s="172"/>
      <c r="O10" s="172"/>
      <c r="P10" s="172"/>
      <c r="Q10" s="172"/>
    </row>
    <row r="11" spans="1:17" ht="15.95" customHeight="1">
      <c r="A11" s="36"/>
      <c r="B11" s="36"/>
    </row>
    <row r="12" spans="1:17" ht="15.95" customHeight="1">
      <c r="A12" s="90" t="s">
        <v>689</v>
      </c>
      <c r="B12" s="36"/>
      <c r="C12" s="185">
        <f>C14+C16+C18+C20+C23+C25+C28</f>
        <v>205077136913.56</v>
      </c>
      <c r="D12" s="188">
        <f>D14+D16+D18+D20+D23+D25+D28</f>
        <v>99.999999999999986</v>
      </c>
      <c r="E12" s="1"/>
      <c r="F12" s="185">
        <f>F14+F16+F18+F20+F23+F25+F28+F31</f>
        <v>220258924736.00003</v>
      </c>
      <c r="G12" s="188">
        <f>G14+G16+G18+G20+G23+G25+G28</f>
        <v>99.997015926361243</v>
      </c>
      <c r="H12" s="1"/>
      <c r="I12" s="185">
        <f>I14+I16+I18+I20+I23+I25+I28+I31</f>
        <v>237649636667.08002</v>
      </c>
      <c r="J12" s="188">
        <f>J14+J16+J18+J20+J23+J25+J31+J28</f>
        <v>99.999999999999986</v>
      </c>
      <c r="L12" s="185">
        <f>L14+L16+L18+L20+L23+L25+L28+L31</f>
        <v>259295848684.91995</v>
      </c>
      <c r="M12" s="188">
        <f>M14+M16+M18+M20+M23+M25+M31+M28</f>
        <v>100.00000000000001</v>
      </c>
      <c r="O12" s="185">
        <f>O14+O16+O18+O20+O23+O25+O28+O31</f>
        <v>286035200279.58002</v>
      </c>
      <c r="P12" s="188">
        <f>P14+P16+P18+P20+P23+P25+P31+P28</f>
        <v>100</v>
      </c>
    </row>
    <row r="13" spans="1:17" ht="15.95" customHeight="1">
      <c r="A13" s="36"/>
      <c r="B13" s="36"/>
      <c r="C13" s="1"/>
      <c r="D13" s="188"/>
      <c r="E13" s="1"/>
      <c r="F13" s="1"/>
      <c r="G13" s="188"/>
      <c r="H13" s="1"/>
      <c r="I13" s="1"/>
      <c r="J13" s="188"/>
      <c r="L13" s="1"/>
      <c r="M13" s="188"/>
      <c r="O13" s="1"/>
      <c r="P13" s="188"/>
    </row>
    <row r="14" spans="1:17" ht="15.95" customHeight="1">
      <c r="A14" s="103" t="s">
        <v>690</v>
      </c>
      <c r="B14" s="103"/>
      <c r="C14" s="183">
        <v>179778061185.63</v>
      </c>
      <c r="D14" s="183">
        <f>C14/C$12*100</f>
        <v>87.66362935006569</v>
      </c>
      <c r="E14" s="1"/>
      <c r="F14" s="183">
        <f>198773481707.44+3369433461.31+8851894.1</f>
        <v>202151767062.85001</v>
      </c>
      <c r="G14" s="183">
        <f>F14/F$12*100</f>
        <v>91.779149155997615</v>
      </c>
      <c r="H14" s="1"/>
      <c r="I14" s="188">
        <v>221230456818.20999</v>
      </c>
      <c r="J14" s="183">
        <f>I14/I$12*100</f>
        <v>93.091014116772484</v>
      </c>
      <c r="L14" s="188">
        <v>240251908562.79999</v>
      </c>
      <c r="M14" s="183">
        <f>L14/L$12*100</f>
        <v>92.655516770243025</v>
      </c>
      <c r="O14" s="31">
        <v>261358615128.76001</v>
      </c>
      <c r="P14" s="183">
        <f>O14/O$12*100</f>
        <v>91.372885181019569</v>
      </c>
    </row>
    <row r="15" spans="1:17" ht="15.95" customHeight="1">
      <c r="A15" s="103"/>
      <c r="B15" s="103"/>
      <c r="C15" s="1" t="s">
        <v>253</v>
      </c>
      <c r="D15" s="183" t="s">
        <v>253</v>
      </c>
      <c r="E15" s="1"/>
      <c r="F15" s="1"/>
      <c r="G15" s="183" t="s">
        <v>253</v>
      </c>
      <c r="H15" s="1"/>
      <c r="I15" s="188"/>
      <c r="J15" s="183" t="s">
        <v>253</v>
      </c>
      <c r="L15" s="188"/>
      <c r="M15" s="183" t="s">
        <v>253</v>
      </c>
      <c r="P15" s="183" t="s">
        <v>253</v>
      </c>
    </row>
    <row r="16" spans="1:17" ht="15.95" customHeight="1">
      <c r="A16" s="189" t="s">
        <v>693</v>
      </c>
      <c r="B16" s="103"/>
      <c r="C16" s="183">
        <v>3745922922.9000001</v>
      </c>
      <c r="D16" s="183">
        <f t="shared" ref="D16:D28" si="0">C16/C$12*100</f>
        <v>1.8265921688183633</v>
      </c>
      <c r="E16" s="1"/>
      <c r="F16" s="183">
        <v>2408646967.8699999</v>
      </c>
      <c r="G16" s="183">
        <f t="shared" ref="G16:G31" si="1">F16/F$12*100</f>
        <v>1.0935524954355327</v>
      </c>
      <c r="H16" s="1"/>
      <c r="I16" s="188">
        <v>2143831525.2799997</v>
      </c>
      <c r="J16" s="183">
        <f t="shared" ref="J16:J31" si="2">I16/I$12*100</f>
        <v>0.90209753961596106</v>
      </c>
      <c r="L16" s="188">
        <v>2338806136.2999997</v>
      </c>
      <c r="M16" s="183">
        <f t="shared" ref="M16:M31" si="3">L16/L$12*100</f>
        <v>0.90198364075699877</v>
      </c>
      <c r="O16" s="31">
        <v>2969385662.1300001</v>
      </c>
      <c r="P16" s="183">
        <f t="shared" ref="P16:P31" si="4">O16/O$12*100</f>
        <v>1.0381189655076113</v>
      </c>
    </row>
    <row r="17" spans="1:17" ht="15.95" customHeight="1">
      <c r="A17" s="103"/>
      <c r="B17" s="103"/>
      <c r="C17" s="1"/>
      <c r="D17" s="183" t="s">
        <v>253</v>
      </c>
      <c r="E17" s="1"/>
      <c r="F17" s="1"/>
      <c r="G17" s="183" t="s">
        <v>253</v>
      </c>
      <c r="H17" s="1"/>
      <c r="I17" s="188"/>
      <c r="J17" s="183" t="s">
        <v>253</v>
      </c>
      <c r="L17" s="188"/>
      <c r="M17" s="183" t="s">
        <v>253</v>
      </c>
      <c r="P17" s="183" t="s">
        <v>253</v>
      </c>
    </row>
    <row r="18" spans="1:17" ht="15.95" customHeight="1">
      <c r="A18" s="189" t="s">
        <v>701</v>
      </c>
      <c r="B18" s="103"/>
      <c r="C18" s="183">
        <v>13403259022.239998</v>
      </c>
      <c r="D18" s="183">
        <f t="shared" si="0"/>
        <v>6.5357158891336917</v>
      </c>
      <c r="E18" s="1"/>
      <c r="F18" s="183">
        <v>7167342108.8400002</v>
      </c>
      <c r="G18" s="183">
        <f t="shared" si="1"/>
        <v>3.2540529821575674</v>
      </c>
      <c r="H18" s="1"/>
      <c r="I18" s="188">
        <v>5554453492.8899994</v>
      </c>
      <c r="J18" s="183">
        <f t="shared" si="2"/>
        <v>2.337244681198968</v>
      </c>
      <c r="L18" s="188">
        <v>6880164808.6100006</v>
      </c>
      <c r="M18" s="183">
        <f t="shared" si="3"/>
        <v>2.6534033782277575</v>
      </c>
      <c r="O18" s="31">
        <v>7179178290.2600002</v>
      </c>
      <c r="P18" s="183">
        <f t="shared" si="4"/>
        <v>2.509893286995041</v>
      </c>
    </row>
    <row r="19" spans="1:17" ht="15.95" customHeight="1">
      <c r="A19" s="103"/>
      <c r="B19" s="103"/>
      <c r="C19" s="1"/>
      <c r="D19" s="183" t="s">
        <v>253</v>
      </c>
      <c r="E19" s="1"/>
      <c r="F19" s="1"/>
      <c r="G19" s="183" t="s">
        <v>253</v>
      </c>
      <c r="H19" s="1"/>
      <c r="I19" s="188"/>
      <c r="J19" s="183" t="s">
        <v>253</v>
      </c>
      <c r="L19" s="188"/>
      <c r="M19" s="183" t="s">
        <v>253</v>
      </c>
      <c r="P19" s="183" t="s">
        <v>253</v>
      </c>
    </row>
    <row r="20" spans="1:17" ht="15.95" customHeight="1">
      <c r="A20" s="189" t="s">
        <v>702</v>
      </c>
      <c r="B20" s="103"/>
      <c r="C20" s="183">
        <v>421059977.68000001</v>
      </c>
      <c r="D20" s="183">
        <f t="shared" si="0"/>
        <v>0.20531785454829943</v>
      </c>
      <c r="E20" s="1"/>
      <c r="F20" s="183">
        <v>381258940.42000002</v>
      </c>
      <c r="G20" s="183">
        <f t="shared" si="1"/>
        <v>0.17309579662979507</v>
      </c>
      <c r="H20" s="1"/>
      <c r="I20" s="188">
        <v>418834932.53999996</v>
      </c>
      <c r="J20" s="183">
        <f t="shared" si="2"/>
        <v>0.17624051036389329</v>
      </c>
      <c r="L20" s="188">
        <v>449521973.65999997</v>
      </c>
      <c r="M20" s="183">
        <f t="shared" si="3"/>
        <v>0.17336258021092768</v>
      </c>
      <c r="O20" s="31">
        <v>431049872.37</v>
      </c>
      <c r="P20" s="183">
        <f t="shared" si="4"/>
        <v>0.15069819097393536</v>
      </c>
    </row>
    <row r="21" spans="1:17" ht="15.95" customHeight="1">
      <c r="A21" s="103"/>
      <c r="B21" s="103"/>
      <c r="C21" s="1"/>
      <c r="D21" s="183" t="s">
        <v>253</v>
      </c>
      <c r="E21" s="1"/>
      <c r="F21" s="1"/>
      <c r="G21" s="183" t="s">
        <v>253</v>
      </c>
      <c r="H21" s="1"/>
      <c r="I21" s="188"/>
      <c r="J21" s="183" t="s">
        <v>253</v>
      </c>
      <c r="L21" s="188"/>
      <c r="M21" s="183" t="s">
        <v>253</v>
      </c>
      <c r="P21" s="183" t="s">
        <v>253</v>
      </c>
    </row>
    <row r="22" spans="1:17" ht="15.95" customHeight="1">
      <c r="A22" s="103" t="s">
        <v>710</v>
      </c>
      <c r="B22" s="103"/>
      <c r="C22" s="1"/>
      <c r="D22" s="183" t="s">
        <v>253</v>
      </c>
      <c r="E22" s="1"/>
      <c r="F22" s="1"/>
      <c r="G22" s="183" t="s">
        <v>253</v>
      </c>
      <c r="H22" s="1"/>
      <c r="I22" s="188"/>
      <c r="J22" s="183" t="s">
        <v>253</v>
      </c>
      <c r="L22" s="188"/>
      <c r="M22" s="183" t="s">
        <v>253</v>
      </c>
      <c r="P22" s="183" t="s">
        <v>253</v>
      </c>
    </row>
    <row r="23" spans="1:17" ht="15.95" customHeight="1">
      <c r="A23" s="189" t="s">
        <v>711</v>
      </c>
      <c r="B23" s="103"/>
      <c r="C23" s="183">
        <v>1865431630.23</v>
      </c>
      <c r="D23" s="183">
        <f t="shared" si="0"/>
        <v>0.90962437759031101</v>
      </c>
      <c r="E23" s="1"/>
      <c r="F23" s="183">
        <v>2085481406.5999999</v>
      </c>
      <c r="G23" s="183">
        <f t="shared" si="1"/>
        <v>0.94683173864561243</v>
      </c>
      <c r="H23" s="1"/>
      <c r="I23" s="188">
        <v>2226235013.3400002</v>
      </c>
      <c r="J23" s="183">
        <f t="shared" si="2"/>
        <v>0.93677189856540832</v>
      </c>
      <c r="L23" s="188">
        <v>2333809208.4899998</v>
      </c>
      <c r="M23" s="183">
        <f t="shared" si="3"/>
        <v>0.90005652629090038</v>
      </c>
      <c r="O23" s="31">
        <v>2236611668.5700002</v>
      </c>
      <c r="P23" s="183">
        <f t="shared" si="4"/>
        <v>0.78193581292927017</v>
      </c>
    </row>
    <row r="24" spans="1:17" ht="15.95" customHeight="1">
      <c r="A24" s="103"/>
      <c r="B24" s="103"/>
      <c r="C24" s="1"/>
      <c r="D24" s="183" t="s">
        <v>253</v>
      </c>
      <c r="E24" s="1"/>
      <c r="F24" s="1"/>
      <c r="G24" s="183" t="s">
        <v>253</v>
      </c>
      <c r="H24" s="1"/>
      <c r="I24" s="188"/>
      <c r="J24" s="183" t="s">
        <v>253</v>
      </c>
      <c r="L24" s="188"/>
      <c r="M24" s="183" t="s">
        <v>253</v>
      </c>
      <c r="P24" s="183" t="s">
        <v>253</v>
      </c>
    </row>
    <row r="25" spans="1:17" ht="15.95" customHeight="1">
      <c r="A25" s="189" t="s">
        <v>704</v>
      </c>
      <c r="B25" s="103"/>
      <c r="C25" s="183">
        <v>981001625.72000003</v>
      </c>
      <c r="D25" s="183">
        <f t="shared" si="0"/>
        <v>0.47835738321892612</v>
      </c>
      <c r="E25" s="1"/>
      <c r="F25" s="183">
        <v>1454805608.0999999</v>
      </c>
      <c r="G25" s="183">
        <f t="shared" si="1"/>
        <v>0.66049791618828346</v>
      </c>
      <c r="H25" s="1"/>
      <c r="I25" s="188">
        <v>980302818.13</v>
      </c>
      <c r="J25" s="183">
        <f t="shared" si="2"/>
        <v>0.41249918656652196</v>
      </c>
      <c r="L25" s="188">
        <v>971722662.4000001</v>
      </c>
      <c r="M25" s="183">
        <f t="shared" si="3"/>
        <v>0.37475442330770842</v>
      </c>
      <c r="O25" s="31">
        <v>1429602831.3800001</v>
      </c>
      <c r="P25" s="183">
        <f t="shared" si="4"/>
        <v>0.49979961556572761</v>
      </c>
    </row>
    <row r="26" spans="1:17" ht="15.95" customHeight="1">
      <c r="A26" s="103"/>
      <c r="B26" s="103"/>
      <c r="C26" s="1"/>
      <c r="D26" s="183" t="s">
        <v>253</v>
      </c>
      <c r="E26" s="1"/>
      <c r="F26" s="1"/>
      <c r="G26" s="183" t="s">
        <v>253</v>
      </c>
      <c r="H26" s="1"/>
      <c r="I26" s="188"/>
      <c r="J26" s="183" t="s">
        <v>253</v>
      </c>
      <c r="L26" s="188"/>
      <c r="M26" s="183" t="s">
        <v>253</v>
      </c>
      <c r="P26" s="183" t="s">
        <v>253</v>
      </c>
    </row>
    <row r="27" spans="1:17" ht="15.95" customHeight="1">
      <c r="A27" s="103" t="s">
        <v>712</v>
      </c>
      <c r="B27" s="103"/>
      <c r="C27" s="2"/>
      <c r="D27" s="183" t="s">
        <v>253</v>
      </c>
      <c r="E27" s="1"/>
      <c r="F27" s="2"/>
      <c r="G27" s="183" t="s">
        <v>253</v>
      </c>
      <c r="H27" s="1"/>
      <c r="I27" s="188"/>
      <c r="J27" s="183" t="s">
        <v>253</v>
      </c>
      <c r="L27" s="188"/>
      <c r="M27" s="183" t="s">
        <v>253</v>
      </c>
      <c r="P27" s="183" t="s">
        <v>253</v>
      </c>
    </row>
    <row r="28" spans="1:17" ht="15.95" customHeight="1">
      <c r="A28" s="189" t="s">
        <v>713</v>
      </c>
      <c r="B28" s="103"/>
      <c r="C28" s="183">
        <v>4882400549.1599998</v>
      </c>
      <c r="D28" s="183">
        <f t="shared" si="0"/>
        <v>2.3807629766247085</v>
      </c>
      <c r="E28" s="1"/>
      <c r="F28" s="183">
        <v>4603049952.8100004</v>
      </c>
      <c r="G28" s="183">
        <f t="shared" si="1"/>
        <v>2.0898358413068467</v>
      </c>
      <c r="H28" s="1"/>
      <c r="I28" s="188">
        <v>3944464278.9100003</v>
      </c>
      <c r="J28" s="183">
        <f t="shared" si="2"/>
        <v>1.6597813210359518</v>
      </c>
      <c r="L28" s="188">
        <v>3426981738.7600002</v>
      </c>
      <c r="M28" s="183">
        <f t="shared" si="3"/>
        <v>1.3216492883093758</v>
      </c>
      <c r="O28" s="31">
        <v>3120028412.0499997</v>
      </c>
      <c r="P28" s="183">
        <f t="shared" si="4"/>
        <v>1.0907847736923229</v>
      </c>
    </row>
    <row r="29" spans="1:17" ht="15.95" customHeight="1">
      <c r="A29" s="189"/>
      <c r="B29" s="103"/>
      <c r="C29" s="183"/>
      <c r="D29" s="183" t="s">
        <v>2116</v>
      </c>
      <c r="F29" s="183" t="s">
        <v>2116</v>
      </c>
      <c r="G29" s="183" t="s">
        <v>253</v>
      </c>
      <c r="H29" s="1"/>
      <c r="I29" s="188"/>
      <c r="J29" s="183" t="s">
        <v>2116</v>
      </c>
      <c r="L29" s="188"/>
      <c r="M29" s="183" t="s">
        <v>253</v>
      </c>
      <c r="P29" s="183" t="s">
        <v>253</v>
      </c>
    </row>
    <row r="30" spans="1:17" ht="15.95" customHeight="1">
      <c r="A30" s="189" t="s">
        <v>714</v>
      </c>
      <c r="B30" s="103"/>
      <c r="C30" s="183"/>
      <c r="D30" s="183"/>
      <c r="G30" s="183" t="s">
        <v>253</v>
      </c>
      <c r="I30" s="188"/>
      <c r="J30" s="183" t="s">
        <v>253</v>
      </c>
      <c r="L30" s="188"/>
      <c r="M30" s="183" t="s">
        <v>253</v>
      </c>
      <c r="P30" s="183" t="s">
        <v>253</v>
      </c>
    </row>
    <row r="31" spans="1:17" ht="15.95" customHeight="1">
      <c r="A31" s="189" t="s">
        <v>715</v>
      </c>
      <c r="B31" s="103"/>
      <c r="C31" s="183"/>
      <c r="D31" s="183"/>
      <c r="F31" s="183">
        <v>6572688.5099999998</v>
      </c>
      <c r="G31" s="183">
        <f t="shared" si="1"/>
        <v>2.9840736387313038E-3</v>
      </c>
      <c r="I31" s="188">
        <v>1151057787.78</v>
      </c>
      <c r="J31" s="183">
        <f t="shared" si="2"/>
        <v>0.48435074588079441</v>
      </c>
      <c r="L31" s="188">
        <v>2642933593.9000001</v>
      </c>
      <c r="M31" s="183">
        <f t="shared" si="3"/>
        <v>1.0192733926533188</v>
      </c>
      <c r="O31" s="31">
        <v>7310728414.0599995</v>
      </c>
      <c r="P31" s="183">
        <f t="shared" si="4"/>
        <v>2.555884173316521</v>
      </c>
    </row>
    <row r="32" spans="1:17" ht="15.95" customHeight="1" thickBot="1">
      <c r="C32" s="173"/>
      <c r="D32" s="173"/>
      <c r="E32" s="173"/>
      <c r="F32" s="173"/>
      <c r="G32" s="173"/>
      <c r="H32" s="173"/>
      <c r="I32" s="173"/>
      <c r="J32" s="173"/>
      <c r="K32" s="173"/>
      <c r="L32" s="173"/>
      <c r="M32" s="173"/>
      <c r="N32" s="173"/>
      <c r="O32" s="173"/>
      <c r="P32" s="173"/>
      <c r="Q32" s="173"/>
    </row>
    <row r="33" spans="1:17" ht="13.15" customHeight="1">
      <c r="A33" s="6"/>
      <c r="B33" s="6"/>
      <c r="C33" s="191"/>
      <c r="D33" s="191"/>
      <c r="E33" s="191"/>
      <c r="F33" s="191"/>
      <c r="G33" s="191"/>
      <c r="H33" s="191"/>
      <c r="I33" s="191"/>
      <c r="J33" s="191"/>
      <c r="K33" s="191"/>
      <c r="L33" s="191"/>
      <c r="M33" s="191"/>
      <c r="N33" s="191"/>
      <c r="O33" s="191"/>
      <c r="P33" s="191"/>
      <c r="Q33" s="191"/>
    </row>
    <row r="34" spans="1:17">
      <c r="A34" s="4" t="s">
        <v>716</v>
      </c>
      <c r="B34" s="1"/>
    </row>
    <row r="35" spans="1:17">
      <c r="A35" t="s">
        <v>365</v>
      </c>
      <c r="E35" s="31"/>
    </row>
    <row r="38" spans="1:17">
      <c r="E38" s="31"/>
    </row>
    <row r="39" spans="1:17" ht="12.75" customHeight="1">
      <c r="A39" s="173"/>
      <c r="C39" s="183"/>
    </row>
    <row r="40" spans="1:17" ht="12.75" customHeight="1">
      <c r="A40" s="173"/>
      <c r="C40" s="183"/>
      <c r="E40" s="31"/>
    </row>
    <row r="41" spans="1:17" ht="12.75" customHeight="1">
      <c r="A41" s="173"/>
      <c r="C41" s="183"/>
    </row>
    <row r="42" spans="1:17">
      <c r="C42" s="183"/>
    </row>
    <row r="43" spans="1:17">
      <c r="C43" s="183"/>
      <c r="E43" s="31"/>
    </row>
    <row r="44" spans="1:17">
      <c r="C44" s="183"/>
    </row>
    <row r="45" spans="1:17">
      <c r="C45" s="183"/>
    </row>
    <row r="46" spans="1:17">
      <c r="E46" s="31"/>
    </row>
  </sheetData>
  <mergeCells count="5">
    <mergeCell ref="C8:D8"/>
    <mergeCell ref="F8:G8"/>
    <mergeCell ref="I8:J8"/>
    <mergeCell ref="L8:M8"/>
    <mergeCell ref="O8:P8"/>
  </mergeCells>
  <printOptions horizontalCentered="1" verticalCentered="1"/>
  <pageMargins left="0" right="0" top="0" bottom="0" header="0.31496062992125984" footer="0.31496062992125984"/>
  <pageSetup paperSize="9" scale="80" fitToWidth="2" orientation="landscape" r:id="rId1"/>
</worksheet>
</file>

<file path=xl/worksheets/sheet33.xml><?xml version="1.0" encoding="utf-8"?>
<worksheet xmlns="http://schemas.openxmlformats.org/spreadsheetml/2006/main" xmlns:r="http://schemas.openxmlformats.org/officeDocument/2006/relationships">
  <sheetPr>
    <tabColor rgb="FFFFFF00"/>
  </sheetPr>
  <dimension ref="A1:B28"/>
  <sheetViews>
    <sheetView workbookViewId="0">
      <selection activeCell="B32" sqref="B32"/>
    </sheetView>
  </sheetViews>
  <sheetFormatPr baseColWidth="10" defaultRowHeight="15"/>
  <cols>
    <col min="1" max="1" width="13.7109375" customWidth="1"/>
    <col min="2" max="2" width="109.42578125" customWidth="1"/>
  </cols>
  <sheetData>
    <row r="1" spans="1:2" ht="15.75">
      <c r="A1" s="28" t="s">
        <v>251</v>
      </c>
    </row>
    <row r="2" spans="1:2" ht="15.75">
      <c r="A2" s="26" t="s">
        <v>721</v>
      </c>
    </row>
    <row r="3" spans="1:2">
      <c r="A3" s="25"/>
    </row>
    <row r="4" spans="1:2" ht="15.75">
      <c r="A4" s="26" t="s">
        <v>722</v>
      </c>
    </row>
    <row r="5" spans="1:2" ht="15.75">
      <c r="A5" s="27" t="s">
        <v>723</v>
      </c>
      <c r="B5" s="29" t="s">
        <v>724</v>
      </c>
    </row>
    <row r="6" spans="1:2">
      <c r="A6" s="25"/>
    </row>
    <row r="7" spans="1:2" ht="15.75">
      <c r="A7" s="26" t="s">
        <v>725</v>
      </c>
    </row>
    <row r="8" spans="1:2" ht="15.75">
      <c r="A8" s="27" t="s">
        <v>726</v>
      </c>
      <c r="B8" s="29" t="s">
        <v>727</v>
      </c>
    </row>
    <row r="9" spans="1:2" ht="15.75">
      <c r="A9" s="27" t="s">
        <v>728</v>
      </c>
      <c r="B9" s="29" t="s">
        <v>729</v>
      </c>
    </row>
    <row r="10" spans="1:2" ht="15.75">
      <c r="A10" s="27" t="s">
        <v>730</v>
      </c>
      <c r="B10" s="29" t="s">
        <v>2267</v>
      </c>
    </row>
    <row r="11" spans="1:2" ht="15.75">
      <c r="A11" s="27" t="s">
        <v>731</v>
      </c>
      <c r="B11" s="29" t="s">
        <v>2268</v>
      </c>
    </row>
    <row r="12" spans="1:2" ht="15.75">
      <c r="A12" s="27" t="s">
        <v>732</v>
      </c>
      <c r="B12" s="29" t="s">
        <v>2269</v>
      </c>
    </row>
    <row r="13" spans="1:2" ht="15.75">
      <c r="A13" s="27" t="s">
        <v>733</v>
      </c>
      <c r="B13" s="29" t="s">
        <v>2270</v>
      </c>
    </row>
    <row r="14" spans="1:2" ht="15.75">
      <c r="A14" s="27" t="s">
        <v>734</v>
      </c>
      <c r="B14" s="29" t="s">
        <v>2271</v>
      </c>
    </row>
    <row r="15" spans="1:2" ht="15.75">
      <c r="A15" s="27" t="s">
        <v>735</v>
      </c>
      <c r="B15" s="29" t="s">
        <v>2272</v>
      </c>
    </row>
    <row r="16" spans="1:2" ht="15.75">
      <c r="A16" s="27" t="s">
        <v>736</v>
      </c>
      <c r="B16" s="29" t="s">
        <v>2273</v>
      </c>
    </row>
    <row r="17" spans="1:2" ht="15.75">
      <c r="A17" s="27" t="s">
        <v>737</v>
      </c>
      <c r="B17" s="29" t="s">
        <v>2274</v>
      </c>
    </row>
    <row r="18" spans="1:2" ht="15.75">
      <c r="A18" s="27" t="s">
        <v>738</v>
      </c>
      <c r="B18" s="29" t="s">
        <v>739</v>
      </c>
    </row>
    <row r="19" spans="1:2" ht="15.75">
      <c r="A19" s="27" t="s">
        <v>740</v>
      </c>
      <c r="B19" s="29" t="s">
        <v>741</v>
      </c>
    </row>
    <row r="20" spans="1:2" ht="15.75">
      <c r="A20" s="27" t="s">
        <v>742</v>
      </c>
      <c r="B20" s="29" t="s">
        <v>743</v>
      </c>
    </row>
    <row r="21" spans="1:2" ht="15.75">
      <c r="A21" s="27" t="s">
        <v>744</v>
      </c>
      <c r="B21" s="29" t="s">
        <v>745</v>
      </c>
    </row>
    <row r="22" spans="1:2">
      <c r="A22" s="25"/>
    </row>
    <row r="23" spans="1:2" ht="15.75">
      <c r="A23" s="26" t="s">
        <v>746</v>
      </c>
    </row>
    <row r="24" spans="1:2" ht="15.75">
      <c r="A24" s="27" t="s">
        <v>747</v>
      </c>
      <c r="B24" s="29" t="s">
        <v>2275</v>
      </c>
    </row>
    <row r="25" spans="1:2" ht="15.75">
      <c r="A25" s="27" t="s">
        <v>748</v>
      </c>
      <c r="B25" s="29" t="s">
        <v>2276</v>
      </c>
    </row>
    <row r="26" spans="1:2" ht="15.75">
      <c r="A26" s="27" t="s">
        <v>749</v>
      </c>
      <c r="B26" s="29" t="s">
        <v>2277</v>
      </c>
    </row>
    <row r="27" spans="1:2" ht="15.75">
      <c r="A27" s="27" t="s">
        <v>750</v>
      </c>
      <c r="B27" s="193" t="s">
        <v>2278</v>
      </c>
    </row>
    <row r="28" spans="1:2">
      <c r="A28" s="25"/>
    </row>
  </sheetData>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dimension ref="A1:N122"/>
  <sheetViews>
    <sheetView topLeftCell="A76" workbookViewId="0">
      <selection activeCell="A118" sqref="A118"/>
    </sheetView>
  </sheetViews>
  <sheetFormatPr baseColWidth="10" defaultColWidth="8.85546875" defaultRowHeight="12.75"/>
  <cols>
    <col min="1" max="1" width="30.85546875" style="455" customWidth="1"/>
    <col min="2" max="2" width="2.42578125" style="434" customWidth="1"/>
    <col min="3" max="3" width="9.7109375" style="784" customWidth="1"/>
    <col min="4" max="4" width="8.7109375" style="455" customWidth="1"/>
    <col min="5" max="5" width="2.5703125" style="455" customWidth="1"/>
    <col min="6" max="6" width="9.7109375" style="784" customWidth="1"/>
    <col min="7" max="7" width="8.7109375" style="784" customWidth="1"/>
    <col min="8" max="8" width="2.7109375" style="784" customWidth="1"/>
    <col min="9" max="9" width="9.7109375" style="784" customWidth="1"/>
    <col min="10" max="10" width="8.7109375" style="784" customWidth="1"/>
    <col min="11" max="11" width="2.85546875" style="784" customWidth="1"/>
    <col min="12" max="12" width="9.42578125" style="784" customWidth="1"/>
    <col min="13" max="13" width="9.7109375" style="784" customWidth="1"/>
    <col min="14" max="14" width="3.7109375" style="785" customWidth="1"/>
    <col min="15" max="256" width="8.85546875" style="434"/>
    <col min="257" max="257" width="30.85546875" style="434" customWidth="1"/>
    <col min="258" max="258" width="2.42578125" style="434" customWidth="1"/>
    <col min="259" max="259" width="9.7109375" style="434" customWidth="1"/>
    <col min="260" max="260" width="8.7109375" style="434" customWidth="1"/>
    <col min="261" max="261" width="2.5703125" style="434" customWidth="1"/>
    <col min="262" max="262" width="9.7109375" style="434" customWidth="1"/>
    <col min="263" max="263" width="8.7109375" style="434" customWidth="1"/>
    <col min="264" max="264" width="2.7109375" style="434" customWidth="1"/>
    <col min="265" max="265" width="9.7109375" style="434" customWidth="1"/>
    <col min="266" max="266" width="8.7109375" style="434" customWidth="1"/>
    <col min="267" max="267" width="2.85546875" style="434" customWidth="1"/>
    <col min="268" max="268" width="9.42578125" style="434" customWidth="1"/>
    <col min="269" max="269" width="9.7109375" style="434" customWidth="1"/>
    <col min="270" max="270" width="3.7109375" style="434" customWidth="1"/>
    <col min="271" max="512" width="8.85546875" style="434"/>
    <col min="513" max="513" width="30.85546875" style="434" customWidth="1"/>
    <col min="514" max="514" width="2.42578125" style="434" customWidth="1"/>
    <col min="515" max="515" width="9.7109375" style="434" customWidth="1"/>
    <col min="516" max="516" width="8.7109375" style="434" customWidth="1"/>
    <col min="517" max="517" width="2.5703125" style="434" customWidth="1"/>
    <col min="518" max="518" width="9.7109375" style="434" customWidth="1"/>
    <col min="519" max="519" width="8.7109375" style="434" customWidth="1"/>
    <col min="520" max="520" width="2.7109375" style="434" customWidth="1"/>
    <col min="521" max="521" width="9.7109375" style="434" customWidth="1"/>
    <col min="522" max="522" width="8.7109375" style="434" customWidth="1"/>
    <col min="523" max="523" width="2.85546875" style="434" customWidth="1"/>
    <col min="524" max="524" width="9.42578125" style="434" customWidth="1"/>
    <col min="525" max="525" width="9.7109375" style="434" customWidth="1"/>
    <col min="526" max="526" width="3.7109375" style="434" customWidth="1"/>
    <col min="527" max="768" width="8.85546875" style="434"/>
    <col min="769" max="769" width="30.85546875" style="434" customWidth="1"/>
    <col min="770" max="770" width="2.42578125" style="434" customWidth="1"/>
    <col min="771" max="771" width="9.7109375" style="434" customWidth="1"/>
    <col min="772" max="772" width="8.7109375" style="434" customWidth="1"/>
    <col min="773" max="773" width="2.5703125" style="434" customWidth="1"/>
    <col min="774" max="774" width="9.7109375" style="434" customWidth="1"/>
    <col min="775" max="775" width="8.7109375" style="434" customWidth="1"/>
    <col min="776" max="776" width="2.7109375" style="434" customWidth="1"/>
    <col min="777" max="777" width="9.7109375" style="434" customWidth="1"/>
    <col min="778" max="778" width="8.7109375" style="434" customWidth="1"/>
    <col min="779" max="779" width="2.85546875" style="434" customWidth="1"/>
    <col min="780" max="780" width="9.42578125" style="434" customWidth="1"/>
    <col min="781" max="781" width="9.7109375" style="434" customWidth="1"/>
    <col min="782" max="782" width="3.7109375" style="434" customWidth="1"/>
    <col min="783" max="1024" width="8.85546875" style="434"/>
    <col min="1025" max="1025" width="30.85546875" style="434" customWidth="1"/>
    <col min="1026" max="1026" width="2.42578125" style="434" customWidth="1"/>
    <col min="1027" max="1027" width="9.7109375" style="434" customWidth="1"/>
    <col min="1028" max="1028" width="8.7109375" style="434" customWidth="1"/>
    <col min="1029" max="1029" width="2.5703125" style="434" customWidth="1"/>
    <col min="1030" max="1030" width="9.7109375" style="434" customWidth="1"/>
    <col min="1031" max="1031" width="8.7109375" style="434" customWidth="1"/>
    <col min="1032" max="1032" width="2.7109375" style="434" customWidth="1"/>
    <col min="1033" max="1033" width="9.7109375" style="434" customWidth="1"/>
    <col min="1034" max="1034" width="8.7109375" style="434" customWidth="1"/>
    <col min="1035" max="1035" width="2.85546875" style="434" customWidth="1"/>
    <col min="1036" max="1036" width="9.42578125" style="434" customWidth="1"/>
    <col min="1037" max="1037" width="9.7109375" style="434" customWidth="1"/>
    <col min="1038" max="1038" width="3.7109375" style="434" customWidth="1"/>
    <col min="1039" max="1280" width="8.85546875" style="434"/>
    <col min="1281" max="1281" width="30.85546875" style="434" customWidth="1"/>
    <col min="1282" max="1282" width="2.42578125" style="434" customWidth="1"/>
    <col min="1283" max="1283" width="9.7109375" style="434" customWidth="1"/>
    <col min="1284" max="1284" width="8.7109375" style="434" customWidth="1"/>
    <col min="1285" max="1285" width="2.5703125" style="434" customWidth="1"/>
    <col min="1286" max="1286" width="9.7109375" style="434" customWidth="1"/>
    <col min="1287" max="1287" width="8.7109375" style="434" customWidth="1"/>
    <col min="1288" max="1288" width="2.7109375" style="434" customWidth="1"/>
    <col min="1289" max="1289" width="9.7109375" style="434" customWidth="1"/>
    <col min="1290" max="1290" width="8.7109375" style="434" customWidth="1"/>
    <col min="1291" max="1291" width="2.85546875" style="434" customWidth="1"/>
    <col min="1292" max="1292" width="9.42578125" style="434" customWidth="1"/>
    <col min="1293" max="1293" width="9.7109375" style="434" customWidth="1"/>
    <col min="1294" max="1294" width="3.7109375" style="434" customWidth="1"/>
    <col min="1295" max="1536" width="8.85546875" style="434"/>
    <col min="1537" max="1537" width="30.85546875" style="434" customWidth="1"/>
    <col min="1538" max="1538" width="2.42578125" style="434" customWidth="1"/>
    <col min="1539" max="1539" width="9.7109375" style="434" customWidth="1"/>
    <col min="1540" max="1540" width="8.7109375" style="434" customWidth="1"/>
    <col min="1541" max="1541" width="2.5703125" style="434" customWidth="1"/>
    <col min="1542" max="1542" width="9.7109375" style="434" customWidth="1"/>
    <col min="1543" max="1543" width="8.7109375" style="434" customWidth="1"/>
    <col min="1544" max="1544" width="2.7109375" style="434" customWidth="1"/>
    <col min="1545" max="1545" width="9.7109375" style="434" customWidth="1"/>
    <col min="1546" max="1546" width="8.7109375" style="434" customWidth="1"/>
    <col min="1547" max="1547" width="2.85546875" style="434" customWidth="1"/>
    <col min="1548" max="1548" width="9.42578125" style="434" customWidth="1"/>
    <col min="1549" max="1549" width="9.7109375" style="434" customWidth="1"/>
    <col min="1550" max="1550" width="3.7109375" style="434" customWidth="1"/>
    <col min="1551" max="1792" width="8.85546875" style="434"/>
    <col min="1793" max="1793" width="30.85546875" style="434" customWidth="1"/>
    <col min="1794" max="1794" width="2.42578125" style="434" customWidth="1"/>
    <col min="1795" max="1795" width="9.7109375" style="434" customWidth="1"/>
    <col min="1796" max="1796" width="8.7109375" style="434" customWidth="1"/>
    <col min="1797" max="1797" width="2.5703125" style="434" customWidth="1"/>
    <col min="1798" max="1798" width="9.7109375" style="434" customWidth="1"/>
    <col min="1799" max="1799" width="8.7109375" style="434" customWidth="1"/>
    <col min="1800" max="1800" width="2.7109375" style="434" customWidth="1"/>
    <col min="1801" max="1801" width="9.7109375" style="434" customWidth="1"/>
    <col min="1802" max="1802" width="8.7109375" style="434" customWidth="1"/>
    <col min="1803" max="1803" width="2.85546875" style="434" customWidth="1"/>
    <col min="1804" max="1804" width="9.42578125" style="434" customWidth="1"/>
    <col min="1805" max="1805" width="9.7109375" style="434" customWidth="1"/>
    <col min="1806" max="1806" width="3.7109375" style="434" customWidth="1"/>
    <col min="1807" max="2048" width="8.85546875" style="434"/>
    <col min="2049" max="2049" width="30.85546875" style="434" customWidth="1"/>
    <col min="2050" max="2050" width="2.42578125" style="434" customWidth="1"/>
    <col min="2051" max="2051" width="9.7109375" style="434" customWidth="1"/>
    <col min="2052" max="2052" width="8.7109375" style="434" customWidth="1"/>
    <col min="2053" max="2053" width="2.5703125" style="434" customWidth="1"/>
    <col min="2054" max="2054" width="9.7109375" style="434" customWidth="1"/>
    <col min="2055" max="2055" width="8.7109375" style="434" customWidth="1"/>
    <col min="2056" max="2056" width="2.7109375" style="434" customWidth="1"/>
    <col min="2057" max="2057" width="9.7109375" style="434" customWidth="1"/>
    <col min="2058" max="2058" width="8.7109375" style="434" customWidth="1"/>
    <col min="2059" max="2059" width="2.85546875" style="434" customWidth="1"/>
    <col min="2060" max="2060" width="9.42578125" style="434" customWidth="1"/>
    <col min="2061" max="2061" width="9.7109375" style="434" customWidth="1"/>
    <col min="2062" max="2062" width="3.7109375" style="434" customWidth="1"/>
    <col min="2063" max="2304" width="8.85546875" style="434"/>
    <col min="2305" max="2305" width="30.85546875" style="434" customWidth="1"/>
    <col min="2306" max="2306" width="2.42578125" style="434" customWidth="1"/>
    <col min="2307" max="2307" width="9.7109375" style="434" customWidth="1"/>
    <col min="2308" max="2308" width="8.7109375" style="434" customWidth="1"/>
    <col min="2309" max="2309" width="2.5703125" style="434" customWidth="1"/>
    <col min="2310" max="2310" width="9.7109375" style="434" customWidth="1"/>
    <col min="2311" max="2311" width="8.7109375" style="434" customWidth="1"/>
    <col min="2312" max="2312" width="2.7109375" style="434" customWidth="1"/>
    <col min="2313" max="2313" width="9.7109375" style="434" customWidth="1"/>
    <col min="2314" max="2314" width="8.7109375" style="434" customWidth="1"/>
    <col min="2315" max="2315" width="2.85546875" style="434" customWidth="1"/>
    <col min="2316" max="2316" width="9.42578125" style="434" customWidth="1"/>
    <col min="2317" max="2317" width="9.7109375" style="434" customWidth="1"/>
    <col min="2318" max="2318" width="3.7109375" style="434" customWidth="1"/>
    <col min="2319" max="2560" width="8.85546875" style="434"/>
    <col min="2561" max="2561" width="30.85546875" style="434" customWidth="1"/>
    <col min="2562" max="2562" width="2.42578125" style="434" customWidth="1"/>
    <col min="2563" max="2563" width="9.7109375" style="434" customWidth="1"/>
    <col min="2564" max="2564" width="8.7109375" style="434" customWidth="1"/>
    <col min="2565" max="2565" width="2.5703125" style="434" customWidth="1"/>
    <col min="2566" max="2566" width="9.7109375" style="434" customWidth="1"/>
    <col min="2567" max="2567" width="8.7109375" style="434" customWidth="1"/>
    <col min="2568" max="2568" width="2.7109375" style="434" customWidth="1"/>
    <col min="2569" max="2569" width="9.7109375" style="434" customWidth="1"/>
    <col min="2570" max="2570" width="8.7109375" style="434" customWidth="1"/>
    <col min="2571" max="2571" width="2.85546875" style="434" customWidth="1"/>
    <col min="2572" max="2572" width="9.42578125" style="434" customWidth="1"/>
    <col min="2573" max="2573" width="9.7109375" style="434" customWidth="1"/>
    <col min="2574" max="2574" width="3.7109375" style="434" customWidth="1"/>
    <col min="2575" max="2816" width="8.85546875" style="434"/>
    <col min="2817" max="2817" width="30.85546875" style="434" customWidth="1"/>
    <col min="2818" max="2818" width="2.42578125" style="434" customWidth="1"/>
    <col min="2819" max="2819" width="9.7109375" style="434" customWidth="1"/>
    <col min="2820" max="2820" width="8.7109375" style="434" customWidth="1"/>
    <col min="2821" max="2821" width="2.5703125" style="434" customWidth="1"/>
    <col min="2822" max="2822" width="9.7109375" style="434" customWidth="1"/>
    <col min="2823" max="2823" width="8.7109375" style="434" customWidth="1"/>
    <col min="2824" max="2824" width="2.7109375" style="434" customWidth="1"/>
    <col min="2825" max="2825" width="9.7109375" style="434" customWidth="1"/>
    <col min="2826" max="2826" width="8.7109375" style="434" customWidth="1"/>
    <col min="2827" max="2827" width="2.85546875" style="434" customWidth="1"/>
    <col min="2828" max="2828" width="9.42578125" style="434" customWidth="1"/>
    <col min="2829" max="2829" width="9.7109375" style="434" customWidth="1"/>
    <col min="2830" max="2830" width="3.7109375" style="434" customWidth="1"/>
    <col min="2831" max="3072" width="8.85546875" style="434"/>
    <col min="3073" max="3073" width="30.85546875" style="434" customWidth="1"/>
    <col min="3074" max="3074" width="2.42578125" style="434" customWidth="1"/>
    <col min="3075" max="3075" width="9.7109375" style="434" customWidth="1"/>
    <col min="3076" max="3076" width="8.7109375" style="434" customWidth="1"/>
    <col min="3077" max="3077" width="2.5703125" style="434" customWidth="1"/>
    <col min="3078" max="3078" width="9.7109375" style="434" customWidth="1"/>
    <col min="3079" max="3079" width="8.7109375" style="434" customWidth="1"/>
    <col min="3080" max="3080" width="2.7109375" style="434" customWidth="1"/>
    <col min="3081" max="3081" width="9.7109375" style="434" customWidth="1"/>
    <col min="3082" max="3082" width="8.7109375" style="434" customWidth="1"/>
    <col min="3083" max="3083" width="2.85546875" style="434" customWidth="1"/>
    <col min="3084" max="3084" width="9.42578125" style="434" customWidth="1"/>
    <col min="3085" max="3085" width="9.7109375" style="434" customWidth="1"/>
    <col min="3086" max="3086" width="3.7109375" style="434" customWidth="1"/>
    <col min="3087" max="3328" width="8.85546875" style="434"/>
    <col min="3329" max="3329" width="30.85546875" style="434" customWidth="1"/>
    <col min="3330" max="3330" width="2.42578125" style="434" customWidth="1"/>
    <col min="3331" max="3331" width="9.7109375" style="434" customWidth="1"/>
    <col min="3332" max="3332" width="8.7109375" style="434" customWidth="1"/>
    <col min="3333" max="3333" width="2.5703125" style="434" customWidth="1"/>
    <col min="3334" max="3334" width="9.7109375" style="434" customWidth="1"/>
    <col min="3335" max="3335" width="8.7109375" style="434" customWidth="1"/>
    <col min="3336" max="3336" width="2.7109375" style="434" customWidth="1"/>
    <col min="3337" max="3337" width="9.7109375" style="434" customWidth="1"/>
    <col min="3338" max="3338" width="8.7109375" style="434" customWidth="1"/>
    <col min="3339" max="3339" width="2.85546875" style="434" customWidth="1"/>
    <col min="3340" max="3340" width="9.42578125" style="434" customWidth="1"/>
    <col min="3341" max="3341" width="9.7109375" style="434" customWidth="1"/>
    <col min="3342" max="3342" width="3.7109375" style="434" customWidth="1"/>
    <col min="3343" max="3584" width="8.85546875" style="434"/>
    <col min="3585" max="3585" width="30.85546875" style="434" customWidth="1"/>
    <col min="3586" max="3586" width="2.42578125" style="434" customWidth="1"/>
    <col min="3587" max="3587" width="9.7109375" style="434" customWidth="1"/>
    <col min="3588" max="3588" width="8.7109375" style="434" customWidth="1"/>
    <col min="3589" max="3589" width="2.5703125" style="434" customWidth="1"/>
    <col min="3590" max="3590" width="9.7109375" style="434" customWidth="1"/>
    <col min="3591" max="3591" width="8.7109375" style="434" customWidth="1"/>
    <col min="3592" max="3592" width="2.7109375" style="434" customWidth="1"/>
    <col min="3593" max="3593" width="9.7109375" style="434" customWidth="1"/>
    <col min="3594" max="3594" width="8.7109375" style="434" customWidth="1"/>
    <col min="3595" max="3595" width="2.85546875" style="434" customWidth="1"/>
    <col min="3596" max="3596" width="9.42578125" style="434" customWidth="1"/>
    <col min="3597" max="3597" width="9.7109375" style="434" customWidth="1"/>
    <col min="3598" max="3598" width="3.7109375" style="434" customWidth="1"/>
    <col min="3599" max="3840" width="8.85546875" style="434"/>
    <col min="3841" max="3841" width="30.85546875" style="434" customWidth="1"/>
    <col min="3842" max="3842" width="2.42578125" style="434" customWidth="1"/>
    <col min="3843" max="3843" width="9.7109375" style="434" customWidth="1"/>
    <col min="3844" max="3844" width="8.7109375" style="434" customWidth="1"/>
    <col min="3845" max="3845" width="2.5703125" style="434" customWidth="1"/>
    <col min="3846" max="3846" width="9.7109375" style="434" customWidth="1"/>
    <col min="3847" max="3847" width="8.7109375" style="434" customWidth="1"/>
    <col min="3848" max="3848" width="2.7109375" style="434" customWidth="1"/>
    <col min="3849" max="3849" width="9.7109375" style="434" customWidth="1"/>
    <col min="3850" max="3850" width="8.7109375" style="434" customWidth="1"/>
    <col min="3851" max="3851" width="2.85546875" style="434" customWidth="1"/>
    <col min="3852" max="3852" width="9.42578125" style="434" customWidth="1"/>
    <col min="3853" max="3853" width="9.7109375" style="434" customWidth="1"/>
    <col min="3854" max="3854" width="3.7109375" style="434" customWidth="1"/>
    <col min="3855" max="4096" width="8.85546875" style="434"/>
    <col min="4097" max="4097" width="30.85546875" style="434" customWidth="1"/>
    <col min="4098" max="4098" width="2.42578125" style="434" customWidth="1"/>
    <col min="4099" max="4099" width="9.7109375" style="434" customWidth="1"/>
    <col min="4100" max="4100" width="8.7109375" style="434" customWidth="1"/>
    <col min="4101" max="4101" width="2.5703125" style="434" customWidth="1"/>
    <col min="4102" max="4102" width="9.7109375" style="434" customWidth="1"/>
    <col min="4103" max="4103" width="8.7109375" style="434" customWidth="1"/>
    <col min="4104" max="4104" width="2.7109375" style="434" customWidth="1"/>
    <col min="4105" max="4105" width="9.7109375" style="434" customWidth="1"/>
    <col min="4106" max="4106" width="8.7109375" style="434" customWidth="1"/>
    <col min="4107" max="4107" width="2.85546875" style="434" customWidth="1"/>
    <col min="4108" max="4108" width="9.42578125" style="434" customWidth="1"/>
    <col min="4109" max="4109" width="9.7109375" style="434" customWidth="1"/>
    <col min="4110" max="4110" width="3.7109375" style="434" customWidth="1"/>
    <col min="4111" max="4352" width="8.85546875" style="434"/>
    <col min="4353" max="4353" width="30.85546875" style="434" customWidth="1"/>
    <col min="4354" max="4354" width="2.42578125" style="434" customWidth="1"/>
    <col min="4355" max="4355" width="9.7109375" style="434" customWidth="1"/>
    <col min="4356" max="4356" width="8.7109375" style="434" customWidth="1"/>
    <col min="4357" max="4357" width="2.5703125" style="434" customWidth="1"/>
    <col min="4358" max="4358" width="9.7109375" style="434" customWidth="1"/>
    <col min="4359" max="4359" width="8.7109375" style="434" customWidth="1"/>
    <col min="4360" max="4360" width="2.7109375" style="434" customWidth="1"/>
    <col min="4361" max="4361" width="9.7109375" style="434" customWidth="1"/>
    <col min="4362" max="4362" width="8.7109375" style="434" customWidth="1"/>
    <col min="4363" max="4363" width="2.85546875" style="434" customWidth="1"/>
    <col min="4364" max="4364" width="9.42578125" style="434" customWidth="1"/>
    <col min="4365" max="4365" width="9.7109375" style="434" customWidth="1"/>
    <col min="4366" max="4366" width="3.7109375" style="434" customWidth="1"/>
    <col min="4367" max="4608" width="8.85546875" style="434"/>
    <col min="4609" max="4609" width="30.85546875" style="434" customWidth="1"/>
    <col min="4610" max="4610" width="2.42578125" style="434" customWidth="1"/>
    <col min="4611" max="4611" width="9.7109375" style="434" customWidth="1"/>
    <col min="4612" max="4612" width="8.7109375" style="434" customWidth="1"/>
    <col min="4613" max="4613" width="2.5703125" style="434" customWidth="1"/>
    <col min="4614" max="4614" width="9.7109375" style="434" customWidth="1"/>
    <col min="4615" max="4615" width="8.7109375" style="434" customWidth="1"/>
    <col min="4616" max="4616" width="2.7109375" style="434" customWidth="1"/>
    <col min="4617" max="4617" width="9.7109375" style="434" customWidth="1"/>
    <col min="4618" max="4618" width="8.7109375" style="434" customWidth="1"/>
    <col min="4619" max="4619" width="2.85546875" style="434" customWidth="1"/>
    <col min="4620" max="4620" width="9.42578125" style="434" customWidth="1"/>
    <col min="4621" max="4621" width="9.7109375" style="434" customWidth="1"/>
    <col min="4622" max="4622" width="3.7109375" style="434" customWidth="1"/>
    <col min="4623" max="4864" width="8.85546875" style="434"/>
    <col min="4865" max="4865" width="30.85546875" style="434" customWidth="1"/>
    <col min="4866" max="4866" width="2.42578125" style="434" customWidth="1"/>
    <col min="4867" max="4867" width="9.7109375" style="434" customWidth="1"/>
    <col min="4868" max="4868" width="8.7109375" style="434" customWidth="1"/>
    <col min="4869" max="4869" width="2.5703125" style="434" customWidth="1"/>
    <col min="4870" max="4870" width="9.7109375" style="434" customWidth="1"/>
    <col min="4871" max="4871" width="8.7109375" style="434" customWidth="1"/>
    <col min="4872" max="4872" width="2.7109375" style="434" customWidth="1"/>
    <col min="4873" max="4873" width="9.7109375" style="434" customWidth="1"/>
    <col min="4874" max="4874" width="8.7109375" style="434" customWidth="1"/>
    <col min="4875" max="4875" width="2.85546875" style="434" customWidth="1"/>
    <col min="4876" max="4876" width="9.42578125" style="434" customWidth="1"/>
    <col min="4877" max="4877" width="9.7109375" style="434" customWidth="1"/>
    <col min="4878" max="4878" width="3.7109375" style="434" customWidth="1"/>
    <col min="4879" max="5120" width="8.85546875" style="434"/>
    <col min="5121" max="5121" width="30.85546875" style="434" customWidth="1"/>
    <col min="5122" max="5122" width="2.42578125" style="434" customWidth="1"/>
    <col min="5123" max="5123" width="9.7109375" style="434" customWidth="1"/>
    <col min="5124" max="5124" width="8.7109375" style="434" customWidth="1"/>
    <col min="5125" max="5125" width="2.5703125" style="434" customWidth="1"/>
    <col min="5126" max="5126" width="9.7109375" style="434" customWidth="1"/>
    <col min="5127" max="5127" width="8.7109375" style="434" customWidth="1"/>
    <col min="5128" max="5128" width="2.7109375" style="434" customWidth="1"/>
    <col min="5129" max="5129" width="9.7109375" style="434" customWidth="1"/>
    <col min="5130" max="5130" width="8.7109375" style="434" customWidth="1"/>
    <col min="5131" max="5131" width="2.85546875" style="434" customWidth="1"/>
    <col min="5132" max="5132" width="9.42578125" style="434" customWidth="1"/>
    <col min="5133" max="5133" width="9.7109375" style="434" customWidth="1"/>
    <col min="5134" max="5134" width="3.7109375" style="434" customWidth="1"/>
    <col min="5135" max="5376" width="8.85546875" style="434"/>
    <col min="5377" max="5377" width="30.85546875" style="434" customWidth="1"/>
    <col min="5378" max="5378" width="2.42578125" style="434" customWidth="1"/>
    <col min="5379" max="5379" width="9.7109375" style="434" customWidth="1"/>
    <col min="5380" max="5380" width="8.7109375" style="434" customWidth="1"/>
    <col min="5381" max="5381" width="2.5703125" style="434" customWidth="1"/>
    <col min="5382" max="5382" width="9.7109375" style="434" customWidth="1"/>
    <col min="5383" max="5383" width="8.7109375" style="434" customWidth="1"/>
    <col min="5384" max="5384" width="2.7109375" style="434" customWidth="1"/>
    <col min="5385" max="5385" width="9.7109375" style="434" customWidth="1"/>
    <col min="5386" max="5386" width="8.7109375" style="434" customWidth="1"/>
    <col min="5387" max="5387" width="2.85546875" style="434" customWidth="1"/>
    <col min="5388" max="5388" width="9.42578125" style="434" customWidth="1"/>
    <col min="5389" max="5389" width="9.7109375" style="434" customWidth="1"/>
    <col min="5390" max="5390" width="3.7109375" style="434" customWidth="1"/>
    <col min="5391" max="5632" width="8.85546875" style="434"/>
    <col min="5633" max="5633" width="30.85546875" style="434" customWidth="1"/>
    <col min="5634" max="5634" width="2.42578125" style="434" customWidth="1"/>
    <col min="5635" max="5635" width="9.7109375" style="434" customWidth="1"/>
    <col min="5636" max="5636" width="8.7109375" style="434" customWidth="1"/>
    <col min="5637" max="5637" width="2.5703125" style="434" customWidth="1"/>
    <col min="5638" max="5638" width="9.7109375" style="434" customWidth="1"/>
    <col min="5639" max="5639" width="8.7109375" style="434" customWidth="1"/>
    <col min="5640" max="5640" width="2.7109375" style="434" customWidth="1"/>
    <col min="5641" max="5641" width="9.7109375" style="434" customWidth="1"/>
    <col min="5642" max="5642" width="8.7109375" style="434" customWidth="1"/>
    <col min="5643" max="5643" width="2.85546875" style="434" customWidth="1"/>
    <col min="5644" max="5644" width="9.42578125" style="434" customWidth="1"/>
    <col min="5645" max="5645" width="9.7109375" style="434" customWidth="1"/>
    <col min="5646" max="5646" width="3.7109375" style="434" customWidth="1"/>
    <col min="5647" max="5888" width="8.85546875" style="434"/>
    <col min="5889" max="5889" width="30.85546875" style="434" customWidth="1"/>
    <col min="5890" max="5890" width="2.42578125" style="434" customWidth="1"/>
    <col min="5891" max="5891" width="9.7109375" style="434" customWidth="1"/>
    <col min="5892" max="5892" width="8.7109375" style="434" customWidth="1"/>
    <col min="5893" max="5893" width="2.5703125" style="434" customWidth="1"/>
    <col min="5894" max="5894" width="9.7109375" style="434" customWidth="1"/>
    <col min="5895" max="5895" width="8.7109375" style="434" customWidth="1"/>
    <col min="5896" max="5896" width="2.7109375" style="434" customWidth="1"/>
    <col min="5897" max="5897" width="9.7109375" style="434" customWidth="1"/>
    <col min="5898" max="5898" width="8.7109375" style="434" customWidth="1"/>
    <col min="5899" max="5899" width="2.85546875" style="434" customWidth="1"/>
    <col min="5900" max="5900" width="9.42578125" style="434" customWidth="1"/>
    <col min="5901" max="5901" width="9.7109375" style="434" customWidth="1"/>
    <col min="5902" max="5902" width="3.7109375" style="434" customWidth="1"/>
    <col min="5903" max="6144" width="8.85546875" style="434"/>
    <col min="6145" max="6145" width="30.85546875" style="434" customWidth="1"/>
    <col min="6146" max="6146" width="2.42578125" style="434" customWidth="1"/>
    <col min="6147" max="6147" width="9.7109375" style="434" customWidth="1"/>
    <col min="6148" max="6148" width="8.7109375" style="434" customWidth="1"/>
    <col min="6149" max="6149" width="2.5703125" style="434" customWidth="1"/>
    <col min="6150" max="6150" width="9.7109375" style="434" customWidth="1"/>
    <col min="6151" max="6151" width="8.7109375" style="434" customWidth="1"/>
    <col min="6152" max="6152" width="2.7109375" style="434" customWidth="1"/>
    <col min="6153" max="6153" width="9.7109375" style="434" customWidth="1"/>
    <col min="6154" max="6154" width="8.7109375" style="434" customWidth="1"/>
    <col min="6155" max="6155" width="2.85546875" style="434" customWidth="1"/>
    <col min="6156" max="6156" width="9.42578125" style="434" customWidth="1"/>
    <col min="6157" max="6157" width="9.7109375" style="434" customWidth="1"/>
    <col min="6158" max="6158" width="3.7109375" style="434" customWidth="1"/>
    <col min="6159" max="6400" width="8.85546875" style="434"/>
    <col min="6401" max="6401" width="30.85546875" style="434" customWidth="1"/>
    <col min="6402" max="6402" width="2.42578125" style="434" customWidth="1"/>
    <col min="6403" max="6403" width="9.7109375" style="434" customWidth="1"/>
    <col min="6404" max="6404" width="8.7109375" style="434" customWidth="1"/>
    <col min="6405" max="6405" width="2.5703125" style="434" customWidth="1"/>
    <col min="6406" max="6406" width="9.7109375" style="434" customWidth="1"/>
    <col min="6407" max="6407" width="8.7109375" style="434" customWidth="1"/>
    <col min="6408" max="6408" width="2.7109375" style="434" customWidth="1"/>
    <col min="6409" max="6409" width="9.7109375" style="434" customWidth="1"/>
    <col min="6410" max="6410" width="8.7109375" style="434" customWidth="1"/>
    <col min="6411" max="6411" width="2.85546875" style="434" customWidth="1"/>
    <col min="6412" max="6412" width="9.42578125" style="434" customWidth="1"/>
    <col min="6413" max="6413" width="9.7109375" style="434" customWidth="1"/>
    <col min="6414" max="6414" width="3.7109375" style="434" customWidth="1"/>
    <col min="6415" max="6656" width="8.85546875" style="434"/>
    <col min="6657" max="6657" width="30.85546875" style="434" customWidth="1"/>
    <col min="6658" max="6658" width="2.42578125" style="434" customWidth="1"/>
    <col min="6659" max="6659" width="9.7109375" style="434" customWidth="1"/>
    <col min="6660" max="6660" width="8.7109375" style="434" customWidth="1"/>
    <col min="6661" max="6661" width="2.5703125" style="434" customWidth="1"/>
    <col min="6662" max="6662" width="9.7109375" style="434" customWidth="1"/>
    <col min="6663" max="6663" width="8.7109375" style="434" customWidth="1"/>
    <col min="6664" max="6664" width="2.7109375" style="434" customWidth="1"/>
    <col min="6665" max="6665" width="9.7109375" style="434" customWidth="1"/>
    <col min="6666" max="6666" width="8.7109375" style="434" customWidth="1"/>
    <col min="6667" max="6667" width="2.85546875" style="434" customWidth="1"/>
    <col min="6668" max="6668" width="9.42578125" style="434" customWidth="1"/>
    <col min="6669" max="6669" width="9.7109375" style="434" customWidth="1"/>
    <col min="6670" max="6670" width="3.7109375" style="434" customWidth="1"/>
    <col min="6671" max="6912" width="8.85546875" style="434"/>
    <col min="6913" max="6913" width="30.85546875" style="434" customWidth="1"/>
    <col min="6914" max="6914" width="2.42578125" style="434" customWidth="1"/>
    <col min="6915" max="6915" width="9.7109375" style="434" customWidth="1"/>
    <col min="6916" max="6916" width="8.7109375" style="434" customWidth="1"/>
    <col min="6917" max="6917" width="2.5703125" style="434" customWidth="1"/>
    <col min="6918" max="6918" width="9.7109375" style="434" customWidth="1"/>
    <col min="6919" max="6919" width="8.7109375" style="434" customWidth="1"/>
    <col min="6920" max="6920" width="2.7109375" style="434" customWidth="1"/>
    <col min="6921" max="6921" width="9.7109375" style="434" customWidth="1"/>
    <col min="6922" max="6922" width="8.7109375" style="434" customWidth="1"/>
    <col min="6923" max="6923" width="2.85546875" style="434" customWidth="1"/>
    <col min="6924" max="6924" width="9.42578125" style="434" customWidth="1"/>
    <col min="6925" max="6925" width="9.7109375" style="434" customWidth="1"/>
    <col min="6926" max="6926" width="3.7109375" style="434" customWidth="1"/>
    <col min="6927" max="7168" width="8.85546875" style="434"/>
    <col min="7169" max="7169" width="30.85546875" style="434" customWidth="1"/>
    <col min="7170" max="7170" width="2.42578125" style="434" customWidth="1"/>
    <col min="7171" max="7171" width="9.7109375" style="434" customWidth="1"/>
    <col min="7172" max="7172" width="8.7109375" style="434" customWidth="1"/>
    <col min="7173" max="7173" width="2.5703125" style="434" customWidth="1"/>
    <col min="7174" max="7174" width="9.7109375" style="434" customWidth="1"/>
    <col min="7175" max="7175" width="8.7109375" style="434" customWidth="1"/>
    <col min="7176" max="7176" width="2.7109375" style="434" customWidth="1"/>
    <col min="7177" max="7177" width="9.7109375" style="434" customWidth="1"/>
    <col min="7178" max="7178" width="8.7109375" style="434" customWidth="1"/>
    <col min="7179" max="7179" width="2.85546875" style="434" customWidth="1"/>
    <col min="7180" max="7180" width="9.42578125" style="434" customWidth="1"/>
    <col min="7181" max="7181" width="9.7109375" style="434" customWidth="1"/>
    <col min="7182" max="7182" width="3.7109375" style="434" customWidth="1"/>
    <col min="7183" max="7424" width="8.85546875" style="434"/>
    <col min="7425" max="7425" width="30.85546875" style="434" customWidth="1"/>
    <col min="7426" max="7426" width="2.42578125" style="434" customWidth="1"/>
    <col min="7427" max="7427" width="9.7109375" style="434" customWidth="1"/>
    <col min="7428" max="7428" width="8.7109375" style="434" customWidth="1"/>
    <col min="7429" max="7429" width="2.5703125" style="434" customWidth="1"/>
    <col min="7430" max="7430" width="9.7109375" style="434" customWidth="1"/>
    <col min="7431" max="7431" width="8.7109375" style="434" customWidth="1"/>
    <col min="7432" max="7432" width="2.7109375" style="434" customWidth="1"/>
    <col min="7433" max="7433" width="9.7109375" style="434" customWidth="1"/>
    <col min="7434" max="7434" width="8.7109375" style="434" customWidth="1"/>
    <col min="7435" max="7435" width="2.85546875" style="434" customWidth="1"/>
    <col min="7436" max="7436" width="9.42578125" style="434" customWidth="1"/>
    <col min="7437" max="7437" width="9.7109375" style="434" customWidth="1"/>
    <col min="7438" max="7438" width="3.7109375" style="434" customWidth="1"/>
    <col min="7439" max="7680" width="8.85546875" style="434"/>
    <col min="7681" max="7681" width="30.85546875" style="434" customWidth="1"/>
    <col min="7682" max="7682" width="2.42578125" style="434" customWidth="1"/>
    <col min="7683" max="7683" width="9.7109375" style="434" customWidth="1"/>
    <col min="7684" max="7684" width="8.7109375" style="434" customWidth="1"/>
    <col min="7685" max="7685" width="2.5703125" style="434" customWidth="1"/>
    <col min="7686" max="7686" width="9.7109375" style="434" customWidth="1"/>
    <col min="7687" max="7687" width="8.7109375" style="434" customWidth="1"/>
    <col min="7688" max="7688" width="2.7109375" style="434" customWidth="1"/>
    <col min="7689" max="7689" width="9.7109375" style="434" customWidth="1"/>
    <col min="7690" max="7690" width="8.7109375" style="434" customWidth="1"/>
    <col min="7691" max="7691" width="2.85546875" style="434" customWidth="1"/>
    <col min="7692" max="7692" width="9.42578125" style="434" customWidth="1"/>
    <col min="7693" max="7693" width="9.7109375" style="434" customWidth="1"/>
    <col min="7694" max="7694" width="3.7109375" style="434" customWidth="1"/>
    <col min="7695" max="7936" width="8.85546875" style="434"/>
    <col min="7937" max="7937" width="30.85546875" style="434" customWidth="1"/>
    <col min="7938" max="7938" width="2.42578125" style="434" customWidth="1"/>
    <col min="7939" max="7939" width="9.7109375" style="434" customWidth="1"/>
    <col min="7940" max="7940" width="8.7109375" style="434" customWidth="1"/>
    <col min="7941" max="7941" width="2.5703125" style="434" customWidth="1"/>
    <col min="7942" max="7942" width="9.7109375" style="434" customWidth="1"/>
    <col min="7943" max="7943" width="8.7109375" style="434" customWidth="1"/>
    <col min="7944" max="7944" width="2.7109375" style="434" customWidth="1"/>
    <col min="7945" max="7945" width="9.7109375" style="434" customWidth="1"/>
    <col min="7946" max="7946" width="8.7109375" style="434" customWidth="1"/>
    <col min="7947" max="7947" width="2.85546875" style="434" customWidth="1"/>
    <col min="7948" max="7948" width="9.42578125" style="434" customWidth="1"/>
    <col min="7949" max="7949" width="9.7109375" style="434" customWidth="1"/>
    <col min="7950" max="7950" width="3.7109375" style="434" customWidth="1"/>
    <col min="7951" max="8192" width="8.85546875" style="434"/>
    <col min="8193" max="8193" width="30.85546875" style="434" customWidth="1"/>
    <col min="8194" max="8194" width="2.42578125" style="434" customWidth="1"/>
    <col min="8195" max="8195" width="9.7109375" style="434" customWidth="1"/>
    <col min="8196" max="8196" width="8.7109375" style="434" customWidth="1"/>
    <col min="8197" max="8197" width="2.5703125" style="434" customWidth="1"/>
    <col min="8198" max="8198" width="9.7109375" style="434" customWidth="1"/>
    <col min="8199" max="8199" width="8.7109375" style="434" customWidth="1"/>
    <col min="8200" max="8200" width="2.7109375" style="434" customWidth="1"/>
    <col min="8201" max="8201" width="9.7109375" style="434" customWidth="1"/>
    <col min="8202" max="8202" width="8.7109375" style="434" customWidth="1"/>
    <col min="8203" max="8203" width="2.85546875" style="434" customWidth="1"/>
    <col min="8204" max="8204" width="9.42578125" style="434" customWidth="1"/>
    <col min="8205" max="8205" width="9.7109375" style="434" customWidth="1"/>
    <col min="8206" max="8206" width="3.7109375" style="434" customWidth="1"/>
    <col min="8207" max="8448" width="8.85546875" style="434"/>
    <col min="8449" max="8449" width="30.85546875" style="434" customWidth="1"/>
    <col min="8450" max="8450" width="2.42578125" style="434" customWidth="1"/>
    <col min="8451" max="8451" width="9.7109375" style="434" customWidth="1"/>
    <col min="8452" max="8452" width="8.7109375" style="434" customWidth="1"/>
    <col min="8453" max="8453" width="2.5703125" style="434" customWidth="1"/>
    <col min="8454" max="8454" width="9.7109375" style="434" customWidth="1"/>
    <col min="8455" max="8455" width="8.7109375" style="434" customWidth="1"/>
    <col min="8456" max="8456" width="2.7109375" style="434" customWidth="1"/>
    <col min="8457" max="8457" width="9.7109375" style="434" customWidth="1"/>
    <col min="8458" max="8458" width="8.7109375" style="434" customWidth="1"/>
    <col min="8459" max="8459" width="2.85546875" style="434" customWidth="1"/>
    <col min="8460" max="8460" width="9.42578125" style="434" customWidth="1"/>
    <col min="8461" max="8461" width="9.7109375" style="434" customWidth="1"/>
    <col min="8462" max="8462" width="3.7109375" style="434" customWidth="1"/>
    <col min="8463" max="8704" width="8.85546875" style="434"/>
    <col min="8705" max="8705" width="30.85546875" style="434" customWidth="1"/>
    <col min="8706" max="8706" width="2.42578125" style="434" customWidth="1"/>
    <col min="8707" max="8707" width="9.7109375" style="434" customWidth="1"/>
    <col min="8708" max="8708" width="8.7109375" style="434" customWidth="1"/>
    <col min="8709" max="8709" width="2.5703125" style="434" customWidth="1"/>
    <col min="8710" max="8710" width="9.7109375" style="434" customWidth="1"/>
    <col min="8711" max="8711" width="8.7109375" style="434" customWidth="1"/>
    <col min="8712" max="8712" width="2.7109375" style="434" customWidth="1"/>
    <col min="8713" max="8713" width="9.7109375" style="434" customWidth="1"/>
    <col min="8714" max="8714" width="8.7109375" style="434" customWidth="1"/>
    <col min="8715" max="8715" width="2.85546875" style="434" customWidth="1"/>
    <col min="8716" max="8716" width="9.42578125" style="434" customWidth="1"/>
    <col min="8717" max="8717" width="9.7109375" style="434" customWidth="1"/>
    <col min="8718" max="8718" width="3.7109375" style="434" customWidth="1"/>
    <col min="8719" max="8960" width="8.85546875" style="434"/>
    <col min="8961" max="8961" width="30.85546875" style="434" customWidth="1"/>
    <col min="8962" max="8962" width="2.42578125" style="434" customWidth="1"/>
    <col min="8963" max="8963" width="9.7109375" style="434" customWidth="1"/>
    <col min="8964" max="8964" width="8.7109375" style="434" customWidth="1"/>
    <col min="8965" max="8965" width="2.5703125" style="434" customWidth="1"/>
    <col min="8966" max="8966" width="9.7109375" style="434" customWidth="1"/>
    <col min="8967" max="8967" width="8.7109375" style="434" customWidth="1"/>
    <col min="8968" max="8968" width="2.7109375" style="434" customWidth="1"/>
    <col min="8969" max="8969" width="9.7109375" style="434" customWidth="1"/>
    <col min="8970" max="8970" width="8.7109375" style="434" customWidth="1"/>
    <col min="8971" max="8971" width="2.85546875" style="434" customWidth="1"/>
    <col min="8972" max="8972" width="9.42578125" style="434" customWidth="1"/>
    <col min="8973" max="8973" width="9.7109375" style="434" customWidth="1"/>
    <col min="8974" max="8974" width="3.7109375" style="434" customWidth="1"/>
    <col min="8975" max="9216" width="8.85546875" style="434"/>
    <col min="9217" max="9217" width="30.85546875" style="434" customWidth="1"/>
    <col min="9218" max="9218" width="2.42578125" style="434" customWidth="1"/>
    <col min="9219" max="9219" width="9.7109375" style="434" customWidth="1"/>
    <col min="9220" max="9220" width="8.7109375" style="434" customWidth="1"/>
    <col min="9221" max="9221" width="2.5703125" style="434" customWidth="1"/>
    <col min="9222" max="9222" width="9.7109375" style="434" customWidth="1"/>
    <col min="9223" max="9223" width="8.7109375" style="434" customWidth="1"/>
    <col min="9224" max="9224" width="2.7109375" style="434" customWidth="1"/>
    <col min="9225" max="9225" width="9.7109375" style="434" customWidth="1"/>
    <col min="9226" max="9226" width="8.7109375" style="434" customWidth="1"/>
    <col min="9227" max="9227" width="2.85546875" style="434" customWidth="1"/>
    <col min="9228" max="9228" width="9.42578125" style="434" customWidth="1"/>
    <col min="9229" max="9229" width="9.7109375" style="434" customWidth="1"/>
    <col min="9230" max="9230" width="3.7109375" style="434" customWidth="1"/>
    <col min="9231" max="9472" width="8.85546875" style="434"/>
    <col min="9473" max="9473" width="30.85546875" style="434" customWidth="1"/>
    <col min="9474" max="9474" width="2.42578125" style="434" customWidth="1"/>
    <col min="9475" max="9475" width="9.7109375" style="434" customWidth="1"/>
    <col min="9476" max="9476" width="8.7109375" style="434" customWidth="1"/>
    <col min="9477" max="9477" width="2.5703125" style="434" customWidth="1"/>
    <col min="9478" max="9478" width="9.7109375" style="434" customWidth="1"/>
    <col min="9479" max="9479" width="8.7109375" style="434" customWidth="1"/>
    <col min="9480" max="9480" width="2.7109375" style="434" customWidth="1"/>
    <col min="9481" max="9481" width="9.7109375" style="434" customWidth="1"/>
    <col min="9482" max="9482" width="8.7109375" style="434" customWidth="1"/>
    <col min="9483" max="9483" width="2.85546875" style="434" customWidth="1"/>
    <col min="9484" max="9484" width="9.42578125" style="434" customWidth="1"/>
    <col min="9485" max="9485" width="9.7109375" style="434" customWidth="1"/>
    <col min="9486" max="9486" width="3.7109375" style="434" customWidth="1"/>
    <col min="9487" max="9728" width="8.85546875" style="434"/>
    <col min="9729" max="9729" width="30.85546875" style="434" customWidth="1"/>
    <col min="9730" max="9730" width="2.42578125" style="434" customWidth="1"/>
    <col min="9731" max="9731" width="9.7109375" style="434" customWidth="1"/>
    <col min="9732" max="9732" width="8.7109375" style="434" customWidth="1"/>
    <col min="9733" max="9733" width="2.5703125" style="434" customWidth="1"/>
    <col min="9734" max="9734" width="9.7109375" style="434" customWidth="1"/>
    <col min="9735" max="9735" width="8.7109375" style="434" customWidth="1"/>
    <col min="9736" max="9736" width="2.7109375" style="434" customWidth="1"/>
    <col min="9737" max="9737" width="9.7109375" style="434" customWidth="1"/>
    <col min="9738" max="9738" width="8.7109375" style="434" customWidth="1"/>
    <col min="9739" max="9739" width="2.85546875" style="434" customWidth="1"/>
    <col min="9740" max="9740" width="9.42578125" style="434" customWidth="1"/>
    <col min="9741" max="9741" width="9.7109375" style="434" customWidth="1"/>
    <col min="9742" max="9742" width="3.7109375" style="434" customWidth="1"/>
    <col min="9743" max="9984" width="8.85546875" style="434"/>
    <col min="9985" max="9985" width="30.85546875" style="434" customWidth="1"/>
    <col min="9986" max="9986" width="2.42578125" style="434" customWidth="1"/>
    <col min="9987" max="9987" width="9.7109375" style="434" customWidth="1"/>
    <col min="9988" max="9988" width="8.7109375" style="434" customWidth="1"/>
    <col min="9989" max="9989" width="2.5703125" style="434" customWidth="1"/>
    <col min="9990" max="9990" width="9.7109375" style="434" customWidth="1"/>
    <col min="9991" max="9991" width="8.7109375" style="434" customWidth="1"/>
    <col min="9992" max="9992" width="2.7109375" style="434" customWidth="1"/>
    <col min="9993" max="9993" width="9.7109375" style="434" customWidth="1"/>
    <col min="9994" max="9994" width="8.7109375" style="434" customWidth="1"/>
    <col min="9995" max="9995" width="2.85546875" style="434" customWidth="1"/>
    <col min="9996" max="9996" width="9.42578125" style="434" customWidth="1"/>
    <col min="9997" max="9997" width="9.7109375" style="434" customWidth="1"/>
    <col min="9998" max="9998" width="3.7109375" style="434" customWidth="1"/>
    <col min="9999" max="10240" width="8.85546875" style="434"/>
    <col min="10241" max="10241" width="30.85546875" style="434" customWidth="1"/>
    <col min="10242" max="10242" width="2.42578125" style="434" customWidth="1"/>
    <col min="10243" max="10243" width="9.7109375" style="434" customWidth="1"/>
    <col min="10244" max="10244" width="8.7109375" style="434" customWidth="1"/>
    <col min="10245" max="10245" width="2.5703125" style="434" customWidth="1"/>
    <col min="10246" max="10246" width="9.7109375" style="434" customWidth="1"/>
    <col min="10247" max="10247" width="8.7109375" style="434" customWidth="1"/>
    <col min="10248" max="10248" width="2.7109375" style="434" customWidth="1"/>
    <col min="10249" max="10249" width="9.7109375" style="434" customWidth="1"/>
    <col min="10250" max="10250" width="8.7109375" style="434" customWidth="1"/>
    <col min="10251" max="10251" width="2.85546875" style="434" customWidth="1"/>
    <col min="10252" max="10252" width="9.42578125" style="434" customWidth="1"/>
    <col min="10253" max="10253" width="9.7109375" style="434" customWidth="1"/>
    <col min="10254" max="10254" width="3.7109375" style="434" customWidth="1"/>
    <col min="10255" max="10496" width="8.85546875" style="434"/>
    <col min="10497" max="10497" width="30.85546875" style="434" customWidth="1"/>
    <col min="10498" max="10498" width="2.42578125" style="434" customWidth="1"/>
    <col min="10499" max="10499" width="9.7109375" style="434" customWidth="1"/>
    <col min="10500" max="10500" width="8.7109375" style="434" customWidth="1"/>
    <col min="10501" max="10501" width="2.5703125" style="434" customWidth="1"/>
    <col min="10502" max="10502" width="9.7109375" style="434" customWidth="1"/>
    <col min="10503" max="10503" width="8.7109375" style="434" customWidth="1"/>
    <col min="10504" max="10504" width="2.7109375" style="434" customWidth="1"/>
    <col min="10505" max="10505" width="9.7109375" style="434" customWidth="1"/>
    <col min="10506" max="10506" width="8.7109375" style="434" customWidth="1"/>
    <col min="10507" max="10507" width="2.85546875" style="434" customWidth="1"/>
    <col min="10508" max="10508" width="9.42578125" style="434" customWidth="1"/>
    <col min="10509" max="10509" width="9.7109375" style="434" customWidth="1"/>
    <col min="10510" max="10510" width="3.7109375" style="434" customWidth="1"/>
    <col min="10511" max="10752" width="8.85546875" style="434"/>
    <col min="10753" max="10753" width="30.85546875" style="434" customWidth="1"/>
    <col min="10754" max="10754" width="2.42578125" style="434" customWidth="1"/>
    <col min="10755" max="10755" width="9.7109375" style="434" customWidth="1"/>
    <col min="10756" max="10756" width="8.7109375" style="434" customWidth="1"/>
    <col min="10757" max="10757" width="2.5703125" style="434" customWidth="1"/>
    <col min="10758" max="10758" width="9.7109375" style="434" customWidth="1"/>
    <col min="10759" max="10759" width="8.7109375" style="434" customWidth="1"/>
    <col min="10760" max="10760" width="2.7109375" style="434" customWidth="1"/>
    <col min="10761" max="10761" width="9.7109375" style="434" customWidth="1"/>
    <col min="10762" max="10762" width="8.7109375" style="434" customWidth="1"/>
    <col min="10763" max="10763" width="2.85546875" style="434" customWidth="1"/>
    <col min="10764" max="10764" width="9.42578125" style="434" customWidth="1"/>
    <col min="10765" max="10765" width="9.7109375" style="434" customWidth="1"/>
    <col min="10766" max="10766" width="3.7109375" style="434" customWidth="1"/>
    <col min="10767" max="11008" width="8.85546875" style="434"/>
    <col min="11009" max="11009" width="30.85546875" style="434" customWidth="1"/>
    <col min="11010" max="11010" width="2.42578125" style="434" customWidth="1"/>
    <col min="11011" max="11011" width="9.7109375" style="434" customWidth="1"/>
    <col min="11012" max="11012" width="8.7109375" style="434" customWidth="1"/>
    <col min="11013" max="11013" width="2.5703125" style="434" customWidth="1"/>
    <col min="11014" max="11014" width="9.7109375" style="434" customWidth="1"/>
    <col min="11015" max="11015" width="8.7109375" style="434" customWidth="1"/>
    <col min="11016" max="11016" width="2.7109375" style="434" customWidth="1"/>
    <col min="11017" max="11017" width="9.7109375" style="434" customWidth="1"/>
    <col min="11018" max="11018" width="8.7109375" style="434" customWidth="1"/>
    <col min="11019" max="11019" width="2.85546875" style="434" customWidth="1"/>
    <col min="11020" max="11020" width="9.42578125" style="434" customWidth="1"/>
    <col min="11021" max="11021" width="9.7109375" style="434" customWidth="1"/>
    <col min="11022" max="11022" width="3.7109375" style="434" customWidth="1"/>
    <col min="11023" max="11264" width="8.85546875" style="434"/>
    <col min="11265" max="11265" width="30.85546875" style="434" customWidth="1"/>
    <col min="11266" max="11266" width="2.42578125" style="434" customWidth="1"/>
    <col min="11267" max="11267" width="9.7109375" style="434" customWidth="1"/>
    <col min="11268" max="11268" width="8.7109375" style="434" customWidth="1"/>
    <col min="11269" max="11269" width="2.5703125" style="434" customWidth="1"/>
    <col min="11270" max="11270" width="9.7109375" style="434" customWidth="1"/>
    <col min="11271" max="11271" width="8.7109375" style="434" customWidth="1"/>
    <col min="11272" max="11272" width="2.7109375" style="434" customWidth="1"/>
    <col min="11273" max="11273" width="9.7109375" style="434" customWidth="1"/>
    <col min="11274" max="11274" width="8.7109375" style="434" customWidth="1"/>
    <col min="11275" max="11275" width="2.85546875" style="434" customWidth="1"/>
    <col min="11276" max="11276" width="9.42578125" style="434" customWidth="1"/>
    <col min="11277" max="11277" width="9.7109375" style="434" customWidth="1"/>
    <col min="11278" max="11278" width="3.7109375" style="434" customWidth="1"/>
    <col min="11279" max="11520" width="8.85546875" style="434"/>
    <col min="11521" max="11521" width="30.85546875" style="434" customWidth="1"/>
    <col min="11522" max="11522" width="2.42578125" style="434" customWidth="1"/>
    <col min="11523" max="11523" width="9.7109375" style="434" customWidth="1"/>
    <col min="11524" max="11524" width="8.7109375" style="434" customWidth="1"/>
    <col min="11525" max="11525" width="2.5703125" style="434" customWidth="1"/>
    <col min="11526" max="11526" width="9.7109375" style="434" customWidth="1"/>
    <col min="11527" max="11527" width="8.7109375" style="434" customWidth="1"/>
    <col min="11528" max="11528" width="2.7109375" style="434" customWidth="1"/>
    <col min="11529" max="11529" width="9.7109375" style="434" customWidth="1"/>
    <col min="11530" max="11530" width="8.7109375" style="434" customWidth="1"/>
    <col min="11531" max="11531" width="2.85546875" style="434" customWidth="1"/>
    <col min="11532" max="11532" width="9.42578125" style="434" customWidth="1"/>
    <col min="11533" max="11533" width="9.7109375" style="434" customWidth="1"/>
    <col min="11534" max="11534" width="3.7109375" style="434" customWidth="1"/>
    <col min="11535" max="11776" width="8.85546875" style="434"/>
    <col min="11777" max="11777" width="30.85546875" style="434" customWidth="1"/>
    <col min="11778" max="11778" width="2.42578125" style="434" customWidth="1"/>
    <col min="11779" max="11779" width="9.7109375" style="434" customWidth="1"/>
    <col min="11780" max="11780" width="8.7109375" style="434" customWidth="1"/>
    <col min="11781" max="11781" width="2.5703125" style="434" customWidth="1"/>
    <col min="11782" max="11782" width="9.7109375" style="434" customWidth="1"/>
    <col min="11783" max="11783" width="8.7109375" style="434" customWidth="1"/>
    <col min="11784" max="11784" width="2.7109375" style="434" customWidth="1"/>
    <col min="11785" max="11785" width="9.7109375" style="434" customWidth="1"/>
    <col min="11786" max="11786" width="8.7109375" style="434" customWidth="1"/>
    <col min="11787" max="11787" width="2.85546875" style="434" customWidth="1"/>
    <col min="11788" max="11788" width="9.42578125" style="434" customWidth="1"/>
    <col min="11789" max="11789" width="9.7109375" style="434" customWidth="1"/>
    <col min="11790" max="11790" width="3.7109375" style="434" customWidth="1"/>
    <col min="11791" max="12032" width="8.85546875" style="434"/>
    <col min="12033" max="12033" width="30.85546875" style="434" customWidth="1"/>
    <col min="12034" max="12034" width="2.42578125" style="434" customWidth="1"/>
    <col min="12035" max="12035" width="9.7109375" style="434" customWidth="1"/>
    <col min="12036" max="12036" width="8.7109375" style="434" customWidth="1"/>
    <col min="12037" max="12037" width="2.5703125" style="434" customWidth="1"/>
    <col min="12038" max="12038" width="9.7109375" style="434" customWidth="1"/>
    <col min="12039" max="12039" width="8.7109375" style="434" customWidth="1"/>
    <col min="12040" max="12040" width="2.7109375" style="434" customWidth="1"/>
    <col min="12041" max="12041" width="9.7109375" style="434" customWidth="1"/>
    <col min="12042" max="12042" width="8.7109375" style="434" customWidth="1"/>
    <col min="12043" max="12043" width="2.85546875" style="434" customWidth="1"/>
    <col min="12044" max="12044" width="9.42578125" style="434" customWidth="1"/>
    <col min="12045" max="12045" width="9.7109375" style="434" customWidth="1"/>
    <col min="12046" max="12046" width="3.7109375" style="434" customWidth="1"/>
    <col min="12047" max="12288" width="8.85546875" style="434"/>
    <col min="12289" max="12289" width="30.85546875" style="434" customWidth="1"/>
    <col min="12290" max="12290" width="2.42578125" style="434" customWidth="1"/>
    <col min="12291" max="12291" width="9.7109375" style="434" customWidth="1"/>
    <col min="12292" max="12292" width="8.7109375" style="434" customWidth="1"/>
    <col min="12293" max="12293" width="2.5703125" style="434" customWidth="1"/>
    <col min="12294" max="12294" width="9.7109375" style="434" customWidth="1"/>
    <col min="12295" max="12295" width="8.7109375" style="434" customWidth="1"/>
    <col min="12296" max="12296" width="2.7109375" style="434" customWidth="1"/>
    <col min="12297" max="12297" width="9.7109375" style="434" customWidth="1"/>
    <col min="12298" max="12298" width="8.7109375" style="434" customWidth="1"/>
    <col min="12299" max="12299" width="2.85546875" style="434" customWidth="1"/>
    <col min="12300" max="12300" width="9.42578125" style="434" customWidth="1"/>
    <col min="12301" max="12301" width="9.7109375" style="434" customWidth="1"/>
    <col min="12302" max="12302" width="3.7109375" style="434" customWidth="1"/>
    <col min="12303" max="12544" width="8.85546875" style="434"/>
    <col min="12545" max="12545" width="30.85546875" style="434" customWidth="1"/>
    <col min="12546" max="12546" width="2.42578125" style="434" customWidth="1"/>
    <col min="12547" max="12547" width="9.7109375" style="434" customWidth="1"/>
    <col min="12548" max="12548" width="8.7109375" style="434" customWidth="1"/>
    <col min="12549" max="12549" width="2.5703125" style="434" customWidth="1"/>
    <col min="12550" max="12550" width="9.7109375" style="434" customWidth="1"/>
    <col min="12551" max="12551" width="8.7109375" style="434" customWidth="1"/>
    <col min="12552" max="12552" width="2.7109375" style="434" customWidth="1"/>
    <col min="12553" max="12553" width="9.7109375" style="434" customWidth="1"/>
    <col min="12554" max="12554" width="8.7109375" style="434" customWidth="1"/>
    <col min="12555" max="12555" width="2.85546875" style="434" customWidth="1"/>
    <col min="12556" max="12556" width="9.42578125" style="434" customWidth="1"/>
    <col min="12557" max="12557" width="9.7109375" style="434" customWidth="1"/>
    <col min="12558" max="12558" width="3.7109375" style="434" customWidth="1"/>
    <col min="12559" max="12800" width="8.85546875" style="434"/>
    <col min="12801" max="12801" width="30.85546875" style="434" customWidth="1"/>
    <col min="12802" max="12802" width="2.42578125" style="434" customWidth="1"/>
    <col min="12803" max="12803" width="9.7109375" style="434" customWidth="1"/>
    <col min="12804" max="12804" width="8.7109375" style="434" customWidth="1"/>
    <col min="12805" max="12805" width="2.5703125" style="434" customWidth="1"/>
    <col min="12806" max="12806" width="9.7109375" style="434" customWidth="1"/>
    <col min="12807" max="12807" width="8.7109375" style="434" customWidth="1"/>
    <col min="12808" max="12808" width="2.7109375" style="434" customWidth="1"/>
    <col min="12809" max="12809" width="9.7109375" style="434" customWidth="1"/>
    <col min="12810" max="12810" width="8.7109375" style="434" customWidth="1"/>
    <col min="12811" max="12811" width="2.85546875" style="434" customWidth="1"/>
    <col min="12812" max="12812" width="9.42578125" style="434" customWidth="1"/>
    <col min="12813" max="12813" width="9.7109375" style="434" customWidth="1"/>
    <col min="12814" max="12814" width="3.7109375" style="434" customWidth="1"/>
    <col min="12815" max="13056" width="8.85546875" style="434"/>
    <col min="13057" max="13057" width="30.85546875" style="434" customWidth="1"/>
    <col min="13058" max="13058" width="2.42578125" style="434" customWidth="1"/>
    <col min="13059" max="13059" width="9.7109375" style="434" customWidth="1"/>
    <col min="13060" max="13060" width="8.7109375" style="434" customWidth="1"/>
    <col min="13061" max="13061" width="2.5703125" style="434" customWidth="1"/>
    <col min="13062" max="13062" width="9.7109375" style="434" customWidth="1"/>
    <col min="13063" max="13063" width="8.7109375" style="434" customWidth="1"/>
    <col min="13064" max="13064" width="2.7109375" style="434" customWidth="1"/>
    <col min="13065" max="13065" width="9.7109375" style="434" customWidth="1"/>
    <col min="13066" max="13066" width="8.7109375" style="434" customWidth="1"/>
    <col min="13067" max="13067" width="2.85546875" style="434" customWidth="1"/>
    <col min="13068" max="13068" width="9.42578125" style="434" customWidth="1"/>
    <col min="13069" max="13069" width="9.7109375" style="434" customWidth="1"/>
    <col min="13070" max="13070" width="3.7109375" style="434" customWidth="1"/>
    <col min="13071" max="13312" width="8.85546875" style="434"/>
    <col min="13313" max="13313" width="30.85546875" style="434" customWidth="1"/>
    <col min="13314" max="13314" width="2.42578125" style="434" customWidth="1"/>
    <col min="13315" max="13315" width="9.7109375" style="434" customWidth="1"/>
    <col min="13316" max="13316" width="8.7109375" style="434" customWidth="1"/>
    <col min="13317" max="13317" width="2.5703125" style="434" customWidth="1"/>
    <col min="13318" max="13318" width="9.7109375" style="434" customWidth="1"/>
    <col min="13319" max="13319" width="8.7109375" style="434" customWidth="1"/>
    <col min="13320" max="13320" width="2.7109375" style="434" customWidth="1"/>
    <col min="13321" max="13321" width="9.7109375" style="434" customWidth="1"/>
    <col min="13322" max="13322" width="8.7109375" style="434" customWidth="1"/>
    <col min="13323" max="13323" width="2.85546875" style="434" customWidth="1"/>
    <col min="13324" max="13324" width="9.42578125" style="434" customWidth="1"/>
    <col min="13325" max="13325" width="9.7109375" style="434" customWidth="1"/>
    <col min="13326" max="13326" width="3.7109375" style="434" customWidth="1"/>
    <col min="13327" max="13568" width="8.85546875" style="434"/>
    <col min="13569" max="13569" width="30.85546875" style="434" customWidth="1"/>
    <col min="13570" max="13570" width="2.42578125" style="434" customWidth="1"/>
    <col min="13571" max="13571" width="9.7109375" style="434" customWidth="1"/>
    <col min="13572" max="13572" width="8.7109375" style="434" customWidth="1"/>
    <col min="13573" max="13573" width="2.5703125" style="434" customWidth="1"/>
    <col min="13574" max="13574" width="9.7109375" style="434" customWidth="1"/>
    <col min="13575" max="13575" width="8.7109375" style="434" customWidth="1"/>
    <col min="13576" max="13576" width="2.7109375" style="434" customWidth="1"/>
    <col min="13577" max="13577" width="9.7109375" style="434" customWidth="1"/>
    <col min="13578" max="13578" width="8.7109375" style="434" customWidth="1"/>
    <col min="13579" max="13579" width="2.85546875" style="434" customWidth="1"/>
    <col min="13580" max="13580" width="9.42578125" style="434" customWidth="1"/>
    <col min="13581" max="13581" width="9.7109375" style="434" customWidth="1"/>
    <col min="13582" max="13582" width="3.7109375" style="434" customWidth="1"/>
    <col min="13583" max="13824" width="8.85546875" style="434"/>
    <col min="13825" max="13825" width="30.85546875" style="434" customWidth="1"/>
    <col min="13826" max="13826" width="2.42578125" style="434" customWidth="1"/>
    <col min="13827" max="13827" width="9.7109375" style="434" customWidth="1"/>
    <col min="13828" max="13828" width="8.7109375" style="434" customWidth="1"/>
    <col min="13829" max="13829" width="2.5703125" style="434" customWidth="1"/>
    <col min="13830" max="13830" width="9.7109375" style="434" customWidth="1"/>
    <col min="13831" max="13831" width="8.7109375" style="434" customWidth="1"/>
    <col min="13832" max="13832" width="2.7109375" style="434" customWidth="1"/>
    <col min="13833" max="13833" width="9.7109375" style="434" customWidth="1"/>
    <col min="13834" max="13834" width="8.7109375" style="434" customWidth="1"/>
    <col min="13835" max="13835" width="2.85546875" style="434" customWidth="1"/>
    <col min="13836" max="13836" width="9.42578125" style="434" customWidth="1"/>
    <col min="13837" max="13837" width="9.7109375" style="434" customWidth="1"/>
    <col min="13838" max="13838" width="3.7109375" style="434" customWidth="1"/>
    <col min="13839" max="14080" width="8.85546875" style="434"/>
    <col min="14081" max="14081" width="30.85546875" style="434" customWidth="1"/>
    <col min="14082" max="14082" width="2.42578125" style="434" customWidth="1"/>
    <col min="14083" max="14083" width="9.7109375" style="434" customWidth="1"/>
    <col min="14084" max="14084" width="8.7109375" style="434" customWidth="1"/>
    <col min="14085" max="14085" width="2.5703125" style="434" customWidth="1"/>
    <col min="14086" max="14086" width="9.7109375" style="434" customWidth="1"/>
    <col min="14087" max="14087" width="8.7109375" style="434" customWidth="1"/>
    <col min="14088" max="14088" width="2.7109375" style="434" customWidth="1"/>
    <col min="14089" max="14089" width="9.7109375" style="434" customWidth="1"/>
    <col min="14090" max="14090" width="8.7109375" style="434" customWidth="1"/>
    <col min="14091" max="14091" width="2.85546875" style="434" customWidth="1"/>
    <col min="14092" max="14092" width="9.42578125" style="434" customWidth="1"/>
    <col min="14093" max="14093" width="9.7109375" style="434" customWidth="1"/>
    <col min="14094" max="14094" width="3.7109375" style="434" customWidth="1"/>
    <col min="14095" max="14336" width="8.85546875" style="434"/>
    <col min="14337" max="14337" width="30.85546875" style="434" customWidth="1"/>
    <col min="14338" max="14338" width="2.42578125" style="434" customWidth="1"/>
    <col min="14339" max="14339" width="9.7109375" style="434" customWidth="1"/>
    <col min="14340" max="14340" width="8.7109375" style="434" customWidth="1"/>
    <col min="14341" max="14341" width="2.5703125" style="434" customWidth="1"/>
    <col min="14342" max="14342" width="9.7109375" style="434" customWidth="1"/>
    <col min="14343" max="14343" width="8.7109375" style="434" customWidth="1"/>
    <col min="14344" max="14344" width="2.7109375" style="434" customWidth="1"/>
    <col min="14345" max="14345" width="9.7109375" style="434" customWidth="1"/>
    <col min="14346" max="14346" width="8.7109375" style="434" customWidth="1"/>
    <col min="14347" max="14347" width="2.85546875" style="434" customWidth="1"/>
    <col min="14348" max="14348" width="9.42578125" style="434" customWidth="1"/>
    <col min="14349" max="14349" width="9.7109375" style="434" customWidth="1"/>
    <col min="14350" max="14350" width="3.7109375" style="434" customWidth="1"/>
    <col min="14351" max="14592" width="8.85546875" style="434"/>
    <col min="14593" max="14593" width="30.85546875" style="434" customWidth="1"/>
    <col min="14594" max="14594" width="2.42578125" style="434" customWidth="1"/>
    <col min="14595" max="14595" width="9.7109375" style="434" customWidth="1"/>
    <col min="14596" max="14596" width="8.7109375" style="434" customWidth="1"/>
    <col min="14597" max="14597" width="2.5703125" style="434" customWidth="1"/>
    <col min="14598" max="14598" width="9.7109375" style="434" customWidth="1"/>
    <col min="14599" max="14599" width="8.7109375" style="434" customWidth="1"/>
    <col min="14600" max="14600" width="2.7109375" style="434" customWidth="1"/>
    <col min="14601" max="14601" width="9.7109375" style="434" customWidth="1"/>
    <col min="14602" max="14602" width="8.7109375" style="434" customWidth="1"/>
    <col min="14603" max="14603" width="2.85546875" style="434" customWidth="1"/>
    <col min="14604" max="14604" width="9.42578125" style="434" customWidth="1"/>
    <col min="14605" max="14605" width="9.7109375" style="434" customWidth="1"/>
    <col min="14606" max="14606" width="3.7109375" style="434" customWidth="1"/>
    <col min="14607" max="14848" width="8.85546875" style="434"/>
    <col min="14849" max="14849" width="30.85546875" style="434" customWidth="1"/>
    <col min="14850" max="14850" width="2.42578125" style="434" customWidth="1"/>
    <col min="14851" max="14851" width="9.7109375" style="434" customWidth="1"/>
    <col min="14852" max="14852" width="8.7109375" style="434" customWidth="1"/>
    <col min="14853" max="14853" width="2.5703125" style="434" customWidth="1"/>
    <col min="14854" max="14854" width="9.7109375" style="434" customWidth="1"/>
    <col min="14855" max="14855" width="8.7109375" style="434" customWidth="1"/>
    <col min="14856" max="14856" width="2.7109375" style="434" customWidth="1"/>
    <col min="14857" max="14857" width="9.7109375" style="434" customWidth="1"/>
    <col min="14858" max="14858" width="8.7109375" style="434" customWidth="1"/>
    <col min="14859" max="14859" width="2.85546875" style="434" customWidth="1"/>
    <col min="14860" max="14860" width="9.42578125" style="434" customWidth="1"/>
    <col min="14861" max="14861" width="9.7109375" style="434" customWidth="1"/>
    <col min="14862" max="14862" width="3.7109375" style="434" customWidth="1"/>
    <col min="14863" max="15104" width="8.85546875" style="434"/>
    <col min="15105" max="15105" width="30.85546875" style="434" customWidth="1"/>
    <col min="15106" max="15106" width="2.42578125" style="434" customWidth="1"/>
    <col min="15107" max="15107" width="9.7109375" style="434" customWidth="1"/>
    <col min="15108" max="15108" width="8.7109375" style="434" customWidth="1"/>
    <col min="15109" max="15109" width="2.5703125" style="434" customWidth="1"/>
    <col min="15110" max="15110" width="9.7109375" style="434" customWidth="1"/>
    <col min="15111" max="15111" width="8.7109375" style="434" customWidth="1"/>
    <col min="15112" max="15112" width="2.7109375" style="434" customWidth="1"/>
    <col min="15113" max="15113" width="9.7109375" style="434" customWidth="1"/>
    <col min="15114" max="15114" width="8.7109375" style="434" customWidth="1"/>
    <col min="15115" max="15115" width="2.85546875" style="434" customWidth="1"/>
    <col min="15116" max="15116" width="9.42578125" style="434" customWidth="1"/>
    <col min="15117" max="15117" width="9.7109375" style="434" customWidth="1"/>
    <col min="15118" max="15118" width="3.7109375" style="434" customWidth="1"/>
    <col min="15119" max="15360" width="8.85546875" style="434"/>
    <col min="15361" max="15361" width="30.85546875" style="434" customWidth="1"/>
    <col min="15362" max="15362" width="2.42578125" style="434" customWidth="1"/>
    <col min="15363" max="15363" width="9.7109375" style="434" customWidth="1"/>
    <col min="15364" max="15364" width="8.7109375" style="434" customWidth="1"/>
    <col min="15365" max="15365" width="2.5703125" style="434" customWidth="1"/>
    <col min="15366" max="15366" width="9.7109375" style="434" customWidth="1"/>
    <col min="15367" max="15367" width="8.7109375" style="434" customWidth="1"/>
    <col min="15368" max="15368" width="2.7109375" style="434" customWidth="1"/>
    <col min="15369" max="15369" width="9.7109375" style="434" customWidth="1"/>
    <col min="15370" max="15370" width="8.7109375" style="434" customWidth="1"/>
    <col min="15371" max="15371" width="2.85546875" style="434" customWidth="1"/>
    <col min="15372" max="15372" width="9.42578125" style="434" customWidth="1"/>
    <col min="15373" max="15373" width="9.7109375" style="434" customWidth="1"/>
    <col min="15374" max="15374" width="3.7109375" style="434" customWidth="1"/>
    <col min="15375" max="15616" width="8.85546875" style="434"/>
    <col min="15617" max="15617" width="30.85546875" style="434" customWidth="1"/>
    <col min="15618" max="15618" width="2.42578125" style="434" customWidth="1"/>
    <col min="15619" max="15619" width="9.7109375" style="434" customWidth="1"/>
    <col min="15620" max="15620" width="8.7109375" style="434" customWidth="1"/>
    <col min="15621" max="15621" width="2.5703125" style="434" customWidth="1"/>
    <col min="15622" max="15622" width="9.7109375" style="434" customWidth="1"/>
    <col min="15623" max="15623" width="8.7109375" style="434" customWidth="1"/>
    <col min="15624" max="15624" width="2.7109375" style="434" customWidth="1"/>
    <col min="15625" max="15625" width="9.7109375" style="434" customWidth="1"/>
    <col min="15626" max="15626" width="8.7109375" style="434" customWidth="1"/>
    <col min="15627" max="15627" width="2.85546875" style="434" customWidth="1"/>
    <col min="15628" max="15628" width="9.42578125" style="434" customWidth="1"/>
    <col min="15629" max="15629" width="9.7109375" style="434" customWidth="1"/>
    <col min="15630" max="15630" width="3.7109375" style="434" customWidth="1"/>
    <col min="15631" max="15872" width="8.85546875" style="434"/>
    <col min="15873" max="15873" width="30.85546875" style="434" customWidth="1"/>
    <col min="15874" max="15874" width="2.42578125" style="434" customWidth="1"/>
    <col min="15875" max="15875" width="9.7109375" style="434" customWidth="1"/>
    <col min="15876" max="15876" width="8.7109375" style="434" customWidth="1"/>
    <col min="15877" max="15877" width="2.5703125" style="434" customWidth="1"/>
    <col min="15878" max="15878" width="9.7109375" style="434" customWidth="1"/>
    <col min="15879" max="15879" width="8.7109375" style="434" customWidth="1"/>
    <col min="15880" max="15880" width="2.7109375" style="434" customWidth="1"/>
    <col min="15881" max="15881" width="9.7109375" style="434" customWidth="1"/>
    <col min="15882" max="15882" width="8.7109375" style="434" customWidth="1"/>
    <col min="15883" max="15883" width="2.85546875" style="434" customWidth="1"/>
    <col min="15884" max="15884" width="9.42578125" style="434" customWidth="1"/>
    <col min="15885" max="15885" width="9.7109375" style="434" customWidth="1"/>
    <col min="15886" max="15886" width="3.7109375" style="434" customWidth="1"/>
    <col min="15887" max="16128" width="8.85546875" style="434"/>
    <col min="16129" max="16129" width="30.85546875" style="434" customWidth="1"/>
    <col min="16130" max="16130" width="2.42578125" style="434" customWidth="1"/>
    <col min="16131" max="16131" width="9.7109375" style="434" customWidth="1"/>
    <col min="16132" max="16132" width="8.7109375" style="434" customWidth="1"/>
    <col min="16133" max="16133" width="2.5703125" style="434" customWidth="1"/>
    <col min="16134" max="16134" width="9.7109375" style="434" customWidth="1"/>
    <col min="16135" max="16135" width="8.7109375" style="434" customWidth="1"/>
    <col min="16136" max="16136" width="2.7109375" style="434" customWidth="1"/>
    <col min="16137" max="16137" width="9.7109375" style="434" customWidth="1"/>
    <col min="16138" max="16138" width="8.7109375" style="434" customWidth="1"/>
    <col min="16139" max="16139" width="2.85546875" style="434" customWidth="1"/>
    <col min="16140" max="16140" width="9.42578125" style="434" customWidth="1"/>
    <col min="16141" max="16141" width="9.7109375" style="434" customWidth="1"/>
    <col min="16142" max="16142" width="3.7109375" style="434" customWidth="1"/>
    <col min="16143" max="16384" width="8.85546875" style="434"/>
  </cols>
  <sheetData>
    <row r="1" spans="1:14" ht="13.5" customHeight="1">
      <c r="A1" s="455" t="s">
        <v>0</v>
      </c>
    </row>
    <row r="2" spans="1:14" ht="13.5" customHeight="1">
      <c r="A2" s="455" t="s">
        <v>1</v>
      </c>
    </row>
    <row r="3" spans="1:14" ht="6.95" customHeight="1"/>
    <row r="4" spans="1:14">
      <c r="A4" s="4" t="s">
        <v>751</v>
      </c>
    </row>
    <row r="5" spans="1:14" ht="7.5" customHeight="1" thickBot="1"/>
    <row r="6" spans="1:14" ht="6.95" customHeight="1">
      <c r="A6" s="486"/>
      <c r="B6" s="437"/>
      <c r="C6" s="786"/>
      <c r="D6" s="486"/>
      <c r="E6" s="486"/>
      <c r="F6" s="786"/>
      <c r="G6" s="786"/>
      <c r="H6" s="786"/>
      <c r="I6" s="786"/>
      <c r="J6" s="786"/>
      <c r="K6" s="786"/>
      <c r="L6" s="786"/>
      <c r="M6" s="786"/>
    </row>
    <row r="7" spans="1:14" ht="12" customHeight="1">
      <c r="C7" s="1257" t="s">
        <v>3</v>
      </c>
      <c r="D7" s="1257"/>
      <c r="E7" s="1257"/>
      <c r="F7" s="1257"/>
      <c r="G7" s="1257"/>
      <c r="H7" s="1257"/>
      <c r="I7" s="1257"/>
      <c r="J7" s="1257"/>
      <c r="K7" s="1257"/>
      <c r="L7" s="1257"/>
      <c r="M7" s="1257"/>
      <c r="N7" s="8"/>
    </row>
    <row r="8" spans="1:14" ht="12" customHeight="1">
      <c r="A8" s="9" t="s">
        <v>4</v>
      </c>
      <c r="C8" s="1258" t="s">
        <v>5</v>
      </c>
      <c r="D8" s="1258"/>
      <c r="F8" s="1259" t="s">
        <v>6</v>
      </c>
      <c r="G8" s="1259"/>
      <c r="H8" s="10"/>
      <c r="I8" s="1259" t="s">
        <v>7</v>
      </c>
      <c r="J8" s="1259"/>
      <c r="K8" s="10"/>
      <c r="L8" s="1259" t="s">
        <v>8</v>
      </c>
      <c r="M8" s="1259"/>
      <c r="N8" s="8"/>
    </row>
    <row r="9" spans="1:14" ht="12" customHeight="1">
      <c r="C9" s="11" t="s">
        <v>9</v>
      </c>
      <c r="D9" s="12" t="s">
        <v>10</v>
      </c>
      <c r="F9" s="12" t="s">
        <v>9</v>
      </c>
      <c r="G9" s="12" t="s">
        <v>10</v>
      </c>
      <c r="I9" s="12" t="s">
        <v>9</v>
      </c>
      <c r="J9" s="12" t="s">
        <v>10</v>
      </c>
      <c r="L9" s="12" t="s">
        <v>9</v>
      </c>
      <c r="M9" s="12" t="s">
        <v>10</v>
      </c>
      <c r="N9" s="13"/>
    </row>
    <row r="10" spans="1:14" ht="6.95" customHeight="1" thickBot="1">
      <c r="A10" s="503"/>
      <c r="B10" s="445"/>
      <c r="C10" s="787"/>
      <c r="D10" s="503"/>
      <c r="E10" s="503"/>
      <c r="F10" s="787"/>
      <c r="G10" s="787"/>
      <c r="H10" s="787"/>
      <c r="I10" s="787"/>
      <c r="J10" s="787"/>
      <c r="K10" s="787"/>
      <c r="L10" s="787"/>
      <c r="M10" s="787"/>
    </row>
    <row r="11" spans="1:14" ht="6.95" customHeight="1"/>
    <row r="12" spans="1:14" ht="14.25" customHeight="1">
      <c r="A12" s="9" t="s">
        <v>12</v>
      </c>
      <c r="C12" s="784">
        <f>IF($A12&lt;&gt;0,F12+I12+L12,"")</f>
        <v>3262.2542222222223</v>
      </c>
      <c r="D12" s="454">
        <f>IF($A12&lt;&gt;0,G12+J12+M12,"")</f>
        <v>100</v>
      </c>
      <c r="F12" s="784">
        <f>SUM(F14+F107)</f>
        <v>2551.8792222222223</v>
      </c>
      <c r="G12" s="784">
        <f>IF($A12&lt;&gt;0,F12/$C12*100,"")</f>
        <v>78.224413193767035</v>
      </c>
      <c r="I12" s="784">
        <f>SUM(I14+I107)</f>
        <v>237.125</v>
      </c>
      <c r="J12" s="784">
        <f t="shared" ref="J12:J76" si="0">IF($A12&lt;&gt;0,I12/$C12*100,"")</f>
        <v>7.2687468188322946</v>
      </c>
      <c r="L12" s="784">
        <f>SUM(L14+L107)</f>
        <v>473.25</v>
      </c>
      <c r="M12" s="784">
        <f t="shared" ref="M12:M75" si="1">IF($A12&lt;&gt;0,L12/$C12*100,"")</f>
        <v>14.506839987400669</v>
      </c>
    </row>
    <row r="13" spans="1:14" ht="6.95" customHeight="1">
      <c r="C13" s="784" t="str">
        <f t="shared" ref="C13:D76" si="2">IF($A13&lt;&gt;0,F13+I13+L13,"")</f>
        <v/>
      </c>
      <c r="D13" s="454" t="str">
        <f t="shared" si="2"/>
        <v/>
      </c>
      <c r="G13" s="784" t="str">
        <f t="shared" ref="G13:G77" si="3">IF($A13&lt;&gt;0,F13/$C13*100,"")</f>
        <v/>
      </c>
      <c r="J13" s="784" t="str">
        <f t="shared" si="0"/>
        <v/>
      </c>
      <c r="L13" s="784" t="s">
        <v>11</v>
      </c>
      <c r="M13" s="784" t="str">
        <f t="shared" si="1"/>
        <v/>
      </c>
    </row>
    <row r="14" spans="1:14" ht="14.25" customHeight="1">
      <c r="A14" s="9" t="s">
        <v>326</v>
      </c>
      <c r="C14" s="784">
        <f t="shared" si="2"/>
        <v>2739.7292222222222</v>
      </c>
      <c r="D14" s="454">
        <f t="shared" si="2"/>
        <v>100</v>
      </c>
      <c r="F14" s="784">
        <f>F16+F24+F36+F44+F70+F86+F93+F105</f>
        <v>2051.1042222222222</v>
      </c>
      <c r="G14" s="784">
        <f>IF($A14&lt;&gt;0,F14/$C14*100,"")</f>
        <v>74.865216809949956</v>
      </c>
      <c r="I14" s="784">
        <f>I16+I24+I36+I44+I70+I86+I93+I105</f>
        <v>226.625</v>
      </c>
      <c r="J14" s="784">
        <f t="shared" si="0"/>
        <v>8.271802854158782</v>
      </c>
      <c r="L14" s="784">
        <f>L16+L24+L36+L44+L70+L86+L93+L105</f>
        <v>462</v>
      </c>
      <c r="M14" s="784">
        <f t="shared" si="1"/>
        <v>16.862980335891265</v>
      </c>
    </row>
    <row r="15" spans="1:14" ht="6.95" customHeight="1">
      <c r="C15" s="784" t="str">
        <f t="shared" si="2"/>
        <v/>
      </c>
      <c r="D15" s="454" t="str">
        <f t="shared" si="2"/>
        <v/>
      </c>
      <c r="G15" s="784" t="str">
        <f t="shared" si="3"/>
        <v/>
      </c>
      <c r="J15" s="784" t="str">
        <f t="shared" si="0"/>
        <v/>
      </c>
      <c r="L15" s="784" t="s">
        <v>11</v>
      </c>
      <c r="M15" s="784" t="str">
        <f t="shared" si="1"/>
        <v/>
      </c>
    </row>
    <row r="16" spans="1:14" ht="13.5" customHeight="1">
      <c r="A16" s="455" t="s">
        <v>13</v>
      </c>
      <c r="C16" s="784">
        <f t="shared" si="2"/>
        <v>201.94722222222219</v>
      </c>
      <c r="D16" s="454">
        <f t="shared" si="2"/>
        <v>100</v>
      </c>
      <c r="F16" s="784">
        <f>SUM(F18:F22)</f>
        <v>161.19722222222219</v>
      </c>
      <c r="G16" s="784">
        <f t="shared" si="3"/>
        <v>79.82146050260657</v>
      </c>
      <c r="I16" s="784">
        <f>SUM(I18:I22)</f>
        <v>21.75</v>
      </c>
      <c r="J16" s="784">
        <f t="shared" si="0"/>
        <v>10.770140713332694</v>
      </c>
      <c r="L16" s="784">
        <f>SUM(L18:L22)</f>
        <v>19</v>
      </c>
      <c r="M16" s="784">
        <f t="shared" si="1"/>
        <v>9.4083987840607435</v>
      </c>
    </row>
    <row r="17" spans="1:13" ht="7.5" customHeight="1">
      <c r="C17" s="784" t="str">
        <f t="shared" si="2"/>
        <v/>
      </c>
      <c r="D17" s="454" t="str">
        <f t="shared" si="2"/>
        <v/>
      </c>
      <c r="G17" s="784" t="str">
        <f t="shared" si="3"/>
        <v/>
      </c>
      <c r="J17" s="784" t="str">
        <f t="shared" si="0"/>
        <v/>
      </c>
      <c r="L17" s="784" t="s">
        <v>11</v>
      </c>
      <c r="M17" s="784" t="str">
        <f t="shared" si="1"/>
        <v/>
      </c>
    </row>
    <row r="18" spans="1:13" ht="13.5" customHeight="1">
      <c r="A18" s="455" t="s">
        <v>14</v>
      </c>
      <c r="B18" s="455"/>
      <c r="C18" s="784">
        <f t="shared" si="2"/>
        <v>10.5</v>
      </c>
      <c r="D18" s="454">
        <f t="shared" si="2"/>
        <v>100</v>
      </c>
      <c r="F18" s="784">
        <v>10.5</v>
      </c>
      <c r="G18" s="784">
        <f t="shared" si="3"/>
        <v>100</v>
      </c>
      <c r="I18" s="784">
        <v>0</v>
      </c>
      <c r="J18" s="784">
        <f t="shared" si="0"/>
        <v>0</v>
      </c>
      <c r="L18" s="784">
        <v>0</v>
      </c>
      <c r="M18" s="784">
        <f t="shared" si="1"/>
        <v>0</v>
      </c>
    </row>
    <row r="19" spans="1:13" ht="13.5" customHeight="1">
      <c r="A19" s="455" t="s">
        <v>15</v>
      </c>
      <c r="B19" s="455"/>
      <c r="C19" s="784">
        <f t="shared" si="2"/>
        <v>45.5</v>
      </c>
      <c r="D19" s="454">
        <f t="shared" si="2"/>
        <v>100</v>
      </c>
      <c r="F19" s="784">
        <v>6.75</v>
      </c>
      <c r="G19" s="784">
        <f t="shared" si="3"/>
        <v>14.835164835164836</v>
      </c>
      <c r="I19" s="784">
        <v>21.75</v>
      </c>
      <c r="J19" s="784">
        <f t="shared" si="0"/>
        <v>47.802197802197803</v>
      </c>
      <c r="L19" s="784">
        <v>17</v>
      </c>
      <c r="M19" s="784">
        <f t="shared" si="1"/>
        <v>37.362637362637365</v>
      </c>
    </row>
    <row r="20" spans="1:13" ht="13.5" customHeight="1">
      <c r="A20" s="455" t="s">
        <v>16</v>
      </c>
      <c r="B20" s="455"/>
      <c r="C20" s="784">
        <f t="shared" si="2"/>
        <v>5.5555555555555554</v>
      </c>
      <c r="D20" s="454">
        <f t="shared" si="2"/>
        <v>100</v>
      </c>
      <c r="F20" s="784">
        <f>(1000)*2/12/30</f>
        <v>5.5555555555555554</v>
      </c>
      <c r="G20" s="784">
        <f t="shared" si="3"/>
        <v>100</v>
      </c>
      <c r="I20" s="784">
        <v>0</v>
      </c>
      <c r="J20" s="784">
        <f t="shared" si="0"/>
        <v>0</v>
      </c>
      <c r="L20" s="784">
        <v>0</v>
      </c>
      <c r="M20" s="784">
        <f t="shared" si="1"/>
        <v>0</v>
      </c>
    </row>
    <row r="21" spans="1:13" ht="13.5" customHeight="1">
      <c r="A21" s="455" t="s">
        <v>17</v>
      </c>
      <c r="B21" s="455"/>
      <c r="C21" s="784">
        <f t="shared" si="2"/>
        <v>135.14166666666665</v>
      </c>
      <c r="D21" s="454">
        <f t="shared" si="2"/>
        <v>100</v>
      </c>
      <c r="F21" s="784">
        <f>(5.5/30)+(610/30)+111+(6.5)*3/12</f>
        <v>133.14166666666665</v>
      </c>
      <c r="G21" s="784">
        <f t="shared" si="3"/>
        <v>98.520071529876049</v>
      </c>
      <c r="I21" s="784">
        <v>0</v>
      </c>
      <c r="J21" s="784">
        <f t="shared" si="0"/>
        <v>0</v>
      </c>
      <c r="L21" s="784">
        <v>2</v>
      </c>
      <c r="M21" s="784">
        <f t="shared" si="1"/>
        <v>1.4799284701239444</v>
      </c>
    </row>
    <row r="22" spans="1:13" ht="13.5" customHeight="1">
      <c r="A22" s="455" t="s">
        <v>18</v>
      </c>
      <c r="B22" s="455"/>
      <c r="C22" s="784">
        <f t="shared" si="2"/>
        <v>5.25</v>
      </c>
      <c r="D22" s="454">
        <f t="shared" si="2"/>
        <v>100</v>
      </c>
      <c r="F22" s="784">
        <v>5.25</v>
      </c>
      <c r="G22" s="784">
        <f t="shared" si="3"/>
        <v>100</v>
      </c>
      <c r="I22" s="784">
        <v>0</v>
      </c>
      <c r="J22" s="784">
        <f t="shared" si="0"/>
        <v>0</v>
      </c>
      <c r="L22" s="784">
        <v>0</v>
      </c>
      <c r="M22" s="784">
        <f t="shared" si="1"/>
        <v>0</v>
      </c>
    </row>
    <row r="23" spans="1:13" ht="8.25" customHeight="1">
      <c r="C23" s="784" t="str">
        <f t="shared" si="2"/>
        <v/>
      </c>
      <c r="D23" s="454" t="str">
        <f t="shared" si="2"/>
        <v/>
      </c>
      <c r="G23" s="784" t="str">
        <f t="shared" si="3"/>
        <v/>
      </c>
      <c r="J23" s="784" t="str">
        <f t="shared" si="0"/>
        <v/>
      </c>
      <c r="L23" s="784" t="s">
        <v>11</v>
      </c>
      <c r="M23" s="784" t="str">
        <f t="shared" si="1"/>
        <v/>
      </c>
    </row>
    <row r="24" spans="1:13" ht="13.5" customHeight="1">
      <c r="A24" s="455" t="s">
        <v>327</v>
      </c>
      <c r="C24" s="784">
        <f t="shared" si="2"/>
        <v>262.55833333333334</v>
      </c>
      <c r="D24" s="454">
        <f t="shared" si="2"/>
        <v>100</v>
      </c>
      <c r="F24" s="784">
        <f>F26+F31</f>
        <v>213.55833333333334</v>
      </c>
      <c r="G24" s="784">
        <f t="shared" si="3"/>
        <v>81.337480559875587</v>
      </c>
      <c r="I24" s="784">
        <f>I26+I31</f>
        <v>9.5</v>
      </c>
      <c r="J24" s="784">
        <f t="shared" si="0"/>
        <v>3.6182435649220808</v>
      </c>
      <c r="L24" s="784">
        <f>L26+L31</f>
        <v>39.5</v>
      </c>
      <c r="M24" s="784">
        <f t="shared" si="1"/>
        <v>15.044275875202336</v>
      </c>
    </row>
    <row r="25" spans="1:13" ht="6.75" customHeight="1">
      <c r="C25" s="784" t="str">
        <f t="shared" si="2"/>
        <v/>
      </c>
      <c r="D25" s="454" t="str">
        <f t="shared" si="2"/>
        <v/>
      </c>
      <c r="G25" s="784" t="str">
        <f t="shared" si="3"/>
        <v/>
      </c>
      <c r="J25" s="784" t="str">
        <f t="shared" si="0"/>
        <v/>
      </c>
      <c r="L25" s="784" t="s">
        <v>11</v>
      </c>
      <c r="M25" s="784" t="str">
        <f t="shared" si="1"/>
        <v/>
      </c>
    </row>
    <row r="26" spans="1:13" ht="13.5" customHeight="1">
      <c r="A26" s="455" t="s">
        <v>20</v>
      </c>
      <c r="C26" s="784">
        <f t="shared" si="2"/>
        <v>125.4</v>
      </c>
      <c r="D26" s="454">
        <f t="shared" si="2"/>
        <v>100</v>
      </c>
      <c r="F26" s="784">
        <f>SUM(F27:F29)</f>
        <v>92.4</v>
      </c>
      <c r="G26" s="784">
        <f t="shared" si="3"/>
        <v>73.68421052631578</v>
      </c>
      <c r="I26" s="784">
        <f>SUM(I27:I29)</f>
        <v>6.5</v>
      </c>
      <c r="J26" s="784">
        <f t="shared" si="0"/>
        <v>5.1834130781499201</v>
      </c>
      <c r="L26" s="784">
        <f>SUM(L27:L29)</f>
        <v>26.5</v>
      </c>
      <c r="M26" s="784">
        <f t="shared" si="1"/>
        <v>21.132376395534287</v>
      </c>
    </row>
    <row r="27" spans="1:13" ht="13.5" customHeight="1">
      <c r="A27" s="455" t="s">
        <v>21</v>
      </c>
      <c r="C27" s="784">
        <f t="shared" si="2"/>
        <v>18.516666666666666</v>
      </c>
      <c r="D27" s="454">
        <f t="shared" si="2"/>
        <v>100.00000000000001</v>
      </c>
      <c r="F27" s="784">
        <f>(8/30)+13.25</f>
        <v>13.516666666666667</v>
      </c>
      <c r="G27" s="784">
        <f t="shared" si="3"/>
        <v>72.997299729973008</v>
      </c>
      <c r="I27" s="784">
        <v>0.5</v>
      </c>
      <c r="J27" s="784">
        <f t="shared" si="0"/>
        <v>2.7002700270027007</v>
      </c>
      <c r="L27" s="784">
        <v>4.5</v>
      </c>
      <c r="M27" s="784">
        <f t="shared" si="1"/>
        <v>24.302430243024304</v>
      </c>
    </row>
    <row r="28" spans="1:13" ht="13.5" customHeight="1">
      <c r="A28" s="455" t="s">
        <v>22</v>
      </c>
      <c r="C28" s="784">
        <f t="shared" si="2"/>
        <v>56.633333333333333</v>
      </c>
      <c r="D28" s="454">
        <f t="shared" si="2"/>
        <v>100</v>
      </c>
      <c r="F28" s="784">
        <f>(15/30)+(4/30)+43.5</f>
        <v>44.133333333333333</v>
      </c>
      <c r="G28" s="784">
        <f t="shared" si="3"/>
        <v>77.928193054738088</v>
      </c>
      <c r="I28" s="784">
        <v>1.5</v>
      </c>
      <c r="J28" s="784">
        <f t="shared" si="0"/>
        <v>2.6486168334314302</v>
      </c>
      <c r="L28" s="784">
        <v>11</v>
      </c>
      <c r="M28" s="784">
        <f t="shared" si="1"/>
        <v>19.423190111830486</v>
      </c>
    </row>
    <row r="29" spans="1:13" ht="13.5" customHeight="1">
      <c r="A29" s="455" t="s">
        <v>23</v>
      </c>
      <c r="C29" s="784">
        <f t="shared" si="2"/>
        <v>50.25</v>
      </c>
      <c r="D29" s="454">
        <f t="shared" si="2"/>
        <v>100</v>
      </c>
      <c r="F29" s="784">
        <v>34.75</v>
      </c>
      <c r="G29" s="784">
        <f t="shared" si="3"/>
        <v>69.154228855721385</v>
      </c>
      <c r="I29" s="784">
        <v>4.5</v>
      </c>
      <c r="J29" s="784">
        <f t="shared" si="0"/>
        <v>8.9552238805970141</v>
      </c>
      <c r="L29" s="784">
        <v>11</v>
      </c>
      <c r="M29" s="784">
        <f t="shared" si="1"/>
        <v>21.890547263681594</v>
      </c>
    </row>
    <row r="30" spans="1:13" ht="9.75" customHeight="1">
      <c r="C30" s="784" t="str">
        <f t="shared" si="2"/>
        <v/>
      </c>
      <c r="D30" s="454" t="str">
        <f t="shared" si="2"/>
        <v/>
      </c>
      <c r="G30" s="784" t="str">
        <f t="shared" si="3"/>
        <v/>
      </c>
      <c r="J30" s="784" t="str">
        <f t="shared" si="0"/>
        <v/>
      </c>
      <c r="L30" s="784" t="s">
        <v>11</v>
      </c>
      <c r="M30" s="784" t="str">
        <f t="shared" si="1"/>
        <v/>
      </c>
    </row>
    <row r="31" spans="1:13" ht="13.5" customHeight="1">
      <c r="A31" s="455" t="s">
        <v>24</v>
      </c>
      <c r="C31" s="784">
        <f t="shared" si="2"/>
        <v>137.15833333333333</v>
      </c>
      <c r="D31" s="454">
        <f t="shared" si="2"/>
        <v>100</v>
      </c>
      <c r="F31" s="784">
        <f>SUM(F32:F34)</f>
        <v>121.15833333333333</v>
      </c>
      <c r="G31" s="784">
        <f t="shared" si="3"/>
        <v>88.334649735706904</v>
      </c>
      <c r="I31" s="784">
        <f>SUM(I32:I34)</f>
        <v>3</v>
      </c>
      <c r="J31" s="784">
        <f t="shared" si="0"/>
        <v>2.1872531745549546</v>
      </c>
      <c r="L31" s="784">
        <f>SUM(L32:L34)</f>
        <v>13</v>
      </c>
      <c r="M31" s="784">
        <f t="shared" si="1"/>
        <v>9.4780970897381369</v>
      </c>
    </row>
    <row r="32" spans="1:13" ht="13.5" customHeight="1">
      <c r="A32" s="455" t="s">
        <v>25</v>
      </c>
      <c r="C32" s="784">
        <f t="shared" si="2"/>
        <v>37</v>
      </c>
      <c r="D32" s="454">
        <f t="shared" si="2"/>
        <v>100</v>
      </c>
      <c r="F32" s="784">
        <v>32</v>
      </c>
      <c r="G32" s="784">
        <f t="shared" si="3"/>
        <v>86.486486486486484</v>
      </c>
      <c r="I32" s="784">
        <v>1</v>
      </c>
      <c r="J32" s="784">
        <f t="shared" si="0"/>
        <v>2.7027027027027026</v>
      </c>
      <c r="L32" s="784">
        <v>4</v>
      </c>
      <c r="M32" s="784">
        <f t="shared" si="1"/>
        <v>10.810810810810811</v>
      </c>
    </row>
    <row r="33" spans="1:13" ht="13.5" customHeight="1">
      <c r="A33" s="455" t="s">
        <v>26</v>
      </c>
      <c r="C33" s="784">
        <f t="shared" si="2"/>
        <v>24.5</v>
      </c>
      <c r="D33" s="454">
        <f t="shared" si="2"/>
        <v>100</v>
      </c>
      <c r="F33" s="784">
        <v>21.5</v>
      </c>
      <c r="G33" s="784">
        <f t="shared" si="3"/>
        <v>87.755102040816325</v>
      </c>
      <c r="I33" s="784">
        <v>0</v>
      </c>
      <c r="J33" s="784">
        <f t="shared" si="0"/>
        <v>0</v>
      </c>
      <c r="L33" s="784">
        <v>3</v>
      </c>
      <c r="M33" s="784">
        <f t="shared" si="1"/>
        <v>12.244897959183673</v>
      </c>
    </row>
    <row r="34" spans="1:13" ht="13.5" customHeight="1">
      <c r="A34" s="455" t="s">
        <v>27</v>
      </c>
      <c r="C34" s="784">
        <f t="shared" si="2"/>
        <v>75.658333333333331</v>
      </c>
      <c r="D34" s="454">
        <f t="shared" si="2"/>
        <v>100</v>
      </c>
      <c r="F34" s="784">
        <f>7/30+9/30+67.125</f>
        <v>67.658333333333331</v>
      </c>
      <c r="G34" s="784">
        <f t="shared" si="3"/>
        <v>89.426148254213018</v>
      </c>
      <c r="I34" s="784">
        <v>2</v>
      </c>
      <c r="J34" s="784">
        <f t="shared" si="0"/>
        <v>2.6434629364467455</v>
      </c>
      <c r="L34" s="784">
        <v>6</v>
      </c>
      <c r="M34" s="784">
        <f t="shared" si="1"/>
        <v>7.9303888093402355</v>
      </c>
    </row>
    <row r="35" spans="1:13" ht="8.25" customHeight="1">
      <c r="C35" s="784" t="str">
        <f t="shared" si="2"/>
        <v/>
      </c>
      <c r="D35" s="454" t="str">
        <f t="shared" si="2"/>
        <v/>
      </c>
      <c r="G35" s="784" t="str">
        <f t="shared" si="3"/>
        <v/>
      </c>
      <c r="J35" s="784" t="str">
        <f t="shared" si="0"/>
        <v/>
      </c>
      <c r="L35" s="784" t="s">
        <v>11</v>
      </c>
      <c r="M35" s="784" t="str">
        <f t="shared" si="1"/>
        <v/>
      </c>
    </row>
    <row r="36" spans="1:13" ht="13.5" customHeight="1">
      <c r="A36" s="455" t="s">
        <v>375</v>
      </c>
      <c r="C36" s="784">
        <f t="shared" si="2"/>
        <v>337.79166666666663</v>
      </c>
      <c r="D36" s="454">
        <f t="shared" si="2"/>
        <v>100.00000000000001</v>
      </c>
      <c r="F36" s="784">
        <f>SUM(F37)</f>
        <v>243.04166666666666</v>
      </c>
      <c r="G36" s="784">
        <f t="shared" si="3"/>
        <v>71.950166522758124</v>
      </c>
      <c r="I36" s="784">
        <f>SUM(I37)</f>
        <v>39.5</v>
      </c>
      <c r="J36" s="784">
        <f t="shared" si="0"/>
        <v>11.693598125077095</v>
      </c>
      <c r="L36" s="784">
        <f>SUM(L37)</f>
        <v>55.25</v>
      </c>
      <c r="M36" s="784">
        <f t="shared" si="1"/>
        <v>16.356235352164799</v>
      </c>
    </row>
    <row r="37" spans="1:13" ht="13.5" customHeight="1">
      <c r="A37" s="455" t="s">
        <v>29</v>
      </c>
      <c r="C37" s="784">
        <f t="shared" si="2"/>
        <v>337.79166666666663</v>
      </c>
      <c r="D37" s="454">
        <f t="shared" si="2"/>
        <v>100.00000000000001</v>
      </c>
      <c r="F37" s="784">
        <f>SUM(F38:F42)</f>
        <v>243.04166666666666</v>
      </c>
      <c r="G37" s="784">
        <f t="shared" si="3"/>
        <v>71.950166522758124</v>
      </c>
      <c r="I37" s="784">
        <f>SUM(I38:I42)</f>
        <v>39.5</v>
      </c>
      <c r="J37" s="784">
        <f t="shared" si="0"/>
        <v>11.693598125077095</v>
      </c>
      <c r="L37" s="784">
        <f>SUM(L38:L42)</f>
        <v>55.25</v>
      </c>
      <c r="M37" s="784">
        <f t="shared" si="1"/>
        <v>16.356235352164799</v>
      </c>
    </row>
    <row r="38" spans="1:13" ht="13.5" customHeight="1">
      <c r="A38" s="455" t="s">
        <v>30</v>
      </c>
      <c r="C38" s="784">
        <f t="shared" si="2"/>
        <v>69.45</v>
      </c>
      <c r="D38" s="454">
        <f t="shared" si="2"/>
        <v>100</v>
      </c>
      <c r="F38" s="784">
        <f>4/30+2/30+44.25</f>
        <v>44.45</v>
      </c>
      <c r="G38" s="784">
        <f t="shared" si="3"/>
        <v>64.002879769618431</v>
      </c>
      <c r="I38" s="784">
        <v>11.25</v>
      </c>
      <c r="J38" s="784">
        <f t="shared" si="0"/>
        <v>16.198704103671705</v>
      </c>
      <c r="L38" s="784">
        <v>13.75</v>
      </c>
      <c r="M38" s="784">
        <f t="shared" si="1"/>
        <v>19.79841612670986</v>
      </c>
    </row>
    <row r="39" spans="1:13" ht="13.5" customHeight="1">
      <c r="A39" s="455" t="s">
        <v>31</v>
      </c>
      <c r="C39" s="784">
        <f t="shared" si="2"/>
        <v>60.958333333333336</v>
      </c>
      <c r="D39" s="454">
        <f t="shared" si="2"/>
        <v>100.00000000000001</v>
      </c>
      <c r="F39" s="784">
        <f>85/30+44.625</f>
        <v>47.458333333333336</v>
      </c>
      <c r="G39" s="784">
        <f t="shared" si="3"/>
        <v>77.853725222146281</v>
      </c>
      <c r="I39" s="784">
        <v>6</v>
      </c>
      <c r="J39" s="784">
        <f t="shared" si="0"/>
        <v>9.8427887901572113</v>
      </c>
      <c r="L39" s="784">
        <v>7.5</v>
      </c>
      <c r="M39" s="784">
        <f t="shared" si="1"/>
        <v>12.303485987696513</v>
      </c>
    </row>
    <row r="40" spans="1:13" ht="13.5" customHeight="1">
      <c r="A40" s="455" t="s">
        <v>32</v>
      </c>
      <c r="C40" s="784">
        <f t="shared" si="2"/>
        <v>37.299999999999997</v>
      </c>
      <c r="D40" s="454">
        <f t="shared" si="2"/>
        <v>100</v>
      </c>
      <c r="F40" s="784">
        <f>8/30+16/30+20.25</f>
        <v>21.05</v>
      </c>
      <c r="G40" s="784">
        <f t="shared" si="3"/>
        <v>56.434316353887404</v>
      </c>
      <c r="I40" s="784">
        <v>7.25</v>
      </c>
      <c r="J40" s="784">
        <f t="shared" si="0"/>
        <v>19.436997319034855</v>
      </c>
      <c r="L40" s="784">
        <v>9</v>
      </c>
      <c r="M40" s="784">
        <f t="shared" si="1"/>
        <v>24.128686327077752</v>
      </c>
    </row>
    <row r="41" spans="1:13" ht="13.5" customHeight="1">
      <c r="A41" s="455" t="s">
        <v>33</v>
      </c>
      <c r="C41" s="784">
        <f t="shared" si="2"/>
        <v>88.75</v>
      </c>
      <c r="D41" s="454">
        <f t="shared" si="2"/>
        <v>100.00000000000001</v>
      </c>
      <c r="F41" s="784">
        <v>77.75</v>
      </c>
      <c r="G41" s="784">
        <f t="shared" si="3"/>
        <v>87.605633802816911</v>
      </c>
      <c r="I41" s="784">
        <v>1</v>
      </c>
      <c r="J41" s="784">
        <f t="shared" si="0"/>
        <v>1.1267605633802817</v>
      </c>
      <c r="L41" s="784">
        <v>10</v>
      </c>
      <c r="M41" s="784">
        <f t="shared" si="1"/>
        <v>11.267605633802818</v>
      </c>
    </row>
    <row r="42" spans="1:13" ht="13.5" customHeight="1">
      <c r="A42" s="455" t="s">
        <v>34</v>
      </c>
      <c r="C42" s="784">
        <f t="shared" si="2"/>
        <v>81.333333333333343</v>
      </c>
      <c r="D42" s="454">
        <f t="shared" si="2"/>
        <v>99.999999999999986</v>
      </c>
      <c r="F42" s="784">
        <f>25/30+51.5</f>
        <v>52.333333333333336</v>
      </c>
      <c r="G42" s="784">
        <f t="shared" si="3"/>
        <v>64.344262295081961</v>
      </c>
      <c r="I42" s="784">
        <v>14</v>
      </c>
      <c r="J42" s="784">
        <f t="shared" si="0"/>
        <v>17.213114754098356</v>
      </c>
      <c r="L42" s="784">
        <v>15</v>
      </c>
      <c r="M42" s="784">
        <f t="shared" si="1"/>
        <v>18.442622950819672</v>
      </c>
    </row>
    <row r="43" spans="1:13" ht="6" customHeight="1">
      <c r="C43" s="784" t="str">
        <f t="shared" si="2"/>
        <v/>
      </c>
      <c r="D43" s="454" t="str">
        <f t="shared" si="2"/>
        <v/>
      </c>
      <c r="G43" s="784" t="str">
        <f t="shared" si="3"/>
        <v/>
      </c>
      <c r="J43" s="784" t="str">
        <f t="shared" si="0"/>
        <v/>
      </c>
      <c r="L43" s="784" t="s">
        <v>11</v>
      </c>
      <c r="M43" s="784" t="str">
        <f t="shared" si="1"/>
        <v/>
      </c>
    </row>
    <row r="44" spans="1:13" ht="13.5" customHeight="1">
      <c r="A44" s="455" t="s">
        <v>329</v>
      </c>
      <c r="C44" s="784">
        <f t="shared" si="2"/>
        <v>724.21299999999997</v>
      </c>
      <c r="D44" s="454">
        <f t="shared" si="2"/>
        <v>100</v>
      </c>
      <c r="F44" s="784">
        <f>F45+F51+F61+F63</f>
        <v>574.46299999999997</v>
      </c>
      <c r="G44" s="784">
        <f t="shared" si="3"/>
        <v>79.322381675004451</v>
      </c>
      <c r="I44" s="784">
        <f>I45+I51+I61+I63</f>
        <v>25</v>
      </c>
      <c r="J44" s="784">
        <f t="shared" si="0"/>
        <v>3.4520230926536803</v>
      </c>
      <c r="L44" s="784">
        <f>L45+L51+L61+L63</f>
        <v>124.75</v>
      </c>
      <c r="M44" s="784">
        <f t="shared" si="1"/>
        <v>17.225595232341867</v>
      </c>
    </row>
    <row r="45" spans="1:13" ht="13.5" customHeight="1">
      <c r="A45" s="455" t="s">
        <v>36</v>
      </c>
      <c r="C45" s="784">
        <f t="shared" si="2"/>
        <v>156.28</v>
      </c>
      <c r="D45" s="454">
        <f t="shared" si="2"/>
        <v>100</v>
      </c>
      <c r="F45" s="784">
        <f>SUM(F46:F49)</f>
        <v>134.78</v>
      </c>
      <c r="G45" s="784">
        <f t="shared" si="3"/>
        <v>86.242641412848727</v>
      </c>
      <c r="I45" s="784">
        <f>SUM(I46:I49)</f>
        <v>1.5</v>
      </c>
      <c r="J45" s="784">
        <f t="shared" si="0"/>
        <v>0.95981571538264654</v>
      </c>
      <c r="L45" s="784">
        <f>SUM(L46:L49)</f>
        <v>20</v>
      </c>
      <c r="M45" s="784">
        <f t="shared" si="1"/>
        <v>12.79754287176862</v>
      </c>
    </row>
    <row r="46" spans="1:13" ht="13.5" customHeight="1">
      <c r="A46" s="455" t="s">
        <v>37</v>
      </c>
      <c r="C46" s="784">
        <f t="shared" si="2"/>
        <v>62.366666666666667</v>
      </c>
      <c r="D46" s="454">
        <f t="shared" si="2"/>
        <v>100</v>
      </c>
      <c r="F46" s="784">
        <f>70/30+40/30+50.7</f>
        <v>54.366666666666667</v>
      </c>
      <c r="G46" s="784">
        <f t="shared" si="3"/>
        <v>87.172634954569745</v>
      </c>
      <c r="I46" s="784">
        <v>1</v>
      </c>
      <c r="J46" s="784">
        <f t="shared" si="0"/>
        <v>1.6034206306787813</v>
      </c>
      <c r="L46" s="784">
        <v>7</v>
      </c>
      <c r="M46" s="784">
        <f t="shared" si="1"/>
        <v>11.22394441475147</v>
      </c>
    </row>
    <row r="47" spans="1:13" ht="13.5" customHeight="1">
      <c r="A47" s="455" t="s">
        <v>38</v>
      </c>
      <c r="C47" s="784">
        <f t="shared" si="2"/>
        <v>41</v>
      </c>
      <c r="D47" s="454">
        <f t="shared" si="2"/>
        <v>100</v>
      </c>
      <c r="F47" s="784">
        <f>21/30+34.3</f>
        <v>35</v>
      </c>
      <c r="G47" s="784">
        <f t="shared" si="3"/>
        <v>85.365853658536579</v>
      </c>
      <c r="I47" s="784">
        <v>0</v>
      </c>
      <c r="J47" s="784">
        <f t="shared" si="0"/>
        <v>0</v>
      </c>
      <c r="L47" s="784">
        <v>6</v>
      </c>
      <c r="M47" s="784">
        <f t="shared" si="1"/>
        <v>14.634146341463413</v>
      </c>
    </row>
    <row r="48" spans="1:13" ht="13.5" customHeight="1">
      <c r="A48" s="455" t="s">
        <v>39</v>
      </c>
      <c r="C48" s="784">
        <f t="shared" si="2"/>
        <v>28.5</v>
      </c>
      <c r="D48" s="454">
        <f t="shared" si="2"/>
        <v>100</v>
      </c>
      <c r="F48" s="784">
        <f>0/30+24.5</f>
        <v>24.5</v>
      </c>
      <c r="G48" s="784">
        <f t="shared" si="3"/>
        <v>85.964912280701753</v>
      </c>
      <c r="I48" s="784">
        <v>0</v>
      </c>
      <c r="J48" s="784">
        <f t="shared" si="0"/>
        <v>0</v>
      </c>
      <c r="L48" s="784">
        <v>4</v>
      </c>
      <c r="M48" s="784">
        <f t="shared" si="1"/>
        <v>14.035087719298245</v>
      </c>
    </row>
    <row r="49" spans="1:13" ht="13.5" customHeight="1">
      <c r="A49" s="455" t="s">
        <v>40</v>
      </c>
      <c r="C49" s="784">
        <f t="shared" si="2"/>
        <v>24.413333333333334</v>
      </c>
      <c r="D49" s="454">
        <f t="shared" si="2"/>
        <v>100</v>
      </c>
      <c r="F49" s="784">
        <f>16/30+20.38</f>
        <v>20.913333333333334</v>
      </c>
      <c r="G49" s="784">
        <f t="shared" si="3"/>
        <v>85.663571818678321</v>
      </c>
      <c r="I49" s="784">
        <v>0.5</v>
      </c>
      <c r="J49" s="784">
        <f t="shared" si="0"/>
        <v>2.0480611687602401</v>
      </c>
      <c r="L49" s="784">
        <v>3</v>
      </c>
      <c r="M49" s="784">
        <f t="shared" si="1"/>
        <v>12.288367012561441</v>
      </c>
    </row>
    <row r="50" spans="1:13" ht="9" customHeight="1">
      <c r="C50" s="784" t="str">
        <f t="shared" si="2"/>
        <v/>
      </c>
      <c r="D50" s="454" t="str">
        <f t="shared" si="2"/>
        <v/>
      </c>
      <c r="G50" s="784" t="str">
        <f t="shared" si="3"/>
        <v/>
      </c>
      <c r="J50" s="784" t="str">
        <f t="shared" si="0"/>
        <v/>
      </c>
      <c r="L50" s="784" t="s">
        <v>11</v>
      </c>
      <c r="M50" s="784" t="str">
        <f t="shared" si="1"/>
        <v/>
      </c>
    </row>
    <row r="51" spans="1:13" ht="13.5" customHeight="1">
      <c r="A51" s="455" t="s">
        <v>41</v>
      </c>
      <c r="C51" s="784">
        <f t="shared" si="2"/>
        <v>290.89166666666665</v>
      </c>
      <c r="D51" s="454">
        <f t="shared" si="2"/>
        <v>100</v>
      </c>
      <c r="F51" s="784">
        <f>SUM(F52:F59)</f>
        <v>233.39166666666665</v>
      </c>
      <c r="G51" s="784">
        <f t="shared" si="3"/>
        <v>80.233191050505624</v>
      </c>
      <c r="I51" s="784">
        <f>SUM(I52:I59)</f>
        <v>19.5</v>
      </c>
      <c r="J51" s="784">
        <f t="shared" si="0"/>
        <v>6.7035265133067874</v>
      </c>
      <c r="L51" s="784">
        <f>SUM(L52:L59)</f>
        <v>38</v>
      </c>
      <c r="M51" s="784">
        <f t="shared" si="1"/>
        <v>13.063282436187585</v>
      </c>
    </row>
    <row r="52" spans="1:13" ht="13.5" customHeight="1">
      <c r="A52" s="455" t="s">
        <v>42</v>
      </c>
      <c r="C52" s="784">
        <f t="shared" si="2"/>
        <v>31.75</v>
      </c>
      <c r="D52" s="454">
        <f t="shared" si="2"/>
        <v>100</v>
      </c>
      <c r="F52" s="784">
        <f>0/30+25.75</f>
        <v>25.75</v>
      </c>
      <c r="G52" s="784">
        <f t="shared" si="3"/>
        <v>81.102362204724415</v>
      </c>
      <c r="I52" s="784">
        <v>1</v>
      </c>
      <c r="J52" s="784">
        <f t="shared" si="0"/>
        <v>3.1496062992125982</v>
      </c>
      <c r="L52" s="784">
        <v>5</v>
      </c>
      <c r="M52" s="784">
        <f t="shared" si="1"/>
        <v>15.748031496062993</v>
      </c>
    </row>
    <row r="53" spans="1:13" ht="13.5" customHeight="1">
      <c r="A53" s="455" t="s">
        <v>43</v>
      </c>
      <c r="C53" s="784">
        <f t="shared" si="2"/>
        <v>50.658333333333331</v>
      </c>
      <c r="D53" s="454">
        <f t="shared" si="2"/>
        <v>100.00000000000001</v>
      </c>
      <c r="F53" s="784">
        <f>(8)/2/30+57/30+34.625</f>
        <v>36.658333333333331</v>
      </c>
      <c r="G53" s="784">
        <f t="shared" si="3"/>
        <v>72.363875637440373</v>
      </c>
      <c r="I53" s="784">
        <v>10</v>
      </c>
      <c r="J53" s="784">
        <f t="shared" si="0"/>
        <v>19.740088830399738</v>
      </c>
      <c r="L53" s="784">
        <v>4</v>
      </c>
      <c r="M53" s="784">
        <f t="shared" si="1"/>
        <v>7.8960355321598952</v>
      </c>
    </row>
    <row r="54" spans="1:13" ht="13.5" customHeight="1">
      <c r="A54" s="455" t="s">
        <v>44</v>
      </c>
      <c r="C54" s="784">
        <f t="shared" si="2"/>
        <v>31.375</v>
      </c>
      <c r="D54" s="454">
        <f t="shared" si="2"/>
        <v>99.999999999999986</v>
      </c>
      <c r="F54" s="784">
        <v>24.875</v>
      </c>
      <c r="G54" s="784">
        <f t="shared" si="3"/>
        <v>79.282868525896404</v>
      </c>
      <c r="I54" s="784">
        <v>0.5</v>
      </c>
      <c r="J54" s="784">
        <f t="shared" si="0"/>
        <v>1.593625498007968</v>
      </c>
      <c r="L54" s="784">
        <v>6</v>
      </c>
      <c r="M54" s="784">
        <f t="shared" si="1"/>
        <v>19.123505976095618</v>
      </c>
    </row>
    <row r="55" spans="1:13" ht="13.5" customHeight="1">
      <c r="A55" s="455" t="s">
        <v>45</v>
      </c>
      <c r="C55" s="784">
        <f t="shared" si="2"/>
        <v>35.333333333333329</v>
      </c>
      <c r="D55" s="454">
        <f t="shared" si="2"/>
        <v>100.00000000000001</v>
      </c>
      <c r="F55" s="784">
        <f>14/30+11/30+30.5</f>
        <v>31.333333333333332</v>
      </c>
      <c r="G55" s="784">
        <f t="shared" si="3"/>
        <v>88.679245283018886</v>
      </c>
      <c r="I55" s="784">
        <v>0</v>
      </c>
      <c r="J55" s="784">
        <f t="shared" si="0"/>
        <v>0</v>
      </c>
      <c r="L55" s="784">
        <v>4</v>
      </c>
      <c r="M55" s="784">
        <f t="shared" si="1"/>
        <v>11.320754716981133</v>
      </c>
    </row>
    <row r="56" spans="1:13" ht="13.5" customHeight="1">
      <c r="A56" s="455" t="s">
        <v>46</v>
      </c>
      <c r="C56" s="784">
        <f t="shared" si="2"/>
        <v>36.183333333333337</v>
      </c>
      <c r="D56" s="454">
        <f t="shared" si="2"/>
        <v>100</v>
      </c>
      <c r="F56" s="784">
        <f>17.5/30+3/30+29.5</f>
        <v>30.183333333333334</v>
      </c>
      <c r="G56" s="784">
        <f t="shared" si="3"/>
        <v>83.41777982496545</v>
      </c>
      <c r="I56" s="784">
        <v>0</v>
      </c>
      <c r="J56" s="784">
        <f t="shared" si="0"/>
        <v>0</v>
      </c>
      <c r="L56" s="784">
        <v>6</v>
      </c>
      <c r="M56" s="784">
        <f t="shared" si="1"/>
        <v>16.582220175034546</v>
      </c>
    </row>
    <row r="57" spans="1:13" ht="13.5" customHeight="1">
      <c r="A57" s="455" t="s">
        <v>47</v>
      </c>
      <c r="C57" s="784">
        <f t="shared" si="2"/>
        <v>55.958333333333336</v>
      </c>
      <c r="D57" s="454">
        <f t="shared" si="2"/>
        <v>99.999999999999986</v>
      </c>
      <c r="F57" s="784">
        <f>70/30+45.125</f>
        <v>47.458333333333336</v>
      </c>
      <c r="G57" s="784">
        <f t="shared" si="3"/>
        <v>84.810126582278471</v>
      </c>
      <c r="I57" s="784">
        <v>3.5</v>
      </c>
      <c r="J57" s="784">
        <f t="shared" si="0"/>
        <v>6.2546537602382726</v>
      </c>
      <c r="L57" s="784">
        <v>5</v>
      </c>
      <c r="M57" s="784">
        <f t="shared" si="1"/>
        <v>8.9352196574832448</v>
      </c>
    </row>
    <row r="58" spans="1:13" ht="13.5" customHeight="1">
      <c r="A58" s="455" t="s">
        <v>48</v>
      </c>
      <c r="C58" s="784">
        <f t="shared" si="2"/>
        <v>24.25</v>
      </c>
      <c r="D58" s="454">
        <f t="shared" si="2"/>
        <v>100</v>
      </c>
      <c r="F58" s="784">
        <f>0/30+16.75</f>
        <v>16.75</v>
      </c>
      <c r="G58" s="784">
        <f t="shared" si="3"/>
        <v>69.072164948453604</v>
      </c>
      <c r="I58" s="784">
        <v>3.5</v>
      </c>
      <c r="J58" s="784">
        <f t="shared" si="0"/>
        <v>14.432989690721648</v>
      </c>
      <c r="L58" s="784">
        <v>4</v>
      </c>
      <c r="M58" s="784">
        <f t="shared" si="1"/>
        <v>16.494845360824741</v>
      </c>
    </row>
    <row r="59" spans="1:13" ht="13.5" customHeight="1">
      <c r="A59" s="455" t="s">
        <v>49</v>
      </c>
      <c r="C59" s="784">
        <f t="shared" si="2"/>
        <v>25.383333333333333</v>
      </c>
      <c r="D59" s="454">
        <f t="shared" si="2"/>
        <v>99.999999999999986</v>
      </c>
      <c r="F59" s="784">
        <f>4/30+20.25</f>
        <v>20.383333333333333</v>
      </c>
      <c r="G59" s="784">
        <f t="shared" si="3"/>
        <v>80.302035456336171</v>
      </c>
      <c r="I59" s="784">
        <v>1</v>
      </c>
      <c r="J59" s="784">
        <f t="shared" si="0"/>
        <v>3.9395929087327639</v>
      </c>
      <c r="L59" s="784">
        <v>4</v>
      </c>
      <c r="M59" s="784">
        <f t="shared" si="1"/>
        <v>15.758371634931056</v>
      </c>
    </row>
    <row r="60" spans="1:13" ht="9.75" customHeight="1"/>
    <row r="61" spans="1:13" ht="13.5" customHeight="1">
      <c r="A61" s="455" t="s">
        <v>50</v>
      </c>
      <c r="C61" s="784">
        <f t="shared" si="2"/>
        <v>99.832999999999998</v>
      </c>
      <c r="D61" s="454">
        <f t="shared" si="2"/>
        <v>100</v>
      </c>
      <c r="F61" s="784">
        <f>48/30+162/30+54.083</f>
        <v>61.082999999999998</v>
      </c>
      <c r="G61" s="784">
        <f t="shared" si="3"/>
        <v>61.185179249346412</v>
      </c>
      <c r="I61" s="784">
        <v>2.5</v>
      </c>
      <c r="J61" s="784">
        <f t="shared" si="0"/>
        <v>2.504181983913135</v>
      </c>
      <c r="L61" s="784">
        <v>36.25</v>
      </c>
      <c r="M61" s="784">
        <f t="shared" si="1"/>
        <v>36.310638766740453</v>
      </c>
    </row>
    <row r="62" spans="1:13" ht="6.75" customHeight="1">
      <c r="C62" s="784" t="str">
        <f t="shared" si="2"/>
        <v/>
      </c>
      <c r="D62" s="454" t="str">
        <f t="shared" si="2"/>
        <v/>
      </c>
      <c r="G62" s="784" t="str">
        <f t="shared" si="3"/>
        <v/>
      </c>
      <c r="J62" s="784" t="str">
        <f t="shared" si="0"/>
        <v/>
      </c>
      <c r="L62" s="784" t="s">
        <v>11</v>
      </c>
      <c r="M62" s="784" t="str">
        <f t="shared" si="1"/>
        <v/>
      </c>
    </row>
    <row r="63" spans="1:13" ht="13.5" customHeight="1">
      <c r="A63" s="455" t="s">
        <v>51</v>
      </c>
      <c r="C63" s="784">
        <f t="shared" si="2"/>
        <v>177.20833333333334</v>
      </c>
      <c r="D63" s="454">
        <f t="shared" si="2"/>
        <v>100</v>
      </c>
      <c r="F63" s="784">
        <f>SUM(F64:F68)</f>
        <v>145.20833333333334</v>
      </c>
      <c r="G63" s="784">
        <f t="shared" si="3"/>
        <v>81.942158476369613</v>
      </c>
      <c r="I63" s="784">
        <f>SUM(I64:I68)</f>
        <v>1.5</v>
      </c>
      <c r="J63" s="784">
        <f t="shared" si="0"/>
        <v>0.84646132142017394</v>
      </c>
      <c r="L63" s="784">
        <f>SUM(L64:L68)</f>
        <v>30.5</v>
      </c>
      <c r="M63" s="784">
        <f t="shared" si="1"/>
        <v>17.211380202210201</v>
      </c>
    </row>
    <row r="64" spans="1:13" ht="13.5" customHeight="1">
      <c r="A64" s="455" t="s">
        <v>52</v>
      </c>
      <c r="C64" s="784">
        <f t="shared" si="2"/>
        <v>18.899999999999999</v>
      </c>
      <c r="D64" s="454">
        <f t="shared" si="2"/>
        <v>100.00000000000001</v>
      </c>
      <c r="F64" s="788">
        <f>(17+37)/30/2+15</f>
        <v>15.9</v>
      </c>
      <c r="G64" s="784">
        <f t="shared" si="3"/>
        <v>84.126984126984141</v>
      </c>
      <c r="I64" s="784">
        <v>0</v>
      </c>
      <c r="J64" s="784">
        <f t="shared" si="0"/>
        <v>0</v>
      </c>
      <c r="L64" s="784">
        <v>3</v>
      </c>
      <c r="M64" s="784">
        <f t="shared" si="1"/>
        <v>15.873015873015875</v>
      </c>
    </row>
    <row r="65" spans="1:13" ht="13.5" customHeight="1">
      <c r="A65" s="455" t="s">
        <v>53</v>
      </c>
      <c r="C65" s="784">
        <f t="shared" si="2"/>
        <v>58.741666666666667</v>
      </c>
      <c r="D65" s="454">
        <f t="shared" si="2"/>
        <v>100</v>
      </c>
      <c r="F65" s="784">
        <f>64.5/30+14/30+47.125</f>
        <v>49.741666666666667</v>
      </c>
      <c r="G65" s="784">
        <f t="shared" si="3"/>
        <v>84.678677826642073</v>
      </c>
      <c r="I65" s="784">
        <v>0</v>
      </c>
      <c r="J65" s="784">
        <f t="shared" si="0"/>
        <v>0</v>
      </c>
      <c r="L65" s="784">
        <v>9</v>
      </c>
      <c r="M65" s="784">
        <f t="shared" si="1"/>
        <v>15.321322173357924</v>
      </c>
    </row>
    <row r="66" spans="1:13" ht="13.5" customHeight="1">
      <c r="A66" s="455" t="s">
        <v>54</v>
      </c>
      <c r="C66" s="784">
        <f t="shared" si="2"/>
        <v>36.75</v>
      </c>
      <c r="D66" s="454">
        <f t="shared" si="2"/>
        <v>100</v>
      </c>
      <c r="F66" s="784">
        <f>(39+47)/2/30+17/30+29.75</f>
        <v>31.75</v>
      </c>
      <c r="G66" s="784">
        <f t="shared" si="3"/>
        <v>86.394557823129247</v>
      </c>
      <c r="I66" s="784">
        <v>1</v>
      </c>
      <c r="J66" s="784">
        <f t="shared" si="0"/>
        <v>2.7210884353741496</v>
      </c>
      <c r="L66" s="784">
        <v>4</v>
      </c>
      <c r="M66" s="784">
        <f t="shared" si="1"/>
        <v>10.884353741496598</v>
      </c>
    </row>
    <row r="67" spans="1:13" ht="13.5" customHeight="1">
      <c r="A67" s="455" t="s">
        <v>55</v>
      </c>
      <c r="C67" s="784">
        <f t="shared" si="2"/>
        <v>23.25</v>
      </c>
      <c r="D67" s="454">
        <f t="shared" si="2"/>
        <v>100</v>
      </c>
      <c r="F67" s="784">
        <f>(35+40)/2/30+17.5</f>
        <v>18.75</v>
      </c>
      <c r="G67" s="784">
        <f t="shared" si="3"/>
        <v>80.645161290322577</v>
      </c>
      <c r="I67" s="784">
        <v>0</v>
      </c>
      <c r="J67" s="784">
        <f t="shared" si="0"/>
        <v>0</v>
      </c>
      <c r="L67" s="784">
        <v>4.5</v>
      </c>
      <c r="M67" s="784">
        <f t="shared" si="1"/>
        <v>19.35483870967742</v>
      </c>
    </row>
    <row r="68" spans="1:13" ht="13.5" customHeight="1">
      <c r="A68" s="455" t="s">
        <v>56</v>
      </c>
      <c r="C68" s="784">
        <f t="shared" si="2"/>
        <v>39.566666666666663</v>
      </c>
      <c r="D68" s="454">
        <f t="shared" si="2"/>
        <v>100.00000000000001</v>
      </c>
      <c r="F68" s="784">
        <f>1.5/30+8/30+28.75</f>
        <v>29.066666666666666</v>
      </c>
      <c r="G68" s="784">
        <f t="shared" si="3"/>
        <v>73.462510530749796</v>
      </c>
      <c r="I68" s="784">
        <v>0.5</v>
      </c>
      <c r="J68" s="784">
        <f t="shared" si="0"/>
        <v>1.2636899747262005</v>
      </c>
      <c r="L68" s="784">
        <v>10</v>
      </c>
      <c r="M68" s="784">
        <f t="shared" si="1"/>
        <v>25.273799494524013</v>
      </c>
    </row>
    <row r="69" spans="1:13" ht="6.75" customHeight="1">
      <c r="C69" s="784" t="str">
        <f t="shared" si="2"/>
        <v/>
      </c>
      <c r="D69" s="454" t="str">
        <f t="shared" si="2"/>
        <v/>
      </c>
      <c r="G69" s="784" t="str">
        <f t="shared" si="3"/>
        <v/>
      </c>
      <c r="J69" s="784" t="str">
        <f t="shared" si="0"/>
        <v/>
      </c>
      <c r="L69" s="784" t="s">
        <v>11</v>
      </c>
      <c r="M69" s="784" t="str">
        <f t="shared" si="1"/>
        <v/>
      </c>
    </row>
    <row r="70" spans="1:13" ht="12.75" customHeight="1">
      <c r="A70" s="455" t="s">
        <v>333</v>
      </c>
      <c r="C70" s="784">
        <f t="shared" si="2"/>
        <v>650.26233333333334</v>
      </c>
      <c r="D70" s="454">
        <f t="shared" si="2"/>
        <v>100</v>
      </c>
      <c r="F70" s="784">
        <f>F72+F75+F82+F84</f>
        <v>422.13733333333334</v>
      </c>
      <c r="G70" s="784">
        <f t="shared" si="3"/>
        <v>64.91800488725832</v>
      </c>
      <c r="I70" s="784">
        <f>I72+I75+I82+I84</f>
        <v>98.375</v>
      </c>
      <c r="J70" s="784">
        <f t="shared" si="0"/>
        <v>15.128509673275452</v>
      </c>
      <c r="L70" s="784">
        <f>L72+L75+L82+L84</f>
        <v>129.75</v>
      </c>
      <c r="M70" s="784">
        <f t="shared" si="1"/>
        <v>19.953485439466228</v>
      </c>
    </row>
    <row r="71" spans="1:13" ht="8.25" customHeight="1">
      <c r="C71" s="784" t="str">
        <f t="shared" si="2"/>
        <v/>
      </c>
      <c r="D71" s="454" t="str">
        <f t="shared" si="2"/>
        <v/>
      </c>
      <c r="G71" s="784" t="str">
        <f t="shared" si="3"/>
        <v/>
      </c>
      <c r="J71" s="784" t="str">
        <f t="shared" si="0"/>
        <v/>
      </c>
      <c r="L71" s="784" t="s">
        <v>11</v>
      </c>
      <c r="M71" s="784" t="str">
        <f t="shared" si="1"/>
        <v/>
      </c>
    </row>
    <row r="72" spans="1:13">
      <c r="A72" s="455" t="s">
        <v>58</v>
      </c>
      <c r="C72" s="784">
        <f t="shared" si="2"/>
        <v>68.040666666666667</v>
      </c>
      <c r="D72" s="454">
        <f t="shared" si="2"/>
        <v>100</v>
      </c>
      <c r="F72" s="784">
        <f>SUM(F73:F73)</f>
        <v>41.540666666666667</v>
      </c>
      <c r="G72" s="784">
        <f t="shared" si="3"/>
        <v>61.052703775193265</v>
      </c>
      <c r="I72" s="784">
        <f>SUM(I73:I73)</f>
        <v>10</v>
      </c>
      <c r="J72" s="784">
        <f t="shared" si="0"/>
        <v>14.697092915021409</v>
      </c>
      <c r="L72" s="784">
        <f>SUM(L73:L73)</f>
        <v>16.5</v>
      </c>
      <c r="M72" s="784">
        <f t="shared" si="1"/>
        <v>24.250203309785324</v>
      </c>
    </row>
    <row r="73" spans="1:13">
      <c r="A73" s="455" t="s">
        <v>59</v>
      </c>
      <c r="C73" s="784">
        <f t="shared" si="2"/>
        <v>68.040666666666667</v>
      </c>
      <c r="D73" s="454">
        <f t="shared" si="2"/>
        <v>100</v>
      </c>
      <c r="F73" s="784">
        <f>5.5/30+4/30+41.224</f>
        <v>41.540666666666667</v>
      </c>
      <c r="G73" s="784">
        <f t="shared" si="3"/>
        <v>61.052703775193265</v>
      </c>
      <c r="I73" s="784">
        <v>10</v>
      </c>
      <c r="J73" s="784">
        <f t="shared" si="0"/>
        <v>14.697092915021409</v>
      </c>
      <c r="L73" s="784">
        <v>16.5</v>
      </c>
      <c r="M73" s="784">
        <f t="shared" si="1"/>
        <v>24.250203309785324</v>
      </c>
    </row>
    <row r="74" spans="1:13" ht="6.75" customHeight="1">
      <c r="C74" s="784" t="str">
        <f t="shared" si="2"/>
        <v/>
      </c>
      <c r="D74" s="454" t="str">
        <f t="shared" si="2"/>
        <v/>
      </c>
      <c r="G74" s="784" t="str">
        <f t="shared" si="3"/>
        <v/>
      </c>
      <c r="J74" s="784" t="str">
        <f t="shared" si="0"/>
        <v/>
      </c>
      <c r="L74" s="784" t="s">
        <v>11</v>
      </c>
      <c r="M74" s="784" t="str">
        <f t="shared" si="1"/>
        <v/>
      </c>
    </row>
    <row r="75" spans="1:13" ht="13.5" customHeight="1">
      <c r="A75" s="455" t="s">
        <v>60</v>
      </c>
      <c r="C75" s="784">
        <f t="shared" si="2"/>
        <v>346.17500000000001</v>
      </c>
      <c r="D75" s="454">
        <f t="shared" si="2"/>
        <v>100</v>
      </c>
      <c r="F75" s="784">
        <f>SUM(F76:F80)</f>
        <v>259.42500000000001</v>
      </c>
      <c r="G75" s="784">
        <f t="shared" si="3"/>
        <v>74.940420307647869</v>
      </c>
      <c r="I75" s="784">
        <f>SUM(I76:I80)</f>
        <v>21</v>
      </c>
      <c r="J75" s="784">
        <f t="shared" si="0"/>
        <v>6.0662959485809198</v>
      </c>
      <c r="L75" s="784">
        <f>SUM(L76:L80)</f>
        <v>65.75</v>
      </c>
      <c r="M75" s="784">
        <f t="shared" si="1"/>
        <v>18.993283743771215</v>
      </c>
    </row>
    <row r="76" spans="1:13" ht="13.5" customHeight="1">
      <c r="A76" s="455" t="s">
        <v>61</v>
      </c>
      <c r="C76" s="784">
        <f t="shared" si="2"/>
        <v>182.8</v>
      </c>
      <c r="D76" s="454">
        <f t="shared" si="2"/>
        <v>100</v>
      </c>
      <c r="F76" s="784">
        <v>130.55000000000001</v>
      </c>
      <c r="G76" s="784">
        <f t="shared" si="3"/>
        <v>71.416849015317283</v>
      </c>
      <c r="I76" s="784">
        <v>18</v>
      </c>
      <c r="J76" s="784">
        <f t="shared" si="0"/>
        <v>9.8468271334792128</v>
      </c>
      <c r="L76" s="784">
        <v>34.25</v>
      </c>
      <c r="M76" s="784">
        <f t="shared" ref="M76:M113" si="4">IF($A76&lt;&gt;0,L76/$C76*100,"")</f>
        <v>18.736323851203501</v>
      </c>
    </row>
    <row r="77" spans="1:13" ht="13.5" customHeight="1">
      <c r="A77" s="455" t="s">
        <v>62</v>
      </c>
      <c r="C77" s="784">
        <f t="shared" ref="C77:D106" si="5">IF($A77&lt;&gt;0,F77+I77+L77,"")</f>
        <v>61.75</v>
      </c>
      <c r="D77" s="454">
        <f t="shared" si="5"/>
        <v>100</v>
      </c>
      <c r="F77" s="784">
        <v>47.25</v>
      </c>
      <c r="G77" s="784">
        <f t="shared" si="3"/>
        <v>76.518218623481786</v>
      </c>
      <c r="I77" s="784">
        <v>0</v>
      </c>
      <c r="J77" s="784">
        <f t="shared" ref="J77:J113" si="6">IF($A77&lt;&gt;0,I77/$C77*100,"")</f>
        <v>0</v>
      </c>
      <c r="L77" s="784">
        <v>14.5</v>
      </c>
      <c r="M77" s="784">
        <f t="shared" si="4"/>
        <v>23.481781376518217</v>
      </c>
    </row>
    <row r="78" spans="1:13" ht="13.5" customHeight="1">
      <c r="A78" s="455" t="s">
        <v>63</v>
      </c>
      <c r="C78" s="784">
        <f t="shared" si="5"/>
        <v>18.625</v>
      </c>
      <c r="D78" s="454">
        <f t="shared" si="5"/>
        <v>100</v>
      </c>
      <c r="F78" s="784">
        <v>15.625</v>
      </c>
      <c r="G78" s="784">
        <f t="shared" ref="G78:G113" si="7">IF($A78&lt;&gt;0,F78/$C78*100,"")</f>
        <v>83.892617449664428</v>
      </c>
      <c r="I78" s="784">
        <v>0</v>
      </c>
      <c r="J78" s="784">
        <f t="shared" si="6"/>
        <v>0</v>
      </c>
      <c r="L78" s="784">
        <v>3</v>
      </c>
      <c r="M78" s="784">
        <f t="shared" si="4"/>
        <v>16.107382550335569</v>
      </c>
    </row>
    <row r="79" spans="1:13" ht="13.5" customHeight="1">
      <c r="A79" s="455" t="s">
        <v>64</v>
      </c>
      <c r="C79" s="784">
        <f t="shared" si="5"/>
        <v>35.5</v>
      </c>
      <c r="D79" s="454">
        <f t="shared" si="5"/>
        <v>100</v>
      </c>
      <c r="F79" s="18">
        <v>28.5</v>
      </c>
      <c r="G79" s="784">
        <f t="shared" si="7"/>
        <v>80.281690140845072</v>
      </c>
      <c r="I79" s="784">
        <v>1</v>
      </c>
      <c r="J79" s="784">
        <f t="shared" si="6"/>
        <v>2.8169014084507045</v>
      </c>
      <c r="L79" s="784">
        <v>6</v>
      </c>
      <c r="M79" s="784">
        <f t="shared" si="4"/>
        <v>16.901408450704224</v>
      </c>
    </row>
    <row r="80" spans="1:13" ht="13.5" customHeight="1">
      <c r="A80" s="455" t="s">
        <v>65</v>
      </c>
      <c r="C80" s="784">
        <f t="shared" si="5"/>
        <v>47.5</v>
      </c>
      <c r="D80" s="454">
        <f t="shared" si="5"/>
        <v>100</v>
      </c>
      <c r="F80" s="784">
        <v>37.5</v>
      </c>
      <c r="G80" s="784">
        <f t="shared" si="7"/>
        <v>78.94736842105263</v>
      </c>
      <c r="I80" s="784">
        <v>2</v>
      </c>
      <c r="J80" s="784">
        <f t="shared" si="6"/>
        <v>4.2105263157894735</v>
      </c>
      <c r="L80" s="784">
        <v>8</v>
      </c>
      <c r="M80" s="784">
        <f t="shared" si="4"/>
        <v>16.842105263157894</v>
      </c>
    </row>
    <row r="81" spans="1:13" ht="9.75" customHeight="1">
      <c r="C81" s="784" t="str">
        <f t="shared" si="5"/>
        <v/>
      </c>
      <c r="D81" s="454" t="str">
        <f t="shared" si="5"/>
        <v/>
      </c>
      <c r="G81" s="784" t="str">
        <f t="shared" si="7"/>
        <v/>
      </c>
      <c r="J81" s="784" t="str">
        <f t="shared" si="6"/>
        <v/>
      </c>
      <c r="L81" s="784" t="s">
        <v>11</v>
      </c>
      <c r="M81" s="784" t="str">
        <f t="shared" si="4"/>
        <v/>
      </c>
    </row>
    <row r="82" spans="1:13" ht="13.5" customHeight="1">
      <c r="A82" s="455" t="s">
        <v>66</v>
      </c>
      <c r="C82" s="784">
        <f t="shared" si="5"/>
        <v>93.99666666666667</v>
      </c>
      <c r="D82" s="454">
        <f t="shared" si="5"/>
        <v>100</v>
      </c>
      <c r="F82" s="784">
        <f>(39+28)/2/30+44.13</f>
        <v>45.24666666666667</v>
      </c>
      <c r="G82" s="784">
        <f t="shared" si="7"/>
        <v>48.136458739671625</v>
      </c>
      <c r="I82" s="784">
        <v>29.5</v>
      </c>
      <c r="J82" s="784">
        <f t="shared" si="6"/>
        <v>31.384091634455118</v>
      </c>
      <c r="L82" s="784">
        <v>19.25</v>
      </c>
      <c r="M82" s="784">
        <f t="shared" si="4"/>
        <v>20.479449625873258</v>
      </c>
    </row>
    <row r="83" spans="1:13" ht="6" customHeight="1">
      <c r="C83" s="784" t="str">
        <f t="shared" si="5"/>
        <v/>
      </c>
      <c r="D83" s="454" t="str">
        <f t="shared" si="5"/>
        <v/>
      </c>
      <c r="G83" s="784" t="str">
        <f t="shared" si="7"/>
        <v/>
      </c>
      <c r="J83" s="784" t="str">
        <f t="shared" si="6"/>
        <v/>
      </c>
      <c r="L83" s="784" t="s">
        <v>11</v>
      </c>
      <c r="M83" s="784" t="str">
        <f t="shared" si="4"/>
        <v/>
      </c>
    </row>
    <row r="84" spans="1:13" ht="13.5" customHeight="1">
      <c r="A84" s="455" t="s">
        <v>67</v>
      </c>
      <c r="C84" s="784">
        <f t="shared" si="5"/>
        <v>142.05000000000001</v>
      </c>
      <c r="D84" s="454">
        <f t="shared" si="5"/>
        <v>100</v>
      </c>
      <c r="F84" s="784">
        <f>18.5/30+88/30+72.375</f>
        <v>75.924999999999997</v>
      </c>
      <c r="G84" s="784">
        <f t="shared" si="7"/>
        <v>53.449489616332272</v>
      </c>
      <c r="I84" s="784">
        <v>37.875</v>
      </c>
      <c r="J84" s="784">
        <f t="shared" si="6"/>
        <v>26.663146779303059</v>
      </c>
      <c r="L84" s="784">
        <v>28.25</v>
      </c>
      <c r="M84" s="784">
        <f t="shared" si="4"/>
        <v>19.887363604364658</v>
      </c>
    </row>
    <row r="85" spans="1:13" ht="6.75" customHeight="1">
      <c r="C85" s="784" t="str">
        <f t="shared" si="5"/>
        <v/>
      </c>
      <c r="D85" s="454" t="str">
        <f t="shared" si="5"/>
        <v/>
      </c>
      <c r="G85" s="784" t="str">
        <f t="shared" si="7"/>
        <v/>
      </c>
      <c r="J85" s="784" t="str">
        <f t="shared" si="6"/>
        <v/>
      </c>
      <c r="L85" s="784" t="s">
        <v>11</v>
      </c>
      <c r="M85" s="784" t="str">
        <f t="shared" si="4"/>
        <v/>
      </c>
    </row>
    <row r="86" spans="1:13">
      <c r="A86" s="455" t="s">
        <v>336</v>
      </c>
      <c r="C86" s="784">
        <f t="shared" si="5"/>
        <v>113.5</v>
      </c>
      <c r="D86" s="454">
        <f t="shared" si="5"/>
        <v>100</v>
      </c>
      <c r="F86" s="784">
        <f>F87</f>
        <v>85.5</v>
      </c>
      <c r="G86" s="784">
        <f t="shared" si="7"/>
        <v>75.330396475770925</v>
      </c>
      <c r="I86" s="784">
        <f>I87</f>
        <v>14</v>
      </c>
      <c r="J86" s="784">
        <f t="shared" si="6"/>
        <v>12.334801762114537</v>
      </c>
      <c r="L86" s="784">
        <f>L87</f>
        <v>14</v>
      </c>
      <c r="M86" s="784">
        <f t="shared" si="4"/>
        <v>12.334801762114537</v>
      </c>
    </row>
    <row r="87" spans="1:13" ht="12.95" customHeight="1">
      <c r="A87" s="455" t="s">
        <v>69</v>
      </c>
      <c r="C87" s="784">
        <f t="shared" si="5"/>
        <v>113.5</v>
      </c>
      <c r="D87" s="454">
        <f t="shared" si="5"/>
        <v>100</v>
      </c>
      <c r="F87" s="784">
        <f>SUM(F88:F91)</f>
        <v>85.5</v>
      </c>
      <c r="G87" s="784">
        <f t="shared" si="7"/>
        <v>75.330396475770925</v>
      </c>
      <c r="I87" s="784">
        <f>SUM(I88:I91)</f>
        <v>14</v>
      </c>
      <c r="J87" s="784">
        <f t="shared" si="6"/>
        <v>12.334801762114537</v>
      </c>
      <c r="L87" s="784">
        <f>SUM(L88:L91)</f>
        <v>14</v>
      </c>
      <c r="M87" s="784">
        <f t="shared" si="4"/>
        <v>12.334801762114537</v>
      </c>
    </row>
    <row r="88" spans="1:13" ht="12.95" customHeight="1">
      <c r="A88" s="455" t="s">
        <v>70</v>
      </c>
      <c r="C88" s="784">
        <f t="shared" si="5"/>
        <v>21.8</v>
      </c>
      <c r="D88" s="454">
        <f t="shared" si="5"/>
        <v>100.00000000000001</v>
      </c>
      <c r="F88" s="784">
        <f>3/30+6/30+18.5</f>
        <v>18.8</v>
      </c>
      <c r="G88" s="784">
        <f t="shared" si="7"/>
        <v>86.238532110091754</v>
      </c>
      <c r="I88" s="784">
        <v>0</v>
      </c>
      <c r="J88" s="784">
        <f t="shared" si="6"/>
        <v>0</v>
      </c>
      <c r="L88" s="784">
        <v>3</v>
      </c>
      <c r="M88" s="784">
        <f t="shared" si="4"/>
        <v>13.761467889908257</v>
      </c>
    </row>
    <row r="89" spans="1:13" ht="12.95" customHeight="1">
      <c r="A89" s="455" t="s">
        <v>71</v>
      </c>
      <c r="C89" s="784">
        <f t="shared" si="5"/>
        <v>42.016666666666666</v>
      </c>
      <c r="D89" s="454">
        <f t="shared" si="5"/>
        <v>100</v>
      </c>
      <c r="F89" s="784">
        <f>6/30+32/30+31.75</f>
        <v>33.016666666666666</v>
      </c>
      <c r="G89" s="784">
        <f t="shared" si="7"/>
        <v>78.579928599761999</v>
      </c>
      <c r="I89" s="784">
        <v>6</v>
      </c>
      <c r="J89" s="784">
        <f t="shared" si="6"/>
        <v>14.280047600158669</v>
      </c>
      <c r="L89" s="784">
        <v>3</v>
      </c>
      <c r="M89" s="784">
        <f t="shared" si="4"/>
        <v>7.1400238000793346</v>
      </c>
    </row>
    <row r="90" spans="1:13" ht="12.95" customHeight="1">
      <c r="A90" s="455" t="s">
        <v>72</v>
      </c>
      <c r="C90" s="784">
        <f t="shared" si="5"/>
        <v>25.433333333333334</v>
      </c>
      <c r="D90" s="454">
        <f t="shared" si="5"/>
        <v>100</v>
      </c>
      <c r="F90" s="784">
        <f>9/30+4/30+18</f>
        <v>18.433333333333334</v>
      </c>
      <c r="G90" s="784">
        <f t="shared" si="7"/>
        <v>72.477064220183479</v>
      </c>
      <c r="I90" s="784">
        <v>4</v>
      </c>
      <c r="J90" s="784">
        <f t="shared" si="6"/>
        <v>15.727391874180865</v>
      </c>
      <c r="L90" s="784">
        <v>3</v>
      </c>
      <c r="M90" s="784">
        <f t="shared" si="4"/>
        <v>11.795543905635649</v>
      </c>
    </row>
    <row r="91" spans="1:13" ht="12.95" customHeight="1">
      <c r="A91" s="455" t="s">
        <v>73</v>
      </c>
      <c r="C91" s="784">
        <f t="shared" si="5"/>
        <v>24.25</v>
      </c>
      <c r="D91" s="454">
        <f t="shared" si="5"/>
        <v>99.999999999999986</v>
      </c>
      <c r="F91" s="784">
        <v>15.25</v>
      </c>
      <c r="G91" s="784">
        <f t="shared" si="7"/>
        <v>62.886597938144327</v>
      </c>
      <c r="I91" s="784">
        <v>4</v>
      </c>
      <c r="J91" s="784">
        <f t="shared" si="6"/>
        <v>16.494845360824741</v>
      </c>
      <c r="L91" s="784">
        <v>5</v>
      </c>
      <c r="M91" s="784">
        <f t="shared" si="4"/>
        <v>20.618556701030926</v>
      </c>
    </row>
    <row r="92" spans="1:13" ht="7.5" customHeight="1">
      <c r="C92" s="784" t="str">
        <f t="shared" si="5"/>
        <v/>
      </c>
      <c r="D92" s="454" t="str">
        <f t="shared" si="5"/>
        <v/>
      </c>
      <c r="L92" s="784" t="s">
        <v>11</v>
      </c>
      <c r="M92" s="784" t="str">
        <f t="shared" si="4"/>
        <v/>
      </c>
    </row>
    <row r="93" spans="1:13">
      <c r="A93" s="455" t="s">
        <v>396</v>
      </c>
      <c r="C93" s="784">
        <f t="shared" si="5"/>
        <v>321.87333333333333</v>
      </c>
      <c r="D93" s="454">
        <f t="shared" si="5"/>
        <v>100</v>
      </c>
      <c r="F93" s="784">
        <f>SUM(F94)</f>
        <v>239.12333333333336</v>
      </c>
      <c r="G93" s="784">
        <f t="shared" si="7"/>
        <v>74.291129015554773</v>
      </c>
      <c r="I93" s="784">
        <f>SUM(I94)</f>
        <v>18.5</v>
      </c>
      <c r="J93" s="784">
        <f t="shared" si="6"/>
        <v>5.7476025765829206</v>
      </c>
      <c r="L93" s="784">
        <f>SUM(L94)</f>
        <v>64.25</v>
      </c>
      <c r="M93" s="784">
        <f t="shared" si="4"/>
        <v>19.961268407862306</v>
      </c>
    </row>
    <row r="94" spans="1:13" ht="13.5" customHeight="1">
      <c r="A94" s="455" t="s">
        <v>75</v>
      </c>
      <c r="C94" s="784">
        <f t="shared" si="5"/>
        <v>321.87333333333333</v>
      </c>
      <c r="D94" s="454">
        <f t="shared" si="5"/>
        <v>100</v>
      </c>
      <c r="F94" s="784">
        <f>SUM(F95:F103)</f>
        <v>239.12333333333336</v>
      </c>
      <c r="G94" s="784">
        <f t="shared" si="7"/>
        <v>74.291129015554773</v>
      </c>
      <c r="I94" s="784">
        <f>SUM(I95:I103)</f>
        <v>18.5</v>
      </c>
      <c r="J94" s="784">
        <f t="shared" si="6"/>
        <v>5.7476025765829206</v>
      </c>
      <c r="L94" s="784">
        <f>SUM(L95:L103)</f>
        <v>64.25</v>
      </c>
      <c r="M94" s="784">
        <f t="shared" si="4"/>
        <v>19.961268407862306</v>
      </c>
    </row>
    <row r="95" spans="1:13" ht="13.5" customHeight="1">
      <c r="A95" s="455" t="s">
        <v>76</v>
      </c>
      <c r="C95" s="784">
        <f t="shared" si="5"/>
        <v>51.59</v>
      </c>
      <c r="D95" s="454">
        <f t="shared" si="5"/>
        <v>100</v>
      </c>
      <c r="F95" s="784">
        <v>37.090000000000003</v>
      </c>
      <c r="G95" s="784">
        <f t="shared" si="7"/>
        <v>71.893777863927127</v>
      </c>
      <c r="I95" s="784">
        <v>5.5</v>
      </c>
      <c r="J95" s="784">
        <f t="shared" si="6"/>
        <v>10.660980810234541</v>
      </c>
      <c r="L95" s="784">
        <v>9</v>
      </c>
      <c r="M95" s="784">
        <f t="shared" si="4"/>
        <v>17.445241325838339</v>
      </c>
    </row>
    <row r="96" spans="1:13" ht="13.5" customHeight="1">
      <c r="A96" s="455" t="s">
        <v>77</v>
      </c>
      <c r="C96" s="784">
        <f t="shared" si="5"/>
        <v>25.25</v>
      </c>
      <c r="D96" s="454">
        <f t="shared" si="5"/>
        <v>99.999999999999986</v>
      </c>
      <c r="F96" s="784">
        <v>18.75</v>
      </c>
      <c r="G96" s="784">
        <f t="shared" si="7"/>
        <v>74.257425742574256</v>
      </c>
      <c r="I96" s="784">
        <v>2</v>
      </c>
      <c r="J96" s="784">
        <f t="shared" si="6"/>
        <v>7.9207920792079207</v>
      </c>
      <c r="L96" s="784">
        <v>4.5</v>
      </c>
      <c r="M96" s="784">
        <f t="shared" si="4"/>
        <v>17.82178217821782</v>
      </c>
    </row>
    <row r="97" spans="1:13" ht="13.5" customHeight="1">
      <c r="A97" s="455" t="s">
        <v>78</v>
      </c>
      <c r="C97" s="784">
        <f t="shared" si="5"/>
        <v>50.266666666666666</v>
      </c>
      <c r="D97" s="454">
        <f t="shared" si="5"/>
        <v>100</v>
      </c>
      <c r="F97" s="784">
        <f>8/30+32.5</f>
        <v>32.766666666666666</v>
      </c>
      <c r="G97" s="784">
        <f t="shared" si="7"/>
        <v>65.185676392572944</v>
      </c>
      <c r="I97" s="784">
        <v>6</v>
      </c>
      <c r="J97" s="784">
        <f t="shared" si="6"/>
        <v>11.936339522546421</v>
      </c>
      <c r="L97" s="784">
        <v>11.5</v>
      </c>
      <c r="M97" s="784">
        <f t="shared" si="4"/>
        <v>22.877984084880637</v>
      </c>
    </row>
    <row r="98" spans="1:13" ht="13.5" customHeight="1">
      <c r="A98" s="455" t="s">
        <v>79</v>
      </c>
      <c r="C98" s="784">
        <f t="shared" si="5"/>
        <v>28.25</v>
      </c>
      <c r="D98" s="454">
        <f t="shared" si="5"/>
        <v>100</v>
      </c>
      <c r="F98" s="784">
        <v>22.25</v>
      </c>
      <c r="G98" s="784">
        <f t="shared" si="7"/>
        <v>78.761061946902657</v>
      </c>
      <c r="I98" s="784">
        <v>2</v>
      </c>
      <c r="J98" s="784">
        <f t="shared" si="6"/>
        <v>7.0796460176991154</v>
      </c>
      <c r="L98" s="784">
        <v>4</v>
      </c>
      <c r="M98" s="784">
        <f t="shared" si="4"/>
        <v>14.159292035398231</v>
      </c>
    </row>
    <row r="99" spans="1:13" ht="13.5" customHeight="1">
      <c r="A99" s="455" t="s">
        <v>80</v>
      </c>
      <c r="C99" s="784">
        <f t="shared" si="5"/>
        <v>33.5</v>
      </c>
      <c r="D99" s="454">
        <f t="shared" si="5"/>
        <v>100</v>
      </c>
      <c r="F99" s="784">
        <f>15/30+26.5</f>
        <v>27</v>
      </c>
      <c r="G99" s="784">
        <f t="shared" si="7"/>
        <v>80.597014925373131</v>
      </c>
      <c r="I99" s="784">
        <v>0</v>
      </c>
      <c r="J99" s="784">
        <f t="shared" si="6"/>
        <v>0</v>
      </c>
      <c r="L99" s="784">
        <v>6.5</v>
      </c>
      <c r="M99" s="784">
        <f t="shared" si="4"/>
        <v>19.402985074626866</v>
      </c>
    </row>
    <row r="100" spans="1:13" ht="13.5" customHeight="1">
      <c r="A100" s="455" t="s">
        <v>81</v>
      </c>
      <c r="C100" s="784">
        <f t="shared" si="5"/>
        <v>53.05</v>
      </c>
      <c r="D100" s="454">
        <f t="shared" si="5"/>
        <v>100</v>
      </c>
      <c r="F100" s="784">
        <f>24/30+38.5</f>
        <v>39.299999999999997</v>
      </c>
      <c r="G100" s="784">
        <f t="shared" si="7"/>
        <v>74.081055607917051</v>
      </c>
      <c r="I100" s="784">
        <v>0</v>
      </c>
      <c r="J100" s="784">
        <f t="shared" si="6"/>
        <v>0</v>
      </c>
      <c r="L100" s="784">
        <v>13.75</v>
      </c>
      <c r="M100" s="784">
        <f t="shared" si="4"/>
        <v>25.918944392082942</v>
      </c>
    </row>
    <row r="101" spans="1:13" ht="13.5" customHeight="1">
      <c r="A101" s="455" t="s">
        <v>82</v>
      </c>
      <c r="C101" s="784">
        <f t="shared" si="5"/>
        <v>15.25</v>
      </c>
      <c r="D101" s="454">
        <f t="shared" si="5"/>
        <v>100</v>
      </c>
      <c r="F101" s="784">
        <v>11.25</v>
      </c>
      <c r="G101" s="784">
        <f t="shared" si="7"/>
        <v>73.770491803278688</v>
      </c>
      <c r="I101" s="784">
        <v>0</v>
      </c>
      <c r="J101" s="784">
        <f t="shared" si="6"/>
        <v>0</v>
      </c>
      <c r="L101" s="784">
        <v>4</v>
      </c>
      <c r="M101" s="784">
        <f t="shared" si="4"/>
        <v>26.229508196721312</v>
      </c>
    </row>
    <row r="102" spans="1:13" ht="13.5" customHeight="1">
      <c r="A102" s="455" t="s">
        <v>83</v>
      </c>
      <c r="C102" s="784">
        <f>IF($A102&lt;&gt;0,F102+I102+L102,"")</f>
        <v>46.616666666666667</v>
      </c>
      <c r="D102" s="454">
        <f>IF($A102&lt;&gt;0,G102+J102+M102,"")</f>
        <v>99.999999999999986</v>
      </c>
      <c r="F102" s="784">
        <f>26/30+34.75</f>
        <v>35.616666666666667</v>
      </c>
      <c r="G102" s="784">
        <f>IF($A102&lt;&gt;0,F102/$C102*100,"")</f>
        <v>76.403289238469782</v>
      </c>
      <c r="I102" s="784">
        <v>2</v>
      </c>
      <c r="J102" s="784">
        <f>IF($A102&lt;&gt;0,I102/$C102*100,"")</f>
        <v>4.2903110475509472</v>
      </c>
      <c r="L102" s="784">
        <v>9</v>
      </c>
      <c r="M102" s="784">
        <f>IF($A102&lt;&gt;0,L102/$C102*100,"")</f>
        <v>19.306399713979264</v>
      </c>
    </row>
    <row r="103" spans="1:13" ht="13.5" customHeight="1">
      <c r="A103" s="455" t="s">
        <v>84</v>
      </c>
      <c r="C103" s="784">
        <f t="shared" si="5"/>
        <v>18.100000000000001</v>
      </c>
      <c r="D103" s="454">
        <f t="shared" si="5"/>
        <v>99.999999999999986</v>
      </c>
      <c r="F103" s="784">
        <f>65/30+43/30+11.5</f>
        <v>15.1</v>
      </c>
      <c r="G103" s="784">
        <f t="shared" si="7"/>
        <v>83.425414364640872</v>
      </c>
      <c r="I103" s="784">
        <v>1</v>
      </c>
      <c r="J103" s="784">
        <f t="shared" si="6"/>
        <v>5.5248618784530388</v>
      </c>
      <c r="L103" s="784">
        <v>2</v>
      </c>
      <c r="M103" s="784">
        <f t="shared" si="4"/>
        <v>11.049723756906078</v>
      </c>
    </row>
    <row r="104" spans="1:13" ht="10.5" customHeight="1">
      <c r="C104" s="784" t="str">
        <f t="shared" si="5"/>
        <v/>
      </c>
      <c r="D104" s="454" t="str">
        <f t="shared" si="5"/>
        <v/>
      </c>
      <c r="L104" s="784" t="s">
        <v>11</v>
      </c>
      <c r="M104" s="784" t="str">
        <f t="shared" si="4"/>
        <v/>
      </c>
    </row>
    <row r="105" spans="1:13">
      <c r="A105" s="455" t="s">
        <v>85</v>
      </c>
      <c r="C105" s="784">
        <f t="shared" si="5"/>
        <v>127.58333333333333</v>
      </c>
      <c r="D105" s="454">
        <f t="shared" si="5"/>
        <v>100</v>
      </c>
      <c r="F105" s="784">
        <f>115/30+108.25</f>
        <v>112.08333333333333</v>
      </c>
      <c r="G105" s="784">
        <f t="shared" si="7"/>
        <v>87.851077726975831</v>
      </c>
      <c r="I105" s="784">
        <v>0</v>
      </c>
      <c r="J105" s="784">
        <f t="shared" si="6"/>
        <v>0</v>
      </c>
      <c r="L105" s="784">
        <v>15.5</v>
      </c>
      <c r="M105" s="784">
        <f t="shared" si="4"/>
        <v>12.148922273024167</v>
      </c>
    </row>
    <row r="106" spans="1:13" ht="9.75" customHeight="1">
      <c r="C106" s="784" t="str">
        <f t="shared" si="5"/>
        <v/>
      </c>
      <c r="D106" s="454" t="str">
        <f t="shared" si="5"/>
        <v/>
      </c>
      <c r="G106" s="784" t="str">
        <f t="shared" si="7"/>
        <v/>
      </c>
      <c r="J106" s="784" t="str">
        <f t="shared" si="6"/>
        <v/>
      </c>
      <c r="L106" s="784" t="s">
        <v>11</v>
      </c>
      <c r="M106" s="784" t="str">
        <f t="shared" si="4"/>
        <v/>
      </c>
    </row>
    <row r="107" spans="1:13">
      <c r="A107" s="9" t="s">
        <v>213</v>
      </c>
      <c r="C107" s="784">
        <f t="shared" ref="C107:D113" si="8">IF($A107&lt;&gt;0,F107+I107+L107,"")</f>
        <v>522.52499999999998</v>
      </c>
      <c r="D107" s="454">
        <f t="shared" si="8"/>
        <v>100</v>
      </c>
      <c r="F107" s="784">
        <f>SUM(F109:F113)</f>
        <v>500.77499999999998</v>
      </c>
      <c r="G107" s="784">
        <f t="shared" si="7"/>
        <v>95.8375197358978</v>
      </c>
      <c r="I107" s="784">
        <f>SUM(I109:I113)</f>
        <v>10.5</v>
      </c>
      <c r="J107" s="784">
        <f t="shared" si="6"/>
        <v>2.009473230945888</v>
      </c>
      <c r="L107" s="784">
        <f>SUM(L109:L113)</f>
        <v>11.25</v>
      </c>
      <c r="M107" s="784">
        <f t="shared" si="4"/>
        <v>2.1530070331563085</v>
      </c>
    </row>
    <row r="108" spans="1:13" ht="6.95" customHeight="1">
      <c r="C108" s="784" t="str">
        <f t="shared" si="8"/>
        <v/>
      </c>
      <c r="D108" s="454" t="str">
        <f t="shared" si="8"/>
        <v/>
      </c>
      <c r="G108" s="784" t="str">
        <f t="shared" si="7"/>
        <v/>
      </c>
      <c r="J108" s="784" t="str">
        <f t="shared" si="6"/>
        <v/>
      </c>
      <c r="L108" s="784" t="s">
        <v>11</v>
      </c>
      <c r="M108" s="784" t="str">
        <f t="shared" si="4"/>
        <v/>
      </c>
    </row>
    <row r="109" spans="1:13" ht="12.75" customHeight="1">
      <c r="A109" s="19" t="s">
        <v>752</v>
      </c>
      <c r="C109" s="784">
        <f t="shared" si="8"/>
        <v>193.25833333333333</v>
      </c>
      <c r="D109" s="454">
        <f t="shared" si="8"/>
        <v>99.999999999999986</v>
      </c>
      <c r="F109" s="789">
        <f>19/30+179.375</f>
        <v>180.00833333333333</v>
      </c>
      <c r="G109" s="784">
        <f t="shared" si="7"/>
        <v>93.14389202707946</v>
      </c>
      <c r="I109" s="784">
        <v>6.5</v>
      </c>
      <c r="J109" s="784">
        <f t="shared" si="6"/>
        <v>3.3633737225647877</v>
      </c>
      <c r="L109" s="784">
        <v>6.75</v>
      </c>
      <c r="M109" s="784">
        <f t="shared" si="4"/>
        <v>3.4927342503557419</v>
      </c>
    </row>
    <row r="110" spans="1:13" ht="15" customHeight="1">
      <c r="A110" s="19" t="s">
        <v>753</v>
      </c>
      <c r="C110" s="784">
        <f t="shared" si="8"/>
        <v>95.674999999999997</v>
      </c>
      <c r="D110" s="454">
        <f t="shared" si="8"/>
        <v>99.999999999999986</v>
      </c>
      <c r="F110" s="789">
        <f>89.675+5</f>
        <v>94.674999999999997</v>
      </c>
      <c r="G110" s="784">
        <f t="shared" si="7"/>
        <v>98.954794878494894</v>
      </c>
      <c r="I110" s="784">
        <v>1</v>
      </c>
      <c r="J110" s="784">
        <f t="shared" si="6"/>
        <v>1.0452051215050955</v>
      </c>
      <c r="L110" s="784">
        <v>0</v>
      </c>
      <c r="M110" s="784">
        <f t="shared" si="4"/>
        <v>0</v>
      </c>
    </row>
    <row r="111" spans="1:13" ht="12.75" customHeight="1">
      <c r="A111" s="19" t="s">
        <v>754</v>
      </c>
      <c r="C111" s="784">
        <f t="shared" si="8"/>
        <v>101.71666666666667</v>
      </c>
      <c r="D111" s="454">
        <f t="shared" si="8"/>
        <v>99.999999999999986</v>
      </c>
      <c r="F111" s="790">
        <f>29/30+95.75</f>
        <v>96.716666666666669</v>
      </c>
      <c r="G111" s="784">
        <f t="shared" si="7"/>
        <v>95.084384728821888</v>
      </c>
      <c r="I111" s="784">
        <v>2</v>
      </c>
      <c r="J111" s="784">
        <f t="shared" si="6"/>
        <v>1.9662461084712437</v>
      </c>
      <c r="L111" s="784">
        <v>3</v>
      </c>
      <c r="M111" s="784">
        <f t="shared" si="4"/>
        <v>2.9493691627068652</v>
      </c>
    </row>
    <row r="112" spans="1:13" ht="12.75" customHeight="1">
      <c r="A112" s="19" t="s">
        <v>233</v>
      </c>
      <c r="C112" s="784">
        <f t="shared" si="8"/>
        <v>74</v>
      </c>
      <c r="D112" s="454">
        <f t="shared" si="8"/>
        <v>100.00000000000001</v>
      </c>
      <c r="F112" s="784">
        <v>71.5</v>
      </c>
      <c r="G112" s="784">
        <f t="shared" si="7"/>
        <v>96.621621621621628</v>
      </c>
      <c r="I112" s="784">
        <v>1</v>
      </c>
      <c r="J112" s="784">
        <f t="shared" si="6"/>
        <v>1.3513513513513513</v>
      </c>
      <c r="L112" s="784">
        <v>1.5</v>
      </c>
      <c r="M112" s="784">
        <f t="shared" si="4"/>
        <v>2.0270270270270272</v>
      </c>
    </row>
    <row r="113" spans="1:13" ht="12.75" customHeight="1">
      <c r="A113" s="19" t="s">
        <v>239</v>
      </c>
      <c r="C113" s="784">
        <f t="shared" si="8"/>
        <v>57.875</v>
      </c>
      <c r="D113" s="454">
        <f t="shared" si="8"/>
        <v>100</v>
      </c>
      <c r="F113" s="784">
        <v>57.875</v>
      </c>
      <c r="G113" s="784">
        <f t="shared" si="7"/>
        <v>100</v>
      </c>
      <c r="I113" s="784">
        <v>0</v>
      </c>
      <c r="J113" s="784">
        <f t="shared" si="6"/>
        <v>0</v>
      </c>
      <c r="L113" s="784">
        <v>0</v>
      </c>
      <c r="M113" s="784">
        <f t="shared" si="4"/>
        <v>0</v>
      </c>
    </row>
    <row r="114" spans="1:13" ht="6.95" customHeight="1" thickBot="1">
      <c r="A114" s="503"/>
      <c r="B114" s="445"/>
      <c r="C114" s="787"/>
      <c r="D114" s="503"/>
      <c r="E114" s="503"/>
      <c r="F114" s="787"/>
      <c r="G114" s="787"/>
      <c r="H114" s="787"/>
      <c r="I114" s="787"/>
      <c r="J114" s="787"/>
      <c r="K114" s="787"/>
      <c r="L114" s="787"/>
      <c r="M114" s="787"/>
    </row>
    <row r="115" spans="1:13" ht="6.95" customHeight="1"/>
    <row r="116" spans="1:13" ht="13.5" customHeight="1">
      <c r="A116" s="22" t="s">
        <v>2117</v>
      </c>
    </row>
    <row r="117" spans="1:13" ht="14.25">
      <c r="A117" s="22" t="s">
        <v>2118</v>
      </c>
    </row>
    <row r="118" spans="1:13" ht="9" customHeight="1">
      <c r="A118" s="22" t="s">
        <v>248</v>
      </c>
    </row>
    <row r="119" spans="1:13">
      <c r="A119" s="4" t="s">
        <v>249</v>
      </c>
    </row>
    <row r="120" spans="1:13">
      <c r="A120" s="455" t="s">
        <v>250</v>
      </c>
    </row>
    <row r="122" spans="1:13">
      <c r="A122" s="791"/>
    </row>
  </sheetData>
  <mergeCells count="5">
    <mergeCell ref="C7:M7"/>
    <mergeCell ref="C8:D8"/>
    <mergeCell ref="F8:G8"/>
    <mergeCell ref="I8:J8"/>
    <mergeCell ref="L8:M8"/>
  </mergeCells>
  <printOptions horizontalCentered="1" verticalCentered="1"/>
  <pageMargins left="0" right="0" top="0" bottom="0" header="0.31496062992125984" footer="0.31496062992125984"/>
  <pageSetup paperSize="9" scale="55" orientation="portrait" r:id="rId1"/>
</worksheet>
</file>

<file path=xl/worksheets/sheet35.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B32" sqref="B32"/>
    </sheetView>
  </sheetViews>
  <sheetFormatPr baseColWidth="10" defaultRowHeight="15"/>
  <sheetData>
    <row r="1" spans="2:11" ht="12.75" customHeight="1"/>
    <row r="2" spans="2:11" ht="12.75" customHeight="1">
      <c r="J2" s="32"/>
    </row>
    <row r="3" spans="2:11" ht="12.75" customHeight="1">
      <c r="B3" t="s">
        <v>6</v>
      </c>
      <c r="C3" t="s">
        <v>8</v>
      </c>
      <c r="D3" t="s">
        <v>7</v>
      </c>
      <c r="H3" s="33"/>
    </row>
    <row r="4" spans="2:11" ht="12.75" customHeight="1">
      <c r="B4" s="194">
        <v>78.22</v>
      </c>
      <c r="C4" s="195">
        <v>14.51</v>
      </c>
      <c r="D4" s="195">
        <v>7.27</v>
      </c>
      <c r="F4" s="31"/>
      <c r="G4" s="31"/>
      <c r="H4" s="31"/>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dimension ref="A1:M107"/>
  <sheetViews>
    <sheetView workbookViewId="0">
      <selection activeCell="A72" sqref="A72"/>
    </sheetView>
  </sheetViews>
  <sheetFormatPr baseColWidth="10" defaultRowHeight="12.75"/>
  <cols>
    <col min="1" max="1" width="42.7109375" style="4" customWidth="1"/>
    <col min="2" max="2" width="10.5703125" style="4" customWidth="1"/>
    <col min="3" max="3" width="10.140625" style="4" customWidth="1"/>
    <col min="4" max="4" width="2.7109375" style="4" customWidth="1"/>
    <col min="5" max="5" width="9.7109375" style="482" customWidth="1"/>
    <col min="6" max="6" width="8.85546875" style="823" customWidth="1"/>
    <col min="7" max="7" width="2.7109375" style="482" customWidth="1"/>
    <col min="8" max="8" width="10.28515625" style="482" customWidth="1"/>
    <col min="9" max="9" width="10.5703125" style="823" customWidth="1"/>
    <col min="10" max="10" width="2.7109375" style="482" customWidth="1"/>
    <col min="11" max="11" width="8.5703125" style="482" customWidth="1"/>
    <col min="12" max="12" width="9" style="18" customWidth="1"/>
    <col min="13" max="13" width="3.5703125" style="434" customWidth="1"/>
    <col min="14" max="256" width="11.42578125" style="434"/>
    <col min="257" max="257" width="42.7109375" style="434" customWidth="1"/>
    <col min="258" max="258" width="13" style="434" customWidth="1"/>
    <col min="259" max="259" width="12.42578125" style="434" customWidth="1"/>
    <col min="260" max="260" width="2.7109375" style="434" customWidth="1"/>
    <col min="261" max="261" width="12.7109375" style="434" customWidth="1"/>
    <col min="262" max="262" width="12.28515625" style="434" customWidth="1"/>
    <col min="263" max="263" width="2.7109375" style="434" customWidth="1"/>
    <col min="264" max="264" width="12.140625" style="434" customWidth="1"/>
    <col min="265" max="265" width="13.42578125" style="434" customWidth="1"/>
    <col min="266" max="266" width="2.7109375" style="434" customWidth="1"/>
    <col min="267" max="267" width="13.28515625" style="434" customWidth="1"/>
    <col min="268" max="268" width="11.28515625" style="434" customWidth="1"/>
    <col min="269" max="269" width="3.5703125" style="434" customWidth="1"/>
    <col min="270" max="512" width="11.42578125" style="434"/>
    <col min="513" max="513" width="42.7109375" style="434" customWidth="1"/>
    <col min="514" max="514" width="13" style="434" customWidth="1"/>
    <col min="515" max="515" width="12.42578125" style="434" customWidth="1"/>
    <col min="516" max="516" width="2.7109375" style="434" customWidth="1"/>
    <col min="517" max="517" width="12.7109375" style="434" customWidth="1"/>
    <col min="518" max="518" width="12.28515625" style="434" customWidth="1"/>
    <col min="519" max="519" width="2.7109375" style="434" customWidth="1"/>
    <col min="520" max="520" width="12.140625" style="434" customWidth="1"/>
    <col min="521" max="521" width="13.42578125" style="434" customWidth="1"/>
    <col min="522" max="522" width="2.7109375" style="434" customWidth="1"/>
    <col min="523" max="523" width="13.28515625" style="434" customWidth="1"/>
    <col min="524" max="524" width="11.28515625" style="434" customWidth="1"/>
    <col min="525" max="525" width="3.5703125" style="434" customWidth="1"/>
    <col min="526" max="768" width="11.42578125" style="434"/>
    <col min="769" max="769" width="42.7109375" style="434" customWidth="1"/>
    <col min="770" max="770" width="13" style="434" customWidth="1"/>
    <col min="771" max="771" width="12.42578125" style="434" customWidth="1"/>
    <col min="772" max="772" width="2.7109375" style="434" customWidth="1"/>
    <col min="773" max="773" width="12.7109375" style="434" customWidth="1"/>
    <col min="774" max="774" width="12.28515625" style="434" customWidth="1"/>
    <col min="775" max="775" width="2.7109375" style="434" customWidth="1"/>
    <col min="776" max="776" width="12.140625" style="434" customWidth="1"/>
    <col min="777" max="777" width="13.42578125" style="434" customWidth="1"/>
    <col min="778" max="778" width="2.7109375" style="434" customWidth="1"/>
    <col min="779" max="779" width="13.28515625" style="434" customWidth="1"/>
    <col min="780" max="780" width="11.28515625" style="434" customWidth="1"/>
    <col min="781" max="781" width="3.5703125" style="434" customWidth="1"/>
    <col min="782" max="1024" width="11.42578125" style="434"/>
    <col min="1025" max="1025" width="42.7109375" style="434" customWidth="1"/>
    <col min="1026" max="1026" width="13" style="434" customWidth="1"/>
    <col min="1027" max="1027" width="12.42578125" style="434" customWidth="1"/>
    <col min="1028" max="1028" width="2.7109375" style="434" customWidth="1"/>
    <col min="1029" max="1029" width="12.7109375" style="434" customWidth="1"/>
    <col min="1030" max="1030" width="12.28515625" style="434" customWidth="1"/>
    <col min="1031" max="1031" width="2.7109375" style="434" customWidth="1"/>
    <col min="1032" max="1032" width="12.140625" style="434" customWidth="1"/>
    <col min="1033" max="1033" width="13.42578125" style="434" customWidth="1"/>
    <col min="1034" max="1034" width="2.7109375" style="434" customWidth="1"/>
    <col min="1035" max="1035" width="13.28515625" style="434" customWidth="1"/>
    <col min="1036" max="1036" width="11.28515625" style="434" customWidth="1"/>
    <col min="1037" max="1037" width="3.5703125" style="434" customWidth="1"/>
    <col min="1038" max="1280" width="11.42578125" style="434"/>
    <col min="1281" max="1281" width="42.7109375" style="434" customWidth="1"/>
    <col min="1282" max="1282" width="13" style="434" customWidth="1"/>
    <col min="1283" max="1283" width="12.42578125" style="434" customWidth="1"/>
    <col min="1284" max="1284" width="2.7109375" style="434" customWidth="1"/>
    <col min="1285" max="1285" width="12.7109375" style="434" customWidth="1"/>
    <col min="1286" max="1286" width="12.28515625" style="434" customWidth="1"/>
    <col min="1287" max="1287" width="2.7109375" style="434" customWidth="1"/>
    <col min="1288" max="1288" width="12.140625" style="434" customWidth="1"/>
    <col min="1289" max="1289" width="13.42578125" style="434" customWidth="1"/>
    <col min="1290" max="1290" width="2.7109375" style="434" customWidth="1"/>
    <col min="1291" max="1291" width="13.28515625" style="434" customWidth="1"/>
    <col min="1292" max="1292" width="11.28515625" style="434" customWidth="1"/>
    <col min="1293" max="1293" width="3.5703125" style="434" customWidth="1"/>
    <col min="1294" max="1536" width="11.42578125" style="434"/>
    <col min="1537" max="1537" width="42.7109375" style="434" customWidth="1"/>
    <col min="1538" max="1538" width="13" style="434" customWidth="1"/>
    <col min="1539" max="1539" width="12.42578125" style="434" customWidth="1"/>
    <col min="1540" max="1540" width="2.7109375" style="434" customWidth="1"/>
    <col min="1541" max="1541" width="12.7109375" style="434" customWidth="1"/>
    <col min="1542" max="1542" width="12.28515625" style="434" customWidth="1"/>
    <col min="1543" max="1543" width="2.7109375" style="434" customWidth="1"/>
    <col min="1544" max="1544" width="12.140625" style="434" customWidth="1"/>
    <col min="1545" max="1545" width="13.42578125" style="434" customWidth="1"/>
    <col min="1546" max="1546" width="2.7109375" style="434" customWidth="1"/>
    <col min="1547" max="1547" width="13.28515625" style="434" customWidth="1"/>
    <col min="1548" max="1548" width="11.28515625" style="434" customWidth="1"/>
    <col min="1549" max="1549" width="3.5703125" style="434" customWidth="1"/>
    <col min="1550" max="1792" width="11.42578125" style="434"/>
    <col min="1793" max="1793" width="42.7109375" style="434" customWidth="1"/>
    <col min="1794" max="1794" width="13" style="434" customWidth="1"/>
    <col min="1795" max="1795" width="12.42578125" style="434" customWidth="1"/>
    <col min="1796" max="1796" width="2.7109375" style="434" customWidth="1"/>
    <col min="1797" max="1797" width="12.7109375" style="434" customWidth="1"/>
    <col min="1798" max="1798" width="12.28515625" style="434" customWidth="1"/>
    <col min="1799" max="1799" width="2.7109375" style="434" customWidth="1"/>
    <col min="1800" max="1800" width="12.140625" style="434" customWidth="1"/>
    <col min="1801" max="1801" width="13.42578125" style="434" customWidth="1"/>
    <col min="1802" max="1802" width="2.7109375" style="434" customWidth="1"/>
    <col min="1803" max="1803" width="13.28515625" style="434" customWidth="1"/>
    <col min="1804" max="1804" width="11.28515625" style="434" customWidth="1"/>
    <col min="1805" max="1805" width="3.5703125" style="434" customWidth="1"/>
    <col min="1806" max="2048" width="11.42578125" style="434"/>
    <col min="2049" max="2049" width="42.7109375" style="434" customWidth="1"/>
    <col min="2050" max="2050" width="13" style="434" customWidth="1"/>
    <col min="2051" max="2051" width="12.42578125" style="434" customWidth="1"/>
    <col min="2052" max="2052" width="2.7109375" style="434" customWidth="1"/>
    <col min="2053" max="2053" width="12.7109375" style="434" customWidth="1"/>
    <col min="2054" max="2054" width="12.28515625" style="434" customWidth="1"/>
    <col min="2055" max="2055" width="2.7109375" style="434" customWidth="1"/>
    <col min="2056" max="2056" width="12.140625" style="434" customWidth="1"/>
    <col min="2057" max="2057" width="13.42578125" style="434" customWidth="1"/>
    <col min="2058" max="2058" width="2.7109375" style="434" customWidth="1"/>
    <col min="2059" max="2059" width="13.28515625" style="434" customWidth="1"/>
    <col min="2060" max="2060" width="11.28515625" style="434" customWidth="1"/>
    <col min="2061" max="2061" width="3.5703125" style="434" customWidth="1"/>
    <col min="2062" max="2304" width="11.42578125" style="434"/>
    <col min="2305" max="2305" width="42.7109375" style="434" customWidth="1"/>
    <col min="2306" max="2306" width="13" style="434" customWidth="1"/>
    <col min="2307" max="2307" width="12.42578125" style="434" customWidth="1"/>
    <col min="2308" max="2308" width="2.7109375" style="434" customWidth="1"/>
    <col min="2309" max="2309" width="12.7109375" style="434" customWidth="1"/>
    <col min="2310" max="2310" width="12.28515625" style="434" customWidth="1"/>
    <col min="2311" max="2311" width="2.7109375" style="434" customWidth="1"/>
    <col min="2312" max="2312" width="12.140625" style="434" customWidth="1"/>
    <col min="2313" max="2313" width="13.42578125" style="434" customWidth="1"/>
    <col min="2314" max="2314" width="2.7109375" style="434" customWidth="1"/>
    <col min="2315" max="2315" width="13.28515625" style="434" customWidth="1"/>
    <col min="2316" max="2316" width="11.28515625" style="434" customWidth="1"/>
    <col min="2317" max="2317" width="3.5703125" style="434" customWidth="1"/>
    <col min="2318" max="2560" width="11.42578125" style="434"/>
    <col min="2561" max="2561" width="42.7109375" style="434" customWidth="1"/>
    <col min="2562" max="2562" width="13" style="434" customWidth="1"/>
    <col min="2563" max="2563" width="12.42578125" style="434" customWidth="1"/>
    <col min="2564" max="2564" width="2.7109375" style="434" customWidth="1"/>
    <col min="2565" max="2565" width="12.7109375" style="434" customWidth="1"/>
    <col min="2566" max="2566" width="12.28515625" style="434" customWidth="1"/>
    <col min="2567" max="2567" width="2.7109375" style="434" customWidth="1"/>
    <col min="2568" max="2568" width="12.140625" style="434" customWidth="1"/>
    <col min="2569" max="2569" width="13.42578125" style="434" customWidth="1"/>
    <col min="2570" max="2570" width="2.7109375" style="434" customWidth="1"/>
    <col min="2571" max="2571" width="13.28515625" style="434" customWidth="1"/>
    <col min="2572" max="2572" width="11.28515625" style="434" customWidth="1"/>
    <col min="2573" max="2573" width="3.5703125" style="434" customWidth="1"/>
    <col min="2574" max="2816" width="11.42578125" style="434"/>
    <col min="2817" max="2817" width="42.7109375" style="434" customWidth="1"/>
    <col min="2818" max="2818" width="13" style="434" customWidth="1"/>
    <col min="2819" max="2819" width="12.42578125" style="434" customWidth="1"/>
    <col min="2820" max="2820" width="2.7109375" style="434" customWidth="1"/>
    <col min="2821" max="2821" width="12.7109375" style="434" customWidth="1"/>
    <col min="2822" max="2822" width="12.28515625" style="434" customWidth="1"/>
    <col min="2823" max="2823" width="2.7109375" style="434" customWidth="1"/>
    <col min="2824" max="2824" width="12.140625" style="434" customWidth="1"/>
    <col min="2825" max="2825" width="13.42578125" style="434" customWidth="1"/>
    <col min="2826" max="2826" width="2.7109375" style="434" customWidth="1"/>
    <col min="2827" max="2827" width="13.28515625" style="434" customWidth="1"/>
    <col min="2828" max="2828" width="11.28515625" style="434" customWidth="1"/>
    <col min="2829" max="2829" width="3.5703125" style="434" customWidth="1"/>
    <col min="2830" max="3072" width="11.42578125" style="434"/>
    <col min="3073" max="3073" width="42.7109375" style="434" customWidth="1"/>
    <col min="3074" max="3074" width="13" style="434" customWidth="1"/>
    <col min="3075" max="3075" width="12.42578125" style="434" customWidth="1"/>
    <col min="3076" max="3076" width="2.7109375" style="434" customWidth="1"/>
    <col min="3077" max="3077" width="12.7109375" style="434" customWidth="1"/>
    <col min="3078" max="3078" width="12.28515625" style="434" customWidth="1"/>
    <col min="3079" max="3079" width="2.7109375" style="434" customWidth="1"/>
    <col min="3080" max="3080" width="12.140625" style="434" customWidth="1"/>
    <col min="3081" max="3081" width="13.42578125" style="434" customWidth="1"/>
    <col min="3082" max="3082" width="2.7109375" style="434" customWidth="1"/>
    <col min="3083" max="3083" width="13.28515625" style="434" customWidth="1"/>
    <col min="3084" max="3084" width="11.28515625" style="434" customWidth="1"/>
    <col min="3085" max="3085" width="3.5703125" style="434" customWidth="1"/>
    <col min="3086" max="3328" width="11.42578125" style="434"/>
    <col min="3329" max="3329" width="42.7109375" style="434" customWidth="1"/>
    <col min="3330" max="3330" width="13" style="434" customWidth="1"/>
    <col min="3331" max="3331" width="12.42578125" style="434" customWidth="1"/>
    <col min="3332" max="3332" width="2.7109375" style="434" customWidth="1"/>
    <col min="3333" max="3333" width="12.7109375" style="434" customWidth="1"/>
    <col min="3334" max="3334" width="12.28515625" style="434" customWidth="1"/>
    <col min="3335" max="3335" width="2.7109375" style="434" customWidth="1"/>
    <col min="3336" max="3336" width="12.140625" style="434" customWidth="1"/>
    <col min="3337" max="3337" width="13.42578125" style="434" customWidth="1"/>
    <col min="3338" max="3338" width="2.7109375" style="434" customWidth="1"/>
    <col min="3339" max="3339" width="13.28515625" style="434" customWidth="1"/>
    <col min="3340" max="3340" width="11.28515625" style="434" customWidth="1"/>
    <col min="3341" max="3341" width="3.5703125" style="434" customWidth="1"/>
    <col min="3342" max="3584" width="11.42578125" style="434"/>
    <col min="3585" max="3585" width="42.7109375" style="434" customWidth="1"/>
    <col min="3586" max="3586" width="13" style="434" customWidth="1"/>
    <col min="3587" max="3587" width="12.42578125" style="434" customWidth="1"/>
    <col min="3588" max="3588" width="2.7109375" style="434" customWidth="1"/>
    <col min="3589" max="3589" width="12.7109375" style="434" customWidth="1"/>
    <col min="3590" max="3590" width="12.28515625" style="434" customWidth="1"/>
    <col min="3591" max="3591" width="2.7109375" style="434" customWidth="1"/>
    <col min="3592" max="3592" width="12.140625" style="434" customWidth="1"/>
    <col min="3593" max="3593" width="13.42578125" style="434" customWidth="1"/>
    <col min="3594" max="3594" width="2.7109375" style="434" customWidth="1"/>
    <col min="3595" max="3595" width="13.28515625" style="434" customWidth="1"/>
    <col min="3596" max="3596" width="11.28515625" style="434" customWidth="1"/>
    <col min="3597" max="3597" width="3.5703125" style="434" customWidth="1"/>
    <col min="3598" max="3840" width="11.42578125" style="434"/>
    <col min="3841" max="3841" width="42.7109375" style="434" customWidth="1"/>
    <col min="3842" max="3842" width="13" style="434" customWidth="1"/>
    <col min="3843" max="3843" width="12.42578125" style="434" customWidth="1"/>
    <col min="3844" max="3844" width="2.7109375" style="434" customWidth="1"/>
    <col min="3845" max="3845" width="12.7109375" style="434" customWidth="1"/>
    <col min="3846" max="3846" width="12.28515625" style="434" customWidth="1"/>
    <col min="3847" max="3847" width="2.7109375" style="434" customWidth="1"/>
    <col min="3848" max="3848" width="12.140625" style="434" customWidth="1"/>
    <col min="3849" max="3849" width="13.42578125" style="434" customWidth="1"/>
    <col min="3850" max="3850" width="2.7109375" style="434" customWidth="1"/>
    <col min="3851" max="3851" width="13.28515625" style="434" customWidth="1"/>
    <col min="3852" max="3852" width="11.28515625" style="434" customWidth="1"/>
    <col min="3853" max="3853" width="3.5703125" style="434" customWidth="1"/>
    <col min="3854" max="4096" width="11.42578125" style="434"/>
    <col min="4097" max="4097" width="42.7109375" style="434" customWidth="1"/>
    <col min="4098" max="4098" width="13" style="434" customWidth="1"/>
    <col min="4099" max="4099" width="12.42578125" style="434" customWidth="1"/>
    <col min="4100" max="4100" width="2.7109375" style="434" customWidth="1"/>
    <col min="4101" max="4101" width="12.7109375" style="434" customWidth="1"/>
    <col min="4102" max="4102" width="12.28515625" style="434" customWidth="1"/>
    <col min="4103" max="4103" width="2.7109375" style="434" customWidth="1"/>
    <col min="4104" max="4104" width="12.140625" style="434" customWidth="1"/>
    <col min="4105" max="4105" width="13.42578125" style="434" customWidth="1"/>
    <col min="4106" max="4106" width="2.7109375" style="434" customWidth="1"/>
    <col min="4107" max="4107" width="13.28515625" style="434" customWidth="1"/>
    <col min="4108" max="4108" width="11.28515625" style="434" customWidth="1"/>
    <col min="4109" max="4109" width="3.5703125" style="434" customWidth="1"/>
    <col min="4110" max="4352" width="11.42578125" style="434"/>
    <col min="4353" max="4353" width="42.7109375" style="434" customWidth="1"/>
    <col min="4354" max="4354" width="13" style="434" customWidth="1"/>
    <col min="4355" max="4355" width="12.42578125" style="434" customWidth="1"/>
    <col min="4356" max="4356" width="2.7109375" style="434" customWidth="1"/>
    <col min="4357" max="4357" width="12.7109375" style="434" customWidth="1"/>
    <col min="4358" max="4358" width="12.28515625" style="434" customWidth="1"/>
    <col min="4359" max="4359" width="2.7109375" style="434" customWidth="1"/>
    <col min="4360" max="4360" width="12.140625" style="434" customWidth="1"/>
    <col min="4361" max="4361" width="13.42578125" style="434" customWidth="1"/>
    <col min="4362" max="4362" width="2.7109375" style="434" customWidth="1"/>
    <col min="4363" max="4363" width="13.28515625" style="434" customWidth="1"/>
    <col min="4364" max="4364" width="11.28515625" style="434" customWidth="1"/>
    <col min="4365" max="4365" width="3.5703125" style="434" customWidth="1"/>
    <col min="4366" max="4608" width="11.42578125" style="434"/>
    <col min="4609" max="4609" width="42.7109375" style="434" customWidth="1"/>
    <col min="4610" max="4610" width="13" style="434" customWidth="1"/>
    <col min="4611" max="4611" width="12.42578125" style="434" customWidth="1"/>
    <col min="4612" max="4612" width="2.7109375" style="434" customWidth="1"/>
    <col min="4613" max="4613" width="12.7109375" style="434" customWidth="1"/>
    <col min="4614" max="4614" width="12.28515625" style="434" customWidth="1"/>
    <col min="4615" max="4615" width="2.7109375" style="434" customWidth="1"/>
    <col min="4616" max="4616" width="12.140625" style="434" customWidth="1"/>
    <col min="4617" max="4617" width="13.42578125" style="434" customWidth="1"/>
    <col min="4618" max="4618" width="2.7109375" style="434" customWidth="1"/>
    <col min="4619" max="4619" width="13.28515625" style="434" customWidth="1"/>
    <col min="4620" max="4620" width="11.28515625" style="434" customWidth="1"/>
    <col min="4621" max="4621" width="3.5703125" style="434" customWidth="1"/>
    <col min="4622" max="4864" width="11.42578125" style="434"/>
    <col min="4865" max="4865" width="42.7109375" style="434" customWidth="1"/>
    <col min="4866" max="4866" width="13" style="434" customWidth="1"/>
    <col min="4867" max="4867" width="12.42578125" style="434" customWidth="1"/>
    <col min="4868" max="4868" width="2.7109375" style="434" customWidth="1"/>
    <col min="4869" max="4869" width="12.7109375" style="434" customWidth="1"/>
    <col min="4870" max="4870" width="12.28515625" style="434" customWidth="1"/>
    <col min="4871" max="4871" width="2.7109375" style="434" customWidth="1"/>
    <col min="4872" max="4872" width="12.140625" style="434" customWidth="1"/>
    <col min="4873" max="4873" width="13.42578125" style="434" customWidth="1"/>
    <col min="4874" max="4874" width="2.7109375" style="434" customWidth="1"/>
    <col min="4875" max="4875" width="13.28515625" style="434" customWidth="1"/>
    <col min="4876" max="4876" width="11.28515625" style="434" customWidth="1"/>
    <col min="4877" max="4877" width="3.5703125" style="434" customWidth="1"/>
    <col min="4878" max="5120" width="11.42578125" style="434"/>
    <col min="5121" max="5121" width="42.7109375" style="434" customWidth="1"/>
    <col min="5122" max="5122" width="13" style="434" customWidth="1"/>
    <col min="5123" max="5123" width="12.42578125" style="434" customWidth="1"/>
    <col min="5124" max="5124" width="2.7109375" style="434" customWidth="1"/>
    <col min="5125" max="5125" width="12.7109375" style="434" customWidth="1"/>
    <col min="5126" max="5126" width="12.28515625" style="434" customWidth="1"/>
    <col min="5127" max="5127" width="2.7109375" style="434" customWidth="1"/>
    <col min="5128" max="5128" width="12.140625" style="434" customWidth="1"/>
    <col min="5129" max="5129" width="13.42578125" style="434" customWidth="1"/>
    <col min="5130" max="5130" width="2.7109375" style="434" customWidth="1"/>
    <col min="5131" max="5131" width="13.28515625" style="434" customWidth="1"/>
    <col min="5132" max="5132" width="11.28515625" style="434" customWidth="1"/>
    <col min="5133" max="5133" width="3.5703125" style="434" customWidth="1"/>
    <col min="5134" max="5376" width="11.42578125" style="434"/>
    <col min="5377" max="5377" width="42.7109375" style="434" customWidth="1"/>
    <col min="5378" max="5378" width="13" style="434" customWidth="1"/>
    <col min="5379" max="5379" width="12.42578125" style="434" customWidth="1"/>
    <col min="5380" max="5380" width="2.7109375" style="434" customWidth="1"/>
    <col min="5381" max="5381" width="12.7109375" style="434" customWidth="1"/>
    <col min="5382" max="5382" width="12.28515625" style="434" customWidth="1"/>
    <col min="5383" max="5383" width="2.7109375" style="434" customWidth="1"/>
    <col min="5384" max="5384" width="12.140625" style="434" customWidth="1"/>
    <col min="5385" max="5385" width="13.42578125" style="434" customWidth="1"/>
    <col min="5386" max="5386" width="2.7109375" style="434" customWidth="1"/>
    <col min="5387" max="5387" width="13.28515625" style="434" customWidth="1"/>
    <col min="5388" max="5388" width="11.28515625" style="434" customWidth="1"/>
    <col min="5389" max="5389" width="3.5703125" style="434" customWidth="1"/>
    <col min="5390" max="5632" width="11.42578125" style="434"/>
    <col min="5633" max="5633" width="42.7109375" style="434" customWidth="1"/>
    <col min="5634" max="5634" width="13" style="434" customWidth="1"/>
    <col min="5635" max="5635" width="12.42578125" style="434" customWidth="1"/>
    <col min="5636" max="5636" width="2.7109375" style="434" customWidth="1"/>
    <col min="5637" max="5637" width="12.7109375" style="434" customWidth="1"/>
    <col min="5638" max="5638" width="12.28515625" style="434" customWidth="1"/>
    <col min="5639" max="5639" width="2.7109375" style="434" customWidth="1"/>
    <col min="5640" max="5640" width="12.140625" style="434" customWidth="1"/>
    <col min="5641" max="5641" width="13.42578125" style="434" customWidth="1"/>
    <col min="5642" max="5642" width="2.7109375" style="434" customWidth="1"/>
    <col min="5643" max="5643" width="13.28515625" style="434" customWidth="1"/>
    <col min="5644" max="5644" width="11.28515625" style="434" customWidth="1"/>
    <col min="5645" max="5645" width="3.5703125" style="434" customWidth="1"/>
    <col min="5646" max="5888" width="11.42578125" style="434"/>
    <col min="5889" max="5889" width="42.7109375" style="434" customWidth="1"/>
    <col min="5890" max="5890" width="13" style="434" customWidth="1"/>
    <col min="5891" max="5891" width="12.42578125" style="434" customWidth="1"/>
    <col min="5892" max="5892" width="2.7109375" style="434" customWidth="1"/>
    <col min="5893" max="5893" width="12.7109375" style="434" customWidth="1"/>
    <col min="5894" max="5894" width="12.28515625" style="434" customWidth="1"/>
    <col min="5895" max="5895" width="2.7109375" style="434" customWidth="1"/>
    <col min="5896" max="5896" width="12.140625" style="434" customWidth="1"/>
    <col min="5897" max="5897" width="13.42578125" style="434" customWidth="1"/>
    <col min="5898" max="5898" width="2.7109375" style="434" customWidth="1"/>
    <col min="5899" max="5899" width="13.28515625" style="434" customWidth="1"/>
    <col min="5900" max="5900" width="11.28515625" style="434" customWidth="1"/>
    <col min="5901" max="5901" width="3.5703125" style="434" customWidth="1"/>
    <col min="5902" max="6144" width="11.42578125" style="434"/>
    <col min="6145" max="6145" width="42.7109375" style="434" customWidth="1"/>
    <col min="6146" max="6146" width="13" style="434" customWidth="1"/>
    <col min="6147" max="6147" width="12.42578125" style="434" customWidth="1"/>
    <col min="6148" max="6148" width="2.7109375" style="434" customWidth="1"/>
    <col min="6149" max="6149" width="12.7109375" style="434" customWidth="1"/>
    <col min="6150" max="6150" width="12.28515625" style="434" customWidth="1"/>
    <col min="6151" max="6151" width="2.7109375" style="434" customWidth="1"/>
    <col min="6152" max="6152" width="12.140625" style="434" customWidth="1"/>
    <col min="6153" max="6153" width="13.42578125" style="434" customWidth="1"/>
    <col min="6154" max="6154" width="2.7109375" style="434" customWidth="1"/>
    <col min="6155" max="6155" width="13.28515625" style="434" customWidth="1"/>
    <col min="6156" max="6156" width="11.28515625" style="434" customWidth="1"/>
    <col min="6157" max="6157" width="3.5703125" style="434" customWidth="1"/>
    <col min="6158" max="6400" width="11.42578125" style="434"/>
    <col min="6401" max="6401" width="42.7109375" style="434" customWidth="1"/>
    <col min="6402" max="6402" width="13" style="434" customWidth="1"/>
    <col min="6403" max="6403" width="12.42578125" style="434" customWidth="1"/>
    <col min="6404" max="6404" width="2.7109375" style="434" customWidth="1"/>
    <col min="6405" max="6405" width="12.7109375" style="434" customWidth="1"/>
    <col min="6406" max="6406" width="12.28515625" style="434" customWidth="1"/>
    <col min="6407" max="6407" width="2.7109375" style="434" customWidth="1"/>
    <col min="6408" max="6408" width="12.140625" style="434" customWidth="1"/>
    <col min="6409" max="6409" width="13.42578125" style="434" customWidth="1"/>
    <col min="6410" max="6410" width="2.7109375" style="434" customWidth="1"/>
    <col min="6411" max="6411" width="13.28515625" style="434" customWidth="1"/>
    <col min="6412" max="6412" width="11.28515625" style="434" customWidth="1"/>
    <col min="6413" max="6413" width="3.5703125" style="434" customWidth="1"/>
    <col min="6414" max="6656" width="11.42578125" style="434"/>
    <col min="6657" max="6657" width="42.7109375" style="434" customWidth="1"/>
    <col min="6658" max="6658" width="13" style="434" customWidth="1"/>
    <col min="6659" max="6659" width="12.42578125" style="434" customWidth="1"/>
    <col min="6660" max="6660" width="2.7109375" style="434" customWidth="1"/>
    <col min="6661" max="6661" width="12.7109375" style="434" customWidth="1"/>
    <col min="6662" max="6662" width="12.28515625" style="434" customWidth="1"/>
    <col min="6663" max="6663" width="2.7109375" style="434" customWidth="1"/>
    <col min="6664" max="6664" width="12.140625" style="434" customWidth="1"/>
    <col min="6665" max="6665" width="13.42578125" style="434" customWidth="1"/>
    <col min="6666" max="6666" width="2.7109375" style="434" customWidth="1"/>
    <col min="6667" max="6667" width="13.28515625" style="434" customWidth="1"/>
    <col min="6668" max="6668" width="11.28515625" style="434" customWidth="1"/>
    <col min="6669" max="6669" width="3.5703125" style="434" customWidth="1"/>
    <col min="6670" max="6912" width="11.42578125" style="434"/>
    <col min="6913" max="6913" width="42.7109375" style="434" customWidth="1"/>
    <col min="6914" max="6914" width="13" style="434" customWidth="1"/>
    <col min="6915" max="6915" width="12.42578125" style="434" customWidth="1"/>
    <col min="6916" max="6916" width="2.7109375" style="434" customWidth="1"/>
    <col min="6917" max="6917" width="12.7109375" style="434" customWidth="1"/>
    <col min="6918" max="6918" width="12.28515625" style="434" customWidth="1"/>
    <col min="6919" max="6919" width="2.7109375" style="434" customWidth="1"/>
    <col min="6920" max="6920" width="12.140625" style="434" customWidth="1"/>
    <col min="6921" max="6921" width="13.42578125" style="434" customWidth="1"/>
    <col min="6922" max="6922" width="2.7109375" style="434" customWidth="1"/>
    <col min="6923" max="6923" width="13.28515625" style="434" customWidth="1"/>
    <col min="6924" max="6924" width="11.28515625" style="434" customWidth="1"/>
    <col min="6925" max="6925" width="3.5703125" style="434" customWidth="1"/>
    <col min="6926" max="7168" width="11.42578125" style="434"/>
    <col min="7169" max="7169" width="42.7109375" style="434" customWidth="1"/>
    <col min="7170" max="7170" width="13" style="434" customWidth="1"/>
    <col min="7171" max="7171" width="12.42578125" style="434" customWidth="1"/>
    <col min="7172" max="7172" width="2.7109375" style="434" customWidth="1"/>
    <col min="7173" max="7173" width="12.7109375" style="434" customWidth="1"/>
    <col min="7174" max="7174" width="12.28515625" style="434" customWidth="1"/>
    <col min="7175" max="7175" width="2.7109375" style="434" customWidth="1"/>
    <col min="7176" max="7176" width="12.140625" style="434" customWidth="1"/>
    <col min="7177" max="7177" width="13.42578125" style="434" customWidth="1"/>
    <col min="7178" max="7178" width="2.7109375" style="434" customWidth="1"/>
    <col min="7179" max="7179" width="13.28515625" style="434" customWidth="1"/>
    <col min="7180" max="7180" width="11.28515625" style="434" customWidth="1"/>
    <col min="7181" max="7181" width="3.5703125" style="434" customWidth="1"/>
    <col min="7182" max="7424" width="11.42578125" style="434"/>
    <col min="7425" max="7425" width="42.7109375" style="434" customWidth="1"/>
    <col min="7426" max="7426" width="13" style="434" customWidth="1"/>
    <col min="7427" max="7427" width="12.42578125" style="434" customWidth="1"/>
    <col min="7428" max="7428" width="2.7109375" style="434" customWidth="1"/>
    <col min="7429" max="7429" width="12.7109375" style="434" customWidth="1"/>
    <col min="7430" max="7430" width="12.28515625" style="434" customWidth="1"/>
    <col min="7431" max="7431" width="2.7109375" style="434" customWidth="1"/>
    <col min="7432" max="7432" width="12.140625" style="434" customWidth="1"/>
    <col min="7433" max="7433" width="13.42578125" style="434" customWidth="1"/>
    <col min="7434" max="7434" width="2.7109375" style="434" customWidth="1"/>
    <col min="7435" max="7435" width="13.28515625" style="434" customWidth="1"/>
    <col min="7436" max="7436" width="11.28515625" style="434" customWidth="1"/>
    <col min="7437" max="7437" width="3.5703125" style="434" customWidth="1"/>
    <col min="7438" max="7680" width="11.42578125" style="434"/>
    <col min="7681" max="7681" width="42.7109375" style="434" customWidth="1"/>
    <col min="7682" max="7682" width="13" style="434" customWidth="1"/>
    <col min="7683" max="7683" width="12.42578125" style="434" customWidth="1"/>
    <col min="7684" max="7684" width="2.7109375" style="434" customWidth="1"/>
    <col min="7685" max="7685" width="12.7109375" style="434" customWidth="1"/>
    <col min="7686" max="7686" width="12.28515625" style="434" customWidth="1"/>
    <col min="7687" max="7687" width="2.7109375" style="434" customWidth="1"/>
    <col min="7688" max="7688" width="12.140625" style="434" customWidth="1"/>
    <col min="7689" max="7689" width="13.42578125" style="434" customWidth="1"/>
    <col min="7690" max="7690" width="2.7109375" style="434" customWidth="1"/>
    <col min="7691" max="7691" width="13.28515625" style="434" customWidth="1"/>
    <col min="7692" max="7692" width="11.28515625" style="434" customWidth="1"/>
    <col min="7693" max="7693" width="3.5703125" style="434" customWidth="1"/>
    <col min="7694" max="7936" width="11.42578125" style="434"/>
    <col min="7937" max="7937" width="42.7109375" style="434" customWidth="1"/>
    <col min="7938" max="7938" width="13" style="434" customWidth="1"/>
    <col min="7939" max="7939" width="12.42578125" style="434" customWidth="1"/>
    <col min="7940" max="7940" width="2.7109375" style="434" customWidth="1"/>
    <col min="7941" max="7941" width="12.7109375" style="434" customWidth="1"/>
    <col min="7942" max="7942" width="12.28515625" style="434" customWidth="1"/>
    <col min="7943" max="7943" width="2.7109375" style="434" customWidth="1"/>
    <col min="7944" max="7944" width="12.140625" style="434" customWidth="1"/>
    <col min="7945" max="7945" width="13.42578125" style="434" customWidth="1"/>
    <col min="7946" max="7946" width="2.7109375" style="434" customWidth="1"/>
    <col min="7947" max="7947" width="13.28515625" style="434" customWidth="1"/>
    <col min="7948" max="7948" width="11.28515625" style="434" customWidth="1"/>
    <col min="7949" max="7949" width="3.5703125" style="434" customWidth="1"/>
    <col min="7950" max="8192" width="11.42578125" style="434"/>
    <col min="8193" max="8193" width="42.7109375" style="434" customWidth="1"/>
    <col min="8194" max="8194" width="13" style="434" customWidth="1"/>
    <col min="8195" max="8195" width="12.42578125" style="434" customWidth="1"/>
    <col min="8196" max="8196" width="2.7109375" style="434" customWidth="1"/>
    <col min="8197" max="8197" width="12.7109375" style="434" customWidth="1"/>
    <col min="8198" max="8198" width="12.28515625" style="434" customWidth="1"/>
    <col min="8199" max="8199" width="2.7109375" style="434" customWidth="1"/>
    <col min="8200" max="8200" width="12.140625" style="434" customWidth="1"/>
    <col min="8201" max="8201" width="13.42578125" style="434" customWidth="1"/>
    <col min="8202" max="8202" width="2.7109375" style="434" customWidth="1"/>
    <col min="8203" max="8203" width="13.28515625" style="434" customWidth="1"/>
    <col min="8204" max="8204" width="11.28515625" style="434" customWidth="1"/>
    <col min="8205" max="8205" width="3.5703125" style="434" customWidth="1"/>
    <col min="8206" max="8448" width="11.42578125" style="434"/>
    <col min="8449" max="8449" width="42.7109375" style="434" customWidth="1"/>
    <col min="8450" max="8450" width="13" style="434" customWidth="1"/>
    <col min="8451" max="8451" width="12.42578125" style="434" customWidth="1"/>
    <col min="8452" max="8452" width="2.7109375" style="434" customWidth="1"/>
    <col min="8453" max="8453" width="12.7109375" style="434" customWidth="1"/>
    <col min="8454" max="8454" width="12.28515625" style="434" customWidth="1"/>
    <col min="8455" max="8455" width="2.7109375" style="434" customWidth="1"/>
    <col min="8456" max="8456" width="12.140625" style="434" customWidth="1"/>
    <col min="8457" max="8457" width="13.42578125" style="434" customWidth="1"/>
    <col min="8458" max="8458" width="2.7109375" style="434" customWidth="1"/>
    <col min="8459" max="8459" width="13.28515625" style="434" customWidth="1"/>
    <col min="8460" max="8460" width="11.28515625" style="434" customWidth="1"/>
    <col min="8461" max="8461" width="3.5703125" style="434" customWidth="1"/>
    <col min="8462" max="8704" width="11.42578125" style="434"/>
    <col min="8705" max="8705" width="42.7109375" style="434" customWidth="1"/>
    <col min="8706" max="8706" width="13" style="434" customWidth="1"/>
    <col min="8707" max="8707" width="12.42578125" style="434" customWidth="1"/>
    <col min="8708" max="8708" width="2.7109375" style="434" customWidth="1"/>
    <col min="8709" max="8709" width="12.7109375" style="434" customWidth="1"/>
    <col min="8710" max="8710" width="12.28515625" style="434" customWidth="1"/>
    <col min="8711" max="8711" width="2.7109375" style="434" customWidth="1"/>
    <col min="8712" max="8712" width="12.140625" style="434" customWidth="1"/>
    <col min="8713" max="8713" width="13.42578125" style="434" customWidth="1"/>
    <col min="8714" max="8714" width="2.7109375" style="434" customWidth="1"/>
    <col min="8715" max="8715" width="13.28515625" style="434" customWidth="1"/>
    <col min="8716" max="8716" width="11.28515625" style="434" customWidth="1"/>
    <col min="8717" max="8717" width="3.5703125" style="434" customWidth="1"/>
    <col min="8718" max="8960" width="11.42578125" style="434"/>
    <col min="8961" max="8961" width="42.7109375" style="434" customWidth="1"/>
    <col min="8962" max="8962" width="13" style="434" customWidth="1"/>
    <col min="8963" max="8963" width="12.42578125" style="434" customWidth="1"/>
    <col min="8964" max="8964" width="2.7109375" style="434" customWidth="1"/>
    <col min="8965" max="8965" width="12.7109375" style="434" customWidth="1"/>
    <col min="8966" max="8966" width="12.28515625" style="434" customWidth="1"/>
    <col min="8967" max="8967" width="2.7109375" style="434" customWidth="1"/>
    <col min="8968" max="8968" width="12.140625" style="434" customWidth="1"/>
    <col min="8969" max="8969" width="13.42578125" style="434" customWidth="1"/>
    <col min="8970" max="8970" width="2.7109375" style="434" customWidth="1"/>
    <col min="8971" max="8971" width="13.28515625" style="434" customWidth="1"/>
    <col min="8972" max="8972" width="11.28515625" style="434" customWidth="1"/>
    <col min="8973" max="8973" width="3.5703125" style="434" customWidth="1"/>
    <col min="8974" max="9216" width="11.42578125" style="434"/>
    <col min="9217" max="9217" width="42.7109375" style="434" customWidth="1"/>
    <col min="9218" max="9218" width="13" style="434" customWidth="1"/>
    <col min="9219" max="9219" width="12.42578125" style="434" customWidth="1"/>
    <col min="9220" max="9220" width="2.7109375" style="434" customWidth="1"/>
    <col min="9221" max="9221" width="12.7109375" style="434" customWidth="1"/>
    <col min="9222" max="9222" width="12.28515625" style="434" customWidth="1"/>
    <col min="9223" max="9223" width="2.7109375" style="434" customWidth="1"/>
    <col min="9224" max="9224" width="12.140625" style="434" customWidth="1"/>
    <col min="9225" max="9225" width="13.42578125" style="434" customWidth="1"/>
    <col min="9226" max="9226" width="2.7109375" style="434" customWidth="1"/>
    <col min="9227" max="9227" width="13.28515625" style="434" customWidth="1"/>
    <col min="9228" max="9228" width="11.28515625" style="434" customWidth="1"/>
    <col min="9229" max="9229" width="3.5703125" style="434" customWidth="1"/>
    <col min="9230" max="9472" width="11.42578125" style="434"/>
    <col min="9473" max="9473" width="42.7109375" style="434" customWidth="1"/>
    <col min="9474" max="9474" width="13" style="434" customWidth="1"/>
    <col min="9475" max="9475" width="12.42578125" style="434" customWidth="1"/>
    <col min="9476" max="9476" width="2.7109375" style="434" customWidth="1"/>
    <col min="9477" max="9477" width="12.7109375" style="434" customWidth="1"/>
    <col min="9478" max="9478" width="12.28515625" style="434" customWidth="1"/>
    <col min="9479" max="9479" width="2.7109375" style="434" customWidth="1"/>
    <col min="9480" max="9480" width="12.140625" style="434" customWidth="1"/>
    <col min="9481" max="9481" width="13.42578125" style="434" customWidth="1"/>
    <col min="9482" max="9482" width="2.7109375" style="434" customWidth="1"/>
    <col min="9483" max="9483" width="13.28515625" style="434" customWidth="1"/>
    <col min="9484" max="9484" width="11.28515625" style="434" customWidth="1"/>
    <col min="9485" max="9485" width="3.5703125" style="434" customWidth="1"/>
    <col min="9486" max="9728" width="11.42578125" style="434"/>
    <col min="9729" max="9729" width="42.7109375" style="434" customWidth="1"/>
    <col min="9730" max="9730" width="13" style="434" customWidth="1"/>
    <col min="9731" max="9731" width="12.42578125" style="434" customWidth="1"/>
    <col min="9732" max="9732" width="2.7109375" style="434" customWidth="1"/>
    <col min="9733" max="9733" width="12.7109375" style="434" customWidth="1"/>
    <col min="9734" max="9734" width="12.28515625" style="434" customWidth="1"/>
    <col min="9735" max="9735" width="2.7109375" style="434" customWidth="1"/>
    <col min="9736" max="9736" width="12.140625" style="434" customWidth="1"/>
    <col min="9737" max="9737" width="13.42578125" style="434" customWidth="1"/>
    <col min="9738" max="9738" width="2.7109375" style="434" customWidth="1"/>
    <col min="9739" max="9739" width="13.28515625" style="434" customWidth="1"/>
    <col min="9740" max="9740" width="11.28515625" style="434" customWidth="1"/>
    <col min="9741" max="9741" width="3.5703125" style="434" customWidth="1"/>
    <col min="9742" max="9984" width="11.42578125" style="434"/>
    <col min="9985" max="9985" width="42.7109375" style="434" customWidth="1"/>
    <col min="9986" max="9986" width="13" style="434" customWidth="1"/>
    <col min="9987" max="9987" width="12.42578125" style="434" customWidth="1"/>
    <col min="9988" max="9988" width="2.7109375" style="434" customWidth="1"/>
    <col min="9989" max="9989" width="12.7109375" style="434" customWidth="1"/>
    <col min="9990" max="9990" width="12.28515625" style="434" customWidth="1"/>
    <col min="9991" max="9991" width="2.7109375" style="434" customWidth="1"/>
    <col min="9992" max="9992" width="12.140625" style="434" customWidth="1"/>
    <col min="9993" max="9993" width="13.42578125" style="434" customWidth="1"/>
    <col min="9994" max="9994" width="2.7109375" style="434" customWidth="1"/>
    <col min="9995" max="9995" width="13.28515625" style="434" customWidth="1"/>
    <col min="9996" max="9996" width="11.28515625" style="434" customWidth="1"/>
    <col min="9997" max="9997" width="3.5703125" style="434" customWidth="1"/>
    <col min="9998" max="10240" width="11.42578125" style="434"/>
    <col min="10241" max="10241" width="42.7109375" style="434" customWidth="1"/>
    <col min="10242" max="10242" width="13" style="434" customWidth="1"/>
    <col min="10243" max="10243" width="12.42578125" style="434" customWidth="1"/>
    <col min="10244" max="10244" width="2.7109375" style="434" customWidth="1"/>
    <col min="10245" max="10245" width="12.7109375" style="434" customWidth="1"/>
    <col min="10246" max="10246" width="12.28515625" style="434" customWidth="1"/>
    <col min="10247" max="10247" width="2.7109375" style="434" customWidth="1"/>
    <col min="10248" max="10248" width="12.140625" style="434" customWidth="1"/>
    <col min="10249" max="10249" width="13.42578125" style="434" customWidth="1"/>
    <col min="10250" max="10250" width="2.7109375" style="434" customWidth="1"/>
    <col min="10251" max="10251" width="13.28515625" style="434" customWidth="1"/>
    <col min="10252" max="10252" width="11.28515625" style="434" customWidth="1"/>
    <col min="10253" max="10253" width="3.5703125" style="434" customWidth="1"/>
    <col min="10254" max="10496" width="11.42578125" style="434"/>
    <col min="10497" max="10497" width="42.7109375" style="434" customWidth="1"/>
    <col min="10498" max="10498" width="13" style="434" customWidth="1"/>
    <col min="10499" max="10499" width="12.42578125" style="434" customWidth="1"/>
    <col min="10500" max="10500" width="2.7109375" style="434" customWidth="1"/>
    <col min="10501" max="10501" width="12.7109375" style="434" customWidth="1"/>
    <col min="10502" max="10502" width="12.28515625" style="434" customWidth="1"/>
    <col min="10503" max="10503" width="2.7109375" style="434" customWidth="1"/>
    <col min="10504" max="10504" width="12.140625" style="434" customWidth="1"/>
    <col min="10505" max="10505" width="13.42578125" style="434" customWidth="1"/>
    <col min="10506" max="10506" width="2.7109375" style="434" customWidth="1"/>
    <col min="10507" max="10507" width="13.28515625" style="434" customWidth="1"/>
    <col min="10508" max="10508" width="11.28515625" style="434" customWidth="1"/>
    <col min="10509" max="10509" width="3.5703125" style="434" customWidth="1"/>
    <col min="10510" max="10752" width="11.42578125" style="434"/>
    <col min="10753" max="10753" width="42.7109375" style="434" customWidth="1"/>
    <col min="10754" max="10754" width="13" style="434" customWidth="1"/>
    <col min="10755" max="10755" width="12.42578125" style="434" customWidth="1"/>
    <col min="10756" max="10756" width="2.7109375" style="434" customWidth="1"/>
    <col min="10757" max="10757" width="12.7109375" style="434" customWidth="1"/>
    <col min="10758" max="10758" width="12.28515625" style="434" customWidth="1"/>
    <col min="10759" max="10759" width="2.7109375" style="434" customWidth="1"/>
    <col min="10760" max="10760" width="12.140625" style="434" customWidth="1"/>
    <col min="10761" max="10761" width="13.42578125" style="434" customWidth="1"/>
    <col min="10762" max="10762" width="2.7109375" style="434" customWidth="1"/>
    <col min="10763" max="10763" width="13.28515625" style="434" customWidth="1"/>
    <col min="10764" max="10764" width="11.28515625" style="434" customWidth="1"/>
    <col min="10765" max="10765" width="3.5703125" style="434" customWidth="1"/>
    <col min="10766" max="11008" width="11.42578125" style="434"/>
    <col min="11009" max="11009" width="42.7109375" style="434" customWidth="1"/>
    <col min="11010" max="11010" width="13" style="434" customWidth="1"/>
    <col min="11011" max="11011" width="12.42578125" style="434" customWidth="1"/>
    <col min="11012" max="11012" width="2.7109375" style="434" customWidth="1"/>
    <col min="11013" max="11013" width="12.7109375" style="434" customWidth="1"/>
    <col min="11014" max="11014" width="12.28515625" style="434" customWidth="1"/>
    <col min="11015" max="11015" width="2.7109375" style="434" customWidth="1"/>
    <col min="11016" max="11016" width="12.140625" style="434" customWidth="1"/>
    <col min="11017" max="11017" width="13.42578125" style="434" customWidth="1"/>
    <col min="11018" max="11018" width="2.7109375" style="434" customWidth="1"/>
    <col min="11019" max="11019" width="13.28515625" style="434" customWidth="1"/>
    <col min="11020" max="11020" width="11.28515625" style="434" customWidth="1"/>
    <col min="11021" max="11021" width="3.5703125" style="434" customWidth="1"/>
    <col min="11022" max="11264" width="11.42578125" style="434"/>
    <col min="11265" max="11265" width="42.7109375" style="434" customWidth="1"/>
    <col min="11266" max="11266" width="13" style="434" customWidth="1"/>
    <col min="11267" max="11267" width="12.42578125" style="434" customWidth="1"/>
    <col min="11268" max="11268" width="2.7109375" style="434" customWidth="1"/>
    <col min="11269" max="11269" width="12.7109375" style="434" customWidth="1"/>
    <col min="11270" max="11270" width="12.28515625" style="434" customWidth="1"/>
    <col min="11271" max="11271" width="2.7109375" style="434" customWidth="1"/>
    <col min="11272" max="11272" width="12.140625" style="434" customWidth="1"/>
    <col min="11273" max="11273" width="13.42578125" style="434" customWidth="1"/>
    <col min="11274" max="11274" width="2.7109375" style="434" customWidth="1"/>
    <col min="11275" max="11275" width="13.28515625" style="434" customWidth="1"/>
    <col min="11276" max="11276" width="11.28515625" style="434" customWidth="1"/>
    <col min="11277" max="11277" width="3.5703125" style="434" customWidth="1"/>
    <col min="11278" max="11520" width="11.42578125" style="434"/>
    <col min="11521" max="11521" width="42.7109375" style="434" customWidth="1"/>
    <col min="11522" max="11522" width="13" style="434" customWidth="1"/>
    <col min="11523" max="11523" width="12.42578125" style="434" customWidth="1"/>
    <col min="11524" max="11524" width="2.7109375" style="434" customWidth="1"/>
    <col min="11525" max="11525" width="12.7109375" style="434" customWidth="1"/>
    <col min="11526" max="11526" width="12.28515625" style="434" customWidth="1"/>
    <col min="11527" max="11527" width="2.7109375" style="434" customWidth="1"/>
    <col min="11528" max="11528" width="12.140625" style="434" customWidth="1"/>
    <col min="11529" max="11529" width="13.42578125" style="434" customWidth="1"/>
    <col min="11530" max="11530" width="2.7109375" style="434" customWidth="1"/>
    <col min="11531" max="11531" width="13.28515625" style="434" customWidth="1"/>
    <col min="11532" max="11532" width="11.28515625" style="434" customWidth="1"/>
    <col min="11533" max="11533" width="3.5703125" style="434" customWidth="1"/>
    <col min="11534" max="11776" width="11.42578125" style="434"/>
    <col min="11777" max="11777" width="42.7109375" style="434" customWidth="1"/>
    <col min="11778" max="11778" width="13" style="434" customWidth="1"/>
    <col min="11779" max="11779" width="12.42578125" style="434" customWidth="1"/>
    <col min="11780" max="11780" width="2.7109375" style="434" customWidth="1"/>
    <col min="11781" max="11781" width="12.7109375" style="434" customWidth="1"/>
    <col min="11782" max="11782" width="12.28515625" style="434" customWidth="1"/>
    <col min="11783" max="11783" width="2.7109375" style="434" customWidth="1"/>
    <col min="11784" max="11784" width="12.140625" style="434" customWidth="1"/>
    <col min="11785" max="11785" width="13.42578125" style="434" customWidth="1"/>
    <col min="11786" max="11786" width="2.7109375" style="434" customWidth="1"/>
    <col min="11787" max="11787" width="13.28515625" style="434" customWidth="1"/>
    <col min="11788" max="11788" width="11.28515625" style="434" customWidth="1"/>
    <col min="11789" max="11789" width="3.5703125" style="434" customWidth="1"/>
    <col min="11790" max="12032" width="11.42578125" style="434"/>
    <col min="12033" max="12033" width="42.7109375" style="434" customWidth="1"/>
    <col min="12034" max="12034" width="13" style="434" customWidth="1"/>
    <col min="12035" max="12035" width="12.42578125" style="434" customWidth="1"/>
    <col min="12036" max="12036" width="2.7109375" style="434" customWidth="1"/>
    <col min="12037" max="12037" width="12.7109375" style="434" customWidth="1"/>
    <col min="12038" max="12038" width="12.28515625" style="434" customWidth="1"/>
    <col min="12039" max="12039" width="2.7109375" style="434" customWidth="1"/>
    <col min="12040" max="12040" width="12.140625" style="434" customWidth="1"/>
    <col min="12041" max="12041" width="13.42578125" style="434" customWidth="1"/>
    <col min="12042" max="12042" width="2.7109375" style="434" customWidth="1"/>
    <col min="12043" max="12043" width="13.28515625" style="434" customWidth="1"/>
    <col min="12044" max="12044" width="11.28515625" style="434" customWidth="1"/>
    <col min="12045" max="12045" width="3.5703125" style="434" customWidth="1"/>
    <col min="12046" max="12288" width="11.42578125" style="434"/>
    <col min="12289" max="12289" width="42.7109375" style="434" customWidth="1"/>
    <col min="12290" max="12290" width="13" style="434" customWidth="1"/>
    <col min="12291" max="12291" width="12.42578125" style="434" customWidth="1"/>
    <col min="12292" max="12292" width="2.7109375" style="434" customWidth="1"/>
    <col min="12293" max="12293" width="12.7109375" style="434" customWidth="1"/>
    <col min="12294" max="12294" width="12.28515625" style="434" customWidth="1"/>
    <col min="12295" max="12295" width="2.7109375" style="434" customWidth="1"/>
    <col min="12296" max="12296" width="12.140625" style="434" customWidth="1"/>
    <col min="12297" max="12297" width="13.42578125" style="434" customWidth="1"/>
    <col min="12298" max="12298" width="2.7109375" style="434" customWidth="1"/>
    <col min="12299" max="12299" width="13.28515625" style="434" customWidth="1"/>
    <col min="12300" max="12300" width="11.28515625" style="434" customWidth="1"/>
    <col min="12301" max="12301" width="3.5703125" style="434" customWidth="1"/>
    <col min="12302" max="12544" width="11.42578125" style="434"/>
    <col min="12545" max="12545" width="42.7109375" style="434" customWidth="1"/>
    <col min="12546" max="12546" width="13" style="434" customWidth="1"/>
    <col min="12547" max="12547" width="12.42578125" style="434" customWidth="1"/>
    <col min="12548" max="12548" width="2.7109375" style="434" customWidth="1"/>
    <col min="12549" max="12549" width="12.7109375" style="434" customWidth="1"/>
    <col min="12550" max="12550" width="12.28515625" style="434" customWidth="1"/>
    <col min="12551" max="12551" width="2.7109375" style="434" customWidth="1"/>
    <col min="12552" max="12552" width="12.140625" style="434" customWidth="1"/>
    <col min="12553" max="12553" width="13.42578125" style="434" customWidth="1"/>
    <col min="12554" max="12554" width="2.7109375" style="434" customWidth="1"/>
    <col min="12555" max="12555" width="13.28515625" style="434" customWidth="1"/>
    <col min="12556" max="12556" width="11.28515625" style="434" customWidth="1"/>
    <col min="12557" max="12557" width="3.5703125" style="434" customWidth="1"/>
    <col min="12558" max="12800" width="11.42578125" style="434"/>
    <col min="12801" max="12801" width="42.7109375" style="434" customWidth="1"/>
    <col min="12802" max="12802" width="13" style="434" customWidth="1"/>
    <col min="12803" max="12803" width="12.42578125" style="434" customWidth="1"/>
    <col min="12804" max="12804" width="2.7109375" style="434" customWidth="1"/>
    <col min="12805" max="12805" width="12.7109375" style="434" customWidth="1"/>
    <col min="12806" max="12806" width="12.28515625" style="434" customWidth="1"/>
    <col min="12807" max="12807" width="2.7109375" style="434" customWidth="1"/>
    <col min="12808" max="12808" width="12.140625" style="434" customWidth="1"/>
    <col min="12809" max="12809" width="13.42578125" style="434" customWidth="1"/>
    <col min="12810" max="12810" width="2.7109375" style="434" customWidth="1"/>
    <col min="12811" max="12811" width="13.28515625" style="434" customWidth="1"/>
    <col min="12812" max="12812" width="11.28515625" style="434" customWidth="1"/>
    <col min="12813" max="12813" width="3.5703125" style="434" customWidth="1"/>
    <col min="12814" max="13056" width="11.42578125" style="434"/>
    <col min="13057" max="13057" width="42.7109375" style="434" customWidth="1"/>
    <col min="13058" max="13058" width="13" style="434" customWidth="1"/>
    <col min="13059" max="13059" width="12.42578125" style="434" customWidth="1"/>
    <col min="13060" max="13060" width="2.7109375" style="434" customWidth="1"/>
    <col min="13061" max="13061" width="12.7109375" style="434" customWidth="1"/>
    <col min="13062" max="13062" width="12.28515625" style="434" customWidth="1"/>
    <col min="13063" max="13063" width="2.7109375" style="434" customWidth="1"/>
    <col min="13064" max="13064" width="12.140625" style="434" customWidth="1"/>
    <col min="13065" max="13065" width="13.42578125" style="434" customWidth="1"/>
    <col min="13066" max="13066" width="2.7109375" style="434" customWidth="1"/>
    <col min="13067" max="13067" width="13.28515625" style="434" customWidth="1"/>
    <col min="13068" max="13068" width="11.28515625" style="434" customWidth="1"/>
    <col min="13069" max="13069" width="3.5703125" style="434" customWidth="1"/>
    <col min="13070" max="13312" width="11.42578125" style="434"/>
    <col min="13313" max="13313" width="42.7109375" style="434" customWidth="1"/>
    <col min="13314" max="13314" width="13" style="434" customWidth="1"/>
    <col min="13315" max="13315" width="12.42578125" style="434" customWidth="1"/>
    <col min="13316" max="13316" width="2.7109375" style="434" customWidth="1"/>
    <col min="13317" max="13317" width="12.7109375" style="434" customWidth="1"/>
    <col min="13318" max="13318" width="12.28515625" style="434" customWidth="1"/>
    <col min="13319" max="13319" width="2.7109375" style="434" customWidth="1"/>
    <col min="13320" max="13320" width="12.140625" style="434" customWidth="1"/>
    <col min="13321" max="13321" width="13.42578125" style="434" customWidth="1"/>
    <col min="13322" max="13322" width="2.7109375" style="434" customWidth="1"/>
    <col min="13323" max="13323" width="13.28515625" style="434" customWidth="1"/>
    <col min="13324" max="13324" width="11.28515625" style="434" customWidth="1"/>
    <col min="13325" max="13325" width="3.5703125" style="434" customWidth="1"/>
    <col min="13326" max="13568" width="11.42578125" style="434"/>
    <col min="13569" max="13569" width="42.7109375" style="434" customWidth="1"/>
    <col min="13570" max="13570" width="13" style="434" customWidth="1"/>
    <col min="13571" max="13571" width="12.42578125" style="434" customWidth="1"/>
    <col min="13572" max="13572" width="2.7109375" style="434" customWidth="1"/>
    <col min="13573" max="13573" width="12.7109375" style="434" customWidth="1"/>
    <col min="13574" max="13574" width="12.28515625" style="434" customWidth="1"/>
    <col min="13575" max="13575" width="2.7109375" style="434" customWidth="1"/>
    <col min="13576" max="13576" width="12.140625" style="434" customWidth="1"/>
    <col min="13577" max="13577" width="13.42578125" style="434" customWidth="1"/>
    <col min="13578" max="13578" width="2.7109375" style="434" customWidth="1"/>
    <col min="13579" max="13579" width="13.28515625" style="434" customWidth="1"/>
    <col min="13580" max="13580" width="11.28515625" style="434" customWidth="1"/>
    <col min="13581" max="13581" width="3.5703125" style="434" customWidth="1"/>
    <col min="13582" max="13824" width="11.42578125" style="434"/>
    <col min="13825" max="13825" width="42.7109375" style="434" customWidth="1"/>
    <col min="13826" max="13826" width="13" style="434" customWidth="1"/>
    <col min="13827" max="13827" width="12.42578125" style="434" customWidth="1"/>
    <col min="13828" max="13828" width="2.7109375" style="434" customWidth="1"/>
    <col min="13829" max="13829" width="12.7109375" style="434" customWidth="1"/>
    <col min="13830" max="13830" width="12.28515625" style="434" customWidth="1"/>
    <col min="13831" max="13831" width="2.7109375" style="434" customWidth="1"/>
    <col min="13832" max="13832" width="12.140625" style="434" customWidth="1"/>
    <col min="13833" max="13833" width="13.42578125" style="434" customWidth="1"/>
    <col min="13834" max="13834" width="2.7109375" style="434" customWidth="1"/>
    <col min="13835" max="13835" width="13.28515625" style="434" customWidth="1"/>
    <col min="13836" max="13836" width="11.28515625" style="434" customWidth="1"/>
    <col min="13837" max="13837" width="3.5703125" style="434" customWidth="1"/>
    <col min="13838" max="14080" width="11.42578125" style="434"/>
    <col min="14081" max="14081" width="42.7109375" style="434" customWidth="1"/>
    <col min="14082" max="14082" width="13" style="434" customWidth="1"/>
    <col min="14083" max="14083" width="12.42578125" style="434" customWidth="1"/>
    <col min="14084" max="14084" width="2.7109375" style="434" customWidth="1"/>
    <col min="14085" max="14085" width="12.7109375" style="434" customWidth="1"/>
    <col min="14086" max="14086" width="12.28515625" style="434" customWidth="1"/>
    <col min="14087" max="14087" width="2.7109375" style="434" customWidth="1"/>
    <col min="14088" max="14088" width="12.140625" style="434" customWidth="1"/>
    <col min="14089" max="14089" width="13.42578125" style="434" customWidth="1"/>
    <col min="14090" max="14090" width="2.7109375" style="434" customWidth="1"/>
    <col min="14091" max="14091" width="13.28515625" style="434" customWidth="1"/>
    <col min="14092" max="14092" width="11.28515625" style="434" customWidth="1"/>
    <col min="14093" max="14093" width="3.5703125" style="434" customWidth="1"/>
    <col min="14094" max="14336" width="11.42578125" style="434"/>
    <col min="14337" max="14337" width="42.7109375" style="434" customWidth="1"/>
    <col min="14338" max="14338" width="13" style="434" customWidth="1"/>
    <col min="14339" max="14339" width="12.42578125" style="434" customWidth="1"/>
    <col min="14340" max="14340" width="2.7109375" style="434" customWidth="1"/>
    <col min="14341" max="14341" width="12.7109375" style="434" customWidth="1"/>
    <col min="14342" max="14342" width="12.28515625" style="434" customWidth="1"/>
    <col min="14343" max="14343" width="2.7109375" style="434" customWidth="1"/>
    <col min="14344" max="14344" width="12.140625" style="434" customWidth="1"/>
    <col min="14345" max="14345" width="13.42578125" style="434" customWidth="1"/>
    <col min="14346" max="14346" width="2.7109375" style="434" customWidth="1"/>
    <col min="14347" max="14347" width="13.28515625" style="434" customWidth="1"/>
    <col min="14348" max="14348" width="11.28515625" style="434" customWidth="1"/>
    <col min="14349" max="14349" width="3.5703125" style="434" customWidth="1"/>
    <col min="14350" max="14592" width="11.42578125" style="434"/>
    <col min="14593" max="14593" width="42.7109375" style="434" customWidth="1"/>
    <col min="14594" max="14594" width="13" style="434" customWidth="1"/>
    <col min="14595" max="14595" width="12.42578125" style="434" customWidth="1"/>
    <col min="14596" max="14596" width="2.7109375" style="434" customWidth="1"/>
    <col min="14597" max="14597" width="12.7109375" style="434" customWidth="1"/>
    <col min="14598" max="14598" width="12.28515625" style="434" customWidth="1"/>
    <col min="14599" max="14599" width="2.7109375" style="434" customWidth="1"/>
    <col min="14600" max="14600" width="12.140625" style="434" customWidth="1"/>
    <col min="14601" max="14601" width="13.42578125" style="434" customWidth="1"/>
    <col min="14602" max="14602" width="2.7109375" style="434" customWidth="1"/>
    <col min="14603" max="14603" width="13.28515625" style="434" customWidth="1"/>
    <col min="14604" max="14604" width="11.28515625" style="434" customWidth="1"/>
    <col min="14605" max="14605" width="3.5703125" style="434" customWidth="1"/>
    <col min="14606" max="14848" width="11.42578125" style="434"/>
    <col min="14849" max="14849" width="42.7109375" style="434" customWidth="1"/>
    <col min="14850" max="14850" width="13" style="434" customWidth="1"/>
    <col min="14851" max="14851" width="12.42578125" style="434" customWidth="1"/>
    <col min="14852" max="14852" width="2.7109375" style="434" customWidth="1"/>
    <col min="14853" max="14853" width="12.7109375" style="434" customWidth="1"/>
    <col min="14854" max="14854" width="12.28515625" style="434" customWidth="1"/>
    <col min="14855" max="14855" width="2.7109375" style="434" customWidth="1"/>
    <col min="14856" max="14856" width="12.140625" style="434" customWidth="1"/>
    <col min="14857" max="14857" width="13.42578125" style="434" customWidth="1"/>
    <col min="14858" max="14858" width="2.7109375" style="434" customWidth="1"/>
    <col min="14859" max="14859" width="13.28515625" style="434" customWidth="1"/>
    <col min="14860" max="14860" width="11.28515625" style="434" customWidth="1"/>
    <col min="14861" max="14861" width="3.5703125" style="434" customWidth="1"/>
    <col min="14862" max="15104" width="11.42578125" style="434"/>
    <col min="15105" max="15105" width="42.7109375" style="434" customWidth="1"/>
    <col min="15106" max="15106" width="13" style="434" customWidth="1"/>
    <col min="15107" max="15107" width="12.42578125" style="434" customWidth="1"/>
    <col min="15108" max="15108" width="2.7109375" style="434" customWidth="1"/>
    <col min="15109" max="15109" width="12.7109375" style="434" customWidth="1"/>
    <col min="15110" max="15110" width="12.28515625" style="434" customWidth="1"/>
    <col min="15111" max="15111" width="2.7109375" style="434" customWidth="1"/>
    <col min="15112" max="15112" width="12.140625" style="434" customWidth="1"/>
    <col min="15113" max="15113" width="13.42578125" style="434" customWidth="1"/>
    <col min="15114" max="15114" width="2.7109375" style="434" customWidth="1"/>
    <col min="15115" max="15115" width="13.28515625" style="434" customWidth="1"/>
    <col min="15116" max="15116" width="11.28515625" style="434" customWidth="1"/>
    <col min="15117" max="15117" width="3.5703125" style="434" customWidth="1"/>
    <col min="15118" max="15360" width="11.42578125" style="434"/>
    <col min="15361" max="15361" width="42.7109375" style="434" customWidth="1"/>
    <col min="15362" max="15362" width="13" style="434" customWidth="1"/>
    <col min="15363" max="15363" width="12.42578125" style="434" customWidth="1"/>
    <col min="15364" max="15364" width="2.7109375" style="434" customWidth="1"/>
    <col min="15365" max="15365" width="12.7109375" style="434" customWidth="1"/>
    <col min="15366" max="15366" width="12.28515625" style="434" customWidth="1"/>
    <col min="15367" max="15367" width="2.7109375" style="434" customWidth="1"/>
    <col min="15368" max="15368" width="12.140625" style="434" customWidth="1"/>
    <col min="15369" max="15369" width="13.42578125" style="434" customWidth="1"/>
    <col min="15370" max="15370" width="2.7109375" style="434" customWidth="1"/>
    <col min="15371" max="15371" width="13.28515625" style="434" customWidth="1"/>
    <col min="15372" max="15372" width="11.28515625" style="434" customWidth="1"/>
    <col min="15373" max="15373" width="3.5703125" style="434" customWidth="1"/>
    <col min="15374" max="15616" width="11.42578125" style="434"/>
    <col min="15617" max="15617" width="42.7109375" style="434" customWidth="1"/>
    <col min="15618" max="15618" width="13" style="434" customWidth="1"/>
    <col min="15619" max="15619" width="12.42578125" style="434" customWidth="1"/>
    <col min="15620" max="15620" width="2.7109375" style="434" customWidth="1"/>
    <col min="15621" max="15621" width="12.7109375" style="434" customWidth="1"/>
    <col min="15622" max="15622" width="12.28515625" style="434" customWidth="1"/>
    <col min="15623" max="15623" width="2.7109375" style="434" customWidth="1"/>
    <col min="15624" max="15624" width="12.140625" style="434" customWidth="1"/>
    <col min="15625" max="15625" width="13.42578125" style="434" customWidth="1"/>
    <col min="15626" max="15626" width="2.7109375" style="434" customWidth="1"/>
    <col min="15627" max="15627" width="13.28515625" style="434" customWidth="1"/>
    <col min="15628" max="15628" width="11.28515625" style="434" customWidth="1"/>
    <col min="15629" max="15629" width="3.5703125" style="434" customWidth="1"/>
    <col min="15630" max="15872" width="11.42578125" style="434"/>
    <col min="15873" max="15873" width="42.7109375" style="434" customWidth="1"/>
    <col min="15874" max="15874" width="13" style="434" customWidth="1"/>
    <col min="15875" max="15875" width="12.42578125" style="434" customWidth="1"/>
    <col min="15876" max="15876" width="2.7109375" style="434" customWidth="1"/>
    <col min="15877" max="15877" width="12.7109375" style="434" customWidth="1"/>
    <col min="15878" max="15878" width="12.28515625" style="434" customWidth="1"/>
    <col min="15879" max="15879" width="2.7109375" style="434" customWidth="1"/>
    <col min="15880" max="15880" width="12.140625" style="434" customWidth="1"/>
    <col min="15881" max="15881" width="13.42578125" style="434" customWidth="1"/>
    <col min="15882" max="15882" width="2.7109375" style="434" customWidth="1"/>
    <col min="15883" max="15883" width="13.28515625" style="434" customWidth="1"/>
    <col min="15884" max="15884" width="11.28515625" style="434" customWidth="1"/>
    <col min="15885" max="15885" width="3.5703125" style="434" customWidth="1"/>
    <col min="15886" max="16128" width="11.42578125" style="434"/>
    <col min="16129" max="16129" width="42.7109375" style="434" customWidth="1"/>
    <col min="16130" max="16130" width="13" style="434" customWidth="1"/>
    <col min="16131" max="16131" width="12.42578125" style="434" customWidth="1"/>
    <col min="16132" max="16132" width="2.7109375" style="434" customWidth="1"/>
    <col min="16133" max="16133" width="12.7109375" style="434" customWidth="1"/>
    <col min="16134" max="16134" width="12.28515625" style="434" customWidth="1"/>
    <col min="16135" max="16135" width="2.7109375" style="434" customWidth="1"/>
    <col min="16136" max="16136" width="12.140625" style="434" customWidth="1"/>
    <col min="16137" max="16137" width="13.42578125" style="434" customWidth="1"/>
    <col min="16138" max="16138" width="2.7109375" style="434" customWidth="1"/>
    <col min="16139" max="16139" width="13.28515625" style="434" customWidth="1"/>
    <col min="16140" max="16140" width="11.28515625" style="434" customWidth="1"/>
    <col min="16141" max="16141" width="3.5703125" style="434" customWidth="1"/>
    <col min="16142" max="16384" width="11.42578125" style="434"/>
  </cols>
  <sheetData>
    <row r="1" spans="1:13" ht="13.15" customHeight="1">
      <c r="A1" s="4" t="s">
        <v>755</v>
      </c>
      <c r="E1" s="822"/>
      <c r="G1" s="822"/>
      <c r="H1" s="822"/>
      <c r="J1" s="822"/>
      <c r="K1" s="822"/>
    </row>
    <row r="2" spans="1:13" ht="13.15" customHeight="1">
      <c r="A2" s="4" t="s">
        <v>756</v>
      </c>
      <c r="E2" s="822"/>
      <c r="G2" s="822"/>
      <c r="H2" s="822"/>
      <c r="J2" s="822"/>
      <c r="K2" s="822"/>
    </row>
    <row r="3" spans="1:13" ht="8.25" customHeight="1"/>
    <row r="4" spans="1:13" ht="13.15" customHeight="1">
      <c r="A4" s="4" t="s">
        <v>2119</v>
      </c>
    </row>
    <row r="5" spans="1:13" ht="10.5" customHeight="1" thickBot="1">
      <c r="L5" s="823"/>
      <c r="M5" s="482"/>
    </row>
    <row r="6" spans="1:13" ht="11.25" customHeight="1">
      <c r="A6" s="824"/>
      <c r="B6" s="824"/>
      <c r="C6" s="824"/>
      <c r="D6" s="824"/>
      <c r="E6" s="825"/>
      <c r="F6" s="826"/>
      <c r="G6" s="825"/>
      <c r="H6" s="825"/>
      <c r="I6" s="826"/>
      <c r="J6" s="825"/>
      <c r="K6" s="825"/>
      <c r="L6" s="826"/>
      <c r="M6" s="825"/>
    </row>
    <row r="7" spans="1:13" ht="12" customHeight="1">
      <c r="A7" s="827" t="s">
        <v>4</v>
      </c>
      <c r="B7" s="1281" t="s">
        <v>5</v>
      </c>
      <c r="C7" s="1281"/>
      <c r="D7" s="827"/>
      <c r="E7" s="1282" t="s">
        <v>757</v>
      </c>
      <c r="F7" s="1282"/>
      <c r="G7" s="828"/>
      <c r="H7" s="1282" t="s">
        <v>758</v>
      </c>
      <c r="I7" s="1282"/>
      <c r="J7" s="828"/>
      <c r="K7" s="1283" t="s">
        <v>759</v>
      </c>
      <c r="L7" s="1284"/>
    </row>
    <row r="8" spans="1:13" ht="15" customHeight="1">
      <c r="A8" s="828" t="s">
        <v>760</v>
      </c>
      <c r="B8" s="773" t="s">
        <v>9</v>
      </c>
      <c r="C8" s="773" t="s">
        <v>10</v>
      </c>
      <c r="D8" s="773"/>
      <c r="E8" s="773" t="s">
        <v>9</v>
      </c>
      <c r="F8" s="829" t="s">
        <v>10</v>
      </c>
      <c r="G8" s="773"/>
      <c r="H8" s="773" t="s">
        <v>9</v>
      </c>
      <c r="I8" s="829" t="s">
        <v>10</v>
      </c>
      <c r="J8" s="773"/>
      <c r="K8" s="773" t="s">
        <v>9</v>
      </c>
      <c r="L8" s="829" t="s">
        <v>10</v>
      </c>
    </row>
    <row r="9" spans="1:13" ht="9.75" customHeight="1" thickBot="1">
      <c r="A9" s="830"/>
      <c r="B9" s="830"/>
      <c r="C9" s="830"/>
      <c r="D9" s="830"/>
      <c r="E9" s="831"/>
      <c r="F9" s="832"/>
      <c r="G9" s="831"/>
      <c r="H9" s="831"/>
      <c r="I9" s="832"/>
      <c r="J9" s="831"/>
      <c r="K9" s="831"/>
    </row>
    <row r="10" spans="1:13" ht="9.75" customHeight="1">
      <c r="E10" s="541"/>
      <c r="G10" s="541"/>
      <c r="H10" s="541"/>
      <c r="J10" s="541"/>
      <c r="K10" s="541"/>
      <c r="L10" s="826"/>
      <c r="M10" s="825"/>
    </row>
    <row r="11" spans="1:13" ht="12.95" customHeight="1">
      <c r="A11" s="9" t="s">
        <v>325</v>
      </c>
      <c r="B11" s="428">
        <f>IF($A11&lt;&gt;"",B13+B96,"")</f>
        <v>340</v>
      </c>
      <c r="C11" s="483">
        <f>SUM(C13+C96)</f>
        <v>100</v>
      </c>
      <c r="D11" s="9"/>
      <c r="E11" s="541">
        <f>SUM(E13+E96)</f>
        <v>16</v>
      </c>
      <c r="F11" s="823">
        <f>IF($A11&lt;&gt;"",E11/$B11*100,"")</f>
        <v>4.7058823529411766</v>
      </c>
      <c r="G11" s="541"/>
      <c r="H11" s="541">
        <f>SUM(H13+H96)</f>
        <v>178</v>
      </c>
      <c r="I11" s="823">
        <f t="shared" ref="I11:I74" si="0">IF($A11&lt;&gt;"",H11/$B11*100,"")</f>
        <v>52.352941176470594</v>
      </c>
      <c r="J11" s="541"/>
      <c r="K11" s="541">
        <f>SUM(K13+K96)</f>
        <v>146</v>
      </c>
      <c r="L11" s="823">
        <f t="shared" ref="L11:L74" si="1">IF($A11&lt;&gt;"",K11/$B11*100,"")</f>
        <v>42.941176470588232</v>
      </c>
    </row>
    <row r="12" spans="1:13" ht="7.5" customHeight="1">
      <c r="B12" s="428" t="str">
        <f>IF($A12&lt;&gt;"",E12+H12+K12,"")</f>
        <v/>
      </c>
      <c r="C12" s="483" t="str">
        <f>IF(A12&lt;&gt;0,B12/$B$11*100,"")</f>
        <v/>
      </c>
      <c r="E12" s="541"/>
      <c r="F12" s="823" t="str">
        <f t="shared" ref="F12:F75" si="2">IF($A12&lt;&gt;"",E12/$B12*100,"")</f>
        <v/>
      </c>
      <c r="G12" s="541"/>
      <c r="H12" s="541"/>
      <c r="I12" s="823" t="str">
        <f t="shared" si="0"/>
        <v/>
      </c>
      <c r="J12" s="541"/>
      <c r="K12" s="541"/>
      <c r="L12" s="823" t="str">
        <f t="shared" si="1"/>
        <v/>
      </c>
    </row>
    <row r="13" spans="1:13" ht="12.95" customHeight="1">
      <c r="A13" s="9" t="s">
        <v>761</v>
      </c>
      <c r="B13" s="428">
        <f t="shared" ref="B13:B76" si="3">IF($A13&lt;&gt;"",E13+H13+K13,"")</f>
        <v>207</v>
      </c>
      <c r="C13" s="483">
        <f>IF($A13&lt;&gt;0,B13/$B$11*100,"")</f>
        <v>60.882352941176464</v>
      </c>
      <c r="D13" s="9"/>
      <c r="E13" s="541">
        <f>SUM(E15+E26+E34+E60+E72+E79+E93+E94)</f>
        <v>10</v>
      </c>
      <c r="F13" s="823">
        <f t="shared" si="2"/>
        <v>4.8309178743961354</v>
      </c>
      <c r="G13" s="541"/>
      <c r="H13" s="541">
        <f>SUM(H15+H26+H34+H60+H72+H79+H93+H94)</f>
        <v>98</v>
      </c>
      <c r="I13" s="823">
        <f t="shared" si="0"/>
        <v>47.342995169082123</v>
      </c>
      <c r="J13" s="541"/>
      <c r="K13" s="541">
        <f>SUM(K15+K26+K34+K60+K72+K79+K93+K94)</f>
        <v>99</v>
      </c>
      <c r="L13" s="823">
        <f t="shared" si="1"/>
        <v>47.826086956521742</v>
      </c>
    </row>
    <row r="14" spans="1:13" ht="8.25" customHeight="1">
      <c r="B14" s="428" t="str">
        <f t="shared" si="3"/>
        <v/>
      </c>
      <c r="C14" s="483" t="str">
        <f t="shared" ref="C14:C77" si="4">IF($A14&lt;&gt;0,B14/$B$11*100,"")</f>
        <v/>
      </c>
      <c r="E14" s="541"/>
      <c r="F14" s="823" t="str">
        <f t="shared" si="2"/>
        <v/>
      </c>
      <c r="G14" s="541"/>
      <c r="H14" s="541"/>
      <c r="I14" s="823" t="str">
        <f t="shared" si="0"/>
        <v/>
      </c>
      <c r="J14" s="541"/>
      <c r="K14" s="541"/>
      <c r="L14" s="823" t="str">
        <f t="shared" si="1"/>
        <v/>
      </c>
    </row>
    <row r="15" spans="1:13" ht="12.95" customHeight="1">
      <c r="A15" s="9" t="s">
        <v>327</v>
      </c>
      <c r="B15" s="428">
        <f t="shared" si="3"/>
        <v>43</v>
      </c>
      <c r="C15" s="483">
        <f t="shared" si="4"/>
        <v>12.647058823529411</v>
      </c>
      <c r="D15" s="9"/>
      <c r="E15" s="541">
        <f>SUM(E16+E21)</f>
        <v>0</v>
      </c>
      <c r="F15" s="823">
        <f t="shared" si="2"/>
        <v>0</v>
      </c>
      <c r="G15" s="541"/>
      <c r="H15" s="541">
        <f>SUM(H16+H21)</f>
        <v>22</v>
      </c>
      <c r="I15" s="823">
        <f t="shared" si="0"/>
        <v>51.162790697674424</v>
      </c>
      <c r="J15" s="541"/>
      <c r="K15" s="541">
        <f>SUM(K16+K21)</f>
        <v>21</v>
      </c>
      <c r="L15" s="823">
        <f t="shared" si="1"/>
        <v>48.837209302325576</v>
      </c>
    </row>
    <row r="16" spans="1:13" ht="12.95" customHeight="1">
      <c r="A16" s="4" t="s">
        <v>20</v>
      </c>
      <c r="B16" s="428">
        <f t="shared" si="3"/>
        <v>33</v>
      </c>
      <c r="C16" s="483">
        <f t="shared" si="4"/>
        <v>9.7058823529411775</v>
      </c>
      <c r="E16" s="541">
        <f>SUM(E17:E19)</f>
        <v>0</v>
      </c>
      <c r="F16" s="823">
        <f t="shared" si="2"/>
        <v>0</v>
      </c>
      <c r="G16" s="541"/>
      <c r="H16" s="541">
        <f>SUM(H17:H19)</f>
        <v>16</v>
      </c>
      <c r="I16" s="823">
        <f t="shared" si="0"/>
        <v>48.484848484848484</v>
      </c>
      <c r="J16" s="541"/>
      <c r="K16" s="541">
        <f>SUM(K17:K19)</f>
        <v>17</v>
      </c>
      <c r="L16" s="823">
        <f t="shared" si="1"/>
        <v>51.515151515151516</v>
      </c>
    </row>
    <row r="17" spans="1:12" ht="12.95" customHeight="1">
      <c r="A17" s="4" t="s">
        <v>21</v>
      </c>
      <c r="B17" s="428">
        <f>IF($A17&lt;&gt;"",E17+H17+K17,"")</f>
        <v>2</v>
      </c>
      <c r="C17" s="483">
        <f t="shared" si="4"/>
        <v>0.58823529411764708</v>
      </c>
      <c r="E17" s="833"/>
      <c r="F17" s="823">
        <f t="shared" si="2"/>
        <v>0</v>
      </c>
      <c r="G17" s="833"/>
      <c r="H17" s="833">
        <v>1</v>
      </c>
      <c r="I17" s="823">
        <f t="shared" si="0"/>
        <v>50</v>
      </c>
      <c r="J17" s="833"/>
      <c r="K17" s="833">
        <v>1</v>
      </c>
      <c r="L17" s="823">
        <f t="shared" si="1"/>
        <v>50</v>
      </c>
    </row>
    <row r="18" spans="1:12" ht="12.95" customHeight="1">
      <c r="A18" s="4" t="s">
        <v>22</v>
      </c>
      <c r="B18" s="428">
        <f t="shared" si="3"/>
        <v>15</v>
      </c>
      <c r="C18" s="483">
        <f t="shared" si="4"/>
        <v>4.4117647058823533</v>
      </c>
      <c r="E18" s="833"/>
      <c r="F18" s="823">
        <f t="shared" si="2"/>
        <v>0</v>
      </c>
      <c r="G18" s="833"/>
      <c r="H18" s="833">
        <v>7</v>
      </c>
      <c r="I18" s="823">
        <f t="shared" si="0"/>
        <v>46.666666666666664</v>
      </c>
      <c r="J18" s="833"/>
      <c r="K18" s="833">
        <v>8</v>
      </c>
      <c r="L18" s="823">
        <f t="shared" si="1"/>
        <v>53.333333333333336</v>
      </c>
    </row>
    <row r="19" spans="1:12" ht="12.95" customHeight="1">
      <c r="A19" s="4" t="s">
        <v>23</v>
      </c>
      <c r="B19" s="428">
        <f>IF($A19&lt;&gt;"",E19+H19+K19,"")</f>
        <v>16</v>
      </c>
      <c r="C19" s="483">
        <f t="shared" si="4"/>
        <v>4.7058823529411766</v>
      </c>
      <c r="E19" s="833"/>
      <c r="F19" s="823">
        <f t="shared" si="2"/>
        <v>0</v>
      </c>
      <c r="G19" s="833"/>
      <c r="H19" s="833">
        <v>8</v>
      </c>
      <c r="I19" s="823">
        <f t="shared" si="0"/>
        <v>50</v>
      </c>
      <c r="J19" s="833"/>
      <c r="K19" s="833">
        <v>8</v>
      </c>
      <c r="L19" s="823">
        <f t="shared" si="1"/>
        <v>50</v>
      </c>
    </row>
    <row r="20" spans="1:12" ht="6" customHeight="1">
      <c r="B20" s="428" t="str">
        <f t="shared" si="3"/>
        <v/>
      </c>
      <c r="C20" s="483" t="str">
        <f t="shared" si="4"/>
        <v/>
      </c>
      <c r="E20" s="541"/>
      <c r="F20" s="823" t="str">
        <f t="shared" si="2"/>
        <v/>
      </c>
      <c r="G20" s="541"/>
      <c r="H20" s="541"/>
      <c r="I20" s="823" t="str">
        <f t="shared" si="0"/>
        <v/>
      </c>
      <c r="J20" s="541"/>
      <c r="K20" s="541"/>
      <c r="L20" s="823" t="str">
        <f t="shared" si="1"/>
        <v/>
      </c>
    </row>
    <row r="21" spans="1:12" ht="12.95" customHeight="1">
      <c r="A21" s="4" t="s">
        <v>762</v>
      </c>
      <c r="B21" s="428">
        <f t="shared" si="3"/>
        <v>10</v>
      </c>
      <c r="C21" s="483">
        <f t="shared" si="4"/>
        <v>2.9411764705882351</v>
      </c>
      <c r="E21" s="541">
        <f>SUM(E22:E24)</f>
        <v>0</v>
      </c>
      <c r="F21" s="823">
        <f t="shared" si="2"/>
        <v>0</v>
      </c>
      <c r="G21" s="541"/>
      <c r="H21" s="541">
        <f>SUM(H22:H24)</f>
        <v>6</v>
      </c>
      <c r="I21" s="823">
        <f t="shared" si="0"/>
        <v>60</v>
      </c>
      <c r="J21" s="541"/>
      <c r="K21" s="541">
        <f>SUM(K22:K24)</f>
        <v>4</v>
      </c>
      <c r="L21" s="823">
        <f t="shared" si="1"/>
        <v>40</v>
      </c>
    </row>
    <row r="22" spans="1:12" ht="12.95" customHeight="1">
      <c r="A22" s="4" t="s">
        <v>25</v>
      </c>
      <c r="B22" s="428">
        <f>IF($A22&lt;&gt;"",E22+H22+K22,"")</f>
        <v>4</v>
      </c>
      <c r="C22" s="483">
        <f t="shared" si="4"/>
        <v>1.1764705882352942</v>
      </c>
      <c r="E22" s="833"/>
      <c r="F22" s="823">
        <f t="shared" si="2"/>
        <v>0</v>
      </c>
      <c r="G22" s="833"/>
      <c r="H22" s="833">
        <v>2</v>
      </c>
      <c r="I22" s="823">
        <f t="shared" si="0"/>
        <v>50</v>
      </c>
      <c r="J22" s="833"/>
      <c r="K22" s="833">
        <v>2</v>
      </c>
      <c r="L22" s="823">
        <f t="shared" si="1"/>
        <v>50</v>
      </c>
    </row>
    <row r="23" spans="1:12" ht="12.95" customHeight="1">
      <c r="A23" s="4" t="s">
        <v>26</v>
      </c>
      <c r="B23" s="428">
        <f t="shared" si="3"/>
        <v>3</v>
      </c>
      <c r="C23" s="483">
        <f t="shared" si="4"/>
        <v>0.88235294117647056</v>
      </c>
      <c r="E23" s="833"/>
      <c r="F23" s="823">
        <f t="shared" si="2"/>
        <v>0</v>
      </c>
      <c r="G23" s="833"/>
      <c r="H23" s="833">
        <v>1</v>
      </c>
      <c r="I23" s="823">
        <f t="shared" si="0"/>
        <v>33.333333333333329</v>
      </c>
      <c r="J23" s="833"/>
      <c r="K23" s="833">
        <v>2</v>
      </c>
      <c r="L23" s="823">
        <f t="shared" si="1"/>
        <v>66.666666666666657</v>
      </c>
    </row>
    <row r="24" spans="1:12" ht="12.95" customHeight="1">
      <c r="A24" s="4" t="s">
        <v>27</v>
      </c>
      <c r="B24" s="428">
        <f>IF($A24&lt;&gt;"",E24+H24+K24,"")</f>
        <v>3</v>
      </c>
      <c r="C24" s="483">
        <f t="shared" si="4"/>
        <v>0.88235294117647056</v>
      </c>
      <c r="E24" s="833"/>
      <c r="F24" s="823">
        <f t="shared" si="2"/>
        <v>0</v>
      </c>
      <c r="G24" s="833"/>
      <c r="H24" s="833">
        <v>3</v>
      </c>
      <c r="I24" s="823">
        <f t="shared" si="0"/>
        <v>100</v>
      </c>
      <c r="J24" s="833"/>
      <c r="K24" s="833"/>
      <c r="L24" s="823">
        <f t="shared" si="1"/>
        <v>0</v>
      </c>
    </row>
    <row r="25" spans="1:12" ht="6" customHeight="1">
      <c r="B25" s="428" t="str">
        <f t="shared" si="3"/>
        <v/>
      </c>
      <c r="C25" s="483" t="str">
        <f t="shared" si="4"/>
        <v/>
      </c>
      <c r="E25" s="541"/>
      <c r="F25" s="823" t="str">
        <f t="shared" si="2"/>
        <v/>
      </c>
      <c r="G25" s="541"/>
      <c r="H25" s="541"/>
      <c r="I25" s="823" t="str">
        <f t="shared" si="0"/>
        <v/>
      </c>
      <c r="J25" s="541"/>
      <c r="K25" s="541"/>
      <c r="L25" s="823" t="str">
        <f t="shared" si="1"/>
        <v/>
      </c>
    </row>
    <row r="26" spans="1:12" ht="12.95" customHeight="1">
      <c r="A26" s="9" t="s">
        <v>375</v>
      </c>
      <c r="B26" s="428">
        <f t="shared" si="3"/>
        <v>15</v>
      </c>
      <c r="C26" s="483">
        <f t="shared" si="4"/>
        <v>4.4117647058823533</v>
      </c>
      <c r="D26" s="9"/>
      <c r="E26" s="541">
        <f t="shared" ref="E26:K26" si="5">SUM(E27)</f>
        <v>0</v>
      </c>
      <c r="F26" s="823">
        <f t="shared" si="2"/>
        <v>0</v>
      </c>
      <c r="G26" s="541"/>
      <c r="H26" s="541">
        <f t="shared" si="5"/>
        <v>8</v>
      </c>
      <c r="I26" s="823">
        <f t="shared" si="0"/>
        <v>53.333333333333336</v>
      </c>
      <c r="J26" s="541"/>
      <c r="K26" s="541">
        <f t="shared" si="5"/>
        <v>7</v>
      </c>
      <c r="L26" s="823">
        <f t="shared" si="1"/>
        <v>46.666666666666664</v>
      </c>
    </row>
    <row r="27" spans="1:12" ht="12.95" customHeight="1">
      <c r="A27" s="4" t="s">
        <v>763</v>
      </c>
      <c r="B27" s="428">
        <f>IF($A27&lt;&gt;"",E27+H27+K27,"")</f>
        <v>15</v>
      </c>
      <c r="C27" s="483">
        <f t="shared" si="4"/>
        <v>4.4117647058823533</v>
      </c>
      <c r="E27" s="541">
        <f>SUM(E28:E32)</f>
        <v>0</v>
      </c>
      <c r="F27" s="823">
        <f t="shared" si="2"/>
        <v>0</v>
      </c>
      <c r="G27" s="541"/>
      <c r="H27" s="541">
        <f>SUM(H28:H32)</f>
        <v>8</v>
      </c>
      <c r="I27" s="823">
        <f t="shared" si="0"/>
        <v>53.333333333333336</v>
      </c>
      <c r="J27" s="541"/>
      <c r="K27" s="541">
        <f>SUM(K28:K32)</f>
        <v>7</v>
      </c>
      <c r="L27" s="823">
        <f t="shared" si="1"/>
        <v>46.666666666666664</v>
      </c>
    </row>
    <row r="28" spans="1:12" ht="12.95" customHeight="1">
      <c r="A28" s="4" t="s">
        <v>30</v>
      </c>
      <c r="B28" s="428">
        <f t="shared" si="3"/>
        <v>2</v>
      </c>
      <c r="C28" s="483">
        <f t="shared" si="4"/>
        <v>0.58823529411764708</v>
      </c>
      <c r="E28" s="833"/>
      <c r="F28" s="823">
        <f t="shared" si="2"/>
        <v>0</v>
      </c>
      <c r="G28" s="833"/>
      <c r="H28" s="833">
        <v>1</v>
      </c>
      <c r="I28" s="823">
        <f t="shared" si="0"/>
        <v>50</v>
      </c>
      <c r="J28" s="833"/>
      <c r="K28" s="833">
        <v>1</v>
      </c>
      <c r="L28" s="823">
        <f t="shared" si="1"/>
        <v>50</v>
      </c>
    </row>
    <row r="29" spans="1:12" ht="12.95" customHeight="1">
      <c r="A29" s="4" t="s">
        <v>31</v>
      </c>
      <c r="B29" s="428">
        <f t="shared" si="3"/>
        <v>3</v>
      </c>
      <c r="C29" s="483">
        <f t="shared" si="4"/>
        <v>0.88235294117647056</v>
      </c>
      <c r="E29" s="833"/>
      <c r="F29" s="823">
        <f t="shared" si="2"/>
        <v>0</v>
      </c>
      <c r="G29" s="833"/>
      <c r="H29" s="833">
        <v>2</v>
      </c>
      <c r="I29" s="823">
        <f t="shared" si="0"/>
        <v>66.666666666666657</v>
      </c>
      <c r="J29" s="833"/>
      <c r="K29" s="833">
        <v>1</v>
      </c>
      <c r="L29" s="823">
        <f t="shared" si="1"/>
        <v>33.333333333333329</v>
      </c>
    </row>
    <row r="30" spans="1:12" ht="12.95" customHeight="1">
      <c r="A30" s="4" t="s">
        <v>32</v>
      </c>
      <c r="B30" s="428">
        <f t="shared" si="3"/>
        <v>2</v>
      </c>
      <c r="C30" s="483">
        <f t="shared" si="4"/>
        <v>0.58823529411764708</v>
      </c>
      <c r="E30" s="833"/>
      <c r="F30" s="823">
        <f t="shared" si="2"/>
        <v>0</v>
      </c>
      <c r="G30" s="833"/>
      <c r="H30" s="833">
        <v>1</v>
      </c>
      <c r="I30" s="823">
        <f t="shared" si="0"/>
        <v>50</v>
      </c>
      <c r="J30" s="833"/>
      <c r="K30" s="833">
        <v>1</v>
      </c>
      <c r="L30" s="823">
        <f t="shared" si="1"/>
        <v>50</v>
      </c>
    </row>
    <row r="31" spans="1:12" ht="12.95" customHeight="1">
      <c r="A31" s="4" t="s">
        <v>33</v>
      </c>
      <c r="B31" s="428">
        <f t="shared" si="3"/>
        <v>6</v>
      </c>
      <c r="C31" s="483">
        <f t="shared" si="4"/>
        <v>1.7647058823529411</v>
      </c>
      <c r="E31" s="833"/>
      <c r="F31" s="823">
        <f t="shared" si="2"/>
        <v>0</v>
      </c>
      <c r="G31" s="833"/>
      <c r="H31" s="833">
        <v>3</v>
      </c>
      <c r="I31" s="823">
        <f t="shared" si="0"/>
        <v>50</v>
      </c>
      <c r="J31" s="833"/>
      <c r="K31" s="833">
        <v>3</v>
      </c>
      <c r="L31" s="823">
        <f t="shared" si="1"/>
        <v>50</v>
      </c>
    </row>
    <row r="32" spans="1:12" ht="12.95" customHeight="1">
      <c r="A32" s="4" t="s">
        <v>34</v>
      </c>
      <c r="B32" s="428">
        <f t="shared" si="3"/>
        <v>2</v>
      </c>
      <c r="C32" s="483">
        <f t="shared" si="4"/>
        <v>0.58823529411764708</v>
      </c>
      <c r="E32" s="833"/>
      <c r="F32" s="823">
        <f t="shared" si="2"/>
        <v>0</v>
      </c>
      <c r="G32" s="833"/>
      <c r="H32" s="833">
        <v>1</v>
      </c>
      <c r="I32" s="823">
        <f t="shared" si="0"/>
        <v>50</v>
      </c>
      <c r="J32" s="833"/>
      <c r="K32" s="833">
        <v>1</v>
      </c>
      <c r="L32" s="823">
        <f t="shared" si="1"/>
        <v>50</v>
      </c>
    </row>
    <row r="33" spans="1:12" ht="6" customHeight="1">
      <c r="B33" s="428" t="str">
        <f t="shared" si="3"/>
        <v/>
      </c>
      <c r="C33" s="483" t="str">
        <f t="shared" si="4"/>
        <v/>
      </c>
      <c r="E33" s="541"/>
      <c r="F33" s="823" t="str">
        <f t="shared" si="2"/>
        <v/>
      </c>
      <c r="G33" s="541"/>
      <c r="H33" s="541"/>
      <c r="I33" s="823" t="str">
        <f t="shared" si="0"/>
        <v/>
      </c>
      <c r="J33" s="541"/>
      <c r="K33" s="541"/>
      <c r="L33" s="823" t="str">
        <f t="shared" si="1"/>
        <v/>
      </c>
    </row>
    <row r="34" spans="1:12" ht="12.95" customHeight="1">
      <c r="A34" s="9" t="s">
        <v>329</v>
      </c>
      <c r="B34" s="428">
        <f t="shared" si="3"/>
        <v>81</v>
      </c>
      <c r="C34" s="483">
        <f t="shared" si="4"/>
        <v>23.823529411764703</v>
      </c>
      <c r="D34" s="9"/>
      <c r="E34" s="541">
        <f>SUM(E35+E37+E44+E50)</f>
        <v>4</v>
      </c>
      <c r="F34" s="823">
        <f t="shared" si="2"/>
        <v>4.9382716049382713</v>
      </c>
      <c r="G34" s="541"/>
      <c r="H34" s="541">
        <f>SUM(H35+H37+H44+H50)</f>
        <v>42</v>
      </c>
      <c r="I34" s="823">
        <f t="shared" si="0"/>
        <v>51.851851851851848</v>
      </c>
      <c r="J34" s="541"/>
      <c r="K34" s="541">
        <f>SUM(K35+K37+K44+K50)</f>
        <v>35</v>
      </c>
      <c r="L34" s="823">
        <f t="shared" si="1"/>
        <v>43.209876543209873</v>
      </c>
    </row>
    <row r="35" spans="1:12" ht="12.95" customHeight="1">
      <c r="A35" s="4" t="s">
        <v>50</v>
      </c>
      <c r="B35" s="428">
        <f t="shared" si="3"/>
        <v>2</v>
      </c>
      <c r="C35" s="483">
        <f t="shared" si="4"/>
        <v>0.58823529411764708</v>
      </c>
      <c r="E35" s="833"/>
      <c r="F35" s="823">
        <f t="shared" si="2"/>
        <v>0</v>
      </c>
      <c r="G35" s="833"/>
      <c r="H35" s="833">
        <v>1</v>
      </c>
      <c r="I35" s="823">
        <f t="shared" si="0"/>
        <v>50</v>
      </c>
      <c r="J35" s="833"/>
      <c r="K35" s="833">
        <v>1</v>
      </c>
      <c r="L35" s="823">
        <f t="shared" si="1"/>
        <v>50</v>
      </c>
    </row>
    <row r="36" spans="1:12" ht="5.25" customHeight="1">
      <c r="B36" s="428" t="str">
        <f t="shared" si="3"/>
        <v/>
      </c>
      <c r="C36" s="483" t="str">
        <f t="shared" si="4"/>
        <v/>
      </c>
      <c r="E36" s="541"/>
      <c r="F36" s="823" t="str">
        <f t="shared" si="2"/>
        <v/>
      </c>
      <c r="G36" s="541"/>
      <c r="H36" s="541"/>
      <c r="I36" s="823" t="str">
        <f t="shared" si="0"/>
        <v/>
      </c>
      <c r="J36" s="541"/>
      <c r="K36" s="541"/>
      <c r="L36" s="823" t="str">
        <f t="shared" si="1"/>
        <v/>
      </c>
    </row>
    <row r="37" spans="1:12" ht="12.95" customHeight="1">
      <c r="A37" s="4" t="s">
        <v>764</v>
      </c>
      <c r="B37" s="428">
        <f t="shared" si="3"/>
        <v>37</v>
      </c>
      <c r="C37" s="483">
        <f t="shared" si="4"/>
        <v>10.882352941176471</v>
      </c>
      <c r="E37" s="541">
        <f>SUM(E38:E42)</f>
        <v>0</v>
      </c>
      <c r="F37" s="823">
        <f t="shared" si="2"/>
        <v>0</v>
      </c>
      <c r="G37" s="541"/>
      <c r="H37" s="541">
        <f>SUM(H38:H42)</f>
        <v>20</v>
      </c>
      <c r="I37" s="823">
        <f t="shared" si="0"/>
        <v>54.054054054054056</v>
      </c>
      <c r="J37" s="541"/>
      <c r="K37" s="541">
        <f>SUM(K38:K42)</f>
        <v>17</v>
      </c>
      <c r="L37" s="823">
        <f t="shared" si="1"/>
        <v>45.945945945945951</v>
      </c>
    </row>
    <row r="38" spans="1:12" ht="12.95" customHeight="1">
      <c r="A38" s="4" t="s">
        <v>52</v>
      </c>
      <c r="B38" s="428">
        <f t="shared" si="3"/>
        <v>3</v>
      </c>
      <c r="C38" s="483">
        <f t="shared" si="4"/>
        <v>0.88235294117647056</v>
      </c>
      <c r="E38" s="833"/>
      <c r="F38" s="823">
        <f t="shared" si="2"/>
        <v>0</v>
      </c>
      <c r="G38" s="833"/>
      <c r="H38" s="833"/>
      <c r="I38" s="823">
        <f t="shared" si="0"/>
        <v>0</v>
      </c>
      <c r="J38" s="833"/>
      <c r="K38" s="833">
        <v>3</v>
      </c>
      <c r="L38" s="823">
        <f t="shared" si="1"/>
        <v>100</v>
      </c>
    </row>
    <row r="39" spans="1:12" ht="15" customHeight="1">
      <c r="A39" s="4" t="s">
        <v>765</v>
      </c>
      <c r="B39" s="428">
        <f t="shared" si="3"/>
        <v>23</v>
      </c>
      <c r="C39" s="483">
        <f t="shared" si="4"/>
        <v>6.7647058823529411</v>
      </c>
      <c r="E39" s="833"/>
      <c r="F39" s="823">
        <f t="shared" si="2"/>
        <v>0</v>
      </c>
      <c r="G39" s="833"/>
      <c r="H39" s="833">
        <v>15</v>
      </c>
      <c r="I39" s="823">
        <f t="shared" si="0"/>
        <v>65.217391304347828</v>
      </c>
      <c r="J39" s="833"/>
      <c r="K39" s="833">
        <v>8</v>
      </c>
      <c r="L39" s="823">
        <f t="shared" si="1"/>
        <v>34.782608695652172</v>
      </c>
    </row>
    <row r="40" spans="1:12" ht="12.95" customHeight="1">
      <c r="A40" s="4" t="s">
        <v>54</v>
      </c>
      <c r="B40" s="428">
        <f t="shared" si="3"/>
        <v>6</v>
      </c>
      <c r="C40" s="483">
        <f t="shared" si="4"/>
        <v>1.7647058823529411</v>
      </c>
      <c r="E40" s="833"/>
      <c r="F40" s="823">
        <f t="shared" si="2"/>
        <v>0</v>
      </c>
      <c r="G40" s="833"/>
      <c r="H40" s="833">
        <v>2</v>
      </c>
      <c r="I40" s="823">
        <f t="shared" si="0"/>
        <v>33.333333333333329</v>
      </c>
      <c r="J40" s="833"/>
      <c r="K40" s="833">
        <v>4</v>
      </c>
      <c r="L40" s="823">
        <f t="shared" si="1"/>
        <v>66.666666666666657</v>
      </c>
    </row>
    <row r="41" spans="1:12" ht="12.95" customHeight="1">
      <c r="A41" s="4" t="s">
        <v>766</v>
      </c>
      <c r="B41" s="428">
        <f t="shared" si="3"/>
        <v>4</v>
      </c>
      <c r="C41" s="483">
        <f t="shared" si="4"/>
        <v>1.1764705882352942</v>
      </c>
      <c r="E41" s="833"/>
      <c r="F41" s="823">
        <f t="shared" si="2"/>
        <v>0</v>
      </c>
      <c r="G41" s="833"/>
      <c r="H41" s="833">
        <v>2</v>
      </c>
      <c r="I41" s="823">
        <f t="shared" si="0"/>
        <v>50</v>
      </c>
      <c r="J41" s="833"/>
      <c r="K41" s="833">
        <v>2</v>
      </c>
      <c r="L41" s="823">
        <f t="shared" si="1"/>
        <v>50</v>
      </c>
    </row>
    <row r="42" spans="1:12" ht="12.95" customHeight="1">
      <c r="A42" s="4" t="s">
        <v>56</v>
      </c>
      <c r="B42" s="428">
        <f t="shared" si="3"/>
        <v>1</v>
      </c>
      <c r="C42" s="483">
        <f t="shared" si="4"/>
        <v>0.29411764705882354</v>
      </c>
      <c r="E42" s="833"/>
      <c r="F42" s="823">
        <f t="shared" si="2"/>
        <v>0</v>
      </c>
      <c r="G42" s="833"/>
      <c r="H42" s="833">
        <v>1</v>
      </c>
      <c r="I42" s="823">
        <f t="shared" si="0"/>
        <v>100</v>
      </c>
      <c r="J42" s="833"/>
      <c r="K42" s="833"/>
      <c r="L42" s="823">
        <f t="shared" si="1"/>
        <v>0</v>
      </c>
    </row>
    <row r="43" spans="1:12" ht="5.25" customHeight="1">
      <c r="B43" s="428" t="str">
        <f t="shared" si="3"/>
        <v/>
      </c>
      <c r="C43" s="483" t="str">
        <f t="shared" si="4"/>
        <v/>
      </c>
      <c r="E43" s="541"/>
      <c r="F43" s="823" t="str">
        <f t="shared" si="2"/>
        <v/>
      </c>
      <c r="G43" s="541"/>
      <c r="H43" s="541"/>
      <c r="I43" s="823" t="str">
        <f t="shared" si="0"/>
        <v/>
      </c>
      <c r="J43" s="541"/>
      <c r="K43" s="541"/>
      <c r="L43" s="823" t="str">
        <f t="shared" si="1"/>
        <v/>
      </c>
    </row>
    <row r="44" spans="1:12" ht="12.95" customHeight="1">
      <c r="A44" s="4" t="s">
        <v>36</v>
      </c>
      <c r="B44" s="428">
        <f t="shared" si="3"/>
        <v>21</v>
      </c>
      <c r="C44" s="483">
        <f t="shared" si="4"/>
        <v>6.1764705882352944</v>
      </c>
      <c r="E44" s="541">
        <f t="shared" ref="E44:K44" si="6">SUM(E45:E48)</f>
        <v>4</v>
      </c>
      <c r="F44" s="823">
        <f t="shared" si="2"/>
        <v>19.047619047619047</v>
      </c>
      <c r="G44" s="541"/>
      <c r="H44" s="541">
        <f t="shared" si="6"/>
        <v>10</v>
      </c>
      <c r="I44" s="823">
        <f t="shared" si="0"/>
        <v>47.619047619047613</v>
      </c>
      <c r="J44" s="541"/>
      <c r="K44" s="541">
        <f t="shared" si="6"/>
        <v>7</v>
      </c>
      <c r="L44" s="823">
        <f t="shared" si="1"/>
        <v>33.333333333333329</v>
      </c>
    </row>
    <row r="45" spans="1:12" ht="12.95" customHeight="1">
      <c r="A45" s="4" t="s">
        <v>767</v>
      </c>
      <c r="B45" s="428">
        <f t="shared" si="3"/>
        <v>6</v>
      </c>
      <c r="C45" s="483">
        <f t="shared" si="4"/>
        <v>1.7647058823529411</v>
      </c>
      <c r="E45" s="833"/>
      <c r="F45" s="823">
        <f t="shared" si="2"/>
        <v>0</v>
      </c>
      <c r="G45" s="833"/>
      <c r="H45" s="833">
        <v>3</v>
      </c>
      <c r="I45" s="823">
        <f t="shared" si="0"/>
        <v>50</v>
      </c>
      <c r="J45" s="833"/>
      <c r="K45" s="833">
        <v>3</v>
      </c>
      <c r="L45" s="823">
        <f t="shared" si="1"/>
        <v>50</v>
      </c>
    </row>
    <row r="46" spans="1:12" ht="12.95" customHeight="1">
      <c r="A46" s="4" t="s">
        <v>38</v>
      </c>
      <c r="B46" s="428">
        <f t="shared" si="3"/>
        <v>11</v>
      </c>
      <c r="C46" s="483">
        <f t="shared" si="4"/>
        <v>3.2352941176470593</v>
      </c>
      <c r="E46" s="833">
        <v>4</v>
      </c>
      <c r="F46" s="823">
        <f t="shared" si="2"/>
        <v>36.363636363636367</v>
      </c>
      <c r="G46" s="833"/>
      <c r="H46" s="833">
        <v>4</v>
      </c>
      <c r="I46" s="823">
        <f t="shared" si="0"/>
        <v>36.363636363636367</v>
      </c>
      <c r="J46" s="833"/>
      <c r="K46" s="833">
        <v>3</v>
      </c>
      <c r="L46" s="823">
        <f t="shared" si="1"/>
        <v>27.27272727272727</v>
      </c>
    </row>
    <row r="47" spans="1:12" ht="12.95" customHeight="1">
      <c r="A47" s="4" t="s">
        <v>768</v>
      </c>
      <c r="B47" s="428">
        <f t="shared" si="3"/>
        <v>3</v>
      </c>
      <c r="C47" s="483">
        <f t="shared" si="4"/>
        <v>0.88235294117647056</v>
      </c>
      <c r="E47" s="833"/>
      <c r="F47" s="823">
        <f t="shared" si="2"/>
        <v>0</v>
      </c>
      <c r="G47" s="833"/>
      <c r="H47" s="833">
        <v>2</v>
      </c>
      <c r="I47" s="823">
        <f t="shared" si="0"/>
        <v>66.666666666666657</v>
      </c>
      <c r="J47" s="833"/>
      <c r="K47" s="833">
        <v>1</v>
      </c>
      <c r="L47" s="823">
        <f t="shared" si="1"/>
        <v>33.333333333333329</v>
      </c>
    </row>
    <row r="48" spans="1:12" ht="12.95" customHeight="1">
      <c r="A48" s="4" t="s">
        <v>769</v>
      </c>
      <c r="B48" s="428">
        <f t="shared" si="3"/>
        <v>1</v>
      </c>
      <c r="C48" s="483">
        <f t="shared" si="4"/>
        <v>0.29411764705882354</v>
      </c>
      <c r="E48" s="833"/>
      <c r="F48" s="823">
        <f t="shared" si="2"/>
        <v>0</v>
      </c>
      <c r="G48" s="833"/>
      <c r="H48" s="833">
        <v>1</v>
      </c>
      <c r="I48" s="823">
        <f t="shared" si="0"/>
        <v>100</v>
      </c>
      <c r="J48" s="833"/>
      <c r="K48" s="833"/>
      <c r="L48" s="823">
        <f t="shared" si="1"/>
        <v>0</v>
      </c>
    </row>
    <row r="49" spans="1:12" ht="8.25" customHeight="1">
      <c r="B49" s="428" t="str">
        <f t="shared" si="3"/>
        <v/>
      </c>
      <c r="C49" s="483" t="str">
        <f t="shared" si="4"/>
        <v/>
      </c>
      <c r="E49" s="541"/>
      <c r="F49" s="823" t="str">
        <f t="shared" si="2"/>
        <v/>
      </c>
      <c r="G49" s="541"/>
      <c r="H49" s="541"/>
      <c r="I49" s="823" t="str">
        <f t="shared" si="0"/>
        <v/>
      </c>
      <c r="J49" s="541"/>
      <c r="K49" s="541"/>
      <c r="L49" s="823" t="str">
        <f t="shared" si="1"/>
        <v/>
      </c>
    </row>
    <row r="50" spans="1:12" ht="12.95" customHeight="1">
      <c r="A50" s="4" t="s">
        <v>770</v>
      </c>
      <c r="B50" s="428">
        <f t="shared" si="3"/>
        <v>21</v>
      </c>
      <c r="C50" s="483">
        <f t="shared" si="4"/>
        <v>6.1764705882352944</v>
      </c>
      <c r="E50" s="541">
        <f>SUM(E51:E58)</f>
        <v>0</v>
      </c>
      <c r="F50" s="823">
        <f t="shared" si="2"/>
        <v>0</v>
      </c>
      <c r="G50" s="541"/>
      <c r="H50" s="541">
        <f>SUM(H51:H58)</f>
        <v>11</v>
      </c>
      <c r="I50" s="823">
        <f t="shared" si="0"/>
        <v>52.380952380952387</v>
      </c>
      <c r="J50" s="541"/>
      <c r="K50" s="541">
        <f>SUM(K51:K58)</f>
        <v>10</v>
      </c>
      <c r="L50" s="823">
        <f t="shared" si="1"/>
        <v>47.619047619047613</v>
      </c>
    </row>
    <row r="51" spans="1:12" ht="12.95" customHeight="1">
      <c r="A51" s="4" t="s">
        <v>49</v>
      </c>
      <c r="B51" s="428">
        <f t="shared" si="3"/>
        <v>3</v>
      </c>
      <c r="C51" s="483">
        <f t="shared" si="4"/>
        <v>0.88235294117647056</v>
      </c>
      <c r="E51" s="833"/>
      <c r="F51" s="823">
        <f t="shared" si="2"/>
        <v>0</v>
      </c>
      <c r="G51" s="833"/>
      <c r="H51" s="833">
        <v>2</v>
      </c>
      <c r="I51" s="823">
        <f t="shared" si="0"/>
        <v>66.666666666666657</v>
      </c>
      <c r="J51" s="833"/>
      <c r="K51" s="833">
        <v>1</v>
      </c>
      <c r="L51" s="823">
        <f t="shared" si="1"/>
        <v>33.333333333333329</v>
      </c>
    </row>
    <row r="52" spans="1:12" ht="12.95" customHeight="1">
      <c r="A52" s="4" t="s">
        <v>42</v>
      </c>
      <c r="B52" s="428">
        <f t="shared" si="3"/>
        <v>2</v>
      </c>
      <c r="C52" s="483">
        <f t="shared" si="4"/>
        <v>0.58823529411764708</v>
      </c>
      <c r="E52" s="833"/>
      <c r="F52" s="823">
        <f t="shared" si="2"/>
        <v>0</v>
      </c>
      <c r="G52" s="833"/>
      <c r="H52" s="833">
        <v>1</v>
      </c>
      <c r="I52" s="823">
        <f t="shared" si="0"/>
        <v>50</v>
      </c>
      <c r="J52" s="833"/>
      <c r="K52" s="833">
        <v>1</v>
      </c>
      <c r="L52" s="823">
        <f t="shared" si="1"/>
        <v>50</v>
      </c>
    </row>
    <row r="53" spans="1:12" ht="12.95" customHeight="1">
      <c r="A53" s="4" t="s">
        <v>43</v>
      </c>
      <c r="B53" s="428">
        <f t="shared" si="3"/>
        <v>5</v>
      </c>
      <c r="C53" s="483">
        <f t="shared" si="4"/>
        <v>1.4705882352941175</v>
      </c>
      <c r="E53" s="833"/>
      <c r="F53" s="823">
        <f t="shared" si="2"/>
        <v>0</v>
      </c>
      <c r="G53" s="833"/>
      <c r="H53" s="833">
        <v>2</v>
      </c>
      <c r="I53" s="823">
        <f t="shared" si="0"/>
        <v>40</v>
      </c>
      <c r="J53" s="833"/>
      <c r="K53" s="833">
        <v>3</v>
      </c>
      <c r="L53" s="823">
        <f t="shared" si="1"/>
        <v>60</v>
      </c>
    </row>
    <row r="54" spans="1:12" ht="12.95" customHeight="1">
      <c r="A54" s="4" t="s">
        <v>44</v>
      </c>
      <c r="B54" s="428">
        <f t="shared" si="3"/>
        <v>2</v>
      </c>
      <c r="C54" s="483">
        <f t="shared" si="4"/>
        <v>0.58823529411764708</v>
      </c>
      <c r="E54" s="833"/>
      <c r="F54" s="823">
        <f t="shared" si="2"/>
        <v>0</v>
      </c>
      <c r="G54" s="833"/>
      <c r="H54" s="833">
        <v>1</v>
      </c>
      <c r="I54" s="823">
        <f t="shared" si="0"/>
        <v>50</v>
      </c>
      <c r="J54" s="833"/>
      <c r="K54" s="833">
        <v>1</v>
      </c>
      <c r="L54" s="823">
        <f t="shared" si="1"/>
        <v>50</v>
      </c>
    </row>
    <row r="55" spans="1:12" ht="12.95" customHeight="1">
      <c r="A55" s="4" t="s">
        <v>439</v>
      </c>
      <c r="B55" s="428">
        <f t="shared" si="3"/>
        <v>3</v>
      </c>
      <c r="C55" s="483">
        <f t="shared" si="4"/>
        <v>0.88235294117647056</v>
      </c>
      <c r="E55" s="833"/>
      <c r="F55" s="823">
        <f t="shared" si="2"/>
        <v>0</v>
      </c>
      <c r="G55" s="833"/>
      <c r="H55" s="833">
        <v>2</v>
      </c>
      <c r="I55" s="823">
        <f t="shared" si="0"/>
        <v>66.666666666666657</v>
      </c>
      <c r="J55" s="833"/>
      <c r="K55" s="833">
        <v>1</v>
      </c>
      <c r="L55" s="823">
        <f t="shared" si="1"/>
        <v>33.333333333333329</v>
      </c>
    </row>
    <row r="56" spans="1:12" ht="12.95" customHeight="1">
      <c r="A56" s="4" t="s">
        <v>47</v>
      </c>
      <c r="B56" s="428">
        <f t="shared" si="3"/>
        <v>2</v>
      </c>
      <c r="C56" s="483">
        <f t="shared" si="4"/>
        <v>0.58823529411764708</v>
      </c>
      <c r="E56" s="833"/>
      <c r="F56" s="823">
        <f t="shared" si="2"/>
        <v>0</v>
      </c>
      <c r="G56" s="833"/>
      <c r="H56" s="833">
        <v>1</v>
      </c>
      <c r="I56" s="823">
        <f t="shared" si="0"/>
        <v>50</v>
      </c>
      <c r="J56" s="833"/>
      <c r="K56" s="833">
        <v>1</v>
      </c>
      <c r="L56" s="823">
        <f t="shared" si="1"/>
        <v>50</v>
      </c>
    </row>
    <row r="57" spans="1:12" ht="12.95" customHeight="1">
      <c r="A57" s="4" t="s">
        <v>46</v>
      </c>
      <c r="B57" s="428">
        <f t="shared" si="3"/>
        <v>2</v>
      </c>
      <c r="C57" s="483">
        <f t="shared" si="4"/>
        <v>0.58823529411764708</v>
      </c>
      <c r="E57" s="833"/>
      <c r="F57" s="823">
        <f t="shared" si="2"/>
        <v>0</v>
      </c>
      <c r="G57" s="833"/>
      <c r="H57" s="833">
        <v>1</v>
      </c>
      <c r="I57" s="823">
        <f t="shared" si="0"/>
        <v>50</v>
      </c>
      <c r="J57" s="833"/>
      <c r="K57" s="833">
        <v>1</v>
      </c>
      <c r="L57" s="823">
        <f t="shared" si="1"/>
        <v>50</v>
      </c>
    </row>
    <row r="58" spans="1:12" ht="12.95" customHeight="1">
      <c r="A58" s="4" t="s">
        <v>48</v>
      </c>
      <c r="B58" s="428">
        <f t="shared" si="3"/>
        <v>2</v>
      </c>
      <c r="C58" s="483">
        <f t="shared" si="4"/>
        <v>0.58823529411764708</v>
      </c>
      <c r="E58" s="833"/>
      <c r="F58" s="823">
        <f t="shared" si="2"/>
        <v>0</v>
      </c>
      <c r="G58" s="833"/>
      <c r="H58" s="833">
        <v>1</v>
      </c>
      <c r="I58" s="823">
        <f t="shared" si="0"/>
        <v>50</v>
      </c>
      <c r="J58" s="833"/>
      <c r="K58" s="833">
        <v>1</v>
      </c>
      <c r="L58" s="823">
        <f t="shared" si="1"/>
        <v>50</v>
      </c>
    </row>
    <row r="59" spans="1:12" ht="6.75" customHeight="1">
      <c r="B59" s="428" t="str">
        <f t="shared" si="3"/>
        <v/>
      </c>
      <c r="C59" s="483" t="str">
        <f t="shared" si="4"/>
        <v/>
      </c>
      <c r="E59" s="541"/>
      <c r="F59" s="823" t="str">
        <f t="shared" si="2"/>
        <v/>
      </c>
      <c r="G59" s="541"/>
      <c r="H59" s="541"/>
      <c r="I59" s="823" t="str">
        <f t="shared" si="0"/>
        <v/>
      </c>
      <c r="J59" s="541"/>
      <c r="K59" s="541"/>
      <c r="L59" s="823" t="str">
        <f t="shared" si="1"/>
        <v/>
      </c>
    </row>
    <row r="60" spans="1:12" ht="14.25" customHeight="1">
      <c r="A60" s="9" t="s">
        <v>396</v>
      </c>
      <c r="B60" s="428">
        <f t="shared" si="3"/>
        <v>16</v>
      </c>
      <c r="C60" s="483">
        <f t="shared" si="4"/>
        <v>4.7058823529411766</v>
      </c>
      <c r="D60" s="9"/>
      <c r="E60" s="541">
        <f t="shared" ref="E60:K60" si="7">SUM(E61)</f>
        <v>0</v>
      </c>
      <c r="F60" s="823">
        <f t="shared" si="2"/>
        <v>0</v>
      </c>
      <c r="G60" s="541"/>
      <c r="H60" s="541">
        <f t="shared" si="7"/>
        <v>6</v>
      </c>
      <c r="I60" s="823">
        <f t="shared" si="0"/>
        <v>37.5</v>
      </c>
      <c r="J60" s="541"/>
      <c r="K60" s="541">
        <f t="shared" si="7"/>
        <v>10</v>
      </c>
      <c r="L60" s="823">
        <f t="shared" si="1"/>
        <v>62.5</v>
      </c>
    </row>
    <row r="61" spans="1:12" ht="13.5" customHeight="1">
      <c r="A61" s="4" t="s">
        <v>771</v>
      </c>
      <c r="B61" s="428">
        <f t="shared" si="3"/>
        <v>16</v>
      </c>
      <c r="C61" s="483">
        <f t="shared" si="4"/>
        <v>4.7058823529411766</v>
      </c>
      <c r="E61" s="541">
        <f>SUM(E62:E70)</f>
        <v>0</v>
      </c>
      <c r="F61" s="823">
        <f t="shared" si="2"/>
        <v>0</v>
      </c>
      <c r="G61" s="541"/>
      <c r="H61" s="541">
        <f>SUM(H62:H70)</f>
        <v>6</v>
      </c>
      <c r="I61" s="823">
        <f t="shared" si="0"/>
        <v>37.5</v>
      </c>
      <c r="J61" s="541"/>
      <c r="K61" s="541">
        <f>SUM(K62:K70)</f>
        <v>10</v>
      </c>
      <c r="L61" s="823">
        <f t="shared" si="1"/>
        <v>62.5</v>
      </c>
    </row>
    <row r="62" spans="1:12" ht="12.75" customHeight="1">
      <c r="A62" s="4" t="s">
        <v>338</v>
      </c>
      <c r="B62" s="428">
        <f t="shared" si="3"/>
        <v>3</v>
      </c>
      <c r="C62" s="483">
        <f t="shared" si="4"/>
        <v>0.88235294117647056</v>
      </c>
      <c r="E62" s="833"/>
      <c r="F62" s="823">
        <f t="shared" si="2"/>
        <v>0</v>
      </c>
      <c r="G62" s="833"/>
      <c r="H62" s="833">
        <v>1</v>
      </c>
      <c r="I62" s="823">
        <f t="shared" si="0"/>
        <v>33.333333333333329</v>
      </c>
      <c r="J62" s="833"/>
      <c r="K62" s="833">
        <v>2</v>
      </c>
      <c r="L62" s="823">
        <f t="shared" si="1"/>
        <v>66.666666666666657</v>
      </c>
    </row>
    <row r="63" spans="1:12" ht="12.75" customHeight="1">
      <c r="A63" s="4" t="s">
        <v>76</v>
      </c>
      <c r="B63" s="428">
        <f t="shared" si="3"/>
        <v>1</v>
      </c>
      <c r="C63" s="483">
        <f t="shared" si="4"/>
        <v>0.29411764705882354</v>
      </c>
      <c r="E63" s="833"/>
      <c r="F63" s="823">
        <f t="shared" si="2"/>
        <v>0</v>
      </c>
      <c r="G63" s="833"/>
      <c r="H63" s="833"/>
      <c r="I63" s="823">
        <f t="shared" si="0"/>
        <v>0</v>
      </c>
      <c r="J63" s="833"/>
      <c r="K63" s="833">
        <v>1</v>
      </c>
      <c r="L63" s="823">
        <f t="shared" si="1"/>
        <v>100</v>
      </c>
    </row>
    <row r="64" spans="1:12" ht="12.75" customHeight="1">
      <c r="A64" s="4" t="s">
        <v>78</v>
      </c>
      <c r="B64" s="428">
        <f t="shared" si="3"/>
        <v>2</v>
      </c>
      <c r="C64" s="483">
        <f t="shared" si="4"/>
        <v>0.58823529411764708</v>
      </c>
      <c r="E64" s="833"/>
      <c r="F64" s="823">
        <f t="shared" si="2"/>
        <v>0</v>
      </c>
      <c r="G64" s="833"/>
      <c r="H64" s="833">
        <v>1</v>
      </c>
      <c r="I64" s="823">
        <f t="shared" si="0"/>
        <v>50</v>
      </c>
      <c r="J64" s="833"/>
      <c r="K64" s="833">
        <v>1</v>
      </c>
      <c r="L64" s="823">
        <f t="shared" si="1"/>
        <v>50</v>
      </c>
    </row>
    <row r="65" spans="1:12" ht="12.75" customHeight="1">
      <c r="A65" s="4" t="s">
        <v>80</v>
      </c>
      <c r="B65" s="428">
        <f t="shared" si="3"/>
        <v>1</v>
      </c>
      <c r="C65" s="483">
        <f t="shared" si="4"/>
        <v>0.29411764705882354</v>
      </c>
      <c r="E65" s="833"/>
      <c r="F65" s="823">
        <f t="shared" si="2"/>
        <v>0</v>
      </c>
      <c r="G65" s="833"/>
      <c r="H65" s="833"/>
      <c r="I65" s="823">
        <f t="shared" si="0"/>
        <v>0</v>
      </c>
      <c r="J65" s="833"/>
      <c r="K65" s="833">
        <v>1</v>
      </c>
      <c r="L65" s="823">
        <f t="shared" si="1"/>
        <v>100</v>
      </c>
    </row>
    <row r="66" spans="1:12" ht="12.75" customHeight="1">
      <c r="A66" s="4" t="s">
        <v>79</v>
      </c>
      <c r="B66" s="428">
        <f t="shared" si="3"/>
        <v>2</v>
      </c>
      <c r="C66" s="483">
        <f t="shared" si="4"/>
        <v>0.58823529411764708</v>
      </c>
      <c r="E66" s="833"/>
      <c r="F66" s="823">
        <f t="shared" si="2"/>
        <v>0</v>
      </c>
      <c r="G66" s="833"/>
      <c r="H66" s="833">
        <v>1</v>
      </c>
      <c r="I66" s="823">
        <f t="shared" si="0"/>
        <v>50</v>
      </c>
      <c r="J66" s="833"/>
      <c r="K66" s="833">
        <v>1</v>
      </c>
      <c r="L66" s="823">
        <f t="shared" si="1"/>
        <v>50</v>
      </c>
    </row>
    <row r="67" spans="1:12" ht="11.25" customHeight="1">
      <c r="A67" s="4" t="s">
        <v>77</v>
      </c>
      <c r="B67" s="428">
        <f t="shared" si="3"/>
        <v>1</v>
      </c>
      <c r="C67" s="483">
        <f t="shared" si="4"/>
        <v>0.29411764705882354</v>
      </c>
      <c r="E67" s="833"/>
      <c r="F67" s="823">
        <f t="shared" si="2"/>
        <v>0</v>
      </c>
      <c r="G67" s="833"/>
      <c r="H67" s="833"/>
      <c r="I67" s="823">
        <f t="shared" si="0"/>
        <v>0</v>
      </c>
      <c r="J67" s="833"/>
      <c r="K67" s="833">
        <v>1</v>
      </c>
      <c r="L67" s="823">
        <f t="shared" si="1"/>
        <v>100</v>
      </c>
    </row>
    <row r="68" spans="1:12" ht="12.75" customHeight="1">
      <c r="A68" s="4" t="s">
        <v>81</v>
      </c>
      <c r="B68" s="428">
        <f t="shared" si="3"/>
        <v>1</v>
      </c>
      <c r="C68" s="483">
        <f t="shared" si="4"/>
        <v>0.29411764705882354</v>
      </c>
      <c r="E68" s="833"/>
      <c r="F68" s="823">
        <f t="shared" si="2"/>
        <v>0</v>
      </c>
      <c r="G68" s="833"/>
      <c r="H68" s="833"/>
      <c r="I68" s="823">
        <f t="shared" si="0"/>
        <v>0</v>
      </c>
      <c r="J68" s="833"/>
      <c r="K68" s="833">
        <v>1</v>
      </c>
      <c r="L68" s="823">
        <f t="shared" si="1"/>
        <v>100</v>
      </c>
    </row>
    <row r="69" spans="1:12" ht="13.5" customHeight="1">
      <c r="A69" s="4" t="s">
        <v>84</v>
      </c>
      <c r="B69" s="428">
        <f t="shared" si="3"/>
        <v>2</v>
      </c>
      <c r="C69" s="483">
        <f t="shared" si="4"/>
        <v>0.58823529411764708</v>
      </c>
      <c r="E69" s="833"/>
      <c r="F69" s="823">
        <f t="shared" si="2"/>
        <v>0</v>
      </c>
      <c r="G69" s="833"/>
      <c r="H69" s="833">
        <v>1</v>
      </c>
      <c r="I69" s="823">
        <f t="shared" si="0"/>
        <v>50</v>
      </c>
      <c r="J69" s="833"/>
      <c r="K69" s="833">
        <v>1</v>
      </c>
      <c r="L69" s="823">
        <f t="shared" si="1"/>
        <v>50</v>
      </c>
    </row>
    <row r="70" spans="1:12" ht="12.75" customHeight="1">
      <c r="A70" s="4" t="s">
        <v>339</v>
      </c>
      <c r="B70" s="428">
        <f t="shared" si="3"/>
        <v>3</v>
      </c>
      <c r="C70" s="483">
        <f t="shared" si="4"/>
        <v>0.88235294117647056</v>
      </c>
      <c r="E70" s="833"/>
      <c r="F70" s="823">
        <f t="shared" si="2"/>
        <v>0</v>
      </c>
      <c r="G70" s="833"/>
      <c r="H70" s="833">
        <v>2</v>
      </c>
      <c r="I70" s="823">
        <f t="shared" si="0"/>
        <v>66.666666666666657</v>
      </c>
      <c r="J70" s="833"/>
      <c r="K70" s="833">
        <v>1</v>
      </c>
      <c r="L70" s="823">
        <f t="shared" si="1"/>
        <v>33.333333333333329</v>
      </c>
    </row>
    <row r="71" spans="1:12" ht="7.5" customHeight="1">
      <c r="B71" s="428" t="str">
        <f t="shared" si="3"/>
        <v/>
      </c>
      <c r="C71" s="483" t="str">
        <f t="shared" si="4"/>
        <v/>
      </c>
      <c r="E71" s="541"/>
      <c r="F71" s="823" t="str">
        <f t="shared" si="2"/>
        <v/>
      </c>
      <c r="G71" s="541"/>
      <c r="H71" s="541"/>
      <c r="I71" s="823" t="str">
        <f t="shared" si="0"/>
        <v/>
      </c>
      <c r="J71" s="541"/>
      <c r="K71" s="541"/>
      <c r="L71" s="823" t="str">
        <f t="shared" si="1"/>
        <v/>
      </c>
    </row>
    <row r="72" spans="1:12" ht="12.95" customHeight="1">
      <c r="A72" s="9" t="s">
        <v>336</v>
      </c>
      <c r="B72" s="428">
        <f t="shared" si="3"/>
        <v>12</v>
      </c>
      <c r="C72" s="483">
        <f t="shared" si="4"/>
        <v>3.5294117647058822</v>
      </c>
      <c r="D72" s="9"/>
      <c r="E72" s="541">
        <f t="shared" ref="E72:K72" si="8">SUM(E73)</f>
        <v>0</v>
      </c>
      <c r="F72" s="823">
        <f t="shared" si="2"/>
        <v>0</v>
      </c>
      <c r="G72" s="541"/>
      <c r="H72" s="541">
        <f t="shared" si="8"/>
        <v>5</v>
      </c>
      <c r="I72" s="823">
        <f t="shared" si="0"/>
        <v>41.666666666666671</v>
      </c>
      <c r="J72" s="541"/>
      <c r="K72" s="541">
        <f t="shared" si="8"/>
        <v>7</v>
      </c>
      <c r="L72" s="823">
        <f t="shared" si="1"/>
        <v>58.333333333333336</v>
      </c>
    </row>
    <row r="73" spans="1:12" ht="12.95" customHeight="1">
      <c r="A73" s="4" t="s">
        <v>772</v>
      </c>
      <c r="B73" s="428">
        <f t="shared" si="3"/>
        <v>12</v>
      </c>
      <c r="C73" s="483">
        <f t="shared" si="4"/>
        <v>3.5294117647058822</v>
      </c>
      <c r="E73" s="541">
        <f>SUM(E74:E77)</f>
        <v>0</v>
      </c>
      <c r="F73" s="823">
        <f t="shared" si="2"/>
        <v>0</v>
      </c>
      <c r="G73" s="541"/>
      <c r="H73" s="541">
        <f>SUM(H74:H77)</f>
        <v>5</v>
      </c>
      <c r="I73" s="823">
        <f t="shared" si="0"/>
        <v>41.666666666666671</v>
      </c>
      <c r="J73" s="541"/>
      <c r="K73" s="541">
        <f>SUM(K74:K77)</f>
        <v>7</v>
      </c>
      <c r="L73" s="823">
        <f t="shared" si="1"/>
        <v>58.333333333333336</v>
      </c>
    </row>
    <row r="74" spans="1:12" ht="12.95" customHeight="1">
      <c r="A74" s="4" t="s">
        <v>70</v>
      </c>
      <c r="B74" s="428">
        <f t="shared" si="3"/>
        <v>4</v>
      </c>
      <c r="C74" s="483">
        <f t="shared" si="4"/>
        <v>1.1764705882352942</v>
      </c>
      <c r="E74" s="833"/>
      <c r="F74" s="823">
        <f t="shared" si="2"/>
        <v>0</v>
      </c>
      <c r="G74" s="833"/>
      <c r="H74" s="833">
        <v>2</v>
      </c>
      <c r="I74" s="823">
        <f t="shared" si="0"/>
        <v>50</v>
      </c>
      <c r="J74" s="833"/>
      <c r="K74" s="833">
        <v>2</v>
      </c>
      <c r="L74" s="823">
        <f t="shared" si="1"/>
        <v>50</v>
      </c>
    </row>
    <row r="75" spans="1:12" ht="12.95" customHeight="1">
      <c r="A75" s="4" t="s">
        <v>71</v>
      </c>
      <c r="B75" s="428">
        <f t="shared" si="3"/>
        <v>4</v>
      </c>
      <c r="C75" s="483">
        <f t="shared" si="4"/>
        <v>1.1764705882352942</v>
      </c>
      <c r="E75" s="833"/>
      <c r="F75" s="823">
        <f t="shared" si="2"/>
        <v>0</v>
      </c>
      <c r="G75" s="833"/>
      <c r="H75" s="833">
        <v>2</v>
      </c>
      <c r="I75" s="823">
        <f t="shared" ref="I75:I101" si="9">IF($A75&lt;&gt;"",H75/$B75*100,"")</f>
        <v>50</v>
      </c>
      <c r="J75" s="833"/>
      <c r="K75" s="833">
        <v>2</v>
      </c>
      <c r="L75" s="823">
        <f t="shared" ref="L75:L101" si="10">IF($A75&lt;&gt;"",K75/$B75*100,"")</f>
        <v>50</v>
      </c>
    </row>
    <row r="76" spans="1:12" ht="12.95" customHeight="1">
      <c r="A76" s="4" t="s">
        <v>72</v>
      </c>
      <c r="B76" s="428">
        <f t="shared" si="3"/>
        <v>2</v>
      </c>
      <c r="C76" s="483">
        <f t="shared" si="4"/>
        <v>0.58823529411764708</v>
      </c>
      <c r="E76" s="833"/>
      <c r="F76" s="823">
        <f t="shared" ref="F76:F101" si="11">IF($A76&lt;&gt;"",E76/$B76*100,"")</f>
        <v>0</v>
      </c>
      <c r="G76" s="833"/>
      <c r="H76" s="833">
        <v>1</v>
      </c>
      <c r="I76" s="823">
        <f t="shared" si="9"/>
        <v>50</v>
      </c>
      <c r="J76" s="833"/>
      <c r="K76" s="833">
        <v>1</v>
      </c>
      <c r="L76" s="823">
        <f t="shared" si="10"/>
        <v>50</v>
      </c>
    </row>
    <row r="77" spans="1:12" ht="12.95" customHeight="1">
      <c r="A77" s="4" t="s">
        <v>73</v>
      </c>
      <c r="B77" s="428">
        <f t="shared" ref="B77:B101" si="12">IF($A77&lt;&gt;"",E77+H77+K77,"")</f>
        <v>2</v>
      </c>
      <c r="C77" s="483">
        <f t="shared" si="4"/>
        <v>0.58823529411764708</v>
      </c>
      <c r="E77" s="833"/>
      <c r="F77" s="823">
        <f t="shared" si="11"/>
        <v>0</v>
      </c>
      <c r="G77" s="833"/>
      <c r="H77" s="833"/>
      <c r="I77" s="823">
        <f t="shared" si="9"/>
        <v>0</v>
      </c>
      <c r="J77" s="833"/>
      <c r="K77" s="833">
        <v>2</v>
      </c>
      <c r="L77" s="823">
        <f t="shared" si="10"/>
        <v>100</v>
      </c>
    </row>
    <row r="78" spans="1:12" ht="6.75" customHeight="1">
      <c r="B78" s="428" t="str">
        <f t="shared" si="12"/>
        <v/>
      </c>
      <c r="C78" s="483" t="str">
        <f t="shared" ref="C78:C101" si="13">IF($A78&lt;&gt;0,B78/$B$11*100,"")</f>
        <v/>
      </c>
      <c r="E78" s="541"/>
      <c r="F78" s="823" t="str">
        <f t="shared" si="11"/>
        <v/>
      </c>
      <c r="G78" s="541"/>
      <c r="H78" s="541"/>
      <c r="I78" s="823" t="str">
        <f t="shared" si="9"/>
        <v/>
      </c>
      <c r="J78" s="541"/>
      <c r="K78" s="541"/>
      <c r="L78" s="823" t="str">
        <f t="shared" si="10"/>
        <v/>
      </c>
    </row>
    <row r="79" spans="1:12" ht="12.95" customHeight="1">
      <c r="A79" s="9" t="s">
        <v>333</v>
      </c>
      <c r="B79" s="428">
        <f t="shared" si="12"/>
        <v>27</v>
      </c>
      <c r="C79" s="483">
        <f t="shared" si="13"/>
        <v>7.9411764705882346</v>
      </c>
      <c r="D79" s="9"/>
      <c r="E79" s="541">
        <f>SUM(E80+E87+E89+E91)</f>
        <v>6</v>
      </c>
      <c r="F79" s="823">
        <f t="shared" si="11"/>
        <v>22.222222222222221</v>
      </c>
      <c r="G79" s="541"/>
      <c r="H79" s="541">
        <f>SUM(H80+H87+H89+H91)</f>
        <v>8</v>
      </c>
      <c r="I79" s="823">
        <f t="shared" si="9"/>
        <v>29.629629629629626</v>
      </c>
      <c r="J79" s="541"/>
      <c r="K79" s="541">
        <f>SUM(K80+K87+K89+K91)</f>
        <v>13</v>
      </c>
      <c r="L79" s="823">
        <f t="shared" si="10"/>
        <v>48.148148148148145</v>
      </c>
    </row>
    <row r="80" spans="1:12" ht="12.95" customHeight="1">
      <c r="A80" s="4" t="s">
        <v>773</v>
      </c>
      <c r="B80" s="428">
        <f t="shared" si="12"/>
        <v>23</v>
      </c>
      <c r="C80" s="483">
        <f t="shared" si="13"/>
        <v>6.7647058823529411</v>
      </c>
      <c r="E80" s="541">
        <f t="shared" ref="E80:K80" si="14">SUM(E81:E85)</f>
        <v>5</v>
      </c>
      <c r="F80" s="823">
        <f t="shared" si="11"/>
        <v>21.739130434782609</v>
      </c>
      <c r="G80" s="541"/>
      <c r="H80" s="541">
        <f t="shared" si="14"/>
        <v>8</v>
      </c>
      <c r="I80" s="823">
        <f t="shared" si="9"/>
        <v>34.782608695652172</v>
      </c>
      <c r="J80" s="541"/>
      <c r="K80" s="541">
        <f t="shared" si="14"/>
        <v>10</v>
      </c>
      <c r="L80" s="823">
        <f t="shared" si="10"/>
        <v>43.478260869565219</v>
      </c>
    </row>
    <row r="81" spans="1:12" ht="12.95" customHeight="1">
      <c r="A81" s="4" t="s">
        <v>395</v>
      </c>
      <c r="B81" s="428">
        <f t="shared" si="12"/>
        <v>2</v>
      </c>
      <c r="C81" s="483">
        <f t="shared" si="13"/>
        <v>0.58823529411764708</v>
      </c>
      <c r="E81" s="833"/>
      <c r="F81" s="823">
        <f t="shared" si="11"/>
        <v>0</v>
      </c>
      <c r="G81" s="833"/>
      <c r="H81" s="833">
        <v>1</v>
      </c>
      <c r="I81" s="823">
        <f t="shared" si="9"/>
        <v>50</v>
      </c>
      <c r="J81" s="833"/>
      <c r="K81" s="833">
        <v>1</v>
      </c>
      <c r="L81" s="823">
        <f t="shared" si="10"/>
        <v>50</v>
      </c>
    </row>
    <row r="82" spans="1:12" ht="12.95" customHeight="1">
      <c r="A82" s="4" t="s">
        <v>62</v>
      </c>
      <c r="B82" s="428">
        <f t="shared" si="12"/>
        <v>1</v>
      </c>
      <c r="C82" s="483">
        <f t="shared" si="13"/>
        <v>0.29411764705882354</v>
      </c>
      <c r="E82" s="833"/>
      <c r="F82" s="823">
        <f t="shared" si="11"/>
        <v>0</v>
      </c>
      <c r="G82" s="833"/>
      <c r="H82" s="833"/>
      <c r="I82" s="823">
        <f t="shared" si="9"/>
        <v>0</v>
      </c>
      <c r="J82" s="833"/>
      <c r="K82" s="833">
        <v>1</v>
      </c>
      <c r="L82" s="823">
        <f t="shared" si="10"/>
        <v>100</v>
      </c>
    </row>
    <row r="83" spans="1:12" ht="12.95" customHeight="1">
      <c r="A83" s="4" t="s">
        <v>64</v>
      </c>
      <c r="B83" s="428">
        <f t="shared" si="12"/>
        <v>2</v>
      </c>
      <c r="C83" s="483">
        <f t="shared" si="13"/>
        <v>0.58823529411764708</v>
      </c>
      <c r="E83" s="833"/>
      <c r="F83" s="823">
        <f t="shared" si="11"/>
        <v>0</v>
      </c>
      <c r="G83" s="833"/>
      <c r="H83" s="833">
        <v>1</v>
      </c>
      <c r="I83" s="823">
        <f t="shared" si="9"/>
        <v>50</v>
      </c>
      <c r="J83" s="833"/>
      <c r="K83" s="833">
        <v>1</v>
      </c>
      <c r="L83" s="823">
        <f t="shared" si="10"/>
        <v>50</v>
      </c>
    </row>
    <row r="84" spans="1:12" ht="12.95" customHeight="1">
      <c r="A84" s="4" t="s">
        <v>63</v>
      </c>
      <c r="B84" s="428">
        <f t="shared" si="12"/>
        <v>2</v>
      </c>
      <c r="C84" s="483">
        <f t="shared" si="13"/>
        <v>0.58823529411764708</v>
      </c>
      <c r="E84" s="833"/>
      <c r="F84" s="823">
        <f t="shared" si="11"/>
        <v>0</v>
      </c>
      <c r="G84" s="833"/>
      <c r="H84" s="833">
        <v>1</v>
      </c>
      <c r="I84" s="823">
        <f t="shared" si="9"/>
        <v>50</v>
      </c>
      <c r="J84" s="833"/>
      <c r="K84" s="833">
        <v>1</v>
      </c>
      <c r="L84" s="823">
        <f t="shared" si="10"/>
        <v>50</v>
      </c>
    </row>
    <row r="85" spans="1:12" ht="12.95" customHeight="1">
      <c r="A85" s="4" t="s">
        <v>65</v>
      </c>
      <c r="B85" s="428">
        <f t="shared" si="12"/>
        <v>16</v>
      </c>
      <c r="C85" s="483">
        <f t="shared" si="13"/>
        <v>4.7058823529411766</v>
      </c>
      <c r="E85" s="833">
        <v>5</v>
      </c>
      <c r="F85" s="823">
        <f t="shared" si="11"/>
        <v>31.25</v>
      </c>
      <c r="G85" s="833"/>
      <c r="H85" s="833">
        <v>5</v>
      </c>
      <c r="I85" s="823">
        <f t="shared" si="9"/>
        <v>31.25</v>
      </c>
      <c r="J85" s="833"/>
      <c r="K85" s="833">
        <v>6</v>
      </c>
      <c r="L85" s="823">
        <f t="shared" si="10"/>
        <v>37.5</v>
      </c>
    </row>
    <row r="86" spans="1:12" ht="6" customHeight="1">
      <c r="B86" s="428" t="str">
        <f t="shared" si="12"/>
        <v/>
      </c>
      <c r="C86" s="483" t="str">
        <f t="shared" si="13"/>
        <v/>
      </c>
      <c r="E86" s="434"/>
      <c r="F86" s="823" t="str">
        <f t="shared" si="11"/>
        <v/>
      </c>
      <c r="G86" s="434"/>
      <c r="H86" s="434"/>
      <c r="I86" s="823" t="str">
        <f t="shared" si="9"/>
        <v/>
      </c>
      <c r="J86" s="434"/>
      <c r="K86" s="434"/>
      <c r="L86" s="823" t="str">
        <f t="shared" si="10"/>
        <v/>
      </c>
    </row>
    <row r="87" spans="1:12" ht="12.95" customHeight="1">
      <c r="A87" s="4" t="s">
        <v>334</v>
      </c>
      <c r="B87" s="428">
        <f t="shared" si="12"/>
        <v>1</v>
      </c>
      <c r="C87" s="483">
        <f t="shared" si="13"/>
        <v>0.29411764705882354</v>
      </c>
      <c r="E87" s="833"/>
      <c r="F87" s="823">
        <f t="shared" si="11"/>
        <v>0</v>
      </c>
      <c r="G87" s="833"/>
      <c r="H87" s="833"/>
      <c r="I87" s="823">
        <f t="shared" si="9"/>
        <v>0</v>
      </c>
      <c r="J87" s="833"/>
      <c r="K87" s="833">
        <v>1</v>
      </c>
      <c r="L87" s="823">
        <f t="shared" si="10"/>
        <v>100</v>
      </c>
    </row>
    <row r="88" spans="1:12" ht="7.5" customHeight="1">
      <c r="B88" s="428" t="str">
        <f t="shared" si="12"/>
        <v/>
      </c>
      <c r="C88" s="483" t="str">
        <f t="shared" si="13"/>
        <v/>
      </c>
      <c r="E88" s="434"/>
      <c r="F88" s="823" t="str">
        <f t="shared" si="11"/>
        <v/>
      </c>
      <c r="G88" s="434"/>
      <c r="H88" s="434"/>
      <c r="I88" s="823" t="str">
        <f t="shared" si="9"/>
        <v/>
      </c>
      <c r="J88" s="434"/>
      <c r="K88" s="434"/>
      <c r="L88" s="823" t="str">
        <f t="shared" si="10"/>
        <v/>
      </c>
    </row>
    <row r="89" spans="1:12" ht="12.95" customHeight="1">
      <c r="A89" s="4" t="s">
        <v>774</v>
      </c>
      <c r="B89" s="428">
        <f t="shared" si="12"/>
        <v>1</v>
      </c>
      <c r="C89" s="483">
        <f t="shared" si="13"/>
        <v>0.29411764705882354</v>
      </c>
      <c r="E89" s="833"/>
      <c r="F89" s="823">
        <f t="shared" si="11"/>
        <v>0</v>
      </c>
      <c r="G89" s="833"/>
      <c r="H89" s="833"/>
      <c r="I89" s="823">
        <f t="shared" si="9"/>
        <v>0</v>
      </c>
      <c r="J89" s="833"/>
      <c r="K89" s="833">
        <v>1</v>
      </c>
      <c r="L89" s="823">
        <f t="shared" si="10"/>
        <v>100</v>
      </c>
    </row>
    <row r="90" spans="1:12" ht="10.5" customHeight="1">
      <c r="B90" s="428" t="str">
        <f t="shared" si="12"/>
        <v/>
      </c>
      <c r="C90" s="483" t="str">
        <f t="shared" si="13"/>
        <v/>
      </c>
      <c r="E90" s="434"/>
      <c r="F90" s="823" t="str">
        <f t="shared" si="11"/>
        <v/>
      </c>
      <c r="G90" s="434"/>
      <c r="H90" s="434"/>
      <c r="I90" s="823" t="str">
        <f t="shared" si="9"/>
        <v/>
      </c>
      <c r="J90" s="434"/>
      <c r="K90" s="434"/>
      <c r="L90" s="823" t="str">
        <f t="shared" si="10"/>
        <v/>
      </c>
    </row>
    <row r="91" spans="1:12" ht="12.95" customHeight="1">
      <c r="A91" s="4" t="s">
        <v>66</v>
      </c>
      <c r="B91" s="428">
        <f t="shared" si="12"/>
        <v>2</v>
      </c>
      <c r="C91" s="483">
        <f t="shared" si="13"/>
        <v>0.58823529411764708</v>
      </c>
      <c r="E91" s="833">
        <v>1</v>
      </c>
      <c r="F91" s="823">
        <f t="shared" si="11"/>
        <v>50</v>
      </c>
      <c r="G91" s="833"/>
      <c r="H91" s="833"/>
      <c r="I91" s="823">
        <f t="shared" si="9"/>
        <v>0</v>
      </c>
      <c r="J91" s="833"/>
      <c r="K91" s="833">
        <v>1</v>
      </c>
      <c r="L91" s="823">
        <f t="shared" si="10"/>
        <v>50</v>
      </c>
    </row>
    <row r="92" spans="1:12" ht="5.25" customHeight="1">
      <c r="B92" s="428" t="str">
        <f t="shared" si="12"/>
        <v/>
      </c>
      <c r="C92" s="483" t="str">
        <f t="shared" si="13"/>
        <v/>
      </c>
      <c r="E92" s="541"/>
      <c r="F92" s="823" t="str">
        <f t="shared" si="11"/>
        <v/>
      </c>
      <c r="G92" s="541"/>
      <c r="H92" s="541"/>
      <c r="I92" s="823" t="str">
        <f t="shared" si="9"/>
        <v/>
      </c>
      <c r="J92" s="541"/>
      <c r="K92" s="541"/>
      <c r="L92" s="823" t="str">
        <f t="shared" si="10"/>
        <v/>
      </c>
    </row>
    <row r="93" spans="1:12" ht="12.95" customHeight="1">
      <c r="A93" s="4" t="s">
        <v>775</v>
      </c>
      <c r="B93" s="428">
        <f t="shared" si="12"/>
        <v>7</v>
      </c>
      <c r="C93" s="483">
        <f t="shared" si="13"/>
        <v>2.0588235294117645</v>
      </c>
      <c r="E93" s="833"/>
      <c r="F93" s="823">
        <f t="shared" si="11"/>
        <v>0</v>
      </c>
      <c r="G93" s="833"/>
      <c r="H93" s="833">
        <v>5</v>
      </c>
      <c r="I93" s="823">
        <f t="shared" si="9"/>
        <v>71.428571428571431</v>
      </c>
      <c r="J93" s="833"/>
      <c r="K93" s="833">
        <v>2</v>
      </c>
      <c r="L93" s="823">
        <f t="shared" si="10"/>
        <v>28.571428571428569</v>
      </c>
    </row>
    <row r="94" spans="1:12" ht="12.95" customHeight="1">
      <c r="A94" s="4" t="s">
        <v>776</v>
      </c>
      <c r="B94" s="428">
        <f t="shared" si="12"/>
        <v>6</v>
      </c>
      <c r="C94" s="483">
        <f t="shared" si="13"/>
        <v>1.7647058823529411</v>
      </c>
      <c r="E94" s="833"/>
      <c r="F94" s="823">
        <f t="shared" si="11"/>
        <v>0</v>
      </c>
      <c r="G94" s="833"/>
      <c r="H94" s="833">
        <v>2</v>
      </c>
      <c r="I94" s="823">
        <f t="shared" si="9"/>
        <v>33.333333333333329</v>
      </c>
      <c r="J94" s="833"/>
      <c r="K94" s="833">
        <v>4</v>
      </c>
      <c r="L94" s="823">
        <f t="shared" si="10"/>
        <v>66.666666666666657</v>
      </c>
    </row>
    <row r="95" spans="1:12" ht="6.75" customHeight="1">
      <c r="B95" s="428" t="str">
        <f t="shared" si="12"/>
        <v/>
      </c>
      <c r="C95" s="483" t="str">
        <f t="shared" si="13"/>
        <v/>
      </c>
      <c r="E95" s="541"/>
      <c r="F95" s="823" t="str">
        <f t="shared" si="11"/>
        <v/>
      </c>
      <c r="G95" s="541"/>
      <c r="H95" s="541"/>
      <c r="I95" s="823" t="str">
        <f t="shared" si="9"/>
        <v/>
      </c>
      <c r="J95" s="541"/>
      <c r="K95" s="541"/>
      <c r="L95" s="823" t="str">
        <f t="shared" si="10"/>
        <v/>
      </c>
    </row>
    <row r="96" spans="1:12" ht="12.95" customHeight="1">
      <c r="A96" s="9" t="s">
        <v>346</v>
      </c>
      <c r="B96" s="428">
        <f t="shared" si="12"/>
        <v>133</v>
      </c>
      <c r="C96" s="483">
        <f t="shared" si="13"/>
        <v>39.117647058823529</v>
      </c>
      <c r="D96" s="9"/>
      <c r="E96" s="541">
        <f>SUM(E97:E101)</f>
        <v>6</v>
      </c>
      <c r="F96" s="823">
        <f t="shared" si="11"/>
        <v>4.5112781954887211</v>
      </c>
      <c r="G96" s="541"/>
      <c r="H96" s="541">
        <f>SUM(H97:H102)</f>
        <v>80</v>
      </c>
      <c r="I96" s="823">
        <f t="shared" si="9"/>
        <v>60.150375939849624</v>
      </c>
      <c r="J96" s="541"/>
      <c r="K96" s="541">
        <f>SUM(K97:K101)</f>
        <v>47</v>
      </c>
      <c r="L96" s="823">
        <f t="shared" si="10"/>
        <v>35.338345864661655</v>
      </c>
    </row>
    <row r="97" spans="1:13" ht="12.95" customHeight="1">
      <c r="A97" s="4" t="s">
        <v>777</v>
      </c>
      <c r="B97" s="428">
        <f t="shared" si="12"/>
        <v>27</v>
      </c>
      <c r="C97" s="483">
        <f t="shared" si="13"/>
        <v>7.9411764705882346</v>
      </c>
      <c r="E97" s="833"/>
      <c r="F97" s="823">
        <f t="shared" si="11"/>
        <v>0</v>
      </c>
      <c r="G97" s="833"/>
      <c r="H97" s="833">
        <v>21</v>
      </c>
      <c r="I97" s="823">
        <f t="shared" si="9"/>
        <v>77.777777777777786</v>
      </c>
      <c r="J97" s="833"/>
      <c r="K97" s="833">
        <v>6</v>
      </c>
      <c r="L97" s="823">
        <f t="shared" si="10"/>
        <v>22.222222222222221</v>
      </c>
    </row>
    <row r="98" spans="1:13" ht="12.95" customHeight="1">
      <c r="A98" s="4" t="s">
        <v>778</v>
      </c>
      <c r="B98" s="428">
        <f t="shared" si="12"/>
        <v>39</v>
      </c>
      <c r="C98" s="483">
        <f t="shared" si="13"/>
        <v>11.470588235294118</v>
      </c>
      <c r="E98" s="833"/>
      <c r="F98" s="823">
        <f t="shared" si="11"/>
        <v>0</v>
      </c>
      <c r="G98" s="833"/>
      <c r="H98" s="833">
        <v>25</v>
      </c>
      <c r="I98" s="823">
        <f t="shared" si="9"/>
        <v>64.102564102564102</v>
      </c>
      <c r="J98" s="833"/>
      <c r="K98" s="833">
        <v>14</v>
      </c>
      <c r="L98" s="823">
        <f t="shared" si="10"/>
        <v>35.897435897435898</v>
      </c>
    </row>
    <row r="99" spans="1:13" ht="12.95" customHeight="1">
      <c r="A99" s="4" t="s">
        <v>779</v>
      </c>
      <c r="B99" s="428">
        <f t="shared" si="12"/>
        <v>29</v>
      </c>
      <c r="C99" s="483">
        <f t="shared" si="13"/>
        <v>8.5294117647058822</v>
      </c>
      <c r="E99" s="833">
        <v>2</v>
      </c>
      <c r="F99" s="823">
        <f t="shared" si="11"/>
        <v>6.8965517241379306</v>
      </c>
      <c r="G99" s="833"/>
      <c r="H99" s="833">
        <v>15</v>
      </c>
      <c r="I99" s="823">
        <f t="shared" si="9"/>
        <v>51.724137931034484</v>
      </c>
      <c r="J99" s="833"/>
      <c r="K99" s="833">
        <v>12</v>
      </c>
      <c r="L99" s="823">
        <f t="shared" si="10"/>
        <v>41.379310344827587</v>
      </c>
    </row>
    <row r="100" spans="1:13" ht="12.95" customHeight="1">
      <c r="A100" s="4" t="s">
        <v>780</v>
      </c>
      <c r="B100" s="428">
        <f t="shared" si="12"/>
        <v>20</v>
      </c>
      <c r="C100" s="483">
        <f t="shared" si="13"/>
        <v>5.8823529411764701</v>
      </c>
      <c r="E100" s="833">
        <v>2</v>
      </c>
      <c r="F100" s="823">
        <f t="shared" si="11"/>
        <v>10</v>
      </c>
      <c r="G100" s="833"/>
      <c r="H100" s="833">
        <v>10</v>
      </c>
      <c r="I100" s="823">
        <f t="shared" si="9"/>
        <v>50</v>
      </c>
      <c r="J100" s="833"/>
      <c r="K100" s="833">
        <v>8</v>
      </c>
      <c r="L100" s="823">
        <f t="shared" si="10"/>
        <v>40</v>
      </c>
    </row>
    <row r="101" spans="1:13" ht="12.95" customHeight="1">
      <c r="A101" s="4" t="s">
        <v>781</v>
      </c>
      <c r="B101" s="428">
        <f t="shared" si="12"/>
        <v>18</v>
      </c>
      <c r="C101" s="483">
        <f t="shared" si="13"/>
        <v>5.2941176470588234</v>
      </c>
      <c r="E101" s="833">
        <v>2</v>
      </c>
      <c r="F101" s="823">
        <f t="shared" si="11"/>
        <v>11.111111111111111</v>
      </c>
      <c r="G101" s="833"/>
      <c r="H101" s="833">
        <v>9</v>
      </c>
      <c r="I101" s="823">
        <f t="shared" si="9"/>
        <v>50</v>
      </c>
      <c r="J101" s="833"/>
      <c r="K101" s="833">
        <v>7</v>
      </c>
      <c r="L101" s="823">
        <f t="shared" si="10"/>
        <v>38.888888888888893</v>
      </c>
    </row>
    <row r="102" spans="1:13" ht="5.25" customHeight="1" thickBot="1">
      <c r="A102" s="165"/>
      <c r="B102" s="165"/>
      <c r="C102" s="165"/>
      <c r="D102" s="165"/>
      <c r="E102" s="831"/>
      <c r="F102" s="832"/>
      <c r="G102" s="831"/>
      <c r="H102" s="831"/>
      <c r="I102" s="832"/>
      <c r="J102" s="831"/>
      <c r="K102" s="831"/>
    </row>
    <row r="103" spans="1:13" ht="8.25" customHeight="1">
      <c r="L103" s="826"/>
      <c r="M103" s="825"/>
    </row>
    <row r="104" spans="1:13" ht="12.75" customHeight="1">
      <c r="A104" s="4" t="s">
        <v>2120</v>
      </c>
      <c r="L104" s="829"/>
      <c r="M104" s="773"/>
    </row>
    <row r="105" spans="1:13" ht="7.5" customHeight="1"/>
    <row r="106" spans="1:13">
      <c r="A106" s="4" t="s">
        <v>782</v>
      </c>
    </row>
    <row r="107" spans="1:13">
      <c r="A107" s="4" t="s">
        <v>365</v>
      </c>
    </row>
  </sheetData>
  <mergeCells count="4">
    <mergeCell ref="B7:C7"/>
    <mergeCell ref="E7:F7"/>
    <mergeCell ref="H7:I7"/>
    <mergeCell ref="K7:L7"/>
  </mergeCells>
  <printOptions horizontalCentered="1" verticalCentered="1"/>
  <pageMargins left="0" right="0" top="0" bottom="0" header="0.31496062992125984" footer="0.31496062992125984"/>
  <pageSetup paperSize="9" scale="65" orientation="portrait" r:id="rId1"/>
  <drawing r:id="rId2"/>
</worksheet>
</file>

<file path=xl/worksheets/sheet37.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A32" sqref="A32"/>
    </sheetView>
  </sheetViews>
  <sheetFormatPr baseColWidth="10" defaultRowHeight="15"/>
  <sheetData>
    <row r="1" spans="2:11" ht="12.75" customHeight="1"/>
    <row r="2" spans="2:11" ht="12.75" customHeight="1">
      <c r="B2" t="s">
        <v>299</v>
      </c>
      <c r="C2" t="s">
        <v>296</v>
      </c>
      <c r="D2" t="s">
        <v>757</v>
      </c>
      <c r="J2" s="32"/>
    </row>
    <row r="3" spans="2:11" ht="12.75" customHeight="1">
      <c r="B3" s="43">
        <v>52.35</v>
      </c>
      <c r="C3" s="43">
        <v>42.94</v>
      </c>
      <c r="D3" s="43">
        <v>4.71</v>
      </c>
      <c r="H3" s="33"/>
    </row>
    <row r="4" spans="2:11" ht="12.75" customHeight="1">
      <c r="F4" s="198"/>
      <c r="G4" s="198"/>
      <c r="H4" s="198"/>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dimension ref="A1:T31"/>
  <sheetViews>
    <sheetView workbookViewId="0">
      <selection activeCell="A3" sqref="A3"/>
    </sheetView>
  </sheetViews>
  <sheetFormatPr baseColWidth="10" defaultRowHeight="15"/>
  <cols>
    <col min="1" max="1" width="35.5703125" style="208" customWidth="1"/>
    <col min="2" max="2" width="7.140625" style="208" customWidth="1"/>
    <col min="3" max="3" width="8.140625" style="208" customWidth="1"/>
    <col min="4" max="4" width="2.7109375" style="208" customWidth="1"/>
    <col min="5" max="5" width="8.140625" style="212" customWidth="1"/>
    <col min="6" max="6" width="7.7109375" style="210" customWidth="1"/>
    <col min="7" max="7" width="2.7109375" style="199" customWidth="1"/>
    <col min="8" max="8" width="9.140625" style="212" customWidth="1"/>
    <col min="9" max="9" width="10.7109375" style="210" customWidth="1"/>
    <col min="10" max="10" width="2.7109375" style="199" customWidth="1"/>
    <col min="11" max="11" width="11.42578125" style="212" customWidth="1"/>
    <col min="12" max="12" width="9.5703125" style="211" customWidth="1"/>
    <col min="13" max="13" width="2.85546875" customWidth="1"/>
    <col min="14" max="14" width="7.28515625" style="212" customWidth="1"/>
    <col min="15" max="15" width="6.5703125" style="211" customWidth="1"/>
    <col min="16" max="16" width="2.42578125" customWidth="1"/>
    <col min="257" max="257" width="42.7109375" customWidth="1"/>
    <col min="258" max="258" width="10.5703125" customWidth="1"/>
    <col min="259" max="259" width="10.42578125" customWidth="1"/>
    <col min="260" max="260" width="2.7109375" customWidth="1"/>
    <col min="261" max="261" width="12.7109375" customWidth="1"/>
    <col min="262" max="262" width="12.28515625" customWidth="1"/>
    <col min="263" max="263" width="2.7109375" customWidth="1"/>
    <col min="264" max="264" width="12.140625" customWidth="1"/>
    <col min="265" max="265" width="13.42578125" customWidth="1"/>
    <col min="266" max="266" width="2.7109375" customWidth="1"/>
    <col min="267" max="267" width="13.28515625" customWidth="1"/>
    <col min="268" max="268" width="11.28515625" customWidth="1"/>
    <col min="269" max="269" width="2.85546875" customWidth="1"/>
    <col min="270" max="270" width="13.28515625" customWidth="1"/>
    <col min="271" max="271" width="11.28515625" customWidth="1"/>
    <col min="272" max="272" width="3.5703125" customWidth="1"/>
    <col min="513" max="513" width="42.7109375" customWidth="1"/>
    <col min="514" max="514" width="10.5703125" customWidth="1"/>
    <col min="515" max="515" width="10.42578125" customWidth="1"/>
    <col min="516" max="516" width="2.7109375" customWidth="1"/>
    <col min="517" max="517" width="12.7109375" customWidth="1"/>
    <col min="518" max="518" width="12.28515625" customWidth="1"/>
    <col min="519" max="519" width="2.7109375" customWidth="1"/>
    <col min="520" max="520" width="12.140625" customWidth="1"/>
    <col min="521" max="521" width="13.42578125" customWidth="1"/>
    <col min="522" max="522" width="2.7109375" customWidth="1"/>
    <col min="523" max="523" width="13.28515625" customWidth="1"/>
    <col min="524" max="524" width="11.28515625" customWidth="1"/>
    <col min="525" max="525" width="2.85546875" customWidth="1"/>
    <col min="526" max="526" width="13.28515625" customWidth="1"/>
    <col min="527" max="527" width="11.28515625" customWidth="1"/>
    <col min="528" max="528" width="3.5703125" customWidth="1"/>
    <col min="769" max="769" width="42.7109375" customWidth="1"/>
    <col min="770" max="770" width="10.5703125" customWidth="1"/>
    <col min="771" max="771" width="10.42578125" customWidth="1"/>
    <col min="772" max="772" width="2.7109375" customWidth="1"/>
    <col min="773" max="773" width="12.7109375" customWidth="1"/>
    <col min="774" max="774" width="12.28515625" customWidth="1"/>
    <col min="775" max="775" width="2.7109375" customWidth="1"/>
    <col min="776" max="776" width="12.140625" customWidth="1"/>
    <col min="777" max="777" width="13.42578125" customWidth="1"/>
    <col min="778" max="778" width="2.7109375" customWidth="1"/>
    <col min="779" max="779" width="13.28515625" customWidth="1"/>
    <col min="780" max="780" width="11.28515625" customWidth="1"/>
    <col min="781" max="781" width="2.85546875" customWidth="1"/>
    <col min="782" max="782" width="13.28515625" customWidth="1"/>
    <col min="783" max="783" width="11.28515625" customWidth="1"/>
    <col min="784" max="784" width="3.5703125" customWidth="1"/>
    <col min="1025" max="1025" width="42.7109375" customWidth="1"/>
    <col min="1026" max="1026" width="10.5703125" customWidth="1"/>
    <col min="1027" max="1027" width="10.42578125" customWidth="1"/>
    <col min="1028" max="1028" width="2.7109375" customWidth="1"/>
    <col min="1029" max="1029" width="12.7109375" customWidth="1"/>
    <col min="1030" max="1030" width="12.28515625" customWidth="1"/>
    <col min="1031" max="1031" width="2.7109375" customWidth="1"/>
    <col min="1032" max="1032" width="12.140625" customWidth="1"/>
    <col min="1033" max="1033" width="13.42578125" customWidth="1"/>
    <col min="1034" max="1034" width="2.7109375" customWidth="1"/>
    <col min="1035" max="1035" width="13.28515625" customWidth="1"/>
    <col min="1036" max="1036" width="11.28515625" customWidth="1"/>
    <col min="1037" max="1037" width="2.85546875" customWidth="1"/>
    <col min="1038" max="1038" width="13.28515625" customWidth="1"/>
    <col min="1039" max="1039" width="11.28515625" customWidth="1"/>
    <col min="1040" max="1040" width="3.5703125" customWidth="1"/>
    <col min="1281" max="1281" width="42.7109375" customWidth="1"/>
    <col min="1282" max="1282" width="10.5703125" customWidth="1"/>
    <col min="1283" max="1283" width="10.42578125" customWidth="1"/>
    <col min="1284" max="1284" width="2.7109375" customWidth="1"/>
    <col min="1285" max="1285" width="12.7109375" customWidth="1"/>
    <col min="1286" max="1286" width="12.28515625" customWidth="1"/>
    <col min="1287" max="1287" width="2.7109375" customWidth="1"/>
    <col min="1288" max="1288" width="12.140625" customWidth="1"/>
    <col min="1289" max="1289" width="13.42578125" customWidth="1"/>
    <col min="1290" max="1290" width="2.7109375" customWidth="1"/>
    <col min="1291" max="1291" width="13.28515625" customWidth="1"/>
    <col min="1292" max="1292" width="11.28515625" customWidth="1"/>
    <col min="1293" max="1293" width="2.85546875" customWidth="1"/>
    <col min="1294" max="1294" width="13.28515625" customWidth="1"/>
    <col min="1295" max="1295" width="11.28515625" customWidth="1"/>
    <col min="1296" max="1296" width="3.5703125" customWidth="1"/>
    <col min="1537" max="1537" width="42.7109375" customWidth="1"/>
    <col min="1538" max="1538" width="10.5703125" customWidth="1"/>
    <col min="1539" max="1539" width="10.42578125" customWidth="1"/>
    <col min="1540" max="1540" width="2.7109375" customWidth="1"/>
    <col min="1541" max="1541" width="12.7109375" customWidth="1"/>
    <col min="1542" max="1542" width="12.28515625" customWidth="1"/>
    <col min="1543" max="1543" width="2.7109375" customWidth="1"/>
    <col min="1544" max="1544" width="12.140625" customWidth="1"/>
    <col min="1545" max="1545" width="13.42578125" customWidth="1"/>
    <col min="1546" max="1546" width="2.7109375" customWidth="1"/>
    <col min="1547" max="1547" width="13.28515625" customWidth="1"/>
    <col min="1548" max="1548" width="11.28515625" customWidth="1"/>
    <col min="1549" max="1549" width="2.85546875" customWidth="1"/>
    <col min="1550" max="1550" width="13.28515625" customWidth="1"/>
    <col min="1551" max="1551" width="11.28515625" customWidth="1"/>
    <col min="1552" max="1552" width="3.5703125" customWidth="1"/>
    <col min="1793" max="1793" width="42.7109375" customWidth="1"/>
    <col min="1794" max="1794" width="10.5703125" customWidth="1"/>
    <col min="1795" max="1795" width="10.42578125" customWidth="1"/>
    <col min="1796" max="1796" width="2.7109375" customWidth="1"/>
    <col min="1797" max="1797" width="12.7109375" customWidth="1"/>
    <col min="1798" max="1798" width="12.28515625" customWidth="1"/>
    <col min="1799" max="1799" width="2.7109375" customWidth="1"/>
    <col min="1800" max="1800" width="12.140625" customWidth="1"/>
    <col min="1801" max="1801" width="13.42578125" customWidth="1"/>
    <col min="1802" max="1802" width="2.7109375" customWidth="1"/>
    <col min="1803" max="1803" width="13.28515625" customWidth="1"/>
    <col min="1804" max="1804" width="11.28515625" customWidth="1"/>
    <col min="1805" max="1805" width="2.85546875" customWidth="1"/>
    <col min="1806" max="1806" width="13.28515625" customWidth="1"/>
    <col min="1807" max="1807" width="11.28515625" customWidth="1"/>
    <col min="1808" max="1808" width="3.5703125" customWidth="1"/>
    <col min="2049" max="2049" width="42.7109375" customWidth="1"/>
    <col min="2050" max="2050" width="10.5703125" customWidth="1"/>
    <col min="2051" max="2051" width="10.42578125" customWidth="1"/>
    <col min="2052" max="2052" width="2.7109375" customWidth="1"/>
    <col min="2053" max="2053" width="12.7109375" customWidth="1"/>
    <col min="2054" max="2054" width="12.28515625" customWidth="1"/>
    <col min="2055" max="2055" width="2.7109375" customWidth="1"/>
    <col min="2056" max="2056" width="12.140625" customWidth="1"/>
    <col min="2057" max="2057" width="13.42578125" customWidth="1"/>
    <col min="2058" max="2058" width="2.7109375" customWidth="1"/>
    <col min="2059" max="2059" width="13.28515625" customWidth="1"/>
    <col min="2060" max="2060" width="11.28515625" customWidth="1"/>
    <col min="2061" max="2061" width="2.85546875" customWidth="1"/>
    <col min="2062" max="2062" width="13.28515625" customWidth="1"/>
    <col min="2063" max="2063" width="11.28515625" customWidth="1"/>
    <col min="2064" max="2064" width="3.5703125" customWidth="1"/>
    <col min="2305" max="2305" width="42.7109375" customWidth="1"/>
    <col min="2306" max="2306" width="10.5703125" customWidth="1"/>
    <col min="2307" max="2307" width="10.42578125" customWidth="1"/>
    <col min="2308" max="2308" width="2.7109375" customWidth="1"/>
    <col min="2309" max="2309" width="12.7109375" customWidth="1"/>
    <col min="2310" max="2310" width="12.28515625" customWidth="1"/>
    <col min="2311" max="2311" width="2.7109375" customWidth="1"/>
    <col min="2312" max="2312" width="12.140625" customWidth="1"/>
    <col min="2313" max="2313" width="13.42578125" customWidth="1"/>
    <col min="2314" max="2314" width="2.7109375" customWidth="1"/>
    <col min="2315" max="2315" width="13.28515625" customWidth="1"/>
    <col min="2316" max="2316" width="11.28515625" customWidth="1"/>
    <col min="2317" max="2317" width="2.85546875" customWidth="1"/>
    <col min="2318" max="2318" width="13.28515625" customWidth="1"/>
    <col min="2319" max="2319" width="11.28515625" customWidth="1"/>
    <col min="2320" max="2320" width="3.5703125" customWidth="1"/>
    <col min="2561" max="2561" width="42.7109375" customWidth="1"/>
    <col min="2562" max="2562" width="10.5703125" customWidth="1"/>
    <col min="2563" max="2563" width="10.42578125" customWidth="1"/>
    <col min="2564" max="2564" width="2.7109375" customWidth="1"/>
    <col min="2565" max="2565" width="12.7109375" customWidth="1"/>
    <col min="2566" max="2566" width="12.28515625" customWidth="1"/>
    <col min="2567" max="2567" width="2.7109375" customWidth="1"/>
    <col min="2568" max="2568" width="12.140625" customWidth="1"/>
    <col min="2569" max="2569" width="13.42578125" customWidth="1"/>
    <col min="2570" max="2570" width="2.7109375" customWidth="1"/>
    <col min="2571" max="2571" width="13.28515625" customWidth="1"/>
    <col min="2572" max="2572" width="11.28515625" customWidth="1"/>
    <col min="2573" max="2573" width="2.85546875" customWidth="1"/>
    <col min="2574" max="2574" width="13.28515625" customWidth="1"/>
    <col min="2575" max="2575" width="11.28515625" customWidth="1"/>
    <col min="2576" max="2576" width="3.5703125" customWidth="1"/>
    <col min="2817" max="2817" width="42.7109375" customWidth="1"/>
    <col min="2818" max="2818" width="10.5703125" customWidth="1"/>
    <col min="2819" max="2819" width="10.42578125" customWidth="1"/>
    <col min="2820" max="2820" width="2.7109375" customWidth="1"/>
    <col min="2821" max="2821" width="12.7109375" customWidth="1"/>
    <col min="2822" max="2822" width="12.28515625" customWidth="1"/>
    <col min="2823" max="2823" width="2.7109375" customWidth="1"/>
    <col min="2824" max="2824" width="12.140625" customWidth="1"/>
    <col min="2825" max="2825" width="13.42578125" customWidth="1"/>
    <col min="2826" max="2826" width="2.7109375" customWidth="1"/>
    <col min="2827" max="2827" width="13.28515625" customWidth="1"/>
    <col min="2828" max="2828" width="11.28515625" customWidth="1"/>
    <col min="2829" max="2829" width="2.85546875" customWidth="1"/>
    <col min="2830" max="2830" width="13.28515625" customWidth="1"/>
    <col min="2831" max="2831" width="11.28515625" customWidth="1"/>
    <col min="2832" max="2832" width="3.5703125" customWidth="1"/>
    <col min="3073" max="3073" width="42.7109375" customWidth="1"/>
    <col min="3074" max="3074" width="10.5703125" customWidth="1"/>
    <col min="3075" max="3075" width="10.42578125" customWidth="1"/>
    <col min="3076" max="3076" width="2.7109375" customWidth="1"/>
    <col min="3077" max="3077" width="12.7109375" customWidth="1"/>
    <col min="3078" max="3078" width="12.28515625" customWidth="1"/>
    <col min="3079" max="3079" width="2.7109375" customWidth="1"/>
    <col min="3080" max="3080" width="12.140625" customWidth="1"/>
    <col min="3081" max="3081" width="13.42578125" customWidth="1"/>
    <col min="3082" max="3082" width="2.7109375" customWidth="1"/>
    <col min="3083" max="3083" width="13.28515625" customWidth="1"/>
    <col min="3084" max="3084" width="11.28515625" customWidth="1"/>
    <col min="3085" max="3085" width="2.85546875" customWidth="1"/>
    <col min="3086" max="3086" width="13.28515625" customWidth="1"/>
    <col min="3087" max="3087" width="11.28515625" customWidth="1"/>
    <col min="3088" max="3088" width="3.5703125" customWidth="1"/>
    <col min="3329" max="3329" width="42.7109375" customWidth="1"/>
    <col min="3330" max="3330" width="10.5703125" customWidth="1"/>
    <col min="3331" max="3331" width="10.42578125" customWidth="1"/>
    <col min="3332" max="3332" width="2.7109375" customWidth="1"/>
    <col min="3333" max="3333" width="12.7109375" customWidth="1"/>
    <col min="3334" max="3334" width="12.28515625" customWidth="1"/>
    <col min="3335" max="3335" width="2.7109375" customWidth="1"/>
    <col min="3336" max="3336" width="12.140625" customWidth="1"/>
    <col min="3337" max="3337" width="13.42578125" customWidth="1"/>
    <col min="3338" max="3338" width="2.7109375" customWidth="1"/>
    <col min="3339" max="3339" width="13.28515625" customWidth="1"/>
    <col min="3340" max="3340" width="11.28515625" customWidth="1"/>
    <col min="3341" max="3341" width="2.85546875" customWidth="1"/>
    <col min="3342" max="3342" width="13.28515625" customWidth="1"/>
    <col min="3343" max="3343" width="11.28515625" customWidth="1"/>
    <col min="3344" max="3344" width="3.5703125" customWidth="1"/>
    <col min="3585" max="3585" width="42.7109375" customWidth="1"/>
    <col min="3586" max="3586" width="10.5703125" customWidth="1"/>
    <col min="3587" max="3587" width="10.42578125" customWidth="1"/>
    <col min="3588" max="3588" width="2.7109375" customWidth="1"/>
    <col min="3589" max="3589" width="12.7109375" customWidth="1"/>
    <col min="3590" max="3590" width="12.28515625" customWidth="1"/>
    <col min="3591" max="3591" width="2.7109375" customWidth="1"/>
    <col min="3592" max="3592" width="12.140625" customWidth="1"/>
    <col min="3593" max="3593" width="13.42578125" customWidth="1"/>
    <col min="3594" max="3594" width="2.7109375" customWidth="1"/>
    <col min="3595" max="3595" width="13.28515625" customWidth="1"/>
    <col min="3596" max="3596" width="11.28515625" customWidth="1"/>
    <col min="3597" max="3597" width="2.85546875" customWidth="1"/>
    <col min="3598" max="3598" width="13.28515625" customWidth="1"/>
    <col min="3599" max="3599" width="11.28515625" customWidth="1"/>
    <col min="3600" max="3600" width="3.5703125" customWidth="1"/>
    <col min="3841" max="3841" width="42.7109375" customWidth="1"/>
    <col min="3842" max="3842" width="10.5703125" customWidth="1"/>
    <col min="3843" max="3843" width="10.42578125" customWidth="1"/>
    <col min="3844" max="3844" width="2.7109375" customWidth="1"/>
    <col min="3845" max="3845" width="12.7109375" customWidth="1"/>
    <col min="3846" max="3846" width="12.28515625" customWidth="1"/>
    <col min="3847" max="3847" width="2.7109375" customWidth="1"/>
    <col min="3848" max="3848" width="12.140625" customWidth="1"/>
    <col min="3849" max="3849" width="13.42578125" customWidth="1"/>
    <col min="3850" max="3850" width="2.7109375" customWidth="1"/>
    <col min="3851" max="3851" width="13.28515625" customWidth="1"/>
    <col min="3852" max="3852" width="11.28515625" customWidth="1"/>
    <col min="3853" max="3853" width="2.85546875" customWidth="1"/>
    <col min="3854" max="3854" width="13.28515625" customWidth="1"/>
    <col min="3855" max="3855" width="11.28515625" customWidth="1"/>
    <col min="3856" max="3856" width="3.5703125" customWidth="1"/>
    <col min="4097" max="4097" width="42.7109375" customWidth="1"/>
    <col min="4098" max="4098" width="10.5703125" customWidth="1"/>
    <col min="4099" max="4099" width="10.42578125" customWidth="1"/>
    <col min="4100" max="4100" width="2.7109375" customWidth="1"/>
    <col min="4101" max="4101" width="12.7109375" customWidth="1"/>
    <col min="4102" max="4102" width="12.28515625" customWidth="1"/>
    <col min="4103" max="4103" width="2.7109375" customWidth="1"/>
    <col min="4104" max="4104" width="12.140625" customWidth="1"/>
    <col min="4105" max="4105" width="13.42578125" customWidth="1"/>
    <col min="4106" max="4106" width="2.7109375" customWidth="1"/>
    <col min="4107" max="4107" width="13.28515625" customWidth="1"/>
    <col min="4108" max="4108" width="11.28515625" customWidth="1"/>
    <col min="4109" max="4109" width="2.85546875" customWidth="1"/>
    <col min="4110" max="4110" width="13.28515625" customWidth="1"/>
    <col min="4111" max="4111" width="11.28515625" customWidth="1"/>
    <col min="4112" max="4112" width="3.5703125" customWidth="1"/>
    <col min="4353" max="4353" width="42.7109375" customWidth="1"/>
    <col min="4354" max="4354" width="10.5703125" customWidth="1"/>
    <col min="4355" max="4355" width="10.42578125" customWidth="1"/>
    <col min="4356" max="4356" width="2.7109375" customWidth="1"/>
    <col min="4357" max="4357" width="12.7109375" customWidth="1"/>
    <col min="4358" max="4358" width="12.28515625" customWidth="1"/>
    <col min="4359" max="4359" width="2.7109375" customWidth="1"/>
    <col min="4360" max="4360" width="12.140625" customWidth="1"/>
    <col min="4361" max="4361" width="13.42578125" customWidth="1"/>
    <col min="4362" max="4362" width="2.7109375" customWidth="1"/>
    <col min="4363" max="4363" width="13.28515625" customWidth="1"/>
    <col min="4364" max="4364" width="11.28515625" customWidth="1"/>
    <col min="4365" max="4365" width="2.85546875" customWidth="1"/>
    <col min="4366" max="4366" width="13.28515625" customWidth="1"/>
    <col min="4367" max="4367" width="11.28515625" customWidth="1"/>
    <col min="4368" max="4368" width="3.5703125" customWidth="1"/>
    <col min="4609" max="4609" width="42.7109375" customWidth="1"/>
    <col min="4610" max="4610" width="10.5703125" customWidth="1"/>
    <col min="4611" max="4611" width="10.42578125" customWidth="1"/>
    <col min="4612" max="4612" width="2.7109375" customWidth="1"/>
    <col min="4613" max="4613" width="12.7109375" customWidth="1"/>
    <col min="4614" max="4614" width="12.28515625" customWidth="1"/>
    <col min="4615" max="4615" width="2.7109375" customWidth="1"/>
    <col min="4616" max="4616" width="12.140625" customWidth="1"/>
    <col min="4617" max="4617" width="13.42578125" customWidth="1"/>
    <col min="4618" max="4618" width="2.7109375" customWidth="1"/>
    <col min="4619" max="4619" width="13.28515625" customWidth="1"/>
    <col min="4620" max="4620" width="11.28515625" customWidth="1"/>
    <col min="4621" max="4621" width="2.85546875" customWidth="1"/>
    <col min="4622" max="4622" width="13.28515625" customWidth="1"/>
    <col min="4623" max="4623" width="11.28515625" customWidth="1"/>
    <col min="4624" max="4624" width="3.5703125" customWidth="1"/>
    <col min="4865" max="4865" width="42.7109375" customWidth="1"/>
    <col min="4866" max="4866" width="10.5703125" customWidth="1"/>
    <col min="4867" max="4867" width="10.42578125" customWidth="1"/>
    <col min="4868" max="4868" width="2.7109375" customWidth="1"/>
    <col min="4869" max="4869" width="12.7109375" customWidth="1"/>
    <col min="4870" max="4870" width="12.28515625" customWidth="1"/>
    <col min="4871" max="4871" width="2.7109375" customWidth="1"/>
    <col min="4872" max="4872" width="12.140625" customWidth="1"/>
    <col min="4873" max="4873" width="13.42578125" customWidth="1"/>
    <col min="4874" max="4874" width="2.7109375" customWidth="1"/>
    <col min="4875" max="4875" width="13.28515625" customWidth="1"/>
    <col min="4876" max="4876" width="11.28515625" customWidth="1"/>
    <col min="4877" max="4877" width="2.85546875" customWidth="1"/>
    <col min="4878" max="4878" width="13.28515625" customWidth="1"/>
    <col min="4879" max="4879" width="11.28515625" customWidth="1"/>
    <col min="4880" max="4880" width="3.5703125" customWidth="1"/>
    <col min="5121" max="5121" width="42.7109375" customWidth="1"/>
    <col min="5122" max="5122" width="10.5703125" customWidth="1"/>
    <col min="5123" max="5123" width="10.42578125" customWidth="1"/>
    <col min="5124" max="5124" width="2.7109375" customWidth="1"/>
    <col min="5125" max="5125" width="12.7109375" customWidth="1"/>
    <col min="5126" max="5126" width="12.28515625" customWidth="1"/>
    <col min="5127" max="5127" width="2.7109375" customWidth="1"/>
    <col min="5128" max="5128" width="12.140625" customWidth="1"/>
    <col min="5129" max="5129" width="13.42578125" customWidth="1"/>
    <col min="5130" max="5130" width="2.7109375" customWidth="1"/>
    <col min="5131" max="5131" width="13.28515625" customWidth="1"/>
    <col min="5132" max="5132" width="11.28515625" customWidth="1"/>
    <col min="5133" max="5133" width="2.85546875" customWidth="1"/>
    <col min="5134" max="5134" width="13.28515625" customWidth="1"/>
    <col min="5135" max="5135" width="11.28515625" customWidth="1"/>
    <col min="5136" max="5136" width="3.5703125" customWidth="1"/>
    <col min="5377" max="5377" width="42.7109375" customWidth="1"/>
    <col min="5378" max="5378" width="10.5703125" customWidth="1"/>
    <col min="5379" max="5379" width="10.42578125" customWidth="1"/>
    <col min="5380" max="5380" width="2.7109375" customWidth="1"/>
    <col min="5381" max="5381" width="12.7109375" customWidth="1"/>
    <col min="5382" max="5382" width="12.28515625" customWidth="1"/>
    <col min="5383" max="5383" width="2.7109375" customWidth="1"/>
    <col min="5384" max="5384" width="12.140625" customWidth="1"/>
    <col min="5385" max="5385" width="13.42578125" customWidth="1"/>
    <col min="5386" max="5386" width="2.7109375" customWidth="1"/>
    <col min="5387" max="5387" width="13.28515625" customWidth="1"/>
    <col min="5388" max="5388" width="11.28515625" customWidth="1"/>
    <col min="5389" max="5389" width="2.85546875" customWidth="1"/>
    <col min="5390" max="5390" width="13.28515625" customWidth="1"/>
    <col min="5391" max="5391" width="11.28515625" customWidth="1"/>
    <col min="5392" max="5392" width="3.5703125" customWidth="1"/>
    <col min="5633" max="5633" width="42.7109375" customWidth="1"/>
    <col min="5634" max="5634" width="10.5703125" customWidth="1"/>
    <col min="5635" max="5635" width="10.42578125" customWidth="1"/>
    <col min="5636" max="5636" width="2.7109375" customWidth="1"/>
    <col min="5637" max="5637" width="12.7109375" customWidth="1"/>
    <col min="5638" max="5638" width="12.28515625" customWidth="1"/>
    <col min="5639" max="5639" width="2.7109375" customWidth="1"/>
    <col min="5640" max="5640" width="12.140625" customWidth="1"/>
    <col min="5641" max="5641" width="13.42578125" customWidth="1"/>
    <col min="5642" max="5642" width="2.7109375" customWidth="1"/>
    <col min="5643" max="5643" width="13.28515625" customWidth="1"/>
    <col min="5644" max="5644" width="11.28515625" customWidth="1"/>
    <col min="5645" max="5645" width="2.85546875" customWidth="1"/>
    <col min="5646" max="5646" width="13.28515625" customWidth="1"/>
    <col min="5647" max="5647" width="11.28515625" customWidth="1"/>
    <col min="5648" max="5648" width="3.5703125" customWidth="1"/>
    <col min="5889" max="5889" width="42.7109375" customWidth="1"/>
    <col min="5890" max="5890" width="10.5703125" customWidth="1"/>
    <col min="5891" max="5891" width="10.42578125" customWidth="1"/>
    <col min="5892" max="5892" width="2.7109375" customWidth="1"/>
    <col min="5893" max="5893" width="12.7109375" customWidth="1"/>
    <col min="5894" max="5894" width="12.28515625" customWidth="1"/>
    <col min="5895" max="5895" width="2.7109375" customWidth="1"/>
    <col min="5896" max="5896" width="12.140625" customWidth="1"/>
    <col min="5897" max="5897" width="13.42578125" customWidth="1"/>
    <col min="5898" max="5898" width="2.7109375" customWidth="1"/>
    <col min="5899" max="5899" width="13.28515625" customWidth="1"/>
    <col min="5900" max="5900" width="11.28515625" customWidth="1"/>
    <col min="5901" max="5901" width="2.85546875" customWidth="1"/>
    <col min="5902" max="5902" width="13.28515625" customWidth="1"/>
    <col min="5903" max="5903" width="11.28515625" customWidth="1"/>
    <col min="5904" max="5904" width="3.5703125" customWidth="1"/>
    <col min="6145" max="6145" width="42.7109375" customWidth="1"/>
    <col min="6146" max="6146" width="10.5703125" customWidth="1"/>
    <col min="6147" max="6147" width="10.42578125" customWidth="1"/>
    <col min="6148" max="6148" width="2.7109375" customWidth="1"/>
    <col min="6149" max="6149" width="12.7109375" customWidth="1"/>
    <col min="6150" max="6150" width="12.28515625" customWidth="1"/>
    <col min="6151" max="6151" width="2.7109375" customWidth="1"/>
    <col min="6152" max="6152" width="12.140625" customWidth="1"/>
    <col min="6153" max="6153" width="13.42578125" customWidth="1"/>
    <col min="6154" max="6154" width="2.7109375" customWidth="1"/>
    <col min="6155" max="6155" width="13.28515625" customWidth="1"/>
    <col min="6156" max="6156" width="11.28515625" customWidth="1"/>
    <col min="6157" max="6157" width="2.85546875" customWidth="1"/>
    <col min="6158" max="6158" width="13.28515625" customWidth="1"/>
    <col min="6159" max="6159" width="11.28515625" customWidth="1"/>
    <col min="6160" max="6160" width="3.5703125" customWidth="1"/>
    <col min="6401" max="6401" width="42.7109375" customWidth="1"/>
    <col min="6402" max="6402" width="10.5703125" customWidth="1"/>
    <col min="6403" max="6403" width="10.42578125" customWidth="1"/>
    <col min="6404" max="6404" width="2.7109375" customWidth="1"/>
    <col min="6405" max="6405" width="12.7109375" customWidth="1"/>
    <col min="6406" max="6406" width="12.28515625" customWidth="1"/>
    <col min="6407" max="6407" width="2.7109375" customWidth="1"/>
    <col min="6408" max="6408" width="12.140625" customWidth="1"/>
    <col min="6409" max="6409" width="13.42578125" customWidth="1"/>
    <col min="6410" max="6410" width="2.7109375" customWidth="1"/>
    <col min="6411" max="6411" width="13.28515625" customWidth="1"/>
    <col min="6412" max="6412" width="11.28515625" customWidth="1"/>
    <col min="6413" max="6413" width="2.85546875" customWidth="1"/>
    <col min="6414" max="6414" width="13.28515625" customWidth="1"/>
    <col min="6415" max="6415" width="11.28515625" customWidth="1"/>
    <col min="6416" max="6416" width="3.5703125" customWidth="1"/>
    <col min="6657" max="6657" width="42.7109375" customWidth="1"/>
    <col min="6658" max="6658" width="10.5703125" customWidth="1"/>
    <col min="6659" max="6659" width="10.42578125" customWidth="1"/>
    <col min="6660" max="6660" width="2.7109375" customWidth="1"/>
    <col min="6661" max="6661" width="12.7109375" customWidth="1"/>
    <col min="6662" max="6662" width="12.28515625" customWidth="1"/>
    <col min="6663" max="6663" width="2.7109375" customWidth="1"/>
    <col min="6664" max="6664" width="12.140625" customWidth="1"/>
    <col min="6665" max="6665" width="13.42578125" customWidth="1"/>
    <col min="6666" max="6666" width="2.7109375" customWidth="1"/>
    <col min="6667" max="6667" width="13.28515625" customWidth="1"/>
    <col min="6668" max="6668" width="11.28515625" customWidth="1"/>
    <col min="6669" max="6669" width="2.85546875" customWidth="1"/>
    <col min="6670" max="6670" width="13.28515625" customWidth="1"/>
    <col min="6671" max="6671" width="11.28515625" customWidth="1"/>
    <col min="6672" max="6672" width="3.5703125" customWidth="1"/>
    <col min="6913" max="6913" width="42.7109375" customWidth="1"/>
    <col min="6914" max="6914" width="10.5703125" customWidth="1"/>
    <col min="6915" max="6915" width="10.42578125" customWidth="1"/>
    <col min="6916" max="6916" width="2.7109375" customWidth="1"/>
    <col min="6917" max="6917" width="12.7109375" customWidth="1"/>
    <col min="6918" max="6918" width="12.28515625" customWidth="1"/>
    <col min="6919" max="6919" width="2.7109375" customWidth="1"/>
    <col min="6920" max="6920" width="12.140625" customWidth="1"/>
    <col min="6921" max="6921" width="13.42578125" customWidth="1"/>
    <col min="6922" max="6922" width="2.7109375" customWidth="1"/>
    <col min="6923" max="6923" width="13.28515625" customWidth="1"/>
    <col min="6924" max="6924" width="11.28515625" customWidth="1"/>
    <col min="6925" max="6925" width="2.85546875" customWidth="1"/>
    <col min="6926" max="6926" width="13.28515625" customWidth="1"/>
    <col min="6927" max="6927" width="11.28515625" customWidth="1"/>
    <col min="6928" max="6928" width="3.5703125" customWidth="1"/>
    <col min="7169" max="7169" width="42.7109375" customWidth="1"/>
    <col min="7170" max="7170" width="10.5703125" customWidth="1"/>
    <col min="7171" max="7171" width="10.42578125" customWidth="1"/>
    <col min="7172" max="7172" width="2.7109375" customWidth="1"/>
    <col min="7173" max="7173" width="12.7109375" customWidth="1"/>
    <col min="7174" max="7174" width="12.28515625" customWidth="1"/>
    <col min="7175" max="7175" width="2.7109375" customWidth="1"/>
    <col min="7176" max="7176" width="12.140625" customWidth="1"/>
    <col min="7177" max="7177" width="13.42578125" customWidth="1"/>
    <col min="7178" max="7178" width="2.7109375" customWidth="1"/>
    <col min="7179" max="7179" width="13.28515625" customWidth="1"/>
    <col min="7180" max="7180" width="11.28515625" customWidth="1"/>
    <col min="7181" max="7181" width="2.85546875" customWidth="1"/>
    <col min="7182" max="7182" width="13.28515625" customWidth="1"/>
    <col min="7183" max="7183" width="11.28515625" customWidth="1"/>
    <col min="7184" max="7184" width="3.5703125" customWidth="1"/>
    <col min="7425" max="7425" width="42.7109375" customWidth="1"/>
    <col min="7426" max="7426" width="10.5703125" customWidth="1"/>
    <col min="7427" max="7427" width="10.42578125" customWidth="1"/>
    <col min="7428" max="7428" width="2.7109375" customWidth="1"/>
    <col min="7429" max="7429" width="12.7109375" customWidth="1"/>
    <col min="7430" max="7430" width="12.28515625" customWidth="1"/>
    <col min="7431" max="7431" width="2.7109375" customWidth="1"/>
    <col min="7432" max="7432" width="12.140625" customWidth="1"/>
    <col min="7433" max="7433" width="13.42578125" customWidth="1"/>
    <col min="7434" max="7434" width="2.7109375" customWidth="1"/>
    <col min="7435" max="7435" width="13.28515625" customWidth="1"/>
    <col min="7436" max="7436" width="11.28515625" customWidth="1"/>
    <col min="7437" max="7437" width="2.85546875" customWidth="1"/>
    <col min="7438" max="7438" width="13.28515625" customWidth="1"/>
    <col min="7439" max="7439" width="11.28515625" customWidth="1"/>
    <col min="7440" max="7440" width="3.5703125" customWidth="1"/>
    <col min="7681" max="7681" width="42.7109375" customWidth="1"/>
    <col min="7682" max="7682" width="10.5703125" customWidth="1"/>
    <col min="7683" max="7683" width="10.42578125" customWidth="1"/>
    <col min="7684" max="7684" width="2.7109375" customWidth="1"/>
    <col min="7685" max="7685" width="12.7109375" customWidth="1"/>
    <col min="7686" max="7686" width="12.28515625" customWidth="1"/>
    <col min="7687" max="7687" width="2.7109375" customWidth="1"/>
    <col min="7688" max="7688" width="12.140625" customWidth="1"/>
    <col min="7689" max="7689" width="13.42578125" customWidth="1"/>
    <col min="7690" max="7690" width="2.7109375" customWidth="1"/>
    <col min="7691" max="7691" width="13.28515625" customWidth="1"/>
    <col min="7692" max="7692" width="11.28515625" customWidth="1"/>
    <col min="7693" max="7693" width="2.85546875" customWidth="1"/>
    <col min="7694" max="7694" width="13.28515625" customWidth="1"/>
    <col min="7695" max="7695" width="11.28515625" customWidth="1"/>
    <col min="7696" max="7696" width="3.5703125" customWidth="1"/>
    <col min="7937" max="7937" width="42.7109375" customWidth="1"/>
    <col min="7938" max="7938" width="10.5703125" customWidth="1"/>
    <col min="7939" max="7939" width="10.42578125" customWidth="1"/>
    <col min="7940" max="7940" width="2.7109375" customWidth="1"/>
    <col min="7941" max="7941" width="12.7109375" customWidth="1"/>
    <col min="7942" max="7942" width="12.28515625" customWidth="1"/>
    <col min="7943" max="7943" width="2.7109375" customWidth="1"/>
    <col min="7944" max="7944" width="12.140625" customWidth="1"/>
    <col min="7945" max="7945" width="13.42578125" customWidth="1"/>
    <col min="7946" max="7946" width="2.7109375" customWidth="1"/>
    <col min="7947" max="7947" width="13.28515625" customWidth="1"/>
    <col min="7948" max="7948" width="11.28515625" customWidth="1"/>
    <col min="7949" max="7949" width="2.85546875" customWidth="1"/>
    <col min="7950" max="7950" width="13.28515625" customWidth="1"/>
    <col min="7951" max="7951" width="11.28515625" customWidth="1"/>
    <col min="7952" max="7952" width="3.5703125" customWidth="1"/>
    <col min="8193" max="8193" width="42.7109375" customWidth="1"/>
    <col min="8194" max="8194" width="10.5703125" customWidth="1"/>
    <col min="8195" max="8195" width="10.42578125" customWidth="1"/>
    <col min="8196" max="8196" width="2.7109375" customWidth="1"/>
    <col min="8197" max="8197" width="12.7109375" customWidth="1"/>
    <col min="8198" max="8198" width="12.28515625" customWidth="1"/>
    <col min="8199" max="8199" width="2.7109375" customWidth="1"/>
    <col min="8200" max="8200" width="12.140625" customWidth="1"/>
    <col min="8201" max="8201" width="13.42578125" customWidth="1"/>
    <col min="8202" max="8202" width="2.7109375" customWidth="1"/>
    <col min="8203" max="8203" width="13.28515625" customWidth="1"/>
    <col min="8204" max="8204" width="11.28515625" customWidth="1"/>
    <col min="8205" max="8205" width="2.85546875" customWidth="1"/>
    <col min="8206" max="8206" width="13.28515625" customWidth="1"/>
    <col min="8207" max="8207" width="11.28515625" customWidth="1"/>
    <col min="8208" max="8208" width="3.5703125" customWidth="1"/>
    <col min="8449" max="8449" width="42.7109375" customWidth="1"/>
    <col min="8450" max="8450" width="10.5703125" customWidth="1"/>
    <col min="8451" max="8451" width="10.42578125" customWidth="1"/>
    <col min="8452" max="8452" width="2.7109375" customWidth="1"/>
    <col min="8453" max="8453" width="12.7109375" customWidth="1"/>
    <col min="8454" max="8454" width="12.28515625" customWidth="1"/>
    <col min="8455" max="8455" width="2.7109375" customWidth="1"/>
    <col min="8456" max="8456" width="12.140625" customWidth="1"/>
    <col min="8457" max="8457" width="13.42578125" customWidth="1"/>
    <col min="8458" max="8458" width="2.7109375" customWidth="1"/>
    <col min="8459" max="8459" width="13.28515625" customWidth="1"/>
    <col min="8460" max="8460" width="11.28515625" customWidth="1"/>
    <col min="8461" max="8461" width="2.85546875" customWidth="1"/>
    <col min="8462" max="8462" width="13.28515625" customWidth="1"/>
    <col min="8463" max="8463" width="11.28515625" customWidth="1"/>
    <col min="8464" max="8464" width="3.5703125" customWidth="1"/>
    <col min="8705" max="8705" width="42.7109375" customWidth="1"/>
    <col min="8706" max="8706" width="10.5703125" customWidth="1"/>
    <col min="8707" max="8707" width="10.42578125" customWidth="1"/>
    <col min="8708" max="8708" width="2.7109375" customWidth="1"/>
    <col min="8709" max="8709" width="12.7109375" customWidth="1"/>
    <col min="8710" max="8710" width="12.28515625" customWidth="1"/>
    <col min="8711" max="8711" width="2.7109375" customWidth="1"/>
    <col min="8712" max="8712" width="12.140625" customWidth="1"/>
    <col min="8713" max="8713" width="13.42578125" customWidth="1"/>
    <col min="8714" max="8714" width="2.7109375" customWidth="1"/>
    <col min="8715" max="8715" width="13.28515625" customWidth="1"/>
    <col min="8716" max="8716" width="11.28515625" customWidth="1"/>
    <col min="8717" max="8717" width="2.85546875" customWidth="1"/>
    <col min="8718" max="8718" width="13.28515625" customWidth="1"/>
    <col min="8719" max="8719" width="11.28515625" customWidth="1"/>
    <col min="8720" max="8720" width="3.5703125" customWidth="1"/>
    <col min="8961" max="8961" width="42.7109375" customWidth="1"/>
    <col min="8962" max="8962" width="10.5703125" customWidth="1"/>
    <col min="8963" max="8963" width="10.42578125" customWidth="1"/>
    <col min="8964" max="8964" width="2.7109375" customWidth="1"/>
    <col min="8965" max="8965" width="12.7109375" customWidth="1"/>
    <col min="8966" max="8966" width="12.28515625" customWidth="1"/>
    <col min="8967" max="8967" width="2.7109375" customWidth="1"/>
    <col min="8968" max="8968" width="12.140625" customWidth="1"/>
    <col min="8969" max="8969" width="13.42578125" customWidth="1"/>
    <col min="8970" max="8970" width="2.7109375" customWidth="1"/>
    <col min="8971" max="8971" width="13.28515625" customWidth="1"/>
    <col min="8972" max="8972" width="11.28515625" customWidth="1"/>
    <col min="8973" max="8973" width="2.85546875" customWidth="1"/>
    <col min="8974" max="8974" width="13.28515625" customWidth="1"/>
    <col min="8975" max="8975" width="11.28515625" customWidth="1"/>
    <col min="8976" max="8976" width="3.5703125" customWidth="1"/>
    <col min="9217" max="9217" width="42.7109375" customWidth="1"/>
    <col min="9218" max="9218" width="10.5703125" customWidth="1"/>
    <col min="9219" max="9219" width="10.42578125" customWidth="1"/>
    <col min="9220" max="9220" width="2.7109375" customWidth="1"/>
    <col min="9221" max="9221" width="12.7109375" customWidth="1"/>
    <col min="9222" max="9222" width="12.28515625" customWidth="1"/>
    <col min="9223" max="9223" width="2.7109375" customWidth="1"/>
    <col min="9224" max="9224" width="12.140625" customWidth="1"/>
    <col min="9225" max="9225" width="13.42578125" customWidth="1"/>
    <col min="9226" max="9226" width="2.7109375" customWidth="1"/>
    <col min="9227" max="9227" width="13.28515625" customWidth="1"/>
    <col min="9228" max="9228" width="11.28515625" customWidth="1"/>
    <col min="9229" max="9229" width="2.85546875" customWidth="1"/>
    <col min="9230" max="9230" width="13.28515625" customWidth="1"/>
    <col min="9231" max="9231" width="11.28515625" customWidth="1"/>
    <col min="9232" max="9232" width="3.5703125" customWidth="1"/>
    <col min="9473" max="9473" width="42.7109375" customWidth="1"/>
    <col min="9474" max="9474" width="10.5703125" customWidth="1"/>
    <col min="9475" max="9475" width="10.42578125" customWidth="1"/>
    <col min="9476" max="9476" width="2.7109375" customWidth="1"/>
    <col min="9477" max="9477" width="12.7109375" customWidth="1"/>
    <col min="9478" max="9478" width="12.28515625" customWidth="1"/>
    <col min="9479" max="9479" width="2.7109375" customWidth="1"/>
    <col min="9480" max="9480" width="12.140625" customWidth="1"/>
    <col min="9481" max="9481" width="13.42578125" customWidth="1"/>
    <col min="9482" max="9482" width="2.7109375" customWidth="1"/>
    <col min="9483" max="9483" width="13.28515625" customWidth="1"/>
    <col min="9484" max="9484" width="11.28515625" customWidth="1"/>
    <col min="9485" max="9485" width="2.85546875" customWidth="1"/>
    <col min="9486" max="9486" width="13.28515625" customWidth="1"/>
    <col min="9487" max="9487" width="11.28515625" customWidth="1"/>
    <col min="9488" max="9488" width="3.5703125" customWidth="1"/>
    <col min="9729" max="9729" width="42.7109375" customWidth="1"/>
    <col min="9730" max="9730" width="10.5703125" customWidth="1"/>
    <col min="9731" max="9731" width="10.42578125" customWidth="1"/>
    <col min="9732" max="9732" width="2.7109375" customWidth="1"/>
    <col min="9733" max="9733" width="12.7109375" customWidth="1"/>
    <col min="9734" max="9734" width="12.28515625" customWidth="1"/>
    <col min="9735" max="9735" width="2.7109375" customWidth="1"/>
    <col min="9736" max="9736" width="12.140625" customWidth="1"/>
    <col min="9737" max="9737" width="13.42578125" customWidth="1"/>
    <col min="9738" max="9738" width="2.7109375" customWidth="1"/>
    <col min="9739" max="9739" width="13.28515625" customWidth="1"/>
    <col min="9740" max="9740" width="11.28515625" customWidth="1"/>
    <col min="9741" max="9741" width="2.85546875" customWidth="1"/>
    <col min="9742" max="9742" width="13.28515625" customWidth="1"/>
    <col min="9743" max="9743" width="11.28515625" customWidth="1"/>
    <col min="9744" max="9744" width="3.5703125" customWidth="1"/>
    <col min="9985" max="9985" width="42.7109375" customWidth="1"/>
    <col min="9986" max="9986" width="10.5703125" customWidth="1"/>
    <col min="9987" max="9987" width="10.42578125" customWidth="1"/>
    <col min="9988" max="9988" width="2.7109375" customWidth="1"/>
    <col min="9989" max="9989" width="12.7109375" customWidth="1"/>
    <col min="9990" max="9990" width="12.28515625" customWidth="1"/>
    <col min="9991" max="9991" width="2.7109375" customWidth="1"/>
    <col min="9992" max="9992" width="12.140625" customWidth="1"/>
    <col min="9993" max="9993" width="13.42578125" customWidth="1"/>
    <col min="9994" max="9994" width="2.7109375" customWidth="1"/>
    <col min="9995" max="9995" width="13.28515625" customWidth="1"/>
    <col min="9996" max="9996" width="11.28515625" customWidth="1"/>
    <col min="9997" max="9997" width="2.85546875" customWidth="1"/>
    <col min="9998" max="9998" width="13.28515625" customWidth="1"/>
    <col min="9999" max="9999" width="11.28515625" customWidth="1"/>
    <col min="10000" max="10000" width="3.5703125" customWidth="1"/>
    <col min="10241" max="10241" width="42.7109375" customWidth="1"/>
    <col min="10242" max="10242" width="10.5703125" customWidth="1"/>
    <col min="10243" max="10243" width="10.42578125" customWidth="1"/>
    <col min="10244" max="10244" width="2.7109375" customWidth="1"/>
    <col min="10245" max="10245" width="12.7109375" customWidth="1"/>
    <col min="10246" max="10246" width="12.28515625" customWidth="1"/>
    <col min="10247" max="10247" width="2.7109375" customWidth="1"/>
    <col min="10248" max="10248" width="12.140625" customWidth="1"/>
    <col min="10249" max="10249" width="13.42578125" customWidth="1"/>
    <col min="10250" max="10250" width="2.7109375" customWidth="1"/>
    <col min="10251" max="10251" width="13.28515625" customWidth="1"/>
    <col min="10252" max="10252" width="11.28515625" customWidth="1"/>
    <col min="10253" max="10253" width="2.85546875" customWidth="1"/>
    <col min="10254" max="10254" width="13.28515625" customWidth="1"/>
    <col min="10255" max="10255" width="11.28515625" customWidth="1"/>
    <col min="10256" max="10256" width="3.5703125" customWidth="1"/>
    <col min="10497" max="10497" width="42.7109375" customWidth="1"/>
    <col min="10498" max="10498" width="10.5703125" customWidth="1"/>
    <col min="10499" max="10499" width="10.42578125" customWidth="1"/>
    <col min="10500" max="10500" width="2.7109375" customWidth="1"/>
    <col min="10501" max="10501" width="12.7109375" customWidth="1"/>
    <col min="10502" max="10502" width="12.28515625" customWidth="1"/>
    <col min="10503" max="10503" width="2.7109375" customWidth="1"/>
    <col min="10504" max="10504" width="12.140625" customWidth="1"/>
    <col min="10505" max="10505" width="13.42578125" customWidth="1"/>
    <col min="10506" max="10506" width="2.7109375" customWidth="1"/>
    <col min="10507" max="10507" width="13.28515625" customWidth="1"/>
    <col min="10508" max="10508" width="11.28515625" customWidth="1"/>
    <col min="10509" max="10509" width="2.85546875" customWidth="1"/>
    <col min="10510" max="10510" width="13.28515625" customWidth="1"/>
    <col min="10511" max="10511" width="11.28515625" customWidth="1"/>
    <col min="10512" max="10512" width="3.5703125" customWidth="1"/>
    <col min="10753" max="10753" width="42.7109375" customWidth="1"/>
    <col min="10754" max="10754" width="10.5703125" customWidth="1"/>
    <col min="10755" max="10755" width="10.42578125" customWidth="1"/>
    <col min="10756" max="10756" width="2.7109375" customWidth="1"/>
    <col min="10757" max="10757" width="12.7109375" customWidth="1"/>
    <col min="10758" max="10758" width="12.28515625" customWidth="1"/>
    <col min="10759" max="10759" width="2.7109375" customWidth="1"/>
    <col min="10760" max="10760" width="12.140625" customWidth="1"/>
    <col min="10761" max="10761" width="13.42578125" customWidth="1"/>
    <col min="10762" max="10762" width="2.7109375" customWidth="1"/>
    <col min="10763" max="10763" width="13.28515625" customWidth="1"/>
    <col min="10764" max="10764" width="11.28515625" customWidth="1"/>
    <col min="10765" max="10765" width="2.85546875" customWidth="1"/>
    <col min="10766" max="10766" width="13.28515625" customWidth="1"/>
    <col min="10767" max="10767" width="11.28515625" customWidth="1"/>
    <col min="10768" max="10768" width="3.5703125" customWidth="1"/>
    <col min="11009" max="11009" width="42.7109375" customWidth="1"/>
    <col min="11010" max="11010" width="10.5703125" customWidth="1"/>
    <col min="11011" max="11011" width="10.42578125" customWidth="1"/>
    <col min="11012" max="11012" width="2.7109375" customWidth="1"/>
    <col min="11013" max="11013" width="12.7109375" customWidth="1"/>
    <col min="11014" max="11014" width="12.28515625" customWidth="1"/>
    <col min="11015" max="11015" width="2.7109375" customWidth="1"/>
    <col min="11016" max="11016" width="12.140625" customWidth="1"/>
    <col min="11017" max="11017" width="13.42578125" customWidth="1"/>
    <col min="11018" max="11018" width="2.7109375" customWidth="1"/>
    <col min="11019" max="11019" width="13.28515625" customWidth="1"/>
    <col min="11020" max="11020" width="11.28515625" customWidth="1"/>
    <col min="11021" max="11021" width="2.85546875" customWidth="1"/>
    <col min="11022" max="11022" width="13.28515625" customWidth="1"/>
    <col min="11023" max="11023" width="11.28515625" customWidth="1"/>
    <col min="11024" max="11024" width="3.5703125" customWidth="1"/>
    <col min="11265" max="11265" width="42.7109375" customWidth="1"/>
    <col min="11266" max="11266" width="10.5703125" customWidth="1"/>
    <col min="11267" max="11267" width="10.42578125" customWidth="1"/>
    <col min="11268" max="11268" width="2.7109375" customWidth="1"/>
    <col min="11269" max="11269" width="12.7109375" customWidth="1"/>
    <col min="11270" max="11270" width="12.28515625" customWidth="1"/>
    <col min="11271" max="11271" width="2.7109375" customWidth="1"/>
    <col min="11272" max="11272" width="12.140625" customWidth="1"/>
    <col min="11273" max="11273" width="13.42578125" customWidth="1"/>
    <col min="11274" max="11274" width="2.7109375" customWidth="1"/>
    <col min="11275" max="11275" width="13.28515625" customWidth="1"/>
    <col min="11276" max="11276" width="11.28515625" customWidth="1"/>
    <col min="11277" max="11277" width="2.85546875" customWidth="1"/>
    <col min="11278" max="11278" width="13.28515625" customWidth="1"/>
    <col min="11279" max="11279" width="11.28515625" customWidth="1"/>
    <col min="11280" max="11280" width="3.5703125" customWidth="1"/>
    <col min="11521" max="11521" width="42.7109375" customWidth="1"/>
    <col min="11522" max="11522" width="10.5703125" customWidth="1"/>
    <col min="11523" max="11523" width="10.42578125" customWidth="1"/>
    <col min="11524" max="11524" width="2.7109375" customWidth="1"/>
    <col min="11525" max="11525" width="12.7109375" customWidth="1"/>
    <col min="11526" max="11526" width="12.28515625" customWidth="1"/>
    <col min="11527" max="11527" width="2.7109375" customWidth="1"/>
    <col min="11528" max="11528" width="12.140625" customWidth="1"/>
    <col min="11529" max="11529" width="13.42578125" customWidth="1"/>
    <col min="11530" max="11530" width="2.7109375" customWidth="1"/>
    <col min="11531" max="11531" width="13.28515625" customWidth="1"/>
    <col min="11532" max="11532" width="11.28515625" customWidth="1"/>
    <col min="11533" max="11533" width="2.85546875" customWidth="1"/>
    <col min="11534" max="11534" width="13.28515625" customWidth="1"/>
    <col min="11535" max="11535" width="11.28515625" customWidth="1"/>
    <col min="11536" max="11536" width="3.5703125" customWidth="1"/>
    <col min="11777" max="11777" width="42.7109375" customWidth="1"/>
    <col min="11778" max="11778" width="10.5703125" customWidth="1"/>
    <col min="11779" max="11779" width="10.42578125" customWidth="1"/>
    <col min="11780" max="11780" width="2.7109375" customWidth="1"/>
    <col min="11781" max="11781" width="12.7109375" customWidth="1"/>
    <col min="11782" max="11782" width="12.28515625" customWidth="1"/>
    <col min="11783" max="11783" width="2.7109375" customWidth="1"/>
    <col min="11784" max="11784" width="12.140625" customWidth="1"/>
    <col min="11785" max="11785" width="13.42578125" customWidth="1"/>
    <col min="11786" max="11786" width="2.7109375" customWidth="1"/>
    <col min="11787" max="11787" width="13.28515625" customWidth="1"/>
    <col min="11788" max="11788" width="11.28515625" customWidth="1"/>
    <col min="11789" max="11789" width="2.85546875" customWidth="1"/>
    <col min="11790" max="11790" width="13.28515625" customWidth="1"/>
    <col min="11791" max="11791" width="11.28515625" customWidth="1"/>
    <col min="11792" max="11792" width="3.5703125" customWidth="1"/>
    <col min="12033" max="12033" width="42.7109375" customWidth="1"/>
    <col min="12034" max="12034" width="10.5703125" customWidth="1"/>
    <col min="12035" max="12035" width="10.42578125" customWidth="1"/>
    <col min="12036" max="12036" width="2.7109375" customWidth="1"/>
    <col min="12037" max="12037" width="12.7109375" customWidth="1"/>
    <col min="12038" max="12038" width="12.28515625" customWidth="1"/>
    <col min="12039" max="12039" width="2.7109375" customWidth="1"/>
    <col min="12040" max="12040" width="12.140625" customWidth="1"/>
    <col min="12041" max="12041" width="13.42578125" customWidth="1"/>
    <col min="12042" max="12042" width="2.7109375" customWidth="1"/>
    <col min="12043" max="12043" width="13.28515625" customWidth="1"/>
    <col min="12044" max="12044" width="11.28515625" customWidth="1"/>
    <col min="12045" max="12045" width="2.85546875" customWidth="1"/>
    <col min="12046" max="12046" width="13.28515625" customWidth="1"/>
    <col min="12047" max="12047" width="11.28515625" customWidth="1"/>
    <col min="12048" max="12048" width="3.5703125" customWidth="1"/>
    <col min="12289" max="12289" width="42.7109375" customWidth="1"/>
    <col min="12290" max="12290" width="10.5703125" customWidth="1"/>
    <col min="12291" max="12291" width="10.42578125" customWidth="1"/>
    <col min="12292" max="12292" width="2.7109375" customWidth="1"/>
    <col min="12293" max="12293" width="12.7109375" customWidth="1"/>
    <col min="12294" max="12294" width="12.28515625" customWidth="1"/>
    <col min="12295" max="12295" width="2.7109375" customWidth="1"/>
    <col min="12296" max="12296" width="12.140625" customWidth="1"/>
    <col min="12297" max="12297" width="13.42578125" customWidth="1"/>
    <col min="12298" max="12298" width="2.7109375" customWidth="1"/>
    <col min="12299" max="12299" width="13.28515625" customWidth="1"/>
    <col min="12300" max="12300" width="11.28515625" customWidth="1"/>
    <col min="12301" max="12301" width="2.85546875" customWidth="1"/>
    <col min="12302" max="12302" width="13.28515625" customWidth="1"/>
    <col min="12303" max="12303" width="11.28515625" customWidth="1"/>
    <col min="12304" max="12304" width="3.5703125" customWidth="1"/>
    <col min="12545" max="12545" width="42.7109375" customWidth="1"/>
    <col min="12546" max="12546" width="10.5703125" customWidth="1"/>
    <col min="12547" max="12547" width="10.42578125" customWidth="1"/>
    <col min="12548" max="12548" width="2.7109375" customWidth="1"/>
    <col min="12549" max="12549" width="12.7109375" customWidth="1"/>
    <col min="12550" max="12550" width="12.28515625" customWidth="1"/>
    <col min="12551" max="12551" width="2.7109375" customWidth="1"/>
    <col min="12552" max="12552" width="12.140625" customWidth="1"/>
    <col min="12553" max="12553" width="13.42578125" customWidth="1"/>
    <col min="12554" max="12554" width="2.7109375" customWidth="1"/>
    <col min="12555" max="12555" width="13.28515625" customWidth="1"/>
    <col min="12556" max="12556" width="11.28515625" customWidth="1"/>
    <col min="12557" max="12557" width="2.85546875" customWidth="1"/>
    <col min="12558" max="12558" width="13.28515625" customWidth="1"/>
    <col min="12559" max="12559" width="11.28515625" customWidth="1"/>
    <col min="12560" max="12560" width="3.5703125" customWidth="1"/>
    <col min="12801" max="12801" width="42.7109375" customWidth="1"/>
    <col min="12802" max="12802" width="10.5703125" customWidth="1"/>
    <col min="12803" max="12803" width="10.42578125" customWidth="1"/>
    <col min="12804" max="12804" width="2.7109375" customWidth="1"/>
    <col min="12805" max="12805" width="12.7109375" customWidth="1"/>
    <col min="12806" max="12806" width="12.28515625" customWidth="1"/>
    <col min="12807" max="12807" width="2.7109375" customWidth="1"/>
    <col min="12808" max="12808" width="12.140625" customWidth="1"/>
    <col min="12809" max="12809" width="13.42578125" customWidth="1"/>
    <col min="12810" max="12810" width="2.7109375" customWidth="1"/>
    <col min="12811" max="12811" width="13.28515625" customWidth="1"/>
    <col min="12812" max="12812" width="11.28515625" customWidth="1"/>
    <col min="12813" max="12813" width="2.85546875" customWidth="1"/>
    <col min="12814" max="12814" width="13.28515625" customWidth="1"/>
    <col min="12815" max="12815" width="11.28515625" customWidth="1"/>
    <col min="12816" max="12816" width="3.5703125" customWidth="1"/>
    <col min="13057" max="13057" width="42.7109375" customWidth="1"/>
    <col min="13058" max="13058" width="10.5703125" customWidth="1"/>
    <col min="13059" max="13059" width="10.42578125" customWidth="1"/>
    <col min="13060" max="13060" width="2.7109375" customWidth="1"/>
    <col min="13061" max="13061" width="12.7109375" customWidth="1"/>
    <col min="13062" max="13062" width="12.28515625" customWidth="1"/>
    <col min="13063" max="13063" width="2.7109375" customWidth="1"/>
    <col min="13064" max="13064" width="12.140625" customWidth="1"/>
    <col min="13065" max="13065" width="13.42578125" customWidth="1"/>
    <col min="13066" max="13066" width="2.7109375" customWidth="1"/>
    <col min="13067" max="13067" width="13.28515625" customWidth="1"/>
    <col min="13068" max="13068" width="11.28515625" customWidth="1"/>
    <col min="13069" max="13069" width="2.85546875" customWidth="1"/>
    <col min="13070" max="13070" width="13.28515625" customWidth="1"/>
    <col min="13071" max="13071" width="11.28515625" customWidth="1"/>
    <col min="13072" max="13072" width="3.5703125" customWidth="1"/>
    <col min="13313" max="13313" width="42.7109375" customWidth="1"/>
    <col min="13314" max="13314" width="10.5703125" customWidth="1"/>
    <col min="13315" max="13315" width="10.42578125" customWidth="1"/>
    <col min="13316" max="13316" width="2.7109375" customWidth="1"/>
    <col min="13317" max="13317" width="12.7109375" customWidth="1"/>
    <col min="13318" max="13318" width="12.28515625" customWidth="1"/>
    <col min="13319" max="13319" width="2.7109375" customWidth="1"/>
    <col min="13320" max="13320" width="12.140625" customWidth="1"/>
    <col min="13321" max="13321" width="13.42578125" customWidth="1"/>
    <col min="13322" max="13322" width="2.7109375" customWidth="1"/>
    <col min="13323" max="13323" width="13.28515625" customWidth="1"/>
    <col min="13324" max="13324" width="11.28515625" customWidth="1"/>
    <col min="13325" max="13325" width="2.85546875" customWidth="1"/>
    <col min="13326" max="13326" width="13.28515625" customWidth="1"/>
    <col min="13327" max="13327" width="11.28515625" customWidth="1"/>
    <col min="13328" max="13328" width="3.5703125" customWidth="1"/>
    <col min="13569" max="13569" width="42.7109375" customWidth="1"/>
    <col min="13570" max="13570" width="10.5703125" customWidth="1"/>
    <col min="13571" max="13571" width="10.42578125" customWidth="1"/>
    <col min="13572" max="13572" width="2.7109375" customWidth="1"/>
    <col min="13573" max="13573" width="12.7109375" customWidth="1"/>
    <col min="13574" max="13574" width="12.28515625" customWidth="1"/>
    <col min="13575" max="13575" width="2.7109375" customWidth="1"/>
    <col min="13576" max="13576" width="12.140625" customWidth="1"/>
    <col min="13577" max="13577" width="13.42578125" customWidth="1"/>
    <col min="13578" max="13578" width="2.7109375" customWidth="1"/>
    <col min="13579" max="13579" width="13.28515625" customWidth="1"/>
    <col min="13580" max="13580" width="11.28515625" customWidth="1"/>
    <col min="13581" max="13581" width="2.85546875" customWidth="1"/>
    <col min="13582" max="13582" width="13.28515625" customWidth="1"/>
    <col min="13583" max="13583" width="11.28515625" customWidth="1"/>
    <col min="13584" max="13584" width="3.5703125" customWidth="1"/>
    <col min="13825" max="13825" width="42.7109375" customWidth="1"/>
    <col min="13826" max="13826" width="10.5703125" customWidth="1"/>
    <col min="13827" max="13827" width="10.42578125" customWidth="1"/>
    <col min="13828" max="13828" width="2.7109375" customWidth="1"/>
    <col min="13829" max="13829" width="12.7109375" customWidth="1"/>
    <col min="13830" max="13830" width="12.28515625" customWidth="1"/>
    <col min="13831" max="13831" width="2.7109375" customWidth="1"/>
    <col min="13832" max="13832" width="12.140625" customWidth="1"/>
    <col min="13833" max="13833" width="13.42578125" customWidth="1"/>
    <col min="13834" max="13834" width="2.7109375" customWidth="1"/>
    <col min="13835" max="13835" width="13.28515625" customWidth="1"/>
    <col min="13836" max="13836" width="11.28515625" customWidth="1"/>
    <col min="13837" max="13837" width="2.85546875" customWidth="1"/>
    <col min="13838" max="13838" width="13.28515625" customWidth="1"/>
    <col min="13839" max="13839" width="11.28515625" customWidth="1"/>
    <col min="13840" max="13840" width="3.5703125" customWidth="1"/>
    <col min="14081" max="14081" width="42.7109375" customWidth="1"/>
    <col min="14082" max="14082" width="10.5703125" customWidth="1"/>
    <col min="14083" max="14083" width="10.42578125" customWidth="1"/>
    <col min="14084" max="14084" width="2.7109375" customWidth="1"/>
    <col min="14085" max="14085" width="12.7109375" customWidth="1"/>
    <col min="14086" max="14086" width="12.28515625" customWidth="1"/>
    <col min="14087" max="14087" width="2.7109375" customWidth="1"/>
    <col min="14088" max="14088" width="12.140625" customWidth="1"/>
    <col min="14089" max="14089" width="13.42578125" customWidth="1"/>
    <col min="14090" max="14090" width="2.7109375" customWidth="1"/>
    <col min="14091" max="14091" width="13.28515625" customWidth="1"/>
    <col min="14092" max="14092" width="11.28515625" customWidth="1"/>
    <col min="14093" max="14093" width="2.85546875" customWidth="1"/>
    <col min="14094" max="14094" width="13.28515625" customWidth="1"/>
    <col min="14095" max="14095" width="11.28515625" customWidth="1"/>
    <col min="14096" max="14096" width="3.5703125" customWidth="1"/>
    <col min="14337" max="14337" width="42.7109375" customWidth="1"/>
    <col min="14338" max="14338" width="10.5703125" customWidth="1"/>
    <col min="14339" max="14339" width="10.42578125" customWidth="1"/>
    <col min="14340" max="14340" width="2.7109375" customWidth="1"/>
    <col min="14341" max="14341" width="12.7109375" customWidth="1"/>
    <col min="14342" max="14342" width="12.28515625" customWidth="1"/>
    <col min="14343" max="14343" width="2.7109375" customWidth="1"/>
    <col min="14344" max="14344" width="12.140625" customWidth="1"/>
    <col min="14345" max="14345" width="13.42578125" customWidth="1"/>
    <col min="14346" max="14346" width="2.7109375" customWidth="1"/>
    <col min="14347" max="14347" width="13.28515625" customWidth="1"/>
    <col min="14348" max="14348" width="11.28515625" customWidth="1"/>
    <col min="14349" max="14349" width="2.85546875" customWidth="1"/>
    <col min="14350" max="14350" width="13.28515625" customWidth="1"/>
    <col min="14351" max="14351" width="11.28515625" customWidth="1"/>
    <col min="14352" max="14352" width="3.5703125" customWidth="1"/>
    <col min="14593" max="14593" width="42.7109375" customWidth="1"/>
    <col min="14594" max="14594" width="10.5703125" customWidth="1"/>
    <col min="14595" max="14595" width="10.42578125" customWidth="1"/>
    <col min="14596" max="14596" width="2.7109375" customWidth="1"/>
    <col min="14597" max="14597" width="12.7109375" customWidth="1"/>
    <col min="14598" max="14598" width="12.28515625" customWidth="1"/>
    <col min="14599" max="14599" width="2.7109375" customWidth="1"/>
    <col min="14600" max="14600" width="12.140625" customWidth="1"/>
    <col min="14601" max="14601" width="13.42578125" customWidth="1"/>
    <col min="14602" max="14602" width="2.7109375" customWidth="1"/>
    <col min="14603" max="14603" width="13.28515625" customWidth="1"/>
    <col min="14604" max="14604" width="11.28515625" customWidth="1"/>
    <col min="14605" max="14605" width="2.85546875" customWidth="1"/>
    <col min="14606" max="14606" width="13.28515625" customWidth="1"/>
    <col min="14607" max="14607" width="11.28515625" customWidth="1"/>
    <col min="14608" max="14608" width="3.5703125" customWidth="1"/>
    <col min="14849" max="14849" width="42.7109375" customWidth="1"/>
    <col min="14850" max="14850" width="10.5703125" customWidth="1"/>
    <col min="14851" max="14851" width="10.42578125" customWidth="1"/>
    <col min="14852" max="14852" width="2.7109375" customWidth="1"/>
    <col min="14853" max="14853" width="12.7109375" customWidth="1"/>
    <col min="14854" max="14854" width="12.28515625" customWidth="1"/>
    <col min="14855" max="14855" width="2.7109375" customWidth="1"/>
    <col min="14856" max="14856" width="12.140625" customWidth="1"/>
    <col min="14857" max="14857" width="13.42578125" customWidth="1"/>
    <col min="14858" max="14858" width="2.7109375" customWidth="1"/>
    <col min="14859" max="14859" width="13.28515625" customWidth="1"/>
    <col min="14860" max="14860" width="11.28515625" customWidth="1"/>
    <col min="14861" max="14861" width="2.85546875" customWidth="1"/>
    <col min="14862" max="14862" width="13.28515625" customWidth="1"/>
    <col min="14863" max="14863" width="11.28515625" customWidth="1"/>
    <col min="14864" max="14864" width="3.5703125" customWidth="1"/>
    <col min="15105" max="15105" width="42.7109375" customWidth="1"/>
    <col min="15106" max="15106" width="10.5703125" customWidth="1"/>
    <col min="15107" max="15107" width="10.42578125" customWidth="1"/>
    <col min="15108" max="15108" width="2.7109375" customWidth="1"/>
    <col min="15109" max="15109" width="12.7109375" customWidth="1"/>
    <col min="15110" max="15110" width="12.28515625" customWidth="1"/>
    <col min="15111" max="15111" width="2.7109375" customWidth="1"/>
    <col min="15112" max="15112" width="12.140625" customWidth="1"/>
    <col min="15113" max="15113" width="13.42578125" customWidth="1"/>
    <col min="15114" max="15114" width="2.7109375" customWidth="1"/>
    <col min="15115" max="15115" width="13.28515625" customWidth="1"/>
    <col min="15116" max="15116" width="11.28515625" customWidth="1"/>
    <col min="15117" max="15117" width="2.85546875" customWidth="1"/>
    <col min="15118" max="15118" width="13.28515625" customWidth="1"/>
    <col min="15119" max="15119" width="11.28515625" customWidth="1"/>
    <col min="15120" max="15120" width="3.5703125" customWidth="1"/>
    <col min="15361" max="15361" width="42.7109375" customWidth="1"/>
    <col min="15362" max="15362" width="10.5703125" customWidth="1"/>
    <col min="15363" max="15363" width="10.42578125" customWidth="1"/>
    <col min="15364" max="15364" width="2.7109375" customWidth="1"/>
    <col min="15365" max="15365" width="12.7109375" customWidth="1"/>
    <col min="15366" max="15366" width="12.28515625" customWidth="1"/>
    <col min="15367" max="15367" width="2.7109375" customWidth="1"/>
    <col min="15368" max="15368" width="12.140625" customWidth="1"/>
    <col min="15369" max="15369" width="13.42578125" customWidth="1"/>
    <col min="15370" max="15370" width="2.7109375" customWidth="1"/>
    <col min="15371" max="15371" width="13.28515625" customWidth="1"/>
    <col min="15372" max="15372" width="11.28515625" customWidth="1"/>
    <col min="15373" max="15373" width="2.85546875" customWidth="1"/>
    <col min="15374" max="15374" width="13.28515625" customWidth="1"/>
    <col min="15375" max="15375" width="11.28515625" customWidth="1"/>
    <col min="15376" max="15376" width="3.5703125" customWidth="1"/>
    <col min="15617" max="15617" width="42.7109375" customWidth="1"/>
    <col min="15618" max="15618" width="10.5703125" customWidth="1"/>
    <col min="15619" max="15619" width="10.42578125" customWidth="1"/>
    <col min="15620" max="15620" width="2.7109375" customWidth="1"/>
    <col min="15621" max="15621" width="12.7109375" customWidth="1"/>
    <col min="15622" max="15622" width="12.28515625" customWidth="1"/>
    <col min="15623" max="15623" width="2.7109375" customWidth="1"/>
    <col min="15624" max="15624" width="12.140625" customWidth="1"/>
    <col min="15625" max="15625" width="13.42578125" customWidth="1"/>
    <col min="15626" max="15626" width="2.7109375" customWidth="1"/>
    <col min="15627" max="15627" width="13.28515625" customWidth="1"/>
    <col min="15628" max="15628" width="11.28515625" customWidth="1"/>
    <col min="15629" max="15629" width="2.85546875" customWidth="1"/>
    <col min="15630" max="15630" width="13.28515625" customWidth="1"/>
    <col min="15631" max="15631" width="11.28515625" customWidth="1"/>
    <col min="15632" max="15632" width="3.5703125" customWidth="1"/>
    <col min="15873" max="15873" width="42.7109375" customWidth="1"/>
    <col min="15874" max="15874" width="10.5703125" customWidth="1"/>
    <col min="15875" max="15875" width="10.42578125" customWidth="1"/>
    <col min="15876" max="15876" width="2.7109375" customWidth="1"/>
    <col min="15877" max="15877" width="12.7109375" customWidth="1"/>
    <col min="15878" max="15878" width="12.28515625" customWidth="1"/>
    <col min="15879" max="15879" width="2.7109375" customWidth="1"/>
    <col min="15880" max="15880" width="12.140625" customWidth="1"/>
    <col min="15881" max="15881" width="13.42578125" customWidth="1"/>
    <col min="15882" max="15882" width="2.7109375" customWidth="1"/>
    <col min="15883" max="15883" width="13.28515625" customWidth="1"/>
    <col min="15884" max="15884" width="11.28515625" customWidth="1"/>
    <col min="15885" max="15885" width="2.85546875" customWidth="1"/>
    <col min="15886" max="15886" width="13.28515625" customWidth="1"/>
    <col min="15887" max="15887" width="11.28515625" customWidth="1"/>
    <col min="15888" max="15888" width="3.5703125" customWidth="1"/>
    <col min="16129" max="16129" width="42.7109375" customWidth="1"/>
    <col min="16130" max="16130" width="10.5703125" customWidth="1"/>
    <col min="16131" max="16131" width="10.42578125" customWidth="1"/>
    <col min="16132" max="16132" width="2.7109375" customWidth="1"/>
    <col min="16133" max="16133" width="12.7109375" customWidth="1"/>
    <col min="16134" max="16134" width="12.28515625" customWidth="1"/>
    <col min="16135" max="16135" width="2.7109375" customWidth="1"/>
    <col min="16136" max="16136" width="12.140625" customWidth="1"/>
    <col min="16137" max="16137" width="13.42578125" customWidth="1"/>
    <col min="16138" max="16138" width="2.7109375" customWidth="1"/>
    <col min="16139" max="16139" width="13.28515625" customWidth="1"/>
    <col min="16140" max="16140" width="11.28515625" customWidth="1"/>
    <col min="16141" max="16141" width="2.85546875" customWidth="1"/>
    <col min="16142" max="16142" width="13.28515625" customWidth="1"/>
    <col min="16143" max="16143" width="11.28515625" customWidth="1"/>
    <col min="16144" max="16144" width="3.5703125" customWidth="1"/>
  </cols>
  <sheetData>
    <row r="1" spans="1:20" ht="15" customHeight="1">
      <c r="A1" s="208" t="s">
        <v>755</v>
      </c>
      <c r="E1" s="209"/>
      <c r="G1" s="197"/>
      <c r="H1" s="209"/>
      <c r="J1" s="197"/>
      <c r="K1" s="209"/>
      <c r="N1" s="209"/>
      <c r="Q1" s="43"/>
      <c r="T1" s="43"/>
    </row>
    <row r="2" spans="1:20" ht="15" customHeight="1">
      <c r="A2" s="208" t="s">
        <v>756</v>
      </c>
      <c r="E2" s="209"/>
      <c r="G2" s="197"/>
      <c r="H2" s="209"/>
      <c r="J2" s="197"/>
      <c r="K2" s="209"/>
      <c r="N2" s="209"/>
      <c r="Q2" s="43"/>
      <c r="T2" s="43"/>
    </row>
    <row r="3" spans="1:20" ht="15" customHeight="1"/>
    <row r="4" spans="1:20" ht="15" customHeight="1">
      <c r="A4" s="208" t="s">
        <v>2265</v>
      </c>
    </row>
    <row r="5" spans="1:20" ht="15" customHeight="1" thickBot="1">
      <c r="L5" s="210"/>
      <c r="O5" s="210"/>
      <c r="P5" s="199"/>
    </row>
    <row r="6" spans="1:20" ht="15" customHeight="1">
      <c r="A6" s="213"/>
      <c r="B6" s="213"/>
      <c r="C6" s="213"/>
      <c r="D6" s="213"/>
      <c r="E6" s="214"/>
      <c r="F6" s="215"/>
      <c r="G6" s="200"/>
      <c r="H6" s="214"/>
      <c r="I6" s="215"/>
      <c r="J6" s="200"/>
      <c r="K6" s="214"/>
      <c r="L6" s="215"/>
      <c r="M6" s="200"/>
      <c r="N6" s="214"/>
      <c r="O6" s="215"/>
      <c r="P6" s="200"/>
    </row>
    <row r="7" spans="1:20" ht="15" customHeight="1">
      <c r="A7" s="216" t="s">
        <v>783</v>
      </c>
      <c r="B7" s="1285" t="s">
        <v>5</v>
      </c>
      <c r="C7" s="1285"/>
      <c r="D7" s="216"/>
      <c r="E7" s="1286" t="s">
        <v>784</v>
      </c>
      <c r="F7" s="1286"/>
      <c r="G7" s="217"/>
      <c r="H7" s="1286" t="s">
        <v>2132</v>
      </c>
      <c r="I7" s="1286"/>
      <c r="J7" s="217"/>
      <c r="K7" s="1286" t="s">
        <v>2133</v>
      </c>
      <c r="L7" s="1286"/>
      <c r="N7" s="1286" t="s">
        <v>785</v>
      </c>
      <c r="O7" s="1286"/>
    </row>
    <row r="8" spans="1:20" ht="15" customHeight="1">
      <c r="A8" s="217" t="s">
        <v>786</v>
      </c>
      <c r="B8" s="218" t="s">
        <v>9</v>
      </c>
      <c r="C8" s="218" t="s">
        <v>10</v>
      </c>
      <c r="D8" s="218"/>
      <c r="E8" s="218" t="s">
        <v>9</v>
      </c>
      <c r="F8" s="219" t="s">
        <v>10</v>
      </c>
      <c r="G8" s="218"/>
      <c r="H8" s="201" t="s">
        <v>9</v>
      </c>
      <c r="I8" s="202" t="s">
        <v>10</v>
      </c>
      <c r="J8" s="201"/>
      <c r="K8" s="201" t="s">
        <v>9</v>
      </c>
      <c r="L8" s="202" t="s">
        <v>10</v>
      </c>
      <c r="M8" s="24"/>
      <c r="N8" s="201" t="s">
        <v>9</v>
      </c>
      <c r="O8" s="202" t="s">
        <v>10</v>
      </c>
    </row>
    <row r="9" spans="1:20" ht="15" customHeight="1" thickBot="1">
      <c r="A9" s="220"/>
      <c r="B9" s="220"/>
      <c r="C9" s="220"/>
      <c r="D9" s="220"/>
      <c r="E9" s="221"/>
      <c r="F9" s="222"/>
      <c r="G9" s="203"/>
      <c r="H9" s="221"/>
      <c r="I9" s="222"/>
      <c r="J9" s="203"/>
      <c r="K9" s="221"/>
      <c r="N9" s="221"/>
    </row>
    <row r="10" spans="1:20" ht="15" customHeight="1">
      <c r="E10" s="223"/>
      <c r="G10" s="204"/>
      <c r="H10" s="223"/>
      <c r="J10" s="204"/>
      <c r="K10" s="223"/>
      <c r="L10" s="215"/>
      <c r="M10" s="200"/>
      <c r="N10" s="223"/>
      <c r="O10" s="215"/>
      <c r="P10" s="200"/>
    </row>
    <row r="11" spans="1:20" ht="15" customHeight="1">
      <c r="A11" s="224" t="s">
        <v>325</v>
      </c>
      <c r="B11" s="225">
        <f>IF($A11&lt;&gt;"",SUM(B12:B25),"")</f>
        <v>258</v>
      </c>
      <c r="C11" s="226">
        <f>IF($A11&lt;&gt;"",SUM(C12:C25),"")</f>
        <v>100</v>
      </c>
      <c r="D11" s="205"/>
      <c r="E11" s="227">
        <f>IF($A11&lt;&gt;"",SUM(E12:E25),"")</f>
        <v>76</v>
      </c>
      <c r="F11" s="228">
        <f>IF($A11&lt;&gt;"",E11/$B11*100,"")</f>
        <v>29.457364341085274</v>
      </c>
      <c r="G11" s="229"/>
      <c r="H11" s="227">
        <f>IF($A11&lt;&gt;"",SUM(H12:H25),"")</f>
        <v>81</v>
      </c>
      <c r="I11" s="228">
        <f t="shared" ref="I11:I25" si="0">IF($A11&lt;&gt;"",H11/$B11*100,"")</f>
        <v>31.395348837209301</v>
      </c>
      <c r="J11" s="229"/>
      <c r="K11" s="227">
        <f>IF($A11&lt;&gt;"",SUM(K12:K25),"")</f>
        <v>90</v>
      </c>
      <c r="L11" s="228">
        <f t="shared" ref="L11:L26" si="1">IF($A11&lt;&gt;"",K11/$B11*100,"")</f>
        <v>34.883720930232556</v>
      </c>
      <c r="M11" s="170"/>
      <c r="N11" s="227">
        <f>IF($A11&lt;&gt;"",SUM(N12:N25),"")</f>
        <v>11</v>
      </c>
      <c r="O11" s="228">
        <f t="shared" ref="O11:O25" si="2">IF($A11&lt;&gt;"",N11/$B11*100,"")</f>
        <v>4.2635658914728678</v>
      </c>
      <c r="Q11" s="31"/>
    </row>
    <row r="12" spans="1:20" ht="15" customHeight="1">
      <c r="B12" s="230" t="str">
        <f>IF($A12&lt;&gt;"",E12+H12+K12,"")</f>
        <v/>
      </c>
      <c r="C12" s="231" t="str">
        <f>IF($A12&lt;&gt;0,B12/$B$11*100,"")</f>
        <v/>
      </c>
      <c r="D12" s="196"/>
      <c r="E12" s="223"/>
      <c r="F12" s="210" t="str">
        <f t="shared" ref="F12:F25" si="3">IF($A12&lt;&gt;"",E12/$B12*100,"")</f>
        <v/>
      </c>
      <c r="G12" s="204"/>
      <c r="H12" s="223"/>
      <c r="I12" s="210" t="str">
        <f t="shared" si="0"/>
        <v/>
      </c>
      <c r="J12" s="204"/>
      <c r="K12" s="223"/>
      <c r="L12" s="210" t="str">
        <f t="shared" si="1"/>
        <v/>
      </c>
      <c r="M12" s="2"/>
      <c r="N12" s="223"/>
      <c r="O12" s="210" t="str">
        <f t="shared" si="2"/>
        <v/>
      </c>
    </row>
    <row r="13" spans="1:20" ht="15" customHeight="1">
      <c r="A13" s="208" t="s">
        <v>787</v>
      </c>
      <c r="B13" s="230">
        <f>IF($A13&lt;&gt;"",E13+H13+K13+N13,"")</f>
        <v>17</v>
      </c>
      <c r="C13" s="231">
        <f t="shared" ref="C13:C25" si="4">IF($A13&lt;&gt;0,B13/$B$11*100,"")</f>
        <v>6.5891472868217065</v>
      </c>
      <c r="D13" s="205"/>
      <c r="E13" s="223">
        <v>0</v>
      </c>
      <c r="F13" s="210">
        <f t="shared" si="3"/>
        <v>0</v>
      </c>
      <c r="G13" s="204"/>
      <c r="H13" s="223">
        <v>10</v>
      </c>
      <c r="I13" s="210">
        <f t="shared" si="0"/>
        <v>58.82352941176471</v>
      </c>
      <c r="J13" s="204"/>
      <c r="K13" s="223">
        <v>6</v>
      </c>
      <c r="L13" s="210">
        <f t="shared" si="1"/>
        <v>35.294117647058826</v>
      </c>
      <c r="M13" s="2"/>
      <c r="N13" s="223">
        <v>1</v>
      </c>
      <c r="O13" s="210">
        <f t="shared" si="2"/>
        <v>5.8823529411764701</v>
      </c>
    </row>
    <row r="14" spans="1:20" ht="15" customHeight="1">
      <c r="B14" s="230" t="str">
        <f t="shared" ref="B14:B25" si="5">IF($A14&lt;&gt;"",E14+H14+K14+N14,"")</f>
        <v/>
      </c>
      <c r="C14" s="231" t="str">
        <f t="shared" si="4"/>
        <v/>
      </c>
      <c r="D14" s="196"/>
      <c r="E14" s="223"/>
      <c r="F14" s="210" t="str">
        <f t="shared" si="3"/>
        <v/>
      </c>
      <c r="G14" s="204"/>
      <c r="H14" s="223"/>
      <c r="I14" s="210" t="str">
        <f t="shared" si="0"/>
        <v/>
      </c>
      <c r="J14" s="204"/>
      <c r="K14" s="223"/>
      <c r="L14" s="210" t="str">
        <f t="shared" si="1"/>
        <v/>
      </c>
      <c r="M14" s="2"/>
      <c r="N14" s="223"/>
      <c r="O14" s="210" t="str">
        <f t="shared" si="2"/>
        <v/>
      </c>
    </row>
    <row r="15" spans="1:20" ht="15" customHeight="1">
      <c r="A15" s="208" t="s">
        <v>788</v>
      </c>
      <c r="B15" s="230">
        <f t="shared" si="5"/>
        <v>21</v>
      </c>
      <c r="C15" s="231">
        <f t="shared" si="4"/>
        <v>8.1395348837209305</v>
      </c>
      <c r="D15" s="205"/>
      <c r="E15" s="223">
        <v>1</v>
      </c>
      <c r="F15" s="210">
        <f t="shared" si="3"/>
        <v>4.7619047619047619</v>
      </c>
      <c r="G15" s="204"/>
      <c r="H15" s="223">
        <v>14</v>
      </c>
      <c r="I15" s="210">
        <f t="shared" si="0"/>
        <v>66.666666666666657</v>
      </c>
      <c r="J15" s="204"/>
      <c r="K15" s="223">
        <v>6</v>
      </c>
      <c r="L15" s="210">
        <f t="shared" si="1"/>
        <v>28.571428571428569</v>
      </c>
      <c r="M15" s="2"/>
      <c r="N15" s="223"/>
      <c r="O15" s="210">
        <f t="shared" si="2"/>
        <v>0</v>
      </c>
    </row>
    <row r="16" spans="1:20" ht="15" customHeight="1">
      <c r="B16" s="230" t="str">
        <f t="shared" si="5"/>
        <v/>
      </c>
      <c r="C16" s="231" t="str">
        <f t="shared" si="4"/>
        <v/>
      </c>
      <c r="D16" s="196"/>
      <c r="E16" s="223"/>
      <c r="F16" s="210" t="str">
        <f t="shared" si="3"/>
        <v/>
      </c>
      <c r="G16" s="204"/>
      <c r="H16" s="223"/>
      <c r="I16" s="210" t="str">
        <f t="shared" si="0"/>
        <v/>
      </c>
      <c r="J16" s="204"/>
      <c r="K16" s="223"/>
      <c r="L16" s="210" t="str">
        <f t="shared" si="1"/>
        <v/>
      </c>
      <c r="M16" s="2"/>
      <c r="N16" s="223"/>
      <c r="O16" s="210" t="str">
        <f t="shared" si="2"/>
        <v/>
      </c>
    </row>
    <row r="17" spans="1:16" ht="15" customHeight="1">
      <c r="A17" s="208" t="s">
        <v>789</v>
      </c>
      <c r="B17" s="230">
        <f t="shared" si="5"/>
        <v>70</v>
      </c>
      <c r="C17" s="231">
        <f t="shared" si="4"/>
        <v>27.131782945736433</v>
      </c>
      <c r="D17" s="205"/>
      <c r="E17" s="223">
        <v>3</v>
      </c>
      <c r="F17" s="210">
        <f t="shared" si="3"/>
        <v>4.2857142857142856</v>
      </c>
      <c r="G17" s="204"/>
      <c r="H17" s="223">
        <v>23</v>
      </c>
      <c r="I17" s="210">
        <f t="shared" si="0"/>
        <v>32.857142857142854</v>
      </c>
      <c r="J17" s="204"/>
      <c r="K17" s="223">
        <v>39</v>
      </c>
      <c r="L17" s="210">
        <f t="shared" si="1"/>
        <v>55.714285714285715</v>
      </c>
      <c r="M17" s="2"/>
      <c r="N17" s="223">
        <v>5</v>
      </c>
      <c r="O17" s="210">
        <f t="shared" si="2"/>
        <v>7.1428571428571423</v>
      </c>
    </row>
    <row r="18" spans="1:16" ht="15" customHeight="1">
      <c r="B18" s="230" t="str">
        <f t="shared" si="5"/>
        <v/>
      </c>
      <c r="C18" s="231" t="str">
        <f t="shared" si="4"/>
        <v/>
      </c>
      <c r="D18" s="196"/>
      <c r="E18" s="223"/>
      <c r="F18" s="210" t="str">
        <f t="shared" si="3"/>
        <v/>
      </c>
      <c r="G18" s="204"/>
      <c r="H18" s="223"/>
      <c r="I18" s="210" t="str">
        <f t="shared" si="0"/>
        <v/>
      </c>
      <c r="J18" s="204"/>
      <c r="K18" s="223"/>
      <c r="L18" s="210" t="str">
        <f t="shared" si="1"/>
        <v/>
      </c>
      <c r="M18" s="2"/>
      <c r="N18" s="223"/>
      <c r="O18" s="210" t="str">
        <f t="shared" si="2"/>
        <v/>
      </c>
    </row>
    <row r="19" spans="1:16" ht="15" customHeight="1">
      <c r="A19" s="208" t="s">
        <v>790</v>
      </c>
      <c r="B19" s="230">
        <f t="shared" si="5"/>
        <v>101</v>
      </c>
      <c r="C19" s="231">
        <f t="shared" si="4"/>
        <v>39.147286821705421</v>
      </c>
      <c r="D19" s="196"/>
      <c r="E19" s="223">
        <v>71</v>
      </c>
      <c r="F19" s="210">
        <f t="shared" si="3"/>
        <v>70.297029702970292</v>
      </c>
      <c r="G19" s="204"/>
      <c r="H19" s="223">
        <v>15</v>
      </c>
      <c r="I19" s="210">
        <f t="shared" si="0"/>
        <v>14.85148514851485</v>
      </c>
      <c r="J19" s="204"/>
      <c r="K19" s="223">
        <v>15</v>
      </c>
      <c r="L19" s="210">
        <f t="shared" si="1"/>
        <v>14.85148514851485</v>
      </c>
      <c r="M19" s="2"/>
      <c r="N19" s="223"/>
      <c r="O19" s="210">
        <f t="shared" si="2"/>
        <v>0</v>
      </c>
    </row>
    <row r="20" spans="1:16" ht="15" customHeight="1">
      <c r="B20" s="230" t="str">
        <f t="shared" si="5"/>
        <v/>
      </c>
      <c r="C20" s="231" t="str">
        <f t="shared" si="4"/>
        <v/>
      </c>
      <c r="D20" s="196"/>
      <c r="E20" s="223"/>
      <c r="F20" s="210" t="str">
        <f t="shared" si="3"/>
        <v/>
      </c>
      <c r="G20" s="204"/>
      <c r="H20" s="223"/>
      <c r="I20" s="210" t="str">
        <f t="shared" si="0"/>
        <v/>
      </c>
      <c r="J20" s="204"/>
      <c r="K20" s="223"/>
      <c r="L20" s="210" t="str">
        <f t="shared" si="1"/>
        <v/>
      </c>
      <c r="M20" s="2"/>
      <c r="N20" s="223"/>
      <c r="O20" s="210" t="str">
        <f t="shared" si="2"/>
        <v/>
      </c>
    </row>
    <row r="21" spans="1:16" ht="15" customHeight="1">
      <c r="A21" s="208" t="s">
        <v>791</v>
      </c>
      <c r="B21" s="230">
        <f t="shared" si="5"/>
        <v>29</v>
      </c>
      <c r="C21" s="231">
        <f t="shared" si="4"/>
        <v>11.24031007751938</v>
      </c>
      <c r="D21" s="205"/>
      <c r="E21" s="223">
        <v>1</v>
      </c>
      <c r="F21" s="210">
        <f t="shared" si="3"/>
        <v>3.4482758620689653</v>
      </c>
      <c r="G21" s="204"/>
      <c r="H21" s="223">
        <v>11</v>
      </c>
      <c r="I21" s="210">
        <f t="shared" si="0"/>
        <v>37.931034482758619</v>
      </c>
      <c r="J21" s="204"/>
      <c r="K21" s="223">
        <v>15</v>
      </c>
      <c r="L21" s="210">
        <f t="shared" si="1"/>
        <v>51.724137931034484</v>
      </c>
      <c r="M21" s="2"/>
      <c r="N21" s="223">
        <v>2</v>
      </c>
      <c r="O21" s="210">
        <f t="shared" si="2"/>
        <v>6.8965517241379306</v>
      </c>
    </row>
    <row r="22" spans="1:16" ht="15" customHeight="1">
      <c r="B22" s="232" t="str">
        <f t="shared" si="5"/>
        <v/>
      </c>
      <c r="C22" s="233" t="str">
        <f t="shared" si="4"/>
        <v/>
      </c>
      <c r="E22" s="223"/>
      <c r="F22" s="210" t="str">
        <f t="shared" si="3"/>
        <v/>
      </c>
      <c r="G22" s="204"/>
      <c r="H22" s="223"/>
      <c r="I22" s="210" t="str">
        <f t="shared" si="0"/>
        <v/>
      </c>
      <c r="J22" s="204"/>
      <c r="K22" s="223"/>
      <c r="L22" s="210" t="str">
        <f t="shared" si="1"/>
        <v/>
      </c>
      <c r="M22" s="2"/>
      <c r="N22" s="223"/>
      <c r="O22" s="210" t="str">
        <f t="shared" si="2"/>
        <v/>
      </c>
    </row>
    <row r="23" spans="1:16" ht="15" customHeight="1">
      <c r="A23" s="208" t="s">
        <v>792</v>
      </c>
      <c r="B23" s="232">
        <f t="shared" si="5"/>
        <v>6</v>
      </c>
      <c r="C23" s="233">
        <f t="shared" si="4"/>
        <v>2.3255813953488373</v>
      </c>
      <c r="D23" s="224"/>
      <c r="E23" s="223">
        <v>0</v>
      </c>
      <c r="F23" s="210">
        <f t="shared" si="3"/>
        <v>0</v>
      </c>
      <c r="G23" s="204"/>
      <c r="H23" s="223">
        <v>2</v>
      </c>
      <c r="I23" s="210">
        <f t="shared" si="0"/>
        <v>33.333333333333329</v>
      </c>
      <c r="J23" s="204"/>
      <c r="K23" s="223">
        <v>3</v>
      </c>
      <c r="L23" s="210">
        <f t="shared" si="1"/>
        <v>50</v>
      </c>
      <c r="M23" s="2"/>
      <c r="N23" s="223">
        <v>1</v>
      </c>
      <c r="O23" s="210">
        <f t="shared" si="2"/>
        <v>16.666666666666664</v>
      </c>
    </row>
    <row r="24" spans="1:16" ht="15" customHeight="1">
      <c r="B24" s="232" t="str">
        <f t="shared" si="5"/>
        <v/>
      </c>
      <c r="C24" s="233" t="str">
        <f t="shared" si="4"/>
        <v/>
      </c>
      <c r="E24" s="223"/>
      <c r="F24" s="210" t="str">
        <f t="shared" si="3"/>
        <v/>
      </c>
      <c r="G24" s="204"/>
      <c r="H24" s="223"/>
      <c r="I24" s="210" t="str">
        <f t="shared" si="0"/>
        <v/>
      </c>
      <c r="J24" s="204"/>
      <c r="K24" s="223"/>
      <c r="L24" s="210" t="str">
        <f t="shared" si="1"/>
        <v/>
      </c>
      <c r="M24" s="2"/>
      <c r="N24" s="223"/>
      <c r="O24" s="210" t="str">
        <f t="shared" si="2"/>
        <v/>
      </c>
    </row>
    <row r="25" spans="1:16" ht="15" customHeight="1">
      <c r="A25" s="208" t="s">
        <v>793</v>
      </c>
      <c r="B25" s="232">
        <f t="shared" si="5"/>
        <v>14</v>
      </c>
      <c r="C25" s="233">
        <f t="shared" si="4"/>
        <v>5.4263565891472867</v>
      </c>
      <c r="D25" s="224"/>
      <c r="E25" s="223">
        <v>0</v>
      </c>
      <c r="F25" s="210">
        <f t="shared" si="3"/>
        <v>0</v>
      </c>
      <c r="G25" s="204"/>
      <c r="H25" s="223">
        <v>6</v>
      </c>
      <c r="I25" s="210">
        <f t="shared" si="0"/>
        <v>42.857142857142854</v>
      </c>
      <c r="J25" s="204"/>
      <c r="K25" s="223">
        <v>6</v>
      </c>
      <c r="L25" s="210">
        <f t="shared" si="1"/>
        <v>42.857142857142854</v>
      </c>
      <c r="M25" s="2"/>
      <c r="N25" s="223">
        <v>2</v>
      </c>
      <c r="O25" s="210">
        <f t="shared" si="2"/>
        <v>14.285714285714285</v>
      </c>
    </row>
    <row r="26" spans="1:16" ht="15" customHeight="1" thickBot="1">
      <c r="A26" s="234"/>
      <c r="B26" s="234"/>
      <c r="C26" s="234"/>
      <c r="D26" s="234"/>
      <c r="E26" s="221"/>
      <c r="F26" s="222"/>
      <c r="G26" s="203"/>
      <c r="H26" s="221"/>
      <c r="I26" s="222"/>
      <c r="J26" s="203"/>
      <c r="K26" s="221"/>
      <c r="L26" s="210" t="str">
        <f t="shared" si="1"/>
        <v/>
      </c>
      <c r="N26" s="221"/>
    </row>
    <row r="27" spans="1:16" ht="15" customHeight="1">
      <c r="L27" s="215"/>
      <c r="M27" s="200"/>
      <c r="O27" s="215"/>
      <c r="P27" s="200"/>
    </row>
    <row r="28" spans="1:16" ht="15" customHeight="1">
      <c r="A28" s="208" t="s">
        <v>794</v>
      </c>
    </row>
    <row r="29" spans="1:16" ht="15" customHeight="1">
      <c r="A29" s="208" t="s">
        <v>795</v>
      </c>
    </row>
    <row r="30" spans="1:16" ht="15" customHeight="1"/>
    <row r="31" spans="1:16" ht="15" customHeight="1"/>
  </sheetData>
  <mergeCells count="5">
    <mergeCell ref="B7:C7"/>
    <mergeCell ref="E7:F7"/>
    <mergeCell ref="H7:I7"/>
    <mergeCell ref="K7:L7"/>
    <mergeCell ref="N7:O7"/>
  </mergeCells>
  <printOptions horizontalCentered="1" verticalCentered="1"/>
  <pageMargins left="0" right="0" top="0" bottom="0"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G33" sqref="G33"/>
    </sheetView>
  </sheetViews>
  <sheetFormatPr baseColWidth="10" defaultRowHeight="15"/>
  <sheetData>
    <row r="1" spans="2:11" ht="12.75" customHeight="1"/>
    <row r="2" spans="2:11" ht="12.75" customHeight="1">
      <c r="B2" s="42" t="s">
        <v>1072</v>
      </c>
      <c r="C2" s="42" t="s">
        <v>1073</v>
      </c>
      <c r="D2" s="42" t="s">
        <v>882</v>
      </c>
      <c r="E2" s="42" t="s">
        <v>785</v>
      </c>
      <c r="J2" s="32"/>
    </row>
    <row r="3" spans="2:11" ht="12.75" customHeight="1">
      <c r="B3">
        <v>34.880000000000003</v>
      </c>
      <c r="C3">
        <v>31.4</v>
      </c>
      <c r="D3">
        <v>29.46</v>
      </c>
      <c r="E3">
        <v>4.26</v>
      </c>
      <c r="F3" s="31"/>
      <c r="G3" s="228"/>
      <c r="H3" s="228"/>
      <c r="I3" s="228"/>
      <c r="J3" s="228"/>
    </row>
    <row r="4" spans="2:11" ht="12.75" customHeight="1">
      <c r="H4" s="34"/>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dimension ref="A1:N343"/>
  <sheetViews>
    <sheetView workbookViewId="0">
      <selection activeCell="A4" sqref="A4"/>
    </sheetView>
  </sheetViews>
  <sheetFormatPr baseColWidth="10" defaultColWidth="8.85546875" defaultRowHeight="12.75"/>
  <cols>
    <col min="1" max="1" width="30.85546875" style="455" customWidth="1"/>
    <col min="2" max="2" width="2.42578125" style="434" customWidth="1"/>
    <col min="3" max="3" width="9.7109375" style="784" customWidth="1"/>
    <col min="4" max="4" width="8.7109375" style="455" customWidth="1"/>
    <col min="5" max="5" width="2.5703125" style="455" customWidth="1"/>
    <col min="6" max="6" width="9.7109375" style="784" customWidth="1"/>
    <col min="7" max="7" width="8.7109375" style="784" customWidth="1"/>
    <col min="8" max="8" width="2.7109375" style="784" customWidth="1"/>
    <col min="9" max="9" width="9.7109375" style="784" customWidth="1"/>
    <col min="10" max="10" width="8.7109375" style="784" customWidth="1"/>
    <col min="11" max="11" width="2.85546875" style="784" customWidth="1"/>
    <col min="12" max="12" width="9.42578125" style="784" customWidth="1"/>
    <col min="13" max="13" width="9.7109375" style="784" customWidth="1"/>
    <col min="14" max="14" width="3.7109375" style="785" customWidth="1"/>
    <col min="15" max="256" width="8.85546875" style="434"/>
    <col min="257" max="257" width="30.85546875" style="434" customWidth="1"/>
    <col min="258" max="258" width="2.42578125" style="434" customWidth="1"/>
    <col min="259" max="259" width="9.7109375" style="434" customWidth="1"/>
    <col min="260" max="260" width="8.7109375" style="434" customWidth="1"/>
    <col min="261" max="261" width="2.5703125" style="434" customWidth="1"/>
    <col min="262" max="262" width="9.7109375" style="434" customWidth="1"/>
    <col min="263" max="263" width="8.7109375" style="434" customWidth="1"/>
    <col min="264" max="264" width="2.7109375" style="434" customWidth="1"/>
    <col min="265" max="265" width="9.7109375" style="434" customWidth="1"/>
    <col min="266" max="266" width="8.7109375" style="434" customWidth="1"/>
    <col min="267" max="267" width="2.85546875" style="434" customWidth="1"/>
    <col min="268" max="268" width="9.42578125" style="434" customWidth="1"/>
    <col min="269" max="269" width="9.7109375" style="434" customWidth="1"/>
    <col min="270" max="270" width="3.7109375" style="434" customWidth="1"/>
    <col min="271" max="512" width="8.85546875" style="434"/>
    <col min="513" max="513" width="30.85546875" style="434" customWidth="1"/>
    <col min="514" max="514" width="2.42578125" style="434" customWidth="1"/>
    <col min="515" max="515" width="9.7109375" style="434" customWidth="1"/>
    <col min="516" max="516" width="8.7109375" style="434" customWidth="1"/>
    <col min="517" max="517" width="2.5703125" style="434" customWidth="1"/>
    <col min="518" max="518" width="9.7109375" style="434" customWidth="1"/>
    <col min="519" max="519" width="8.7109375" style="434" customWidth="1"/>
    <col min="520" max="520" width="2.7109375" style="434" customWidth="1"/>
    <col min="521" max="521" width="9.7109375" style="434" customWidth="1"/>
    <col min="522" max="522" width="8.7109375" style="434" customWidth="1"/>
    <col min="523" max="523" width="2.85546875" style="434" customWidth="1"/>
    <col min="524" max="524" width="9.42578125" style="434" customWidth="1"/>
    <col min="525" max="525" width="9.7109375" style="434" customWidth="1"/>
    <col min="526" max="526" width="3.7109375" style="434" customWidth="1"/>
    <col min="527" max="768" width="8.85546875" style="434"/>
    <col min="769" max="769" width="30.85546875" style="434" customWidth="1"/>
    <col min="770" max="770" width="2.42578125" style="434" customWidth="1"/>
    <col min="771" max="771" width="9.7109375" style="434" customWidth="1"/>
    <col min="772" max="772" width="8.7109375" style="434" customWidth="1"/>
    <col min="773" max="773" width="2.5703125" style="434" customWidth="1"/>
    <col min="774" max="774" width="9.7109375" style="434" customWidth="1"/>
    <col min="775" max="775" width="8.7109375" style="434" customWidth="1"/>
    <col min="776" max="776" width="2.7109375" style="434" customWidth="1"/>
    <col min="777" max="777" width="9.7109375" style="434" customWidth="1"/>
    <col min="778" max="778" width="8.7109375" style="434" customWidth="1"/>
    <col min="779" max="779" width="2.85546875" style="434" customWidth="1"/>
    <col min="780" max="780" width="9.42578125" style="434" customWidth="1"/>
    <col min="781" max="781" width="9.7109375" style="434" customWidth="1"/>
    <col min="782" max="782" width="3.7109375" style="434" customWidth="1"/>
    <col min="783" max="1024" width="8.85546875" style="434"/>
    <col min="1025" max="1025" width="30.85546875" style="434" customWidth="1"/>
    <col min="1026" max="1026" width="2.42578125" style="434" customWidth="1"/>
    <col min="1027" max="1027" width="9.7109375" style="434" customWidth="1"/>
    <col min="1028" max="1028" width="8.7109375" style="434" customWidth="1"/>
    <col min="1029" max="1029" width="2.5703125" style="434" customWidth="1"/>
    <col min="1030" max="1030" width="9.7109375" style="434" customWidth="1"/>
    <col min="1031" max="1031" width="8.7109375" style="434" customWidth="1"/>
    <col min="1032" max="1032" width="2.7109375" style="434" customWidth="1"/>
    <col min="1033" max="1033" width="9.7109375" style="434" customWidth="1"/>
    <col min="1034" max="1034" width="8.7109375" style="434" customWidth="1"/>
    <col min="1035" max="1035" width="2.85546875" style="434" customWidth="1"/>
    <col min="1036" max="1036" width="9.42578125" style="434" customWidth="1"/>
    <col min="1037" max="1037" width="9.7109375" style="434" customWidth="1"/>
    <col min="1038" max="1038" width="3.7109375" style="434" customWidth="1"/>
    <col min="1039" max="1280" width="8.85546875" style="434"/>
    <col min="1281" max="1281" width="30.85546875" style="434" customWidth="1"/>
    <col min="1282" max="1282" width="2.42578125" style="434" customWidth="1"/>
    <col min="1283" max="1283" width="9.7109375" style="434" customWidth="1"/>
    <col min="1284" max="1284" width="8.7109375" style="434" customWidth="1"/>
    <col min="1285" max="1285" width="2.5703125" style="434" customWidth="1"/>
    <col min="1286" max="1286" width="9.7109375" style="434" customWidth="1"/>
    <col min="1287" max="1287" width="8.7109375" style="434" customWidth="1"/>
    <col min="1288" max="1288" width="2.7109375" style="434" customWidth="1"/>
    <col min="1289" max="1289" width="9.7109375" style="434" customWidth="1"/>
    <col min="1290" max="1290" width="8.7109375" style="434" customWidth="1"/>
    <col min="1291" max="1291" width="2.85546875" style="434" customWidth="1"/>
    <col min="1292" max="1292" width="9.42578125" style="434" customWidth="1"/>
    <col min="1293" max="1293" width="9.7109375" style="434" customWidth="1"/>
    <col min="1294" max="1294" width="3.7109375" style="434" customWidth="1"/>
    <col min="1295" max="1536" width="8.85546875" style="434"/>
    <col min="1537" max="1537" width="30.85546875" style="434" customWidth="1"/>
    <col min="1538" max="1538" width="2.42578125" style="434" customWidth="1"/>
    <col min="1539" max="1539" width="9.7109375" style="434" customWidth="1"/>
    <col min="1540" max="1540" width="8.7109375" style="434" customWidth="1"/>
    <col min="1541" max="1541" width="2.5703125" style="434" customWidth="1"/>
    <col min="1542" max="1542" width="9.7109375" style="434" customWidth="1"/>
    <col min="1543" max="1543" width="8.7109375" style="434" customWidth="1"/>
    <col min="1544" max="1544" width="2.7109375" style="434" customWidth="1"/>
    <col min="1545" max="1545" width="9.7109375" style="434" customWidth="1"/>
    <col min="1546" max="1546" width="8.7109375" style="434" customWidth="1"/>
    <col min="1547" max="1547" width="2.85546875" style="434" customWidth="1"/>
    <col min="1548" max="1548" width="9.42578125" style="434" customWidth="1"/>
    <col min="1549" max="1549" width="9.7109375" style="434" customWidth="1"/>
    <col min="1550" max="1550" width="3.7109375" style="434" customWidth="1"/>
    <col min="1551" max="1792" width="8.85546875" style="434"/>
    <col min="1793" max="1793" width="30.85546875" style="434" customWidth="1"/>
    <col min="1794" max="1794" width="2.42578125" style="434" customWidth="1"/>
    <col min="1795" max="1795" width="9.7109375" style="434" customWidth="1"/>
    <col min="1796" max="1796" width="8.7109375" style="434" customWidth="1"/>
    <col min="1797" max="1797" width="2.5703125" style="434" customWidth="1"/>
    <col min="1798" max="1798" width="9.7109375" style="434" customWidth="1"/>
    <col min="1799" max="1799" width="8.7109375" style="434" customWidth="1"/>
    <col min="1800" max="1800" width="2.7109375" style="434" customWidth="1"/>
    <col min="1801" max="1801" width="9.7109375" style="434" customWidth="1"/>
    <col min="1802" max="1802" width="8.7109375" style="434" customWidth="1"/>
    <col min="1803" max="1803" width="2.85546875" style="434" customWidth="1"/>
    <col min="1804" max="1804" width="9.42578125" style="434" customWidth="1"/>
    <col min="1805" max="1805" width="9.7109375" style="434" customWidth="1"/>
    <col min="1806" max="1806" width="3.7109375" style="434" customWidth="1"/>
    <col min="1807" max="2048" width="8.85546875" style="434"/>
    <col min="2049" max="2049" width="30.85546875" style="434" customWidth="1"/>
    <col min="2050" max="2050" width="2.42578125" style="434" customWidth="1"/>
    <col min="2051" max="2051" width="9.7109375" style="434" customWidth="1"/>
    <col min="2052" max="2052" width="8.7109375" style="434" customWidth="1"/>
    <col min="2053" max="2053" width="2.5703125" style="434" customWidth="1"/>
    <col min="2054" max="2054" width="9.7109375" style="434" customWidth="1"/>
    <col min="2055" max="2055" width="8.7109375" style="434" customWidth="1"/>
    <col min="2056" max="2056" width="2.7109375" style="434" customWidth="1"/>
    <col min="2057" max="2057" width="9.7109375" style="434" customWidth="1"/>
    <col min="2058" max="2058" width="8.7109375" style="434" customWidth="1"/>
    <col min="2059" max="2059" width="2.85546875" style="434" customWidth="1"/>
    <col min="2060" max="2060" width="9.42578125" style="434" customWidth="1"/>
    <col min="2061" max="2061" width="9.7109375" style="434" customWidth="1"/>
    <col min="2062" max="2062" width="3.7109375" style="434" customWidth="1"/>
    <col min="2063" max="2304" width="8.85546875" style="434"/>
    <col min="2305" max="2305" width="30.85546875" style="434" customWidth="1"/>
    <col min="2306" max="2306" width="2.42578125" style="434" customWidth="1"/>
    <col min="2307" max="2307" width="9.7109375" style="434" customWidth="1"/>
    <col min="2308" max="2308" width="8.7109375" style="434" customWidth="1"/>
    <col min="2309" max="2309" width="2.5703125" style="434" customWidth="1"/>
    <col min="2310" max="2310" width="9.7109375" style="434" customWidth="1"/>
    <col min="2311" max="2311" width="8.7109375" style="434" customWidth="1"/>
    <col min="2312" max="2312" width="2.7109375" style="434" customWidth="1"/>
    <col min="2313" max="2313" width="9.7109375" style="434" customWidth="1"/>
    <col min="2314" max="2314" width="8.7109375" style="434" customWidth="1"/>
    <col min="2315" max="2315" width="2.85546875" style="434" customWidth="1"/>
    <col min="2316" max="2316" width="9.42578125" style="434" customWidth="1"/>
    <col min="2317" max="2317" width="9.7109375" style="434" customWidth="1"/>
    <col min="2318" max="2318" width="3.7109375" style="434" customWidth="1"/>
    <col min="2319" max="2560" width="8.85546875" style="434"/>
    <col min="2561" max="2561" width="30.85546875" style="434" customWidth="1"/>
    <col min="2562" max="2562" width="2.42578125" style="434" customWidth="1"/>
    <col min="2563" max="2563" width="9.7109375" style="434" customWidth="1"/>
    <col min="2564" max="2564" width="8.7109375" style="434" customWidth="1"/>
    <col min="2565" max="2565" width="2.5703125" style="434" customWidth="1"/>
    <col min="2566" max="2566" width="9.7109375" style="434" customWidth="1"/>
    <col min="2567" max="2567" width="8.7109375" style="434" customWidth="1"/>
    <col min="2568" max="2568" width="2.7109375" style="434" customWidth="1"/>
    <col min="2569" max="2569" width="9.7109375" style="434" customWidth="1"/>
    <col min="2570" max="2570" width="8.7109375" style="434" customWidth="1"/>
    <col min="2571" max="2571" width="2.85546875" style="434" customWidth="1"/>
    <col min="2572" max="2572" width="9.42578125" style="434" customWidth="1"/>
    <col min="2573" max="2573" width="9.7109375" style="434" customWidth="1"/>
    <col min="2574" max="2574" width="3.7109375" style="434" customWidth="1"/>
    <col min="2575" max="2816" width="8.85546875" style="434"/>
    <col min="2817" max="2817" width="30.85546875" style="434" customWidth="1"/>
    <col min="2818" max="2818" width="2.42578125" style="434" customWidth="1"/>
    <col min="2819" max="2819" width="9.7109375" style="434" customWidth="1"/>
    <col min="2820" max="2820" width="8.7109375" style="434" customWidth="1"/>
    <col min="2821" max="2821" width="2.5703125" style="434" customWidth="1"/>
    <col min="2822" max="2822" width="9.7109375" style="434" customWidth="1"/>
    <col min="2823" max="2823" width="8.7109375" style="434" customWidth="1"/>
    <col min="2824" max="2824" width="2.7109375" style="434" customWidth="1"/>
    <col min="2825" max="2825" width="9.7109375" style="434" customWidth="1"/>
    <col min="2826" max="2826" width="8.7109375" style="434" customWidth="1"/>
    <col min="2827" max="2827" width="2.85546875" style="434" customWidth="1"/>
    <col min="2828" max="2828" width="9.42578125" style="434" customWidth="1"/>
    <col min="2829" max="2829" width="9.7109375" style="434" customWidth="1"/>
    <col min="2830" max="2830" width="3.7109375" style="434" customWidth="1"/>
    <col min="2831" max="3072" width="8.85546875" style="434"/>
    <col min="3073" max="3073" width="30.85546875" style="434" customWidth="1"/>
    <col min="3074" max="3074" width="2.42578125" style="434" customWidth="1"/>
    <col min="3075" max="3075" width="9.7109375" style="434" customWidth="1"/>
    <col min="3076" max="3076" width="8.7109375" style="434" customWidth="1"/>
    <col min="3077" max="3077" width="2.5703125" style="434" customWidth="1"/>
    <col min="3078" max="3078" width="9.7109375" style="434" customWidth="1"/>
    <col min="3079" max="3079" width="8.7109375" style="434" customWidth="1"/>
    <col min="3080" max="3080" width="2.7109375" style="434" customWidth="1"/>
    <col min="3081" max="3081" width="9.7109375" style="434" customWidth="1"/>
    <col min="3082" max="3082" width="8.7109375" style="434" customWidth="1"/>
    <col min="3083" max="3083" width="2.85546875" style="434" customWidth="1"/>
    <col min="3084" max="3084" width="9.42578125" style="434" customWidth="1"/>
    <col min="3085" max="3085" width="9.7109375" style="434" customWidth="1"/>
    <col min="3086" max="3086" width="3.7109375" style="434" customWidth="1"/>
    <col min="3087" max="3328" width="8.85546875" style="434"/>
    <col min="3329" max="3329" width="30.85546875" style="434" customWidth="1"/>
    <col min="3330" max="3330" width="2.42578125" style="434" customWidth="1"/>
    <col min="3331" max="3331" width="9.7109375" style="434" customWidth="1"/>
    <col min="3332" max="3332" width="8.7109375" style="434" customWidth="1"/>
    <col min="3333" max="3333" width="2.5703125" style="434" customWidth="1"/>
    <col min="3334" max="3334" width="9.7109375" style="434" customWidth="1"/>
    <col min="3335" max="3335" width="8.7109375" style="434" customWidth="1"/>
    <col min="3336" max="3336" width="2.7109375" style="434" customWidth="1"/>
    <col min="3337" max="3337" width="9.7109375" style="434" customWidth="1"/>
    <col min="3338" max="3338" width="8.7109375" style="434" customWidth="1"/>
    <col min="3339" max="3339" width="2.85546875" style="434" customWidth="1"/>
    <col min="3340" max="3340" width="9.42578125" style="434" customWidth="1"/>
    <col min="3341" max="3341" width="9.7109375" style="434" customWidth="1"/>
    <col min="3342" max="3342" width="3.7109375" style="434" customWidth="1"/>
    <col min="3343" max="3584" width="8.85546875" style="434"/>
    <col min="3585" max="3585" width="30.85546875" style="434" customWidth="1"/>
    <col min="3586" max="3586" width="2.42578125" style="434" customWidth="1"/>
    <col min="3587" max="3587" width="9.7109375" style="434" customWidth="1"/>
    <col min="3588" max="3588" width="8.7109375" style="434" customWidth="1"/>
    <col min="3589" max="3589" width="2.5703125" style="434" customWidth="1"/>
    <col min="3590" max="3590" width="9.7109375" style="434" customWidth="1"/>
    <col min="3591" max="3591" width="8.7109375" style="434" customWidth="1"/>
    <col min="3592" max="3592" width="2.7109375" style="434" customWidth="1"/>
    <col min="3593" max="3593" width="9.7109375" style="434" customWidth="1"/>
    <col min="3594" max="3594" width="8.7109375" style="434" customWidth="1"/>
    <col min="3595" max="3595" width="2.85546875" style="434" customWidth="1"/>
    <col min="3596" max="3596" width="9.42578125" style="434" customWidth="1"/>
    <col min="3597" max="3597" width="9.7109375" style="434" customWidth="1"/>
    <col min="3598" max="3598" width="3.7109375" style="434" customWidth="1"/>
    <col min="3599" max="3840" width="8.85546875" style="434"/>
    <col min="3841" max="3841" width="30.85546875" style="434" customWidth="1"/>
    <col min="3842" max="3842" width="2.42578125" style="434" customWidth="1"/>
    <col min="3843" max="3843" width="9.7109375" style="434" customWidth="1"/>
    <col min="3844" max="3844" width="8.7109375" style="434" customWidth="1"/>
    <col min="3845" max="3845" width="2.5703125" style="434" customWidth="1"/>
    <col min="3846" max="3846" width="9.7109375" style="434" customWidth="1"/>
    <col min="3847" max="3847" width="8.7109375" style="434" customWidth="1"/>
    <col min="3848" max="3848" width="2.7109375" style="434" customWidth="1"/>
    <col min="3849" max="3849" width="9.7109375" style="434" customWidth="1"/>
    <col min="3850" max="3850" width="8.7109375" style="434" customWidth="1"/>
    <col min="3851" max="3851" width="2.85546875" style="434" customWidth="1"/>
    <col min="3852" max="3852" width="9.42578125" style="434" customWidth="1"/>
    <col min="3853" max="3853" width="9.7109375" style="434" customWidth="1"/>
    <col min="3854" max="3854" width="3.7109375" style="434" customWidth="1"/>
    <col min="3855" max="4096" width="8.85546875" style="434"/>
    <col min="4097" max="4097" width="30.85546875" style="434" customWidth="1"/>
    <col min="4098" max="4098" width="2.42578125" style="434" customWidth="1"/>
    <col min="4099" max="4099" width="9.7109375" style="434" customWidth="1"/>
    <col min="4100" max="4100" width="8.7109375" style="434" customWidth="1"/>
    <col min="4101" max="4101" width="2.5703125" style="434" customWidth="1"/>
    <col min="4102" max="4102" width="9.7109375" style="434" customWidth="1"/>
    <col min="4103" max="4103" width="8.7109375" style="434" customWidth="1"/>
    <col min="4104" max="4104" width="2.7109375" style="434" customWidth="1"/>
    <col min="4105" max="4105" width="9.7109375" style="434" customWidth="1"/>
    <col min="4106" max="4106" width="8.7109375" style="434" customWidth="1"/>
    <col min="4107" max="4107" width="2.85546875" style="434" customWidth="1"/>
    <col min="4108" max="4108" width="9.42578125" style="434" customWidth="1"/>
    <col min="4109" max="4109" width="9.7109375" style="434" customWidth="1"/>
    <col min="4110" max="4110" width="3.7109375" style="434" customWidth="1"/>
    <col min="4111" max="4352" width="8.85546875" style="434"/>
    <col min="4353" max="4353" width="30.85546875" style="434" customWidth="1"/>
    <col min="4354" max="4354" width="2.42578125" style="434" customWidth="1"/>
    <col min="4355" max="4355" width="9.7109375" style="434" customWidth="1"/>
    <col min="4356" max="4356" width="8.7109375" style="434" customWidth="1"/>
    <col min="4357" max="4357" width="2.5703125" style="434" customWidth="1"/>
    <col min="4358" max="4358" width="9.7109375" style="434" customWidth="1"/>
    <col min="4359" max="4359" width="8.7109375" style="434" customWidth="1"/>
    <col min="4360" max="4360" width="2.7109375" style="434" customWidth="1"/>
    <col min="4361" max="4361" width="9.7109375" style="434" customWidth="1"/>
    <col min="4362" max="4362" width="8.7109375" style="434" customWidth="1"/>
    <col min="4363" max="4363" width="2.85546875" style="434" customWidth="1"/>
    <col min="4364" max="4364" width="9.42578125" style="434" customWidth="1"/>
    <col min="4365" max="4365" width="9.7109375" style="434" customWidth="1"/>
    <col min="4366" max="4366" width="3.7109375" style="434" customWidth="1"/>
    <col min="4367" max="4608" width="8.85546875" style="434"/>
    <col min="4609" max="4609" width="30.85546875" style="434" customWidth="1"/>
    <col min="4610" max="4610" width="2.42578125" style="434" customWidth="1"/>
    <col min="4611" max="4611" width="9.7109375" style="434" customWidth="1"/>
    <col min="4612" max="4612" width="8.7109375" style="434" customWidth="1"/>
    <col min="4613" max="4613" width="2.5703125" style="434" customWidth="1"/>
    <col min="4614" max="4614" width="9.7109375" style="434" customWidth="1"/>
    <col min="4615" max="4615" width="8.7109375" style="434" customWidth="1"/>
    <col min="4616" max="4616" width="2.7109375" style="434" customWidth="1"/>
    <col min="4617" max="4617" width="9.7109375" style="434" customWidth="1"/>
    <col min="4618" max="4618" width="8.7109375" style="434" customWidth="1"/>
    <col min="4619" max="4619" width="2.85546875" style="434" customWidth="1"/>
    <col min="4620" max="4620" width="9.42578125" style="434" customWidth="1"/>
    <col min="4621" max="4621" width="9.7109375" style="434" customWidth="1"/>
    <col min="4622" max="4622" width="3.7109375" style="434" customWidth="1"/>
    <col min="4623" max="4864" width="8.85546875" style="434"/>
    <col min="4865" max="4865" width="30.85546875" style="434" customWidth="1"/>
    <col min="4866" max="4866" width="2.42578125" style="434" customWidth="1"/>
    <col min="4867" max="4867" width="9.7109375" style="434" customWidth="1"/>
    <col min="4868" max="4868" width="8.7109375" style="434" customWidth="1"/>
    <col min="4869" max="4869" width="2.5703125" style="434" customWidth="1"/>
    <col min="4870" max="4870" width="9.7109375" style="434" customWidth="1"/>
    <col min="4871" max="4871" width="8.7109375" style="434" customWidth="1"/>
    <col min="4872" max="4872" width="2.7109375" style="434" customWidth="1"/>
    <col min="4873" max="4873" width="9.7109375" style="434" customWidth="1"/>
    <col min="4874" max="4874" width="8.7109375" style="434" customWidth="1"/>
    <col min="4875" max="4875" width="2.85546875" style="434" customWidth="1"/>
    <col min="4876" max="4876" width="9.42578125" style="434" customWidth="1"/>
    <col min="4877" max="4877" width="9.7109375" style="434" customWidth="1"/>
    <col min="4878" max="4878" width="3.7109375" style="434" customWidth="1"/>
    <col min="4879" max="5120" width="8.85546875" style="434"/>
    <col min="5121" max="5121" width="30.85546875" style="434" customWidth="1"/>
    <col min="5122" max="5122" width="2.42578125" style="434" customWidth="1"/>
    <col min="5123" max="5123" width="9.7109375" style="434" customWidth="1"/>
    <col min="5124" max="5124" width="8.7109375" style="434" customWidth="1"/>
    <col min="5125" max="5125" width="2.5703125" style="434" customWidth="1"/>
    <col min="5126" max="5126" width="9.7109375" style="434" customWidth="1"/>
    <col min="5127" max="5127" width="8.7109375" style="434" customWidth="1"/>
    <col min="5128" max="5128" width="2.7109375" style="434" customWidth="1"/>
    <col min="5129" max="5129" width="9.7109375" style="434" customWidth="1"/>
    <col min="5130" max="5130" width="8.7109375" style="434" customWidth="1"/>
    <col min="5131" max="5131" width="2.85546875" style="434" customWidth="1"/>
    <col min="5132" max="5132" width="9.42578125" style="434" customWidth="1"/>
    <col min="5133" max="5133" width="9.7109375" style="434" customWidth="1"/>
    <col min="5134" max="5134" width="3.7109375" style="434" customWidth="1"/>
    <col min="5135" max="5376" width="8.85546875" style="434"/>
    <col min="5377" max="5377" width="30.85546875" style="434" customWidth="1"/>
    <col min="5378" max="5378" width="2.42578125" style="434" customWidth="1"/>
    <col min="5379" max="5379" width="9.7109375" style="434" customWidth="1"/>
    <col min="5380" max="5380" width="8.7109375" style="434" customWidth="1"/>
    <col min="5381" max="5381" width="2.5703125" style="434" customWidth="1"/>
    <col min="5382" max="5382" width="9.7109375" style="434" customWidth="1"/>
    <col min="5383" max="5383" width="8.7109375" style="434" customWidth="1"/>
    <col min="5384" max="5384" width="2.7109375" style="434" customWidth="1"/>
    <col min="5385" max="5385" width="9.7109375" style="434" customWidth="1"/>
    <col min="5386" max="5386" width="8.7109375" style="434" customWidth="1"/>
    <col min="5387" max="5387" width="2.85546875" style="434" customWidth="1"/>
    <col min="5388" max="5388" width="9.42578125" style="434" customWidth="1"/>
    <col min="5389" max="5389" width="9.7109375" style="434" customWidth="1"/>
    <col min="5390" max="5390" width="3.7109375" style="434" customWidth="1"/>
    <col min="5391" max="5632" width="8.85546875" style="434"/>
    <col min="5633" max="5633" width="30.85546875" style="434" customWidth="1"/>
    <col min="5634" max="5634" width="2.42578125" style="434" customWidth="1"/>
    <col min="5635" max="5635" width="9.7109375" style="434" customWidth="1"/>
    <col min="5636" max="5636" width="8.7109375" style="434" customWidth="1"/>
    <col min="5637" max="5637" width="2.5703125" style="434" customWidth="1"/>
    <col min="5638" max="5638" width="9.7109375" style="434" customWidth="1"/>
    <col min="5639" max="5639" width="8.7109375" style="434" customWidth="1"/>
    <col min="5640" max="5640" width="2.7109375" style="434" customWidth="1"/>
    <col min="5641" max="5641" width="9.7109375" style="434" customWidth="1"/>
    <col min="5642" max="5642" width="8.7109375" style="434" customWidth="1"/>
    <col min="5643" max="5643" width="2.85546875" style="434" customWidth="1"/>
    <col min="5644" max="5644" width="9.42578125" style="434" customWidth="1"/>
    <col min="5645" max="5645" width="9.7109375" style="434" customWidth="1"/>
    <col min="5646" max="5646" width="3.7109375" style="434" customWidth="1"/>
    <col min="5647" max="5888" width="8.85546875" style="434"/>
    <col min="5889" max="5889" width="30.85546875" style="434" customWidth="1"/>
    <col min="5890" max="5890" width="2.42578125" style="434" customWidth="1"/>
    <col min="5891" max="5891" width="9.7109375" style="434" customWidth="1"/>
    <col min="5892" max="5892" width="8.7109375" style="434" customWidth="1"/>
    <col min="5893" max="5893" width="2.5703125" style="434" customWidth="1"/>
    <col min="5894" max="5894" width="9.7109375" style="434" customWidth="1"/>
    <col min="5895" max="5895" width="8.7109375" style="434" customWidth="1"/>
    <col min="5896" max="5896" width="2.7109375" style="434" customWidth="1"/>
    <col min="5897" max="5897" width="9.7109375" style="434" customWidth="1"/>
    <col min="5898" max="5898" width="8.7109375" style="434" customWidth="1"/>
    <col min="5899" max="5899" width="2.85546875" style="434" customWidth="1"/>
    <col min="5900" max="5900" width="9.42578125" style="434" customWidth="1"/>
    <col min="5901" max="5901" width="9.7109375" style="434" customWidth="1"/>
    <col min="5902" max="5902" width="3.7109375" style="434" customWidth="1"/>
    <col min="5903" max="6144" width="8.85546875" style="434"/>
    <col min="6145" max="6145" width="30.85546875" style="434" customWidth="1"/>
    <col min="6146" max="6146" width="2.42578125" style="434" customWidth="1"/>
    <col min="6147" max="6147" width="9.7109375" style="434" customWidth="1"/>
    <col min="6148" max="6148" width="8.7109375" style="434" customWidth="1"/>
    <col min="6149" max="6149" width="2.5703125" style="434" customWidth="1"/>
    <col min="6150" max="6150" width="9.7109375" style="434" customWidth="1"/>
    <col min="6151" max="6151" width="8.7109375" style="434" customWidth="1"/>
    <col min="6152" max="6152" width="2.7109375" style="434" customWidth="1"/>
    <col min="6153" max="6153" width="9.7109375" style="434" customWidth="1"/>
    <col min="6154" max="6154" width="8.7109375" style="434" customWidth="1"/>
    <col min="6155" max="6155" width="2.85546875" style="434" customWidth="1"/>
    <col min="6156" max="6156" width="9.42578125" style="434" customWidth="1"/>
    <col min="6157" max="6157" width="9.7109375" style="434" customWidth="1"/>
    <col min="6158" max="6158" width="3.7109375" style="434" customWidth="1"/>
    <col min="6159" max="6400" width="8.85546875" style="434"/>
    <col min="6401" max="6401" width="30.85546875" style="434" customWidth="1"/>
    <col min="6402" max="6402" width="2.42578125" style="434" customWidth="1"/>
    <col min="6403" max="6403" width="9.7109375" style="434" customWidth="1"/>
    <col min="6404" max="6404" width="8.7109375" style="434" customWidth="1"/>
    <col min="6405" max="6405" width="2.5703125" style="434" customWidth="1"/>
    <col min="6406" max="6406" width="9.7109375" style="434" customWidth="1"/>
    <col min="6407" max="6407" width="8.7109375" style="434" customWidth="1"/>
    <col min="6408" max="6408" width="2.7109375" style="434" customWidth="1"/>
    <col min="6409" max="6409" width="9.7109375" style="434" customWidth="1"/>
    <col min="6410" max="6410" width="8.7109375" style="434" customWidth="1"/>
    <col min="6411" max="6411" width="2.85546875" style="434" customWidth="1"/>
    <col min="6412" max="6412" width="9.42578125" style="434" customWidth="1"/>
    <col min="6413" max="6413" width="9.7109375" style="434" customWidth="1"/>
    <col min="6414" max="6414" width="3.7109375" style="434" customWidth="1"/>
    <col min="6415" max="6656" width="8.85546875" style="434"/>
    <col min="6657" max="6657" width="30.85546875" style="434" customWidth="1"/>
    <col min="6658" max="6658" width="2.42578125" style="434" customWidth="1"/>
    <col min="6659" max="6659" width="9.7109375" style="434" customWidth="1"/>
    <col min="6660" max="6660" width="8.7109375" style="434" customWidth="1"/>
    <col min="6661" max="6661" width="2.5703125" style="434" customWidth="1"/>
    <col min="6662" max="6662" width="9.7109375" style="434" customWidth="1"/>
    <col min="6663" max="6663" width="8.7109375" style="434" customWidth="1"/>
    <col min="6664" max="6664" width="2.7109375" style="434" customWidth="1"/>
    <col min="6665" max="6665" width="9.7109375" style="434" customWidth="1"/>
    <col min="6666" max="6666" width="8.7109375" style="434" customWidth="1"/>
    <col min="6667" max="6667" width="2.85546875" style="434" customWidth="1"/>
    <col min="6668" max="6668" width="9.42578125" style="434" customWidth="1"/>
    <col min="6669" max="6669" width="9.7109375" style="434" customWidth="1"/>
    <col min="6670" max="6670" width="3.7109375" style="434" customWidth="1"/>
    <col min="6671" max="6912" width="8.85546875" style="434"/>
    <col min="6913" max="6913" width="30.85546875" style="434" customWidth="1"/>
    <col min="6914" max="6914" width="2.42578125" style="434" customWidth="1"/>
    <col min="6915" max="6915" width="9.7109375" style="434" customWidth="1"/>
    <col min="6916" max="6916" width="8.7109375" style="434" customWidth="1"/>
    <col min="6917" max="6917" width="2.5703125" style="434" customWidth="1"/>
    <col min="6918" max="6918" width="9.7109375" style="434" customWidth="1"/>
    <col min="6919" max="6919" width="8.7109375" style="434" customWidth="1"/>
    <col min="6920" max="6920" width="2.7109375" style="434" customWidth="1"/>
    <col min="6921" max="6921" width="9.7109375" style="434" customWidth="1"/>
    <col min="6922" max="6922" width="8.7109375" style="434" customWidth="1"/>
    <col min="6923" max="6923" width="2.85546875" style="434" customWidth="1"/>
    <col min="6924" max="6924" width="9.42578125" style="434" customWidth="1"/>
    <col min="6925" max="6925" width="9.7109375" style="434" customWidth="1"/>
    <col min="6926" max="6926" width="3.7109375" style="434" customWidth="1"/>
    <col min="6927" max="7168" width="8.85546875" style="434"/>
    <col min="7169" max="7169" width="30.85546875" style="434" customWidth="1"/>
    <col min="7170" max="7170" width="2.42578125" style="434" customWidth="1"/>
    <col min="7171" max="7171" width="9.7109375" style="434" customWidth="1"/>
    <col min="7172" max="7172" width="8.7109375" style="434" customWidth="1"/>
    <col min="7173" max="7173" width="2.5703125" style="434" customWidth="1"/>
    <col min="7174" max="7174" width="9.7109375" style="434" customWidth="1"/>
    <col min="7175" max="7175" width="8.7109375" style="434" customWidth="1"/>
    <col min="7176" max="7176" width="2.7109375" style="434" customWidth="1"/>
    <col min="7177" max="7177" width="9.7109375" style="434" customWidth="1"/>
    <col min="7178" max="7178" width="8.7109375" style="434" customWidth="1"/>
    <col min="7179" max="7179" width="2.85546875" style="434" customWidth="1"/>
    <col min="7180" max="7180" width="9.42578125" style="434" customWidth="1"/>
    <col min="7181" max="7181" width="9.7109375" style="434" customWidth="1"/>
    <col min="7182" max="7182" width="3.7109375" style="434" customWidth="1"/>
    <col min="7183" max="7424" width="8.85546875" style="434"/>
    <col min="7425" max="7425" width="30.85546875" style="434" customWidth="1"/>
    <col min="7426" max="7426" width="2.42578125" style="434" customWidth="1"/>
    <col min="7427" max="7427" width="9.7109375" style="434" customWidth="1"/>
    <col min="7428" max="7428" width="8.7109375" style="434" customWidth="1"/>
    <col min="7429" max="7429" width="2.5703125" style="434" customWidth="1"/>
    <col min="7430" max="7430" width="9.7109375" style="434" customWidth="1"/>
    <col min="7431" max="7431" width="8.7109375" style="434" customWidth="1"/>
    <col min="7432" max="7432" width="2.7109375" style="434" customWidth="1"/>
    <col min="7433" max="7433" width="9.7109375" style="434" customWidth="1"/>
    <col min="7434" max="7434" width="8.7109375" style="434" customWidth="1"/>
    <col min="7435" max="7435" width="2.85546875" style="434" customWidth="1"/>
    <col min="7436" max="7436" width="9.42578125" style="434" customWidth="1"/>
    <col min="7437" max="7437" width="9.7109375" style="434" customWidth="1"/>
    <col min="7438" max="7438" width="3.7109375" style="434" customWidth="1"/>
    <col min="7439" max="7680" width="8.85546875" style="434"/>
    <col min="7681" max="7681" width="30.85546875" style="434" customWidth="1"/>
    <col min="7682" max="7682" width="2.42578125" style="434" customWidth="1"/>
    <col min="7683" max="7683" width="9.7109375" style="434" customWidth="1"/>
    <col min="7684" max="7684" width="8.7109375" style="434" customWidth="1"/>
    <col min="7685" max="7685" width="2.5703125" style="434" customWidth="1"/>
    <col min="7686" max="7686" width="9.7109375" style="434" customWidth="1"/>
    <col min="7687" max="7687" width="8.7109375" style="434" customWidth="1"/>
    <col min="7688" max="7688" width="2.7109375" style="434" customWidth="1"/>
    <col min="7689" max="7689" width="9.7109375" style="434" customWidth="1"/>
    <col min="7690" max="7690" width="8.7109375" style="434" customWidth="1"/>
    <col min="7691" max="7691" width="2.85546875" style="434" customWidth="1"/>
    <col min="7692" max="7692" width="9.42578125" style="434" customWidth="1"/>
    <col min="7693" max="7693" width="9.7109375" style="434" customWidth="1"/>
    <col min="7694" max="7694" width="3.7109375" style="434" customWidth="1"/>
    <col min="7695" max="7936" width="8.85546875" style="434"/>
    <col min="7937" max="7937" width="30.85546875" style="434" customWidth="1"/>
    <col min="7938" max="7938" width="2.42578125" style="434" customWidth="1"/>
    <col min="7939" max="7939" width="9.7109375" style="434" customWidth="1"/>
    <col min="7940" max="7940" width="8.7109375" style="434" customWidth="1"/>
    <col min="7941" max="7941" width="2.5703125" style="434" customWidth="1"/>
    <col min="7942" max="7942" width="9.7109375" style="434" customWidth="1"/>
    <col min="7943" max="7943" width="8.7109375" style="434" customWidth="1"/>
    <col min="7944" max="7944" width="2.7109375" style="434" customWidth="1"/>
    <col min="7945" max="7945" width="9.7109375" style="434" customWidth="1"/>
    <col min="7946" max="7946" width="8.7109375" style="434" customWidth="1"/>
    <col min="7947" max="7947" width="2.85546875" style="434" customWidth="1"/>
    <col min="7948" max="7948" width="9.42578125" style="434" customWidth="1"/>
    <col min="7949" max="7949" width="9.7109375" style="434" customWidth="1"/>
    <col min="7950" max="7950" width="3.7109375" style="434" customWidth="1"/>
    <col min="7951" max="8192" width="8.85546875" style="434"/>
    <col min="8193" max="8193" width="30.85546875" style="434" customWidth="1"/>
    <col min="8194" max="8194" width="2.42578125" style="434" customWidth="1"/>
    <col min="8195" max="8195" width="9.7109375" style="434" customWidth="1"/>
    <col min="8196" max="8196" width="8.7109375" style="434" customWidth="1"/>
    <col min="8197" max="8197" width="2.5703125" style="434" customWidth="1"/>
    <col min="8198" max="8198" width="9.7109375" style="434" customWidth="1"/>
    <col min="8199" max="8199" width="8.7109375" style="434" customWidth="1"/>
    <col min="8200" max="8200" width="2.7109375" style="434" customWidth="1"/>
    <col min="8201" max="8201" width="9.7109375" style="434" customWidth="1"/>
    <col min="8202" max="8202" width="8.7109375" style="434" customWidth="1"/>
    <col min="8203" max="8203" width="2.85546875" style="434" customWidth="1"/>
    <col min="8204" max="8204" width="9.42578125" style="434" customWidth="1"/>
    <col min="8205" max="8205" width="9.7109375" style="434" customWidth="1"/>
    <col min="8206" max="8206" width="3.7109375" style="434" customWidth="1"/>
    <col min="8207" max="8448" width="8.85546875" style="434"/>
    <col min="8449" max="8449" width="30.85546875" style="434" customWidth="1"/>
    <col min="8450" max="8450" width="2.42578125" style="434" customWidth="1"/>
    <col min="8451" max="8451" width="9.7109375" style="434" customWidth="1"/>
    <col min="8452" max="8452" width="8.7109375" style="434" customWidth="1"/>
    <col min="8453" max="8453" width="2.5703125" style="434" customWidth="1"/>
    <col min="8454" max="8454" width="9.7109375" style="434" customWidth="1"/>
    <col min="8455" max="8455" width="8.7109375" style="434" customWidth="1"/>
    <col min="8456" max="8456" width="2.7109375" style="434" customWidth="1"/>
    <col min="8457" max="8457" width="9.7109375" style="434" customWidth="1"/>
    <col min="8458" max="8458" width="8.7109375" style="434" customWidth="1"/>
    <col min="8459" max="8459" width="2.85546875" style="434" customWidth="1"/>
    <col min="8460" max="8460" width="9.42578125" style="434" customWidth="1"/>
    <col min="8461" max="8461" width="9.7109375" style="434" customWidth="1"/>
    <col min="8462" max="8462" width="3.7109375" style="434" customWidth="1"/>
    <col min="8463" max="8704" width="8.85546875" style="434"/>
    <col min="8705" max="8705" width="30.85546875" style="434" customWidth="1"/>
    <col min="8706" max="8706" width="2.42578125" style="434" customWidth="1"/>
    <col min="8707" max="8707" width="9.7109375" style="434" customWidth="1"/>
    <col min="8708" max="8708" width="8.7109375" style="434" customWidth="1"/>
    <col min="8709" max="8709" width="2.5703125" style="434" customWidth="1"/>
    <col min="8710" max="8710" width="9.7109375" style="434" customWidth="1"/>
    <col min="8711" max="8711" width="8.7109375" style="434" customWidth="1"/>
    <col min="8712" max="8712" width="2.7109375" style="434" customWidth="1"/>
    <col min="8713" max="8713" width="9.7109375" style="434" customWidth="1"/>
    <col min="8714" max="8714" width="8.7109375" style="434" customWidth="1"/>
    <col min="8715" max="8715" width="2.85546875" style="434" customWidth="1"/>
    <col min="8716" max="8716" width="9.42578125" style="434" customWidth="1"/>
    <col min="8717" max="8717" width="9.7109375" style="434" customWidth="1"/>
    <col min="8718" max="8718" width="3.7109375" style="434" customWidth="1"/>
    <col min="8719" max="8960" width="8.85546875" style="434"/>
    <col min="8961" max="8961" width="30.85546875" style="434" customWidth="1"/>
    <col min="8962" max="8962" width="2.42578125" style="434" customWidth="1"/>
    <col min="8963" max="8963" width="9.7109375" style="434" customWidth="1"/>
    <col min="8964" max="8964" width="8.7109375" style="434" customWidth="1"/>
    <col min="8965" max="8965" width="2.5703125" style="434" customWidth="1"/>
    <col min="8966" max="8966" width="9.7109375" style="434" customWidth="1"/>
    <col min="8967" max="8967" width="8.7109375" style="434" customWidth="1"/>
    <col min="8968" max="8968" width="2.7109375" style="434" customWidth="1"/>
    <col min="8969" max="8969" width="9.7109375" style="434" customWidth="1"/>
    <col min="8970" max="8970" width="8.7109375" style="434" customWidth="1"/>
    <col min="8971" max="8971" width="2.85546875" style="434" customWidth="1"/>
    <col min="8972" max="8972" width="9.42578125" style="434" customWidth="1"/>
    <col min="8973" max="8973" width="9.7109375" style="434" customWidth="1"/>
    <col min="8974" max="8974" width="3.7109375" style="434" customWidth="1"/>
    <col min="8975" max="9216" width="8.85546875" style="434"/>
    <col min="9217" max="9217" width="30.85546875" style="434" customWidth="1"/>
    <col min="9218" max="9218" width="2.42578125" style="434" customWidth="1"/>
    <col min="9219" max="9219" width="9.7109375" style="434" customWidth="1"/>
    <col min="9220" max="9220" width="8.7109375" style="434" customWidth="1"/>
    <col min="9221" max="9221" width="2.5703125" style="434" customWidth="1"/>
    <col min="9222" max="9222" width="9.7109375" style="434" customWidth="1"/>
    <col min="9223" max="9223" width="8.7109375" style="434" customWidth="1"/>
    <col min="9224" max="9224" width="2.7109375" style="434" customWidth="1"/>
    <col min="9225" max="9225" width="9.7109375" style="434" customWidth="1"/>
    <col min="9226" max="9226" width="8.7109375" style="434" customWidth="1"/>
    <col min="9227" max="9227" width="2.85546875" style="434" customWidth="1"/>
    <col min="9228" max="9228" width="9.42578125" style="434" customWidth="1"/>
    <col min="9229" max="9229" width="9.7109375" style="434" customWidth="1"/>
    <col min="9230" max="9230" width="3.7109375" style="434" customWidth="1"/>
    <col min="9231" max="9472" width="8.85546875" style="434"/>
    <col min="9473" max="9473" width="30.85546875" style="434" customWidth="1"/>
    <col min="9474" max="9474" width="2.42578125" style="434" customWidth="1"/>
    <col min="9475" max="9475" width="9.7109375" style="434" customWidth="1"/>
    <col min="9476" max="9476" width="8.7109375" style="434" customWidth="1"/>
    <col min="9477" max="9477" width="2.5703125" style="434" customWidth="1"/>
    <col min="9478" max="9478" width="9.7109375" style="434" customWidth="1"/>
    <col min="9479" max="9479" width="8.7109375" style="434" customWidth="1"/>
    <col min="9480" max="9480" width="2.7109375" style="434" customWidth="1"/>
    <col min="9481" max="9481" width="9.7109375" style="434" customWidth="1"/>
    <col min="9482" max="9482" width="8.7109375" style="434" customWidth="1"/>
    <col min="9483" max="9483" width="2.85546875" style="434" customWidth="1"/>
    <col min="9484" max="9484" width="9.42578125" style="434" customWidth="1"/>
    <col min="9485" max="9485" width="9.7109375" style="434" customWidth="1"/>
    <col min="9486" max="9486" width="3.7109375" style="434" customWidth="1"/>
    <col min="9487" max="9728" width="8.85546875" style="434"/>
    <col min="9729" max="9729" width="30.85546875" style="434" customWidth="1"/>
    <col min="9730" max="9730" width="2.42578125" style="434" customWidth="1"/>
    <col min="9731" max="9731" width="9.7109375" style="434" customWidth="1"/>
    <col min="9732" max="9732" width="8.7109375" style="434" customWidth="1"/>
    <col min="9733" max="9733" width="2.5703125" style="434" customWidth="1"/>
    <col min="9734" max="9734" width="9.7109375" style="434" customWidth="1"/>
    <col min="9735" max="9735" width="8.7109375" style="434" customWidth="1"/>
    <col min="9736" max="9736" width="2.7109375" style="434" customWidth="1"/>
    <col min="9737" max="9737" width="9.7109375" style="434" customWidth="1"/>
    <col min="9738" max="9738" width="8.7109375" style="434" customWidth="1"/>
    <col min="9739" max="9739" width="2.85546875" style="434" customWidth="1"/>
    <col min="9740" max="9740" width="9.42578125" style="434" customWidth="1"/>
    <col min="9741" max="9741" width="9.7109375" style="434" customWidth="1"/>
    <col min="9742" max="9742" width="3.7109375" style="434" customWidth="1"/>
    <col min="9743" max="9984" width="8.85546875" style="434"/>
    <col min="9985" max="9985" width="30.85546875" style="434" customWidth="1"/>
    <col min="9986" max="9986" width="2.42578125" style="434" customWidth="1"/>
    <col min="9987" max="9987" width="9.7109375" style="434" customWidth="1"/>
    <col min="9988" max="9988" width="8.7109375" style="434" customWidth="1"/>
    <col min="9989" max="9989" width="2.5703125" style="434" customWidth="1"/>
    <col min="9990" max="9990" width="9.7109375" style="434" customWidth="1"/>
    <col min="9991" max="9991" width="8.7109375" style="434" customWidth="1"/>
    <col min="9992" max="9992" width="2.7109375" style="434" customWidth="1"/>
    <col min="9993" max="9993" width="9.7109375" style="434" customWidth="1"/>
    <col min="9994" max="9994" width="8.7109375" style="434" customWidth="1"/>
    <col min="9995" max="9995" width="2.85546875" style="434" customWidth="1"/>
    <col min="9996" max="9996" width="9.42578125" style="434" customWidth="1"/>
    <col min="9997" max="9997" width="9.7109375" style="434" customWidth="1"/>
    <col min="9998" max="9998" width="3.7109375" style="434" customWidth="1"/>
    <col min="9999" max="10240" width="8.85546875" style="434"/>
    <col min="10241" max="10241" width="30.85546875" style="434" customWidth="1"/>
    <col min="10242" max="10242" width="2.42578125" style="434" customWidth="1"/>
    <col min="10243" max="10243" width="9.7109375" style="434" customWidth="1"/>
    <col min="10244" max="10244" width="8.7109375" style="434" customWidth="1"/>
    <col min="10245" max="10245" width="2.5703125" style="434" customWidth="1"/>
    <col min="10246" max="10246" width="9.7109375" style="434" customWidth="1"/>
    <col min="10247" max="10247" width="8.7109375" style="434" customWidth="1"/>
    <col min="10248" max="10248" width="2.7109375" style="434" customWidth="1"/>
    <col min="10249" max="10249" width="9.7109375" style="434" customWidth="1"/>
    <col min="10250" max="10250" width="8.7109375" style="434" customWidth="1"/>
    <col min="10251" max="10251" width="2.85546875" style="434" customWidth="1"/>
    <col min="10252" max="10252" width="9.42578125" style="434" customWidth="1"/>
    <col min="10253" max="10253" width="9.7109375" style="434" customWidth="1"/>
    <col min="10254" max="10254" width="3.7109375" style="434" customWidth="1"/>
    <col min="10255" max="10496" width="8.85546875" style="434"/>
    <col min="10497" max="10497" width="30.85546875" style="434" customWidth="1"/>
    <col min="10498" max="10498" width="2.42578125" style="434" customWidth="1"/>
    <col min="10499" max="10499" width="9.7109375" style="434" customWidth="1"/>
    <col min="10500" max="10500" width="8.7109375" style="434" customWidth="1"/>
    <col min="10501" max="10501" width="2.5703125" style="434" customWidth="1"/>
    <col min="10502" max="10502" width="9.7109375" style="434" customWidth="1"/>
    <col min="10503" max="10503" width="8.7109375" style="434" customWidth="1"/>
    <col min="10504" max="10504" width="2.7109375" style="434" customWidth="1"/>
    <col min="10505" max="10505" width="9.7109375" style="434" customWidth="1"/>
    <col min="10506" max="10506" width="8.7109375" style="434" customWidth="1"/>
    <col min="10507" max="10507" width="2.85546875" style="434" customWidth="1"/>
    <col min="10508" max="10508" width="9.42578125" style="434" customWidth="1"/>
    <col min="10509" max="10509" width="9.7109375" style="434" customWidth="1"/>
    <col min="10510" max="10510" width="3.7109375" style="434" customWidth="1"/>
    <col min="10511" max="10752" width="8.85546875" style="434"/>
    <col min="10753" max="10753" width="30.85546875" style="434" customWidth="1"/>
    <col min="10754" max="10754" width="2.42578125" style="434" customWidth="1"/>
    <col min="10755" max="10755" width="9.7109375" style="434" customWidth="1"/>
    <col min="10756" max="10756" width="8.7109375" style="434" customWidth="1"/>
    <col min="10757" max="10757" width="2.5703125" style="434" customWidth="1"/>
    <col min="10758" max="10758" width="9.7109375" style="434" customWidth="1"/>
    <col min="10759" max="10759" width="8.7109375" style="434" customWidth="1"/>
    <col min="10760" max="10760" width="2.7109375" style="434" customWidth="1"/>
    <col min="10761" max="10761" width="9.7109375" style="434" customWidth="1"/>
    <col min="10762" max="10762" width="8.7109375" style="434" customWidth="1"/>
    <col min="10763" max="10763" width="2.85546875" style="434" customWidth="1"/>
    <col min="10764" max="10764" width="9.42578125" style="434" customWidth="1"/>
    <col min="10765" max="10765" width="9.7109375" style="434" customWidth="1"/>
    <col min="10766" max="10766" width="3.7109375" style="434" customWidth="1"/>
    <col min="10767" max="11008" width="8.85546875" style="434"/>
    <col min="11009" max="11009" width="30.85546875" style="434" customWidth="1"/>
    <col min="11010" max="11010" width="2.42578125" style="434" customWidth="1"/>
    <col min="11011" max="11011" width="9.7109375" style="434" customWidth="1"/>
    <col min="11012" max="11012" width="8.7109375" style="434" customWidth="1"/>
    <col min="11013" max="11013" width="2.5703125" style="434" customWidth="1"/>
    <col min="11014" max="11014" width="9.7109375" style="434" customWidth="1"/>
    <col min="11015" max="11015" width="8.7109375" style="434" customWidth="1"/>
    <col min="11016" max="11016" width="2.7109375" style="434" customWidth="1"/>
    <col min="11017" max="11017" width="9.7109375" style="434" customWidth="1"/>
    <col min="11018" max="11018" width="8.7109375" style="434" customWidth="1"/>
    <col min="11019" max="11019" width="2.85546875" style="434" customWidth="1"/>
    <col min="11020" max="11020" width="9.42578125" style="434" customWidth="1"/>
    <col min="11021" max="11021" width="9.7109375" style="434" customWidth="1"/>
    <col min="11022" max="11022" width="3.7109375" style="434" customWidth="1"/>
    <col min="11023" max="11264" width="8.85546875" style="434"/>
    <col min="11265" max="11265" width="30.85546875" style="434" customWidth="1"/>
    <col min="11266" max="11266" width="2.42578125" style="434" customWidth="1"/>
    <col min="11267" max="11267" width="9.7109375" style="434" customWidth="1"/>
    <col min="11268" max="11268" width="8.7109375" style="434" customWidth="1"/>
    <col min="11269" max="11269" width="2.5703125" style="434" customWidth="1"/>
    <col min="11270" max="11270" width="9.7109375" style="434" customWidth="1"/>
    <col min="11271" max="11271" width="8.7109375" style="434" customWidth="1"/>
    <col min="11272" max="11272" width="2.7109375" style="434" customWidth="1"/>
    <col min="11273" max="11273" width="9.7109375" style="434" customWidth="1"/>
    <col min="11274" max="11274" width="8.7109375" style="434" customWidth="1"/>
    <col min="11275" max="11275" width="2.85546875" style="434" customWidth="1"/>
    <col min="11276" max="11276" width="9.42578125" style="434" customWidth="1"/>
    <col min="11277" max="11277" width="9.7109375" style="434" customWidth="1"/>
    <col min="11278" max="11278" width="3.7109375" style="434" customWidth="1"/>
    <col min="11279" max="11520" width="8.85546875" style="434"/>
    <col min="11521" max="11521" width="30.85546875" style="434" customWidth="1"/>
    <col min="11522" max="11522" width="2.42578125" style="434" customWidth="1"/>
    <col min="11523" max="11523" width="9.7109375" style="434" customWidth="1"/>
    <col min="11524" max="11524" width="8.7109375" style="434" customWidth="1"/>
    <col min="11525" max="11525" width="2.5703125" style="434" customWidth="1"/>
    <col min="11526" max="11526" width="9.7109375" style="434" customWidth="1"/>
    <col min="11527" max="11527" width="8.7109375" style="434" customWidth="1"/>
    <col min="11528" max="11528" width="2.7109375" style="434" customWidth="1"/>
    <col min="11529" max="11529" width="9.7109375" style="434" customWidth="1"/>
    <col min="11530" max="11530" width="8.7109375" style="434" customWidth="1"/>
    <col min="11531" max="11531" width="2.85546875" style="434" customWidth="1"/>
    <col min="11532" max="11532" width="9.42578125" style="434" customWidth="1"/>
    <col min="11533" max="11533" width="9.7109375" style="434" customWidth="1"/>
    <col min="11534" max="11534" width="3.7109375" style="434" customWidth="1"/>
    <col min="11535" max="11776" width="8.85546875" style="434"/>
    <col min="11777" max="11777" width="30.85546875" style="434" customWidth="1"/>
    <col min="11778" max="11778" width="2.42578125" style="434" customWidth="1"/>
    <col min="11779" max="11779" width="9.7109375" style="434" customWidth="1"/>
    <col min="11780" max="11780" width="8.7109375" style="434" customWidth="1"/>
    <col min="11781" max="11781" width="2.5703125" style="434" customWidth="1"/>
    <col min="11782" max="11782" width="9.7109375" style="434" customWidth="1"/>
    <col min="11783" max="11783" width="8.7109375" style="434" customWidth="1"/>
    <col min="11784" max="11784" width="2.7109375" style="434" customWidth="1"/>
    <col min="11785" max="11785" width="9.7109375" style="434" customWidth="1"/>
    <col min="11786" max="11786" width="8.7109375" style="434" customWidth="1"/>
    <col min="11787" max="11787" width="2.85546875" style="434" customWidth="1"/>
    <col min="11788" max="11788" width="9.42578125" style="434" customWidth="1"/>
    <col min="11789" max="11789" width="9.7109375" style="434" customWidth="1"/>
    <col min="11790" max="11790" width="3.7109375" style="434" customWidth="1"/>
    <col min="11791" max="12032" width="8.85546875" style="434"/>
    <col min="12033" max="12033" width="30.85546875" style="434" customWidth="1"/>
    <col min="12034" max="12034" width="2.42578125" style="434" customWidth="1"/>
    <col min="12035" max="12035" width="9.7109375" style="434" customWidth="1"/>
    <col min="12036" max="12036" width="8.7109375" style="434" customWidth="1"/>
    <col min="12037" max="12037" width="2.5703125" style="434" customWidth="1"/>
    <col min="12038" max="12038" width="9.7109375" style="434" customWidth="1"/>
    <col min="12039" max="12039" width="8.7109375" style="434" customWidth="1"/>
    <col min="12040" max="12040" width="2.7109375" style="434" customWidth="1"/>
    <col min="12041" max="12041" width="9.7109375" style="434" customWidth="1"/>
    <col min="12042" max="12042" width="8.7109375" style="434" customWidth="1"/>
    <col min="12043" max="12043" width="2.85546875" style="434" customWidth="1"/>
    <col min="12044" max="12044" width="9.42578125" style="434" customWidth="1"/>
    <col min="12045" max="12045" width="9.7109375" style="434" customWidth="1"/>
    <col min="12046" max="12046" width="3.7109375" style="434" customWidth="1"/>
    <col min="12047" max="12288" width="8.85546875" style="434"/>
    <col min="12289" max="12289" width="30.85546875" style="434" customWidth="1"/>
    <col min="12290" max="12290" width="2.42578125" style="434" customWidth="1"/>
    <col min="12291" max="12291" width="9.7109375" style="434" customWidth="1"/>
    <col min="12292" max="12292" width="8.7109375" style="434" customWidth="1"/>
    <col min="12293" max="12293" width="2.5703125" style="434" customWidth="1"/>
    <col min="12294" max="12294" width="9.7109375" style="434" customWidth="1"/>
    <col min="12295" max="12295" width="8.7109375" style="434" customWidth="1"/>
    <col min="12296" max="12296" width="2.7109375" style="434" customWidth="1"/>
    <col min="12297" max="12297" width="9.7109375" style="434" customWidth="1"/>
    <col min="12298" max="12298" width="8.7109375" style="434" customWidth="1"/>
    <col min="12299" max="12299" width="2.85546875" style="434" customWidth="1"/>
    <col min="12300" max="12300" width="9.42578125" style="434" customWidth="1"/>
    <col min="12301" max="12301" width="9.7109375" style="434" customWidth="1"/>
    <col min="12302" max="12302" width="3.7109375" style="434" customWidth="1"/>
    <col min="12303" max="12544" width="8.85546875" style="434"/>
    <col min="12545" max="12545" width="30.85546875" style="434" customWidth="1"/>
    <col min="12546" max="12546" width="2.42578125" style="434" customWidth="1"/>
    <col min="12547" max="12547" width="9.7109375" style="434" customWidth="1"/>
    <col min="12548" max="12548" width="8.7109375" style="434" customWidth="1"/>
    <col min="12549" max="12549" width="2.5703125" style="434" customWidth="1"/>
    <col min="12550" max="12550" width="9.7109375" style="434" customWidth="1"/>
    <col min="12551" max="12551" width="8.7109375" style="434" customWidth="1"/>
    <col min="12552" max="12552" width="2.7109375" style="434" customWidth="1"/>
    <col min="12553" max="12553" width="9.7109375" style="434" customWidth="1"/>
    <col min="12554" max="12554" width="8.7109375" style="434" customWidth="1"/>
    <col min="12555" max="12555" width="2.85546875" style="434" customWidth="1"/>
    <col min="12556" max="12556" width="9.42578125" style="434" customWidth="1"/>
    <col min="12557" max="12557" width="9.7109375" style="434" customWidth="1"/>
    <col min="12558" max="12558" width="3.7109375" style="434" customWidth="1"/>
    <col min="12559" max="12800" width="8.85546875" style="434"/>
    <col min="12801" max="12801" width="30.85546875" style="434" customWidth="1"/>
    <col min="12802" max="12802" width="2.42578125" style="434" customWidth="1"/>
    <col min="12803" max="12803" width="9.7109375" style="434" customWidth="1"/>
    <col min="12804" max="12804" width="8.7109375" style="434" customWidth="1"/>
    <col min="12805" max="12805" width="2.5703125" style="434" customWidth="1"/>
    <col min="12806" max="12806" width="9.7109375" style="434" customWidth="1"/>
    <col min="12807" max="12807" width="8.7109375" style="434" customWidth="1"/>
    <col min="12808" max="12808" width="2.7109375" style="434" customWidth="1"/>
    <col min="12809" max="12809" width="9.7109375" style="434" customWidth="1"/>
    <col min="12810" max="12810" width="8.7109375" style="434" customWidth="1"/>
    <col min="12811" max="12811" width="2.85546875" style="434" customWidth="1"/>
    <col min="12812" max="12812" width="9.42578125" style="434" customWidth="1"/>
    <col min="12813" max="12813" width="9.7109375" style="434" customWidth="1"/>
    <col min="12814" max="12814" width="3.7109375" style="434" customWidth="1"/>
    <col min="12815" max="13056" width="8.85546875" style="434"/>
    <col min="13057" max="13057" width="30.85546875" style="434" customWidth="1"/>
    <col min="13058" max="13058" width="2.42578125" style="434" customWidth="1"/>
    <col min="13059" max="13059" width="9.7109375" style="434" customWidth="1"/>
    <col min="13060" max="13060" width="8.7109375" style="434" customWidth="1"/>
    <col min="13061" max="13061" width="2.5703125" style="434" customWidth="1"/>
    <col min="13062" max="13062" width="9.7109375" style="434" customWidth="1"/>
    <col min="13063" max="13063" width="8.7109375" style="434" customWidth="1"/>
    <col min="13064" max="13064" width="2.7109375" style="434" customWidth="1"/>
    <col min="13065" max="13065" width="9.7109375" style="434" customWidth="1"/>
    <col min="13066" max="13066" width="8.7109375" style="434" customWidth="1"/>
    <col min="13067" max="13067" width="2.85546875" style="434" customWidth="1"/>
    <col min="13068" max="13068" width="9.42578125" style="434" customWidth="1"/>
    <col min="13069" max="13069" width="9.7109375" style="434" customWidth="1"/>
    <col min="13070" max="13070" width="3.7109375" style="434" customWidth="1"/>
    <col min="13071" max="13312" width="8.85546875" style="434"/>
    <col min="13313" max="13313" width="30.85546875" style="434" customWidth="1"/>
    <col min="13314" max="13314" width="2.42578125" style="434" customWidth="1"/>
    <col min="13315" max="13315" width="9.7109375" style="434" customWidth="1"/>
    <col min="13316" max="13316" width="8.7109375" style="434" customWidth="1"/>
    <col min="13317" max="13317" width="2.5703125" style="434" customWidth="1"/>
    <col min="13318" max="13318" width="9.7109375" style="434" customWidth="1"/>
    <col min="13319" max="13319" width="8.7109375" style="434" customWidth="1"/>
    <col min="13320" max="13320" width="2.7109375" style="434" customWidth="1"/>
    <col min="13321" max="13321" width="9.7109375" style="434" customWidth="1"/>
    <col min="13322" max="13322" width="8.7109375" style="434" customWidth="1"/>
    <col min="13323" max="13323" width="2.85546875" style="434" customWidth="1"/>
    <col min="13324" max="13324" width="9.42578125" style="434" customWidth="1"/>
    <col min="13325" max="13325" width="9.7109375" style="434" customWidth="1"/>
    <col min="13326" max="13326" width="3.7109375" style="434" customWidth="1"/>
    <col min="13327" max="13568" width="8.85546875" style="434"/>
    <col min="13569" max="13569" width="30.85546875" style="434" customWidth="1"/>
    <col min="13570" max="13570" width="2.42578125" style="434" customWidth="1"/>
    <col min="13571" max="13571" width="9.7109375" style="434" customWidth="1"/>
    <col min="13572" max="13572" width="8.7109375" style="434" customWidth="1"/>
    <col min="13573" max="13573" width="2.5703125" style="434" customWidth="1"/>
    <col min="13574" max="13574" width="9.7109375" style="434" customWidth="1"/>
    <col min="13575" max="13575" width="8.7109375" style="434" customWidth="1"/>
    <col min="13576" max="13576" width="2.7109375" style="434" customWidth="1"/>
    <col min="13577" max="13577" width="9.7109375" style="434" customWidth="1"/>
    <col min="13578" max="13578" width="8.7109375" style="434" customWidth="1"/>
    <col min="13579" max="13579" width="2.85546875" style="434" customWidth="1"/>
    <col min="13580" max="13580" width="9.42578125" style="434" customWidth="1"/>
    <col min="13581" max="13581" width="9.7109375" style="434" customWidth="1"/>
    <col min="13582" max="13582" width="3.7109375" style="434" customWidth="1"/>
    <col min="13583" max="13824" width="8.85546875" style="434"/>
    <col min="13825" max="13825" width="30.85546875" style="434" customWidth="1"/>
    <col min="13826" max="13826" width="2.42578125" style="434" customWidth="1"/>
    <col min="13827" max="13827" width="9.7109375" style="434" customWidth="1"/>
    <col min="13828" max="13828" width="8.7109375" style="434" customWidth="1"/>
    <col min="13829" max="13829" width="2.5703125" style="434" customWidth="1"/>
    <col min="13830" max="13830" width="9.7109375" style="434" customWidth="1"/>
    <col min="13831" max="13831" width="8.7109375" style="434" customWidth="1"/>
    <col min="13832" max="13832" width="2.7109375" style="434" customWidth="1"/>
    <col min="13833" max="13833" width="9.7109375" style="434" customWidth="1"/>
    <col min="13834" max="13834" width="8.7109375" style="434" customWidth="1"/>
    <col min="13835" max="13835" width="2.85546875" style="434" customWidth="1"/>
    <col min="13836" max="13836" width="9.42578125" style="434" customWidth="1"/>
    <col min="13837" max="13837" width="9.7109375" style="434" customWidth="1"/>
    <col min="13838" max="13838" width="3.7109375" style="434" customWidth="1"/>
    <col min="13839" max="14080" width="8.85546875" style="434"/>
    <col min="14081" max="14081" width="30.85546875" style="434" customWidth="1"/>
    <col min="14082" max="14082" width="2.42578125" style="434" customWidth="1"/>
    <col min="14083" max="14083" width="9.7109375" style="434" customWidth="1"/>
    <col min="14084" max="14084" width="8.7109375" style="434" customWidth="1"/>
    <col min="14085" max="14085" width="2.5703125" style="434" customWidth="1"/>
    <col min="14086" max="14086" width="9.7109375" style="434" customWidth="1"/>
    <col min="14087" max="14087" width="8.7109375" style="434" customWidth="1"/>
    <col min="14088" max="14088" width="2.7109375" style="434" customWidth="1"/>
    <col min="14089" max="14089" width="9.7109375" style="434" customWidth="1"/>
    <col min="14090" max="14090" width="8.7109375" style="434" customWidth="1"/>
    <col min="14091" max="14091" width="2.85546875" style="434" customWidth="1"/>
    <col min="14092" max="14092" width="9.42578125" style="434" customWidth="1"/>
    <col min="14093" max="14093" width="9.7109375" style="434" customWidth="1"/>
    <col min="14094" max="14094" width="3.7109375" style="434" customWidth="1"/>
    <col min="14095" max="14336" width="8.85546875" style="434"/>
    <col min="14337" max="14337" width="30.85546875" style="434" customWidth="1"/>
    <col min="14338" max="14338" width="2.42578125" style="434" customWidth="1"/>
    <col min="14339" max="14339" width="9.7109375" style="434" customWidth="1"/>
    <col min="14340" max="14340" width="8.7109375" style="434" customWidth="1"/>
    <col min="14341" max="14341" width="2.5703125" style="434" customWidth="1"/>
    <col min="14342" max="14342" width="9.7109375" style="434" customWidth="1"/>
    <col min="14343" max="14343" width="8.7109375" style="434" customWidth="1"/>
    <col min="14344" max="14344" width="2.7109375" style="434" customWidth="1"/>
    <col min="14345" max="14345" width="9.7109375" style="434" customWidth="1"/>
    <col min="14346" max="14346" width="8.7109375" style="434" customWidth="1"/>
    <col min="14347" max="14347" width="2.85546875" style="434" customWidth="1"/>
    <col min="14348" max="14348" width="9.42578125" style="434" customWidth="1"/>
    <col min="14349" max="14349" width="9.7109375" style="434" customWidth="1"/>
    <col min="14350" max="14350" width="3.7109375" style="434" customWidth="1"/>
    <col min="14351" max="14592" width="8.85546875" style="434"/>
    <col min="14593" max="14593" width="30.85546875" style="434" customWidth="1"/>
    <col min="14594" max="14594" width="2.42578125" style="434" customWidth="1"/>
    <col min="14595" max="14595" width="9.7109375" style="434" customWidth="1"/>
    <col min="14596" max="14596" width="8.7109375" style="434" customWidth="1"/>
    <col min="14597" max="14597" width="2.5703125" style="434" customWidth="1"/>
    <col min="14598" max="14598" width="9.7109375" style="434" customWidth="1"/>
    <col min="14599" max="14599" width="8.7109375" style="434" customWidth="1"/>
    <col min="14600" max="14600" width="2.7109375" style="434" customWidth="1"/>
    <col min="14601" max="14601" width="9.7109375" style="434" customWidth="1"/>
    <col min="14602" max="14602" width="8.7109375" style="434" customWidth="1"/>
    <col min="14603" max="14603" width="2.85546875" style="434" customWidth="1"/>
    <col min="14604" max="14604" width="9.42578125" style="434" customWidth="1"/>
    <col min="14605" max="14605" width="9.7109375" style="434" customWidth="1"/>
    <col min="14606" max="14606" width="3.7109375" style="434" customWidth="1"/>
    <col min="14607" max="14848" width="8.85546875" style="434"/>
    <col min="14849" max="14849" width="30.85546875" style="434" customWidth="1"/>
    <col min="14850" max="14850" width="2.42578125" style="434" customWidth="1"/>
    <col min="14851" max="14851" width="9.7109375" style="434" customWidth="1"/>
    <col min="14852" max="14852" width="8.7109375" style="434" customWidth="1"/>
    <col min="14853" max="14853" width="2.5703125" style="434" customWidth="1"/>
    <col min="14854" max="14854" width="9.7109375" style="434" customWidth="1"/>
    <col min="14855" max="14855" width="8.7109375" style="434" customWidth="1"/>
    <col min="14856" max="14856" width="2.7109375" style="434" customWidth="1"/>
    <col min="14857" max="14857" width="9.7109375" style="434" customWidth="1"/>
    <col min="14858" max="14858" width="8.7109375" style="434" customWidth="1"/>
    <col min="14859" max="14859" width="2.85546875" style="434" customWidth="1"/>
    <col min="14860" max="14860" width="9.42578125" style="434" customWidth="1"/>
    <col min="14861" max="14861" width="9.7109375" style="434" customWidth="1"/>
    <col min="14862" max="14862" width="3.7109375" style="434" customWidth="1"/>
    <col min="14863" max="15104" width="8.85546875" style="434"/>
    <col min="15105" max="15105" width="30.85546875" style="434" customWidth="1"/>
    <col min="15106" max="15106" width="2.42578125" style="434" customWidth="1"/>
    <col min="15107" max="15107" width="9.7109375" style="434" customWidth="1"/>
    <col min="15108" max="15108" width="8.7109375" style="434" customWidth="1"/>
    <col min="15109" max="15109" width="2.5703125" style="434" customWidth="1"/>
    <col min="15110" max="15110" width="9.7109375" style="434" customWidth="1"/>
    <col min="15111" max="15111" width="8.7109375" style="434" customWidth="1"/>
    <col min="15112" max="15112" width="2.7109375" style="434" customWidth="1"/>
    <col min="15113" max="15113" width="9.7109375" style="434" customWidth="1"/>
    <col min="15114" max="15114" width="8.7109375" style="434" customWidth="1"/>
    <col min="15115" max="15115" width="2.85546875" style="434" customWidth="1"/>
    <col min="15116" max="15116" width="9.42578125" style="434" customWidth="1"/>
    <col min="15117" max="15117" width="9.7109375" style="434" customWidth="1"/>
    <col min="15118" max="15118" width="3.7109375" style="434" customWidth="1"/>
    <col min="15119" max="15360" width="8.85546875" style="434"/>
    <col min="15361" max="15361" width="30.85546875" style="434" customWidth="1"/>
    <col min="15362" max="15362" width="2.42578125" style="434" customWidth="1"/>
    <col min="15363" max="15363" width="9.7109375" style="434" customWidth="1"/>
    <col min="15364" max="15364" width="8.7109375" style="434" customWidth="1"/>
    <col min="15365" max="15365" width="2.5703125" style="434" customWidth="1"/>
    <col min="15366" max="15366" width="9.7109375" style="434" customWidth="1"/>
    <col min="15367" max="15367" width="8.7109375" style="434" customWidth="1"/>
    <col min="15368" max="15368" width="2.7109375" style="434" customWidth="1"/>
    <col min="15369" max="15369" width="9.7109375" style="434" customWidth="1"/>
    <col min="15370" max="15370" width="8.7109375" style="434" customWidth="1"/>
    <col min="15371" max="15371" width="2.85546875" style="434" customWidth="1"/>
    <col min="15372" max="15372" width="9.42578125" style="434" customWidth="1"/>
    <col min="15373" max="15373" width="9.7109375" style="434" customWidth="1"/>
    <col min="15374" max="15374" width="3.7109375" style="434" customWidth="1"/>
    <col min="15375" max="15616" width="8.85546875" style="434"/>
    <col min="15617" max="15617" width="30.85546875" style="434" customWidth="1"/>
    <col min="15618" max="15618" width="2.42578125" style="434" customWidth="1"/>
    <col min="15619" max="15619" width="9.7109375" style="434" customWidth="1"/>
    <col min="15620" max="15620" width="8.7109375" style="434" customWidth="1"/>
    <col min="15621" max="15621" width="2.5703125" style="434" customWidth="1"/>
    <col min="15622" max="15622" width="9.7109375" style="434" customWidth="1"/>
    <col min="15623" max="15623" width="8.7109375" style="434" customWidth="1"/>
    <col min="15624" max="15624" width="2.7109375" style="434" customWidth="1"/>
    <col min="15625" max="15625" width="9.7109375" style="434" customWidth="1"/>
    <col min="15626" max="15626" width="8.7109375" style="434" customWidth="1"/>
    <col min="15627" max="15627" width="2.85546875" style="434" customWidth="1"/>
    <col min="15628" max="15628" width="9.42578125" style="434" customWidth="1"/>
    <col min="15629" max="15629" width="9.7109375" style="434" customWidth="1"/>
    <col min="15630" max="15630" width="3.7109375" style="434" customWidth="1"/>
    <col min="15631" max="15872" width="8.85546875" style="434"/>
    <col min="15873" max="15873" width="30.85546875" style="434" customWidth="1"/>
    <col min="15874" max="15874" width="2.42578125" style="434" customWidth="1"/>
    <col min="15875" max="15875" width="9.7109375" style="434" customWidth="1"/>
    <col min="15876" max="15876" width="8.7109375" style="434" customWidth="1"/>
    <col min="15877" max="15877" width="2.5703125" style="434" customWidth="1"/>
    <col min="15878" max="15878" width="9.7109375" style="434" customWidth="1"/>
    <col min="15879" max="15879" width="8.7109375" style="434" customWidth="1"/>
    <col min="15880" max="15880" width="2.7109375" style="434" customWidth="1"/>
    <col min="15881" max="15881" width="9.7109375" style="434" customWidth="1"/>
    <col min="15882" max="15882" width="8.7109375" style="434" customWidth="1"/>
    <col min="15883" max="15883" width="2.85546875" style="434" customWidth="1"/>
    <col min="15884" max="15884" width="9.42578125" style="434" customWidth="1"/>
    <col min="15885" max="15885" width="9.7109375" style="434" customWidth="1"/>
    <col min="15886" max="15886" width="3.7109375" style="434" customWidth="1"/>
    <col min="15887" max="16128" width="8.85546875" style="434"/>
    <col min="16129" max="16129" width="30.85546875" style="434" customWidth="1"/>
    <col min="16130" max="16130" width="2.42578125" style="434" customWidth="1"/>
    <col min="16131" max="16131" width="9.7109375" style="434" customWidth="1"/>
    <col min="16132" max="16132" width="8.7109375" style="434" customWidth="1"/>
    <col min="16133" max="16133" width="2.5703125" style="434" customWidth="1"/>
    <col min="16134" max="16134" width="9.7109375" style="434" customWidth="1"/>
    <col min="16135" max="16135" width="8.7109375" style="434" customWidth="1"/>
    <col min="16136" max="16136" width="2.7109375" style="434" customWidth="1"/>
    <col min="16137" max="16137" width="9.7109375" style="434" customWidth="1"/>
    <col min="16138" max="16138" width="8.7109375" style="434" customWidth="1"/>
    <col min="16139" max="16139" width="2.85546875" style="434" customWidth="1"/>
    <col min="16140" max="16140" width="9.42578125" style="434" customWidth="1"/>
    <col min="16141" max="16141" width="9.7109375" style="434" customWidth="1"/>
    <col min="16142" max="16142" width="3.7109375" style="434" customWidth="1"/>
    <col min="16143" max="16384" width="8.85546875" style="434"/>
  </cols>
  <sheetData>
    <row r="1" spans="1:14">
      <c r="A1" s="455" t="s">
        <v>0</v>
      </c>
    </row>
    <row r="2" spans="1:14">
      <c r="A2" s="455" t="s">
        <v>1</v>
      </c>
    </row>
    <row r="3" spans="1:14" ht="6.95" customHeight="1"/>
    <row r="4" spans="1:14">
      <c r="A4" s="4" t="s">
        <v>2</v>
      </c>
    </row>
    <row r="5" spans="1:14" ht="7.5" customHeight="1" thickBot="1"/>
    <row r="6" spans="1:14" ht="6.95" customHeight="1">
      <c r="A6" s="486"/>
      <c r="B6" s="437"/>
      <c r="C6" s="786"/>
      <c r="D6" s="486"/>
      <c r="E6" s="486"/>
      <c r="F6" s="786"/>
      <c r="G6" s="786"/>
      <c r="H6" s="786"/>
      <c r="I6" s="786"/>
      <c r="J6" s="786"/>
      <c r="K6" s="786"/>
      <c r="L6" s="786"/>
      <c r="M6" s="786"/>
    </row>
    <row r="7" spans="1:14" ht="14.25">
      <c r="C7" s="1257" t="s">
        <v>3</v>
      </c>
      <c r="D7" s="1257"/>
      <c r="E7" s="1257"/>
      <c r="F7" s="1257"/>
      <c r="G7" s="1257"/>
      <c r="H7" s="1257"/>
      <c r="I7" s="1257"/>
      <c r="J7" s="1257"/>
      <c r="K7" s="1257"/>
      <c r="L7" s="1257"/>
      <c r="M7" s="1257"/>
      <c r="N7" s="8"/>
    </row>
    <row r="8" spans="1:14">
      <c r="A8" s="9" t="s">
        <v>4</v>
      </c>
      <c r="C8" s="1258" t="s">
        <v>5</v>
      </c>
      <c r="D8" s="1258"/>
      <c r="F8" s="1259" t="s">
        <v>6</v>
      </c>
      <c r="G8" s="1259"/>
      <c r="H8" s="10"/>
      <c r="I8" s="1259" t="s">
        <v>7</v>
      </c>
      <c r="J8" s="1259"/>
      <c r="K8" s="10"/>
      <c r="L8" s="1259" t="s">
        <v>8</v>
      </c>
      <c r="M8" s="1259"/>
      <c r="N8" s="8"/>
    </row>
    <row r="9" spans="1:14">
      <c r="C9" s="11" t="s">
        <v>9</v>
      </c>
      <c r="D9" s="12" t="s">
        <v>10</v>
      </c>
      <c r="F9" s="12" t="s">
        <v>9</v>
      </c>
      <c r="G9" s="12" t="s">
        <v>10</v>
      </c>
      <c r="I9" s="12" t="s">
        <v>9</v>
      </c>
      <c r="J9" s="12" t="s">
        <v>10</v>
      </c>
      <c r="L9" s="12" t="s">
        <v>9</v>
      </c>
      <c r="M9" s="12" t="s">
        <v>10</v>
      </c>
      <c r="N9" s="13"/>
    </row>
    <row r="10" spans="1:14" ht="6.95" customHeight="1" thickBot="1">
      <c r="A10" s="503"/>
      <c r="B10" s="445"/>
      <c r="C10" s="787"/>
      <c r="D10" s="503"/>
      <c r="E10" s="503"/>
      <c r="F10" s="787"/>
      <c r="G10" s="787"/>
      <c r="H10" s="787"/>
      <c r="I10" s="787"/>
      <c r="J10" s="787"/>
      <c r="K10" s="787"/>
      <c r="L10" s="787"/>
      <c r="M10" s="787"/>
    </row>
    <row r="11" spans="1:14" ht="6.95" customHeight="1"/>
    <row r="12" spans="1:14" ht="12" customHeight="1">
      <c r="A12" s="9" t="s">
        <v>5</v>
      </c>
      <c r="C12" s="784">
        <f>IF($A12&lt;&gt;0,F12+I12+L12,"")</f>
        <v>6454.2262222222216</v>
      </c>
      <c r="D12" s="454">
        <f>IF($A12&lt;&gt;0,G12+J12+M12,"")</f>
        <v>100</v>
      </c>
      <c r="F12" s="784">
        <f>SUM(F14+F117+F197+F215+F223+F242+F291)</f>
        <v>3022.7712222222221</v>
      </c>
      <c r="G12" s="784">
        <f>IF($A12&lt;&gt;0,F12/$C12*100,"")</f>
        <v>46.833983163073377</v>
      </c>
      <c r="I12" s="784">
        <f>SUM(I14+I117+I197+I215+I223+I242+I291)</f>
        <v>804.505</v>
      </c>
      <c r="J12" s="784">
        <f t="shared" ref="J12:J76" si="0">IF($A12&lt;&gt;0,I12/$C12*100,"")</f>
        <v>12.464778461437396</v>
      </c>
      <c r="L12" s="784">
        <f>SUM(L14+L117+L197+L215+L223+L242+L291)</f>
        <v>2626.95</v>
      </c>
      <c r="M12" s="784">
        <f t="shared" ref="M12:M75" si="1">IF($A12&lt;&gt;0,L12/$C12*100,"")</f>
        <v>40.701238375489233</v>
      </c>
    </row>
    <row r="13" spans="1:14" ht="6.95" customHeight="1">
      <c r="C13" s="784" t="str">
        <f t="shared" ref="C13:D76" si="2">IF($A13&lt;&gt;0,F13+I13+L13,"")</f>
        <v/>
      </c>
      <c r="D13" s="454" t="str">
        <f t="shared" si="2"/>
        <v/>
      </c>
      <c r="G13" s="784" t="str">
        <f t="shared" ref="G13:G77" si="3">IF($A13&lt;&gt;0,F13/$C13*100,"")</f>
        <v/>
      </c>
      <c r="J13" s="784" t="str">
        <f t="shared" si="0"/>
        <v/>
      </c>
      <c r="L13" s="784" t="s">
        <v>11</v>
      </c>
      <c r="M13" s="784" t="str">
        <f t="shared" si="1"/>
        <v/>
      </c>
    </row>
    <row r="14" spans="1:14" ht="12" customHeight="1">
      <c r="A14" s="9" t="s">
        <v>12</v>
      </c>
      <c r="C14" s="784">
        <f t="shared" si="2"/>
        <v>2739.7292222222222</v>
      </c>
      <c r="D14" s="454">
        <f t="shared" si="2"/>
        <v>100</v>
      </c>
      <c r="F14" s="784">
        <f>F16+F24+F36+F44+F70+F86+F103+F115</f>
        <v>2051.1042222222222</v>
      </c>
      <c r="G14" s="784">
        <f>IF($A14&lt;&gt;0,F14/$C14*100,"")</f>
        <v>74.865216809949956</v>
      </c>
      <c r="I14" s="784">
        <f>I16+I24+I36+I44+I70+I86+I103+I115</f>
        <v>226.625</v>
      </c>
      <c r="J14" s="784">
        <f t="shared" si="0"/>
        <v>8.271802854158782</v>
      </c>
      <c r="L14" s="784">
        <f>L16+L24+L36+L44+L70+L86+L103+L115</f>
        <v>462</v>
      </c>
      <c r="M14" s="784">
        <f t="shared" si="1"/>
        <v>16.862980335891265</v>
      </c>
    </row>
    <row r="15" spans="1:14" ht="6.95" customHeight="1">
      <c r="C15" s="784" t="str">
        <f t="shared" si="2"/>
        <v/>
      </c>
      <c r="D15" s="454" t="str">
        <f t="shared" si="2"/>
        <v/>
      </c>
      <c r="G15" s="784" t="str">
        <f t="shared" si="3"/>
        <v/>
      </c>
      <c r="J15" s="784" t="str">
        <f t="shared" si="0"/>
        <v/>
      </c>
      <c r="L15" s="784" t="s">
        <v>11</v>
      </c>
      <c r="M15" s="784" t="str">
        <f t="shared" si="1"/>
        <v/>
      </c>
    </row>
    <row r="16" spans="1:14" ht="12" customHeight="1">
      <c r="A16" s="455" t="s">
        <v>13</v>
      </c>
      <c r="C16" s="784">
        <f t="shared" si="2"/>
        <v>201.94722222222219</v>
      </c>
      <c r="D16" s="454">
        <f t="shared" si="2"/>
        <v>100</v>
      </c>
      <c r="F16" s="784">
        <f>SUM(F18:F22)</f>
        <v>161.19722222222219</v>
      </c>
      <c r="G16" s="784">
        <f t="shared" si="3"/>
        <v>79.82146050260657</v>
      </c>
      <c r="I16" s="784">
        <f>SUM(I18:I22)</f>
        <v>21.75</v>
      </c>
      <c r="J16" s="784">
        <f t="shared" si="0"/>
        <v>10.770140713332694</v>
      </c>
      <c r="L16" s="784">
        <f>SUM(L18:L22)</f>
        <v>19</v>
      </c>
      <c r="M16" s="784">
        <f t="shared" si="1"/>
        <v>9.4083987840607435</v>
      </c>
    </row>
    <row r="17" spans="1:13" ht="12" customHeight="1">
      <c r="C17" s="784" t="str">
        <f t="shared" si="2"/>
        <v/>
      </c>
      <c r="D17" s="454" t="str">
        <f t="shared" si="2"/>
        <v/>
      </c>
      <c r="G17" s="784" t="str">
        <f t="shared" si="3"/>
        <v/>
      </c>
      <c r="J17" s="784" t="str">
        <f t="shared" si="0"/>
        <v/>
      </c>
      <c r="L17" s="784" t="s">
        <v>11</v>
      </c>
      <c r="M17" s="784" t="str">
        <f t="shared" si="1"/>
        <v/>
      </c>
    </row>
    <row r="18" spans="1:13" ht="12" customHeight="1">
      <c r="A18" s="455" t="s">
        <v>14</v>
      </c>
      <c r="B18" s="455"/>
      <c r="C18" s="784">
        <f t="shared" si="2"/>
        <v>10.5</v>
      </c>
      <c r="D18" s="454">
        <f t="shared" si="2"/>
        <v>100</v>
      </c>
      <c r="F18" s="784">
        <v>10.5</v>
      </c>
      <c r="G18" s="784">
        <f t="shared" si="3"/>
        <v>100</v>
      </c>
      <c r="I18" s="784">
        <v>0</v>
      </c>
      <c r="J18" s="784">
        <f t="shared" si="0"/>
        <v>0</v>
      </c>
      <c r="L18" s="784">
        <v>0</v>
      </c>
      <c r="M18" s="784">
        <f t="shared" si="1"/>
        <v>0</v>
      </c>
    </row>
    <row r="19" spans="1:13" ht="12" customHeight="1">
      <c r="A19" s="455" t="s">
        <v>15</v>
      </c>
      <c r="B19" s="455"/>
      <c r="C19" s="784">
        <f t="shared" si="2"/>
        <v>45.5</v>
      </c>
      <c r="D19" s="454">
        <f t="shared" si="2"/>
        <v>100</v>
      </c>
      <c r="F19" s="784">
        <v>6.75</v>
      </c>
      <c r="G19" s="784">
        <f t="shared" si="3"/>
        <v>14.835164835164836</v>
      </c>
      <c r="I19" s="784">
        <v>21.75</v>
      </c>
      <c r="J19" s="784">
        <f t="shared" si="0"/>
        <v>47.802197802197803</v>
      </c>
      <c r="L19" s="784">
        <v>17</v>
      </c>
      <c r="M19" s="784">
        <f t="shared" si="1"/>
        <v>37.362637362637365</v>
      </c>
    </row>
    <row r="20" spans="1:13" ht="12" customHeight="1">
      <c r="A20" s="455" t="s">
        <v>16</v>
      </c>
      <c r="B20" s="455"/>
      <c r="C20" s="784">
        <f t="shared" si="2"/>
        <v>5.5555555555555554</v>
      </c>
      <c r="D20" s="454">
        <f t="shared" si="2"/>
        <v>100</v>
      </c>
      <c r="F20" s="784">
        <f>(1000)*2/12/30</f>
        <v>5.5555555555555554</v>
      </c>
      <c r="G20" s="784">
        <f t="shared" si="3"/>
        <v>100</v>
      </c>
      <c r="I20" s="784">
        <v>0</v>
      </c>
      <c r="J20" s="784">
        <f t="shared" si="0"/>
        <v>0</v>
      </c>
      <c r="L20" s="784">
        <v>0</v>
      </c>
      <c r="M20" s="784">
        <f t="shared" si="1"/>
        <v>0</v>
      </c>
    </row>
    <row r="21" spans="1:13" ht="12" customHeight="1">
      <c r="A21" s="455" t="s">
        <v>17</v>
      </c>
      <c r="B21" s="455"/>
      <c r="C21" s="784">
        <f t="shared" si="2"/>
        <v>135.14166666666665</v>
      </c>
      <c r="D21" s="454">
        <f t="shared" si="2"/>
        <v>100</v>
      </c>
      <c r="F21" s="784">
        <f>(5.5/30)+(610/30)+111+(6.5)*3/12</f>
        <v>133.14166666666665</v>
      </c>
      <c r="G21" s="784">
        <f t="shared" si="3"/>
        <v>98.520071529876049</v>
      </c>
      <c r="I21" s="784">
        <v>0</v>
      </c>
      <c r="J21" s="784">
        <f t="shared" si="0"/>
        <v>0</v>
      </c>
      <c r="L21" s="784">
        <v>2</v>
      </c>
      <c r="M21" s="784">
        <f t="shared" si="1"/>
        <v>1.4799284701239444</v>
      </c>
    </row>
    <row r="22" spans="1:13" ht="12" customHeight="1">
      <c r="A22" s="455" t="s">
        <v>18</v>
      </c>
      <c r="B22" s="455"/>
      <c r="C22" s="784">
        <f t="shared" si="2"/>
        <v>5.25</v>
      </c>
      <c r="D22" s="454">
        <f t="shared" si="2"/>
        <v>100</v>
      </c>
      <c r="F22" s="784">
        <v>5.25</v>
      </c>
      <c r="G22" s="784">
        <f t="shared" si="3"/>
        <v>100</v>
      </c>
      <c r="I22" s="784">
        <v>0</v>
      </c>
      <c r="J22" s="784">
        <f t="shared" si="0"/>
        <v>0</v>
      </c>
      <c r="L22" s="784">
        <v>0</v>
      </c>
      <c r="M22" s="784">
        <f t="shared" si="1"/>
        <v>0</v>
      </c>
    </row>
    <row r="23" spans="1:13" ht="12" customHeight="1">
      <c r="C23" s="784" t="str">
        <f t="shared" si="2"/>
        <v/>
      </c>
      <c r="D23" s="454" t="str">
        <f t="shared" si="2"/>
        <v/>
      </c>
      <c r="G23" s="784" t="str">
        <f t="shared" si="3"/>
        <v/>
      </c>
      <c r="J23" s="784" t="str">
        <f t="shared" si="0"/>
        <v/>
      </c>
      <c r="L23" s="784" t="s">
        <v>11</v>
      </c>
      <c r="M23" s="784" t="str">
        <f t="shared" si="1"/>
        <v/>
      </c>
    </row>
    <row r="24" spans="1:13" ht="12" customHeight="1">
      <c r="A24" s="455" t="s">
        <v>327</v>
      </c>
      <c r="C24" s="784">
        <f t="shared" si="2"/>
        <v>262.55833333333334</v>
      </c>
      <c r="D24" s="454">
        <f t="shared" si="2"/>
        <v>100</v>
      </c>
      <c r="F24" s="784">
        <f>F26+F31</f>
        <v>213.55833333333334</v>
      </c>
      <c r="G24" s="784">
        <f t="shared" si="3"/>
        <v>81.337480559875587</v>
      </c>
      <c r="I24" s="784">
        <f>I26+I31</f>
        <v>9.5</v>
      </c>
      <c r="J24" s="784">
        <f t="shared" si="0"/>
        <v>3.6182435649220808</v>
      </c>
      <c r="L24" s="784">
        <f>L26+L31</f>
        <v>39.5</v>
      </c>
      <c r="M24" s="784">
        <f t="shared" si="1"/>
        <v>15.044275875202336</v>
      </c>
    </row>
    <row r="25" spans="1:13" ht="12" customHeight="1">
      <c r="C25" s="784" t="str">
        <f t="shared" si="2"/>
        <v/>
      </c>
      <c r="D25" s="454" t="str">
        <f t="shared" si="2"/>
        <v/>
      </c>
      <c r="G25" s="784" t="str">
        <f t="shared" si="3"/>
        <v/>
      </c>
      <c r="J25" s="784" t="str">
        <f t="shared" si="0"/>
        <v/>
      </c>
      <c r="L25" s="784" t="s">
        <v>11</v>
      </c>
      <c r="M25" s="784" t="str">
        <f t="shared" si="1"/>
        <v/>
      </c>
    </row>
    <row r="26" spans="1:13" ht="12" customHeight="1">
      <c r="A26" s="455" t="s">
        <v>20</v>
      </c>
      <c r="C26" s="784">
        <f t="shared" si="2"/>
        <v>125.4</v>
      </c>
      <c r="D26" s="454">
        <f t="shared" si="2"/>
        <v>100</v>
      </c>
      <c r="F26" s="784">
        <f>SUM(F27:F29)</f>
        <v>92.4</v>
      </c>
      <c r="G26" s="784">
        <f t="shared" si="3"/>
        <v>73.68421052631578</v>
      </c>
      <c r="I26" s="784">
        <f>SUM(I27:I29)</f>
        <v>6.5</v>
      </c>
      <c r="J26" s="784">
        <f t="shared" si="0"/>
        <v>5.1834130781499201</v>
      </c>
      <c r="L26" s="784">
        <f>SUM(L27:L29)</f>
        <v>26.5</v>
      </c>
      <c r="M26" s="784">
        <f t="shared" si="1"/>
        <v>21.132376395534287</v>
      </c>
    </row>
    <row r="27" spans="1:13" ht="12" customHeight="1">
      <c r="A27" s="455" t="s">
        <v>21</v>
      </c>
      <c r="C27" s="784">
        <f t="shared" si="2"/>
        <v>18.516666666666666</v>
      </c>
      <c r="D27" s="454">
        <f t="shared" si="2"/>
        <v>100.00000000000001</v>
      </c>
      <c r="F27" s="784">
        <f>(8/30)+13.25</f>
        <v>13.516666666666667</v>
      </c>
      <c r="G27" s="784">
        <f t="shared" si="3"/>
        <v>72.997299729973008</v>
      </c>
      <c r="I27" s="784">
        <v>0.5</v>
      </c>
      <c r="J27" s="784">
        <f t="shared" si="0"/>
        <v>2.7002700270027007</v>
      </c>
      <c r="L27" s="784">
        <v>4.5</v>
      </c>
      <c r="M27" s="784">
        <f t="shared" si="1"/>
        <v>24.302430243024304</v>
      </c>
    </row>
    <row r="28" spans="1:13" ht="12" customHeight="1">
      <c r="A28" s="455" t="s">
        <v>22</v>
      </c>
      <c r="C28" s="784">
        <f t="shared" si="2"/>
        <v>56.633333333333333</v>
      </c>
      <c r="D28" s="454">
        <f t="shared" si="2"/>
        <v>100</v>
      </c>
      <c r="F28" s="784">
        <f>(15/30)+(4/30)+43.5</f>
        <v>44.133333333333333</v>
      </c>
      <c r="G28" s="784">
        <f t="shared" si="3"/>
        <v>77.928193054738088</v>
      </c>
      <c r="I28" s="784">
        <v>1.5</v>
      </c>
      <c r="J28" s="784">
        <f t="shared" si="0"/>
        <v>2.6486168334314302</v>
      </c>
      <c r="L28" s="784">
        <v>11</v>
      </c>
      <c r="M28" s="784">
        <f t="shared" si="1"/>
        <v>19.423190111830486</v>
      </c>
    </row>
    <row r="29" spans="1:13" ht="12" customHeight="1">
      <c r="A29" s="455" t="s">
        <v>23</v>
      </c>
      <c r="C29" s="784">
        <f t="shared" si="2"/>
        <v>50.25</v>
      </c>
      <c r="D29" s="454">
        <f t="shared" si="2"/>
        <v>100</v>
      </c>
      <c r="F29" s="784">
        <v>34.75</v>
      </c>
      <c r="G29" s="784">
        <f t="shared" si="3"/>
        <v>69.154228855721385</v>
      </c>
      <c r="I29" s="784">
        <v>4.5</v>
      </c>
      <c r="J29" s="784">
        <f t="shared" si="0"/>
        <v>8.9552238805970141</v>
      </c>
      <c r="L29" s="784">
        <v>11</v>
      </c>
      <c r="M29" s="784">
        <f t="shared" si="1"/>
        <v>21.890547263681594</v>
      </c>
    </row>
    <row r="30" spans="1:13" ht="12" customHeight="1">
      <c r="C30" s="784" t="str">
        <f t="shared" si="2"/>
        <v/>
      </c>
      <c r="D30" s="454" t="str">
        <f t="shared" si="2"/>
        <v/>
      </c>
      <c r="G30" s="784" t="str">
        <f t="shared" si="3"/>
        <v/>
      </c>
      <c r="J30" s="784" t="str">
        <f t="shared" si="0"/>
        <v/>
      </c>
      <c r="L30" s="784" t="s">
        <v>11</v>
      </c>
      <c r="M30" s="784" t="str">
        <f t="shared" si="1"/>
        <v/>
      </c>
    </row>
    <row r="31" spans="1:13" ht="12" customHeight="1">
      <c r="A31" s="455" t="s">
        <v>24</v>
      </c>
      <c r="C31" s="784">
        <f t="shared" si="2"/>
        <v>137.15833333333333</v>
      </c>
      <c r="D31" s="454">
        <f t="shared" si="2"/>
        <v>100</v>
      </c>
      <c r="F31" s="784">
        <f>SUM(F32:F34)</f>
        <v>121.15833333333333</v>
      </c>
      <c r="G31" s="784">
        <f t="shared" si="3"/>
        <v>88.334649735706904</v>
      </c>
      <c r="I31" s="784">
        <f>SUM(I32:I34)</f>
        <v>3</v>
      </c>
      <c r="J31" s="784">
        <f t="shared" si="0"/>
        <v>2.1872531745549546</v>
      </c>
      <c r="L31" s="784">
        <f>SUM(L32:L34)</f>
        <v>13</v>
      </c>
      <c r="M31" s="784">
        <f t="shared" si="1"/>
        <v>9.4780970897381369</v>
      </c>
    </row>
    <row r="32" spans="1:13" ht="12" customHeight="1">
      <c r="A32" s="455" t="s">
        <v>25</v>
      </c>
      <c r="C32" s="784">
        <f t="shared" si="2"/>
        <v>37</v>
      </c>
      <c r="D32" s="454">
        <f t="shared" si="2"/>
        <v>100</v>
      </c>
      <c r="F32" s="784">
        <v>32</v>
      </c>
      <c r="G32" s="784">
        <f t="shared" si="3"/>
        <v>86.486486486486484</v>
      </c>
      <c r="I32" s="784">
        <v>1</v>
      </c>
      <c r="J32" s="784">
        <f t="shared" si="0"/>
        <v>2.7027027027027026</v>
      </c>
      <c r="L32" s="784">
        <v>4</v>
      </c>
      <c r="M32" s="784">
        <f t="shared" si="1"/>
        <v>10.810810810810811</v>
      </c>
    </row>
    <row r="33" spans="1:13" ht="12" customHeight="1">
      <c r="A33" s="455" t="s">
        <v>26</v>
      </c>
      <c r="C33" s="784">
        <f t="shared" si="2"/>
        <v>24.5</v>
      </c>
      <c r="D33" s="454">
        <f t="shared" si="2"/>
        <v>100</v>
      </c>
      <c r="F33" s="784">
        <v>21.5</v>
      </c>
      <c r="G33" s="784">
        <f t="shared" si="3"/>
        <v>87.755102040816325</v>
      </c>
      <c r="I33" s="784">
        <v>0</v>
      </c>
      <c r="J33" s="784">
        <f t="shared" si="0"/>
        <v>0</v>
      </c>
      <c r="L33" s="784">
        <v>3</v>
      </c>
      <c r="M33" s="784">
        <f t="shared" si="1"/>
        <v>12.244897959183673</v>
      </c>
    </row>
    <row r="34" spans="1:13" ht="12" customHeight="1">
      <c r="A34" s="455" t="s">
        <v>27</v>
      </c>
      <c r="C34" s="784">
        <f t="shared" si="2"/>
        <v>75.658333333333331</v>
      </c>
      <c r="D34" s="454">
        <f t="shared" si="2"/>
        <v>100</v>
      </c>
      <c r="F34" s="784">
        <f>7/30+9/30+67.125</f>
        <v>67.658333333333331</v>
      </c>
      <c r="G34" s="784">
        <f t="shared" si="3"/>
        <v>89.426148254213018</v>
      </c>
      <c r="I34" s="784">
        <v>2</v>
      </c>
      <c r="J34" s="784">
        <f t="shared" si="0"/>
        <v>2.6434629364467455</v>
      </c>
      <c r="L34" s="784">
        <v>6</v>
      </c>
      <c r="M34" s="784">
        <f t="shared" si="1"/>
        <v>7.9303888093402355</v>
      </c>
    </row>
    <row r="35" spans="1:13" ht="12" customHeight="1">
      <c r="C35" s="784" t="str">
        <f t="shared" si="2"/>
        <v/>
      </c>
      <c r="D35" s="454" t="str">
        <f t="shared" si="2"/>
        <v/>
      </c>
      <c r="G35" s="784" t="str">
        <f t="shared" si="3"/>
        <v/>
      </c>
      <c r="J35" s="784" t="str">
        <f t="shared" si="0"/>
        <v/>
      </c>
      <c r="L35" s="784" t="s">
        <v>11</v>
      </c>
      <c r="M35" s="784" t="str">
        <f t="shared" si="1"/>
        <v/>
      </c>
    </row>
    <row r="36" spans="1:13" ht="12" customHeight="1">
      <c r="A36" s="455" t="s">
        <v>375</v>
      </c>
      <c r="C36" s="784">
        <f t="shared" si="2"/>
        <v>337.79166666666663</v>
      </c>
      <c r="D36" s="454">
        <f t="shared" si="2"/>
        <v>100.00000000000001</v>
      </c>
      <c r="F36" s="784">
        <f>SUM(F37)</f>
        <v>243.04166666666666</v>
      </c>
      <c r="G36" s="784">
        <f t="shared" si="3"/>
        <v>71.950166522758124</v>
      </c>
      <c r="I36" s="784">
        <f>SUM(I37)</f>
        <v>39.5</v>
      </c>
      <c r="J36" s="784">
        <f t="shared" si="0"/>
        <v>11.693598125077095</v>
      </c>
      <c r="L36" s="784">
        <f>SUM(L37)</f>
        <v>55.25</v>
      </c>
      <c r="M36" s="784">
        <f t="shared" si="1"/>
        <v>16.356235352164799</v>
      </c>
    </row>
    <row r="37" spans="1:13" ht="12" customHeight="1">
      <c r="A37" s="455" t="s">
        <v>29</v>
      </c>
      <c r="C37" s="784">
        <f t="shared" si="2"/>
        <v>337.79166666666663</v>
      </c>
      <c r="D37" s="454">
        <f t="shared" si="2"/>
        <v>100.00000000000001</v>
      </c>
      <c r="F37" s="784">
        <f>SUM(F38:F42)</f>
        <v>243.04166666666666</v>
      </c>
      <c r="G37" s="784">
        <f t="shared" si="3"/>
        <v>71.950166522758124</v>
      </c>
      <c r="I37" s="784">
        <f>SUM(I38:I42)</f>
        <v>39.5</v>
      </c>
      <c r="J37" s="784">
        <f t="shared" si="0"/>
        <v>11.693598125077095</v>
      </c>
      <c r="L37" s="784">
        <f>SUM(L38:L42)</f>
        <v>55.25</v>
      </c>
      <c r="M37" s="784">
        <f t="shared" si="1"/>
        <v>16.356235352164799</v>
      </c>
    </row>
    <row r="38" spans="1:13" ht="12" customHeight="1">
      <c r="A38" s="455" t="s">
        <v>30</v>
      </c>
      <c r="C38" s="784">
        <f t="shared" si="2"/>
        <v>69.45</v>
      </c>
      <c r="D38" s="454">
        <f t="shared" si="2"/>
        <v>100</v>
      </c>
      <c r="F38" s="784">
        <f>4/30+2/30+44.25</f>
        <v>44.45</v>
      </c>
      <c r="G38" s="784">
        <f t="shared" si="3"/>
        <v>64.002879769618431</v>
      </c>
      <c r="I38" s="784">
        <v>11.25</v>
      </c>
      <c r="J38" s="784">
        <f t="shared" si="0"/>
        <v>16.198704103671705</v>
      </c>
      <c r="L38" s="784">
        <v>13.75</v>
      </c>
      <c r="M38" s="784">
        <f t="shared" si="1"/>
        <v>19.79841612670986</v>
      </c>
    </row>
    <row r="39" spans="1:13" ht="12" customHeight="1">
      <c r="A39" s="455" t="s">
        <v>31</v>
      </c>
      <c r="C39" s="784">
        <f t="shared" si="2"/>
        <v>60.958333333333336</v>
      </c>
      <c r="D39" s="454">
        <f t="shared" si="2"/>
        <v>100.00000000000001</v>
      </c>
      <c r="F39" s="784">
        <f>85/30+44.625</f>
        <v>47.458333333333336</v>
      </c>
      <c r="G39" s="784">
        <f t="shared" si="3"/>
        <v>77.853725222146281</v>
      </c>
      <c r="I39" s="784">
        <v>6</v>
      </c>
      <c r="J39" s="784">
        <f t="shared" si="0"/>
        <v>9.8427887901572113</v>
      </c>
      <c r="L39" s="784">
        <v>7.5</v>
      </c>
      <c r="M39" s="784">
        <f t="shared" si="1"/>
        <v>12.303485987696513</v>
      </c>
    </row>
    <row r="40" spans="1:13" ht="12" customHeight="1">
      <c r="A40" s="455" t="s">
        <v>32</v>
      </c>
      <c r="C40" s="784">
        <f t="shared" si="2"/>
        <v>37.299999999999997</v>
      </c>
      <c r="D40" s="454">
        <f t="shared" si="2"/>
        <v>100</v>
      </c>
      <c r="F40" s="784">
        <f>8/30+16/30+20.25</f>
        <v>21.05</v>
      </c>
      <c r="G40" s="784">
        <f t="shared" si="3"/>
        <v>56.434316353887404</v>
      </c>
      <c r="I40" s="784">
        <v>7.25</v>
      </c>
      <c r="J40" s="784">
        <f t="shared" si="0"/>
        <v>19.436997319034855</v>
      </c>
      <c r="L40" s="784">
        <v>9</v>
      </c>
      <c r="M40" s="784">
        <f t="shared" si="1"/>
        <v>24.128686327077752</v>
      </c>
    </row>
    <row r="41" spans="1:13" ht="12" customHeight="1">
      <c r="A41" s="455" t="s">
        <v>33</v>
      </c>
      <c r="C41" s="784">
        <f t="shared" si="2"/>
        <v>88.75</v>
      </c>
      <c r="D41" s="454">
        <f t="shared" si="2"/>
        <v>100.00000000000001</v>
      </c>
      <c r="F41" s="784">
        <v>77.75</v>
      </c>
      <c r="G41" s="784">
        <f t="shared" si="3"/>
        <v>87.605633802816911</v>
      </c>
      <c r="I41" s="784">
        <v>1</v>
      </c>
      <c r="J41" s="784">
        <f t="shared" si="0"/>
        <v>1.1267605633802817</v>
      </c>
      <c r="L41" s="784">
        <v>10</v>
      </c>
      <c r="M41" s="784">
        <f t="shared" si="1"/>
        <v>11.267605633802818</v>
      </c>
    </row>
    <row r="42" spans="1:13" ht="12" customHeight="1">
      <c r="A42" s="455" t="s">
        <v>34</v>
      </c>
      <c r="C42" s="784">
        <f t="shared" si="2"/>
        <v>81.333333333333343</v>
      </c>
      <c r="D42" s="454">
        <f t="shared" si="2"/>
        <v>99.999999999999986</v>
      </c>
      <c r="F42" s="784">
        <f>25/30+51.5</f>
        <v>52.333333333333336</v>
      </c>
      <c r="G42" s="784">
        <f t="shared" si="3"/>
        <v>64.344262295081961</v>
      </c>
      <c r="I42" s="784">
        <v>14</v>
      </c>
      <c r="J42" s="784">
        <f t="shared" si="0"/>
        <v>17.213114754098356</v>
      </c>
      <c r="L42" s="784">
        <v>15</v>
      </c>
      <c r="M42" s="784">
        <f t="shared" si="1"/>
        <v>18.442622950819672</v>
      </c>
    </row>
    <row r="43" spans="1:13" ht="12" customHeight="1">
      <c r="C43" s="784" t="str">
        <f t="shared" si="2"/>
        <v/>
      </c>
      <c r="D43" s="454" t="str">
        <f t="shared" si="2"/>
        <v/>
      </c>
      <c r="G43" s="784" t="str">
        <f t="shared" si="3"/>
        <v/>
      </c>
      <c r="J43" s="784" t="str">
        <f t="shared" si="0"/>
        <v/>
      </c>
      <c r="L43" s="784" t="s">
        <v>11</v>
      </c>
      <c r="M43" s="784" t="str">
        <f t="shared" si="1"/>
        <v/>
      </c>
    </row>
    <row r="44" spans="1:13" ht="12" customHeight="1">
      <c r="A44" s="455" t="s">
        <v>329</v>
      </c>
      <c r="C44" s="784">
        <f t="shared" si="2"/>
        <v>724.21299999999997</v>
      </c>
      <c r="D44" s="454">
        <f t="shared" si="2"/>
        <v>100</v>
      </c>
      <c r="F44" s="784">
        <f>F45+F51+F61+F63</f>
        <v>574.46299999999997</v>
      </c>
      <c r="G44" s="784">
        <f t="shared" si="3"/>
        <v>79.322381675004451</v>
      </c>
      <c r="I44" s="784">
        <f>I45+I51+I61+I63</f>
        <v>25</v>
      </c>
      <c r="J44" s="784">
        <f t="shared" si="0"/>
        <v>3.4520230926536803</v>
      </c>
      <c r="L44" s="784">
        <f>L45+L51+L61+L63</f>
        <v>124.75</v>
      </c>
      <c r="M44" s="784">
        <f t="shared" si="1"/>
        <v>17.225595232341867</v>
      </c>
    </row>
    <row r="45" spans="1:13" ht="12" customHeight="1">
      <c r="A45" s="455" t="s">
        <v>36</v>
      </c>
      <c r="C45" s="784">
        <f t="shared" si="2"/>
        <v>156.28</v>
      </c>
      <c r="D45" s="454">
        <f t="shared" si="2"/>
        <v>100</v>
      </c>
      <c r="F45" s="784">
        <f>SUM(F46:F49)</f>
        <v>134.78</v>
      </c>
      <c r="G45" s="784">
        <f t="shared" si="3"/>
        <v>86.242641412848727</v>
      </c>
      <c r="I45" s="784">
        <f>SUM(I46:I49)</f>
        <v>1.5</v>
      </c>
      <c r="J45" s="784">
        <f t="shared" si="0"/>
        <v>0.95981571538264654</v>
      </c>
      <c r="L45" s="784">
        <f>SUM(L46:L49)</f>
        <v>20</v>
      </c>
      <c r="M45" s="784">
        <f t="shared" si="1"/>
        <v>12.79754287176862</v>
      </c>
    </row>
    <row r="46" spans="1:13" ht="12" customHeight="1">
      <c r="A46" s="455" t="s">
        <v>37</v>
      </c>
      <c r="C46" s="784">
        <f t="shared" si="2"/>
        <v>62.366666666666667</v>
      </c>
      <c r="D46" s="454">
        <f t="shared" si="2"/>
        <v>100</v>
      </c>
      <c r="F46" s="784">
        <f>70/30+40/30+50.7</f>
        <v>54.366666666666667</v>
      </c>
      <c r="G46" s="784">
        <f t="shared" si="3"/>
        <v>87.172634954569745</v>
      </c>
      <c r="I46" s="784">
        <v>1</v>
      </c>
      <c r="J46" s="784">
        <f t="shared" si="0"/>
        <v>1.6034206306787813</v>
      </c>
      <c r="L46" s="784">
        <v>7</v>
      </c>
      <c r="M46" s="784">
        <f t="shared" si="1"/>
        <v>11.22394441475147</v>
      </c>
    </row>
    <row r="47" spans="1:13" ht="12" customHeight="1">
      <c r="A47" s="455" t="s">
        <v>38</v>
      </c>
      <c r="C47" s="784">
        <f t="shared" si="2"/>
        <v>41</v>
      </c>
      <c r="D47" s="454">
        <f t="shared" si="2"/>
        <v>100</v>
      </c>
      <c r="F47" s="784">
        <f>21/30+34.3</f>
        <v>35</v>
      </c>
      <c r="G47" s="784">
        <f t="shared" si="3"/>
        <v>85.365853658536579</v>
      </c>
      <c r="I47" s="784">
        <v>0</v>
      </c>
      <c r="J47" s="784">
        <f t="shared" si="0"/>
        <v>0</v>
      </c>
      <c r="L47" s="784">
        <v>6</v>
      </c>
      <c r="M47" s="784">
        <f t="shared" si="1"/>
        <v>14.634146341463413</v>
      </c>
    </row>
    <row r="48" spans="1:13" ht="12" customHeight="1">
      <c r="A48" s="455" t="s">
        <v>39</v>
      </c>
      <c r="C48" s="784">
        <f t="shared" si="2"/>
        <v>28.5</v>
      </c>
      <c r="D48" s="454">
        <f t="shared" si="2"/>
        <v>100</v>
      </c>
      <c r="F48" s="784">
        <f>0/30+24.5</f>
        <v>24.5</v>
      </c>
      <c r="G48" s="784">
        <f t="shared" si="3"/>
        <v>85.964912280701753</v>
      </c>
      <c r="I48" s="784">
        <v>0</v>
      </c>
      <c r="J48" s="784">
        <f t="shared" si="0"/>
        <v>0</v>
      </c>
      <c r="L48" s="784">
        <v>4</v>
      </c>
      <c r="M48" s="784">
        <f t="shared" si="1"/>
        <v>14.035087719298245</v>
      </c>
    </row>
    <row r="49" spans="1:13" ht="12" customHeight="1">
      <c r="A49" s="455" t="s">
        <v>40</v>
      </c>
      <c r="C49" s="784">
        <f t="shared" si="2"/>
        <v>24.413333333333334</v>
      </c>
      <c r="D49" s="454">
        <f t="shared" si="2"/>
        <v>100</v>
      </c>
      <c r="F49" s="784">
        <f>16/30+20.38</f>
        <v>20.913333333333334</v>
      </c>
      <c r="G49" s="784">
        <f t="shared" si="3"/>
        <v>85.663571818678321</v>
      </c>
      <c r="I49" s="784">
        <v>0.5</v>
      </c>
      <c r="J49" s="784">
        <f t="shared" si="0"/>
        <v>2.0480611687602401</v>
      </c>
      <c r="L49" s="784">
        <v>3</v>
      </c>
      <c r="M49" s="784">
        <f t="shared" si="1"/>
        <v>12.288367012561441</v>
      </c>
    </row>
    <row r="50" spans="1:13" ht="12" customHeight="1">
      <c r="C50" s="784" t="str">
        <f t="shared" si="2"/>
        <v/>
      </c>
      <c r="D50" s="454" t="str">
        <f t="shared" si="2"/>
        <v/>
      </c>
      <c r="G50" s="784" t="str">
        <f t="shared" si="3"/>
        <v/>
      </c>
      <c r="J50" s="784" t="str">
        <f t="shared" si="0"/>
        <v/>
      </c>
      <c r="L50" s="784" t="s">
        <v>11</v>
      </c>
      <c r="M50" s="784" t="str">
        <f t="shared" si="1"/>
        <v/>
      </c>
    </row>
    <row r="51" spans="1:13" ht="12" customHeight="1">
      <c r="A51" s="455" t="s">
        <v>41</v>
      </c>
      <c r="C51" s="784">
        <f t="shared" si="2"/>
        <v>290.89166666666665</v>
      </c>
      <c r="D51" s="454">
        <f t="shared" si="2"/>
        <v>100</v>
      </c>
      <c r="F51" s="784">
        <f>SUM(F52:F59)</f>
        <v>233.39166666666665</v>
      </c>
      <c r="G51" s="784">
        <f t="shared" si="3"/>
        <v>80.233191050505624</v>
      </c>
      <c r="I51" s="784">
        <f>SUM(I52:I59)</f>
        <v>19.5</v>
      </c>
      <c r="J51" s="784">
        <f t="shared" si="0"/>
        <v>6.7035265133067874</v>
      </c>
      <c r="L51" s="784">
        <f>SUM(L52:L59)</f>
        <v>38</v>
      </c>
      <c r="M51" s="784">
        <f t="shared" si="1"/>
        <v>13.063282436187585</v>
      </c>
    </row>
    <row r="52" spans="1:13" ht="12" customHeight="1">
      <c r="A52" s="455" t="s">
        <v>42</v>
      </c>
      <c r="C52" s="784">
        <f t="shared" si="2"/>
        <v>31.75</v>
      </c>
      <c r="D52" s="454">
        <f t="shared" si="2"/>
        <v>100</v>
      </c>
      <c r="F52" s="784">
        <f>0/30+25.75</f>
        <v>25.75</v>
      </c>
      <c r="G52" s="784">
        <f t="shared" si="3"/>
        <v>81.102362204724415</v>
      </c>
      <c r="I52" s="784">
        <v>1</v>
      </c>
      <c r="J52" s="784">
        <f t="shared" si="0"/>
        <v>3.1496062992125982</v>
      </c>
      <c r="L52" s="784">
        <v>5</v>
      </c>
      <c r="M52" s="784">
        <f t="shared" si="1"/>
        <v>15.748031496062993</v>
      </c>
    </row>
    <row r="53" spans="1:13" ht="12" customHeight="1">
      <c r="A53" s="455" t="s">
        <v>43</v>
      </c>
      <c r="C53" s="784">
        <f t="shared" si="2"/>
        <v>50.658333333333331</v>
      </c>
      <c r="D53" s="454">
        <f t="shared" si="2"/>
        <v>100.00000000000001</v>
      </c>
      <c r="F53" s="784">
        <f>(8)/2/30+57/30+34.625</f>
        <v>36.658333333333331</v>
      </c>
      <c r="G53" s="784">
        <f t="shared" si="3"/>
        <v>72.363875637440373</v>
      </c>
      <c r="I53" s="784">
        <v>10</v>
      </c>
      <c r="J53" s="784">
        <f t="shared" si="0"/>
        <v>19.740088830399738</v>
      </c>
      <c r="L53" s="784">
        <v>4</v>
      </c>
      <c r="M53" s="784">
        <f t="shared" si="1"/>
        <v>7.8960355321598952</v>
      </c>
    </row>
    <row r="54" spans="1:13" ht="12" customHeight="1">
      <c r="A54" s="455" t="s">
        <v>44</v>
      </c>
      <c r="C54" s="784">
        <f t="shared" si="2"/>
        <v>31.375</v>
      </c>
      <c r="D54" s="454">
        <f t="shared" si="2"/>
        <v>99.999999999999986</v>
      </c>
      <c r="F54" s="784">
        <v>24.875</v>
      </c>
      <c r="G54" s="784">
        <f t="shared" si="3"/>
        <v>79.282868525896404</v>
      </c>
      <c r="I54" s="784">
        <v>0.5</v>
      </c>
      <c r="J54" s="784">
        <f t="shared" si="0"/>
        <v>1.593625498007968</v>
      </c>
      <c r="L54" s="784">
        <v>6</v>
      </c>
      <c r="M54" s="784">
        <f t="shared" si="1"/>
        <v>19.123505976095618</v>
      </c>
    </row>
    <row r="55" spans="1:13" ht="12" customHeight="1">
      <c r="A55" s="455" t="s">
        <v>45</v>
      </c>
      <c r="C55" s="784">
        <f t="shared" si="2"/>
        <v>35.333333333333329</v>
      </c>
      <c r="D55" s="454">
        <f t="shared" si="2"/>
        <v>100.00000000000001</v>
      </c>
      <c r="F55" s="784">
        <f>14/30+11/30+30.5</f>
        <v>31.333333333333332</v>
      </c>
      <c r="G55" s="784">
        <f t="shared" si="3"/>
        <v>88.679245283018886</v>
      </c>
      <c r="I55" s="784">
        <v>0</v>
      </c>
      <c r="J55" s="784">
        <f t="shared" si="0"/>
        <v>0</v>
      </c>
      <c r="L55" s="784">
        <v>4</v>
      </c>
      <c r="M55" s="784">
        <f t="shared" si="1"/>
        <v>11.320754716981133</v>
      </c>
    </row>
    <row r="56" spans="1:13" ht="12" customHeight="1">
      <c r="A56" s="455" t="s">
        <v>46</v>
      </c>
      <c r="C56" s="784">
        <f t="shared" si="2"/>
        <v>36.183333333333337</v>
      </c>
      <c r="D56" s="454">
        <f t="shared" si="2"/>
        <v>100</v>
      </c>
      <c r="F56" s="784">
        <f>17.5/30+3/30+29.5</f>
        <v>30.183333333333334</v>
      </c>
      <c r="G56" s="784">
        <f t="shared" si="3"/>
        <v>83.41777982496545</v>
      </c>
      <c r="I56" s="784">
        <v>0</v>
      </c>
      <c r="J56" s="784">
        <f t="shared" si="0"/>
        <v>0</v>
      </c>
      <c r="L56" s="784">
        <v>6</v>
      </c>
      <c r="M56" s="784">
        <f t="shared" si="1"/>
        <v>16.582220175034546</v>
      </c>
    </row>
    <row r="57" spans="1:13" ht="12" customHeight="1">
      <c r="A57" s="455" t="s">
        <v>47</v>
      </c>
      <c r="C57" s="784">
        <f t="shared" si="2"/>
        <v>55.958333333333336</v>
      </c>
      <c r="D57" s="454">
        <f t="shared" si="2"/>
        <v>99.999999999999986</v>
      </c>
      <c r="F57" s="784">
        <f>70/30+45.125</f>
        <v>47.458333333333336</v>
      </c>
      <c r="G57" s="784">
        <f t="shared" si="3"/>
        <v>84.810126582278471</v>
      </c>
      <c r="I57" s="784">
        <v>3.5</v>
      </c>
      <c r="J57" s="784">
        <f t="shared" si="0"/>
        <v>6.2546537602382726</v>
      </c>
      <c r="L57" s="784">
        <v>5</v>
      </c>
      <c r="M57" s="784">
        <f t="shared" si="1"/>
        <v>8.9352196574832448</v>
      </c>
    </row>
    <row r="58" spans="1:13" ht="12" customHeight="1">
      <c r="A58" s="455" t="s">
        <v>48</v>
      </c>
      <c r="C58" s="784">
        <f t="shared" si="2"/>
        <v>24.25</v>
      </c>
      <c r="D58" s="454">
        <f t="shared" si="2"/>
        <v>100</v>
      </c>
      <c r="F58" s="784">
        <f>0/30+16.75</f>
        <v>16.75</v>
      </c>
      <c r="G58" s="784">
        <f t="shared" si="3"/>
        <v>69.072164948453604</v>
      </c>
      <c r="I58" s="784">
        <v>3.5</v>
      </c>
      <c r="J58" s="784">
        <f t="shared" si="0"/>
        <v>14.432989690721648</v>
      </c>
      <c r="L58" s="784">
        <v>4</v>
      </c>
      <c r="M58" s="784">
        <f t="shared" si="1"/>
        <v>16.494845360824741</v>
      </c>
    </row>
    <row r="59" spans="1:13" ht="12" customHeight="1">
      <c r="A59" s="455" t="s">
        <v>49</v>
      </c>
      <c r="C59" s="784">
        <f t="shared" si="2"/>
        <v>25.383333333333333</v>
      </c>
      <c r="D59" s="454">
        <f t="shared" si="2"/>
        <v>99.999999999999986</v>
      </c>
      <c r="F59" s="784">
        <f>4/30+20.25</f>
        <v>20.383333333333333</v>
      </c>
      <c r="G59" s="784">
        <f t="shared" si="3"/>
        <v>80.302035456336171</v>
      </c>
      <c r="I59" s="784">
        <v>1</v>
      </c>
      <c r="J59" s="784">
        <f t="shared" si="0"/>
        <v>3.9395929087327639</v>
      </c>
      <c r="L59" s="784">
        <v>4</v>
      </c>
      <c r="M59" s="784">
        <f t="shared" si="1"/>
        <v>15.758371634931056</v>
      </c>
    </row>
    <row r="60" spans="1:13" ht="12" customHeight="1"/>
    <row r="61" spans="1:13" ht="12" customHeight="1">
      <c r="A61" s="455" t="s">
        <v>50</v>
      </c>
      <c r="C61" s="784">
        <f t="shared" si="2"/>
        <v>99.832999999999998</v>
      </c>
      <c r="D61" s="454">
        <f t="shared" si="2"/>
        <v>100</v>
      </c>
      <c r="F61" s="784">
        <f>48/30+162/30+54.083</f>
        <v>61.082999999999998</v>
      </c>
      <c r="G61" s="784">
        <f t="shared" si="3"/>
        <v>61.185179249346412</v>
      </c>
      <c r="I61" s="784">
        <v>2.5</v>
      </c>
      <c r="J61" s="784">
        <f t="shared" si="0"/>
        <v>2.504181983913135</v>
      </c>
      <c r="L61" s="784">
        <v>36.25</v>
      </c>
      <c r="M61" s="784">
        <f t="shared" si="1"/>
        <v>36.310638766740453</v>
      </c>
    </row>
    <row r="62" spans="1:13" ht="12" customHeight="1">
      <c r="C62" s="784" t="str">
        <f t="shared" si="2"/>
        <v/>
      </c>
      <c r="D62" s="454" t="str">
        <f t="shared" si="2"/>
        <v/>
      </c>
      <c r="G62" s="784" t="str">
        <f t="shared" si="3"/>
        <v/>
      </c>
      <c r="J62" s="784" t="str">
        <f t="shared" si="0"/>
        <v/>
      </c>
      <c r="L62" s="784" t="s">
        <v>11</v>
      </c>
      <c r="M62" s="784" t="str">
        <f t="shared" si="1"/>
        <v/>
      </c>
    </row>
    <row r="63" spans="1:13" ht="12" customHeight="1">
      <c r="A63" s="455" t="s">
        <v>51</v>
      </c>
      <c r="C63" s="784">
        <f t="shared" si="2"/>
        <v>177.20833333333334</v>
      </c>
      <c r="D63" s="454">
        <f t="shared" si="2"/>
        <v>100</v>
      </c>
      <c r="F63" s="784">
        <f>SUM(F64:F68)</f>
        <v>145.20833333333334</v>
      </c>
      <c r="G63" s="784">
        <f t="shared" si="3"/>
        <v>81.942158476369613</v>
      </c>
      <c r="I63" s="784">
        <f>SUM(I64:I68)</f>
        <v>1.5</v>
      </c>
      <c r="J63" s="784">
        <f t="shared" si="0"/>
        <v>0.84646132142017394</v>
      </c>
      <c r="L63" s="784">
        <f>SUM(L64:L68)</f>
        <v>30.5</v>
      </c>
      <c r="M63" s="784">
        <f t="shared" si="1"/>
        <v>17.211380202210201</v>
      </c>
    </row>
    <row r="64" spans="1:13" ht="12" customHeight="1">
      <c r="A64" s="455" t="s">
        <v>52</v>
      </c>
      <c r="C64" s="784">
        <f t="shared" si="2"/>
        <v>18.899999999999999</v>
      </c>
      <c r="D64" s="454">
        <f t="shared" si="2"/>
        <v>100.00000000000001</v>
      </c>
      <c r="F64" s="788">
        <f>(17+37)/30/2+15</f>
        <v>15.9</v>
      </c>
      <c r="G64" s="784">
        <f t="shared" si="3"/>
        <v>84.126984126984141</v>
      </c>
      <c r="I64" s="784">
        <v>0</v>
      </c>
      <c r="J64" s="784">
        <f t="shared" si="0"/>
        <v>0</v>
      </c>
      <c r="L64" s="784">
        <v>3</v>
      </c>
      <c r="M64" s="784">
        <f t="shared" si="1"/>
        <v>15.873015873015875</v>
      </c>
    </row>
    <row r="65" spans="1:13" ht="12" customHeight="1">
      <c r="A65" s="455" t="s">
        <v>53</v>
      </c>
      <c r="C65" s="784">
        <f t="shared" si="2"/>
        <v>58.741666666666667</v>
      </c>
      <c r="D65" s="454">
        <f t="shared" si="2"/>
        <v>100</v>
      </c>
      <c r="F65" s="784">
        <f>64.5/30+14/30+47.125</f>
        <v>49.741666666666667</v>
      </c>
      <c r="G65" s="784">
        <f t="shared" si="3"/>
        <v>84.678677826642073</v>
      </c>
      <c r="I65" s="784">
        <v>0</v>
      </c>
      <c r="J65" s="784">
        <f t="shared" si="0"/>
        <v>0</v>
      </c>
      <c r="L65" s="784">
        <v>9</v>
      </c>
      <c r="M65" s="784">
        <f t="shared" si="1"/>
        <v>15.321322173357924</v>
      </c>
    </row>
    <row r="66" spans="1:13" ht="12" customHeight="1">
      <c r="A66" s="455" t="s">
        <v>54</v>
      </c>
      <c r="C66" s="784">
        <f t="shared" si="2"/>
        <v>36.75</v>
      </c>
      <c r="D66" s="454">
        <f t="shared" si="2"/>
        <v>100</v>
      </c>
      <c r="F66" s="784">
        <f>(39+47)/2/30+17/30+29.75</f>
        <v>31.75</v>
      </c>
      <c r="G66" s="784">
        <f t="shared" si="3"/>
        <v>86.394557823129247</v>
      </c>
      <c r="I66" s="784">
        <v>1</v>
      </c>
      <c r="J66" s="784">
        <f t="shared" si="0"/>
        <v>2.7210884353741496</v>
      </c>
      <c r="L66" s="784">
        <v>4</v>
      </c>
      <c r="M66" s="784">
        <f t="shared" si="1"/>
        <v>10.884353741496598</v>
      </c>
    </row>
    <row r="67" spans="1:13" ht="12" customHeight="1">
      <c r="A67" s="455" t="s">
        <v>55</v>
      </c>
      <c r="C67" s="784">
        <f t="shared" si="2"/>
        <v>23.25</v>
      </c>
      <c r="D67" s="454">
        <f t="shared" si="2"/>
        <v>100</v>
      </c>
      <c r="F67" s="784">
        <f>(35+40)/2/30+17.5</f>
        <v>18.75</v>
      </c>
      <c r="G67" s="784">
        <f t="shared" si="3"/>
        <v>80.645161290322577</v>
      </c>
      <c r="I67" s="784">
        <v>0</v>
      </c>
      <c r="J67" s="784">
        <f t="shared" si="0"/>
        <v>0</v>
      </c>
      <c r="L67" s="784">
        <v>4.5</v>
      </c>
      <c r="M67" s="784">
        <f t="shared" si="1"/>
        <v>19.35483870967742</v>
      </c>
    </row>
    <row r="68" spans="1:13" ht="12" customHeight="1">
      <c r="A68" s="455" t="s">
        <v>56</v>
      </c>
      <c r="C68" s="784">
        <f t="shared" si="2"/>
        <v>39.566666666666663</v>
      </c>
      <c r="D68" s="454">
        <f t="shared" si="2"/>
        <v>100.00000000000001</v>
      </c>
      <c r="F68" s="784">
        <f>1.5/30+8/30+28.75</f>
        <v>29.066666666666666</v>
      </c>
      <c r="G68" s="784">
        <f t="shared" si="3"/>
        <v>73.462510530749796</v>
      </c>
      <c r="I68" s="784">
        <v>0.5</v>
      </c>
      <c r="J68" s="784">
        <f t="shared" si="0"/>
        <v>1.2636899747262005</v>
      </c>
      <c r="L68" s="784">
        <v>10</v>
      </c>
      <c r="M68" s="784">
        <f t="shared" si="1"/>
        <v>25.273799494524013</v>
      </c>
    </row>
    <row r="69" spans="1:13" ht="12" customHeight="1">
      <c r="C69" s="784" t="str">
        <f t="shared" si="2"/>
        <v/>
      </c>
      <c r="D69" s="454" t="str">
        <f t="shared" si="2"/>
        <v/>
      </c>
      <c r="G69" s="784" t="str">
        <f t="shared" si="3"/>
        <v/>
      </c>
      <c r="J69" s="784" t="str">
        <f t="shared" si="0"/>
        <v/>
      </c>
      <c r="L69" s="784" t="s">
        <v>11</v>
      </c>
      <c r="M69" s="784" t="str">
        <f t="shared" si="1"/>
        <v/>
      </c>
    </row>
    <row r="70" spans="1:13" ht="12" customHeight="1">
      <c r="A70" s="455" t="s">
        <v>333</v>
      </c>
      <c r="C70" s="784">
        <f t="shared" si="2"/>
        <v>650.26233333333334</v>
      </c>
      <c r="D70" s="454">
        <f t="shared" si="2"/>
        <v>100</v>
      </c>
      <c r="F70" s="784">
        <f>F72+F75+F82+F84</f>
        <v>422.13733333333334</v>
      </c>
      <c r="G70" s="784">
        <f t="shared" si="3"/>
        <v>64.91800488725832</v>
      </c>
      <c r="I70" s="784">
        <f>I72+I75+I82+I84</f>
        <v>98.375</v>
      </c>
      <c r="J70" s="784">
        <f t="shared" si="0"/>
        <v>15.128509673275452</v>
      </c>
      <c r="L70" s="784">
        <f>L72+L75+L82+L84</f>
        <v>129.75</v>
      </c>
      <c r="M70" s="784">
        <f t="shared" si="1"/>
        <v>19.953485439466228</v>
      </c>
    </row>
    <row r="71" spans="1:13" ht="12" customHeight="1">
      <c r="C71" s="784" t="str">
        <f t="shared" si="2"/>
        <v/>
      </c>
      <c r="D71" s="454" t="str">
        <f t="shared" si="2"/>
        <v/>
      </c>
      <c r="G71" s="784" t="str">
        <f t="shared" si="3"/>
        <v/>
      </c>
      <c r="J71" s="784" t="str">
        <f t="shared" si="0"/>
        <v/>
      </c>
      <c r="L71" s="784" t="s">
        <v>11</v>
      </c>
      <c r="M71" s="784" t="str">
        <f t="shared" si="1"/>
        <v/>
      </c>
    </row>
    <row r="72" spans="1:13" ht="12" customHeight="1">
      <c r="A72" s="455" t="s">
        <v>58</v>
      </c>
      <c r="C72" s="784">
        <f t="shared" si="2"/>
        <v>68.040666666666667</v>
      </c>
      <c r="D72" s="454">
        <f t="shared" si="2"/>
        <v>100</v>
      </c>
      <c r="F72" s="784">
        <f>SUM(F73:F73)</f>
        <v>41.540666666666667</v>
      </c>
      <c r="G72" s="784">
        <f t="shared" si="3"/>
        <v>61.052703775193265</v>
      </c>
      <c r="I72" s="784">
        <f>SUM(I73:I73)</f>
        <v>10</v>
      </c>
      <c r="J72" s="784">
        <f t="shared" si="0"/>
        <v>14.697092915021409</v>
      </c>
      <c r="L72" s="784">
        <f>SUM(L73:L73)</f>
        <v>16.5</v>
      </c>
      <c r="M72" s="784">
        <f t="shared" si="1"/>
        <v>24.250203309785324</v>
      </c>
    </row>
    <row r="73" spans="1:13" ht="12" customHeight="1">
      <c r="A73" s="455" t="s">
        <v>59</v>
      </c>
      <c r="C73" s="784">
        <f t="shared" si="2"/>
        <v>68.040666666666667</v>
      </c>
      <c r="D73" s="454">
        <f t="shared" si="2"/>
        <v>100</v>
      </c>
      <c r="F73" s="784">
        <f>5.5/30+4/30+41.224</f>
        <v>41.540666666666667</v>
      </c>
      <c r="G73" s="784">
        <f t="shared" si="3"/>
        <v>61.052703775193265</v>
      </c>
      <c r="I73" s="784">
        <v>10</v>
      </c>
      <c r="J73" s="784">
        <f t="shared" si="0"/>
        <v>14.697092915021409</v>
      </c>
      <c r="L73" s="784">
        <v>16.5</v>
      </c>
      <c r="M73" s="784">
        <f t="shared" si="1"/>
        <v>24.250203309785324</v>
      </c>
    </row>
    <row r="74" spans="1:13" ht="12" customHeight="1">
      <c r="C74" s="784" t="str">
        <f t="shared" si="2"/>
        <v/>
      </c>
      <c r="D74" s="454" t="str">
        <f t="shared" si="2"/>
        <v/>
      </c>
      <c r="G74" s="784" t="str">
        <f t="shared" si="3"/>
        <v/>
      </c>
      <c r="J74" s="784" t="str">
        <f t="shared" si="0"/>
        <v/>
      </c>
      <c r="L74" s="784" t="s">
        <v>11</v>
      </c>
      <c r="M74" s="784" t="str">
        <f t="shared" si="1"/>
        <v/>
      </c>
    </row>
    <row r="75" spans="1:13" ht="12" customHeight="1">
      <c r="A75" s="455" t="s">
        <v>60</v>
      </c>
      <c r="C75" s="784">
        <f t="shared" si="2"/>
        <v>346.17500000000001</v>
      </c>
      <c r="D75" s="454">
        <f t="shared" si="2"/>
        <v>100</v>
      </c>
      <c r="F75" s="784">
        <f>SUM(F76:F80)</f>
        <v>259.42500000000001</v>
      </c>
      <c r="G75" s="784">
        <f t="shared" si="3"/>
        <v>74.940420307647869</v>
      </c>
      <c r="I75" s="784">
        <f>SUM(I76:I80)</f>
        <v>21</v>
      </c>
      <c r="J75" s="784">
        <f t="shared" si="0"/>
        <v>6.0662959485809198</v>
      </c>
      <c r="L75" s="784">
        <f>SUM(L76:L80)</f>
        <v>65.75</v>
      </c>
      <c r="M75" s="784">
        <f t="shared" si="1"/>
        <v>18.993283743771215</v>
      </c>
    </row>
    <row r="76" spans="1:13" ht="12" customHeight="1">
      <c r="A76" s="455" t="s">
        <v>61</v>
      </c>
      <c r="C76" s="784">
        <f t="shared" si="2"/>
        <v>182.8</v>
      </c>
      <c r="D76" s="454">
        <f t="shared" si="2"/>
        <v>100</v>
      </c>
      <c r="F76" s="784">
        <v>130.55000000000001</v>
      </c>
      <c r="G76" s="784">
        <f t="shared" si="3"/>
        <v>71.416849015317283</v>
      </c>
      <c r="I76" s="784">
        <v>18</v>
      </c>
      <c r="J76" s="784">
        <f t="shared" si="0"/>
        <v>9.8468271334792128</v>
      </c>
      <c r="L76" s="784">
        <v>34.25</v>
      </c>
      <c r="M76" s="784">
        <f t="shared" ref="M76:M153" si="4">IF($A76&lt;&gt;0,L76/$C76*100,"")</f>
        <v>18.736323851203501</v>
      </c>
    </row>
    <row r="77" spans="1:13" ht="12" customHeight="1">
      <c r="A77" s="455" t="s">
        <v>62</v>
      </c>
      <c r="C77" s="784">
        <f t="shared" ref="C77:D154" si="5">IF($A77&lt;&gt;0,F77+I77+L77,"")</f>
        <v>61.75</v>
      </c>
      <c r="D77" s="454">
        <f t="shared" si="5"/>
        <v>100</v>
      </c>
      <c r="F77" s="784">
        <v>47.25</v>
      </c>
      <c r="G77" s="784">
        <f t="shared" si="3"/>
        <v>76.518218623481786</v>
      </c>
      <c r="I77" s="784">
        <v>0</v>
      </c>
      <c r="J77" s="784">
        <f t="shared" ref="J77:J154" si="6">IF($A77&lt;&gt;0,I77/$C77*100,"")</f>
        <v>0</v>
      </c>
      <c r="L77" s="784">
        <v>14.5</v>
      </c>
      <c r="M77" s="784">
        <f t="shared" si="4"/>
        <v>23.481781376518217</v>
      </c>
    </row>
    <row r="78" spans="1:13" ht="12" customHeight="1">
      <c r="A78" s="455" t="s">
        <v>63</v>
      </c>
      <c r="C78" s="784">
        <f t="shared" si="5"/>
        <v>18.625</v>
      </c>
      <c r="D78" s="454">
        <f t="shared" si="5"/>
        <v>100</v>
      </c>
      <c r="F78" s="784">
        <v>15.625</v>
      </c>
      <c r="G78" s="784">
        <f t="shared" ref="G78:G155" si="7">IF($A78&lt;&gt;0,F78/$C78*100,"")</f>
        <v>83.892617449664428</v>
      </c>
      <c r="I78" s="784">
        <v>0</v>
      </c>
      <c r="J78" s="784">
        <f t="shared" si="6"/>
        <v>0</v>
      </c>
      <c r="L78" s="784">
        <v>3</v>
      </c>
      <c r="M78" s="784">
        <f t="shared" si="4"/>
        <v>16.107382550335569</v>
      </c>
    </row>
    <row r="79" spans="1:13" ht="12" customHeight="1">
      <c r="A79" s="455" t="s">
        <v>64</v>
      </c>
      <c r="C79" s="784">
        <f t="shared" si="5"/>
        <v>35.5</v>
      </c>
      <c r="D79" s="454">
        <f t="shared" si="5"/>
        <v>100</v>
      </c>
      <c r="F79" s="18">
        <v>28.5</v>
      </c>
      <c r="G79" s="784">
        <f t="shared" si="7"/>
        <v>80.281690140845072</v>
      </c>
      <c r="I79" s="784">
        <v>1</v>
      </c>
      <c r="J79" s="784">
        <f t="shared" si="6"/>
        <v>2.8169014084507045</v>
      </c>
      <c r="L79" s="784">
        <v>6</v>
      </c>
      <c r="M79" s="784">
        <f t="shared" si="4"/>
        <v>16.901408450704224</v>
      </c>
    </row>
    <row r="80" spans="1:13" ht="12" customHeight="1">
      <c r="A80" s="455" t="s">
        <v>65</v>
      </c>
      <c r="C80" s="784">
        <f t="shared" si="5"/>
        <v>47.5</v>
      </c>
      <c r="D80" s="454">
        <f t="shared" si="5"/>
        <v>100</v>
      </c>
      <c r="F80" s="784">
        <v>37.5</v>
      </c>
      <c r="G80" s="784">
        <f t="shared" si="7"/>
        <v>78.94736842105263</v>
      </c>
      <c r="I80" s="784">
        <v>2</v>
      </c>
      <c r="J80" s="784">
        <f t="shared" si="6"/>
        <v>4.2105263157894735</v>
      </c>
      <c r="L80" s="784">
        <v>8</v>
      </c>
      <c r="M80" s="784">
        <f t="shared" si="4"/>
        <v>16.842105263157894</v>
      </c>
    </row>
    <row r="81" spans="1:13" ht="12" customHeight="1">
      <c r="C81" s="784" t="str">
        <f t="shared" si="5"/>
        <v/>
      </c>
      <c r="D81" s="454" t="str">
        <f t="shared" si="5"/>
        <v/>
      </c>
      <c r="G81" s="784" t="str">
        <f t="shared" si="7"/>
        <v/>
      </c>
      <c r="J81" s="784" t="str">
        <f t="shared" si="6"/>
        <v/>
      </c>
      <c r="L81" s="784" t="s">
        <v>11</v>
      </c>
      <c r="M81" s="784" t="str">
        <f t="shared" si="4"/>
        <v/>
      </c>
    </row>
    <row r="82" spans="1:13" ht="12" customHeight="1">
      <c r="A82" s="455" t="s">
        <v>66</v>
      </c>
      <c r="C82" s="784">
        <f t="shared" si="5"/>
        <v>93.99666666666667</v>
      </c>
      <c r="D82" s="454">
        <f t="shared" si="5"/>
        <v>100</v>
      </c>
      <c r="F82" s="784">
        <f>(39+28)/2/30+44.13</f>
        <v>45.24666666666667</v>
      </c>
      <c r="G82" s="784">
        <f t="shared" si="7"/>
        <v>48.136458739671625</v>
      </c>
      <c r="I82" s="784">
        <v>29.5</v>
      </c>
      <c r="J82" s="784">
        <f t="shared" si="6"/>
        <v>31.384091634455118</v>
      </c>
      <c r="L82" s="784">
        <v>19.25</v>
      </c>
      <c r="M82" s="784">
        <f t="shared" si="4"/>
        <v>20.479449625873258</v>
      </c>
    </row>
    <row r="83" spans="1:13" ht="12" customHeight="1">
      <c r="C83" s="784" t="str">
        <f t="shared" si="5"/>
        <v/>
      </c>
      <c r="D83" s="454" t="str">
        <f t="shared" si="5"/>
        <v/>
      </c>
      <c r="G83" s="784" t="str">
        <f t="shared" si="7"/>
        <v/>
      </c>
      <c r="J83" s="784" t="str">
        <f t="shared" si="6"/>
        <v/>
      </c>
      <c r="L83" s="784" t="s">
        <v>11</v>
      </c>
      <c r="M83" s="784" t="str">
        <f t="shared" si="4"/>
        <v/>
      </c>
    </row>
    <row r="84" spans="1:13" ht="12" customHeight="1">
      <c r="A84" s="455" t="s">
        <v>67</v>
      </c>
      <c r="C84" s="784">
        <f t="shared" si="5"/>
        <v>142.05000000000001</v>
      </c>
      <c r="D84" s="454">
        <f t="shared" si="5"/>
        <v>100</v>
      </c>
      <c r="F84" s="784">
        <f>18.5/30+88/30+72.375</f>
        <v>75.924999999999997</v>
      </c>
      <c r="G84" s="784">
        <f t="shared" si="7"/>
        <v>53.449489616332272</v>
      </c>
      <c r="I84" s="784">
        <v>37.875</v>
      </c>
      <c r="J84" s="784">
        <f t="shared" si="6"/>
        <v>26.663146779303059</v>
      </c>
      <c r="L84" s="784">
        <v>28.25</v>
      </c>
      <c r="M84" s="784">
        <f t="shared" si="4"/>
        <v>19.887363604364658</v>
      </c>
    </row>
    <row r="85" spans="1:13" ht="12" customHeight="1">
      <c r="C85" s="784" t="str">
        <f t="shared" si="5"/>
        <v/>
      </c>
      <c r="D85" s="454" t="str">
        <f t="shared" si="5"/>
        <v/>
      </c>
      <c r="G85" s="784" t="str">
        <f t="shared" si="7"/>
        <v/>
      </c>
      <c r="J85" s="784" t="str">
        <f t="shared" si="6"/>
        <v/>
      </c>
      <c r="L85" s="784" t="s">
        <v>11</v>
      </c>
      <c r="M85" s="784" t="str">
        <f t="shared" si="4"/>
        <v/>
      </c>
    </row>
    <row r="86" spans="1:13" ht="12" customHeight="1">
      <c r="A86" s="455" t="s">
        <v>336</v>
      </c>
      <c r="C86" s="784">
        <f t="shared" si="5"/>
        <v>113.5</v>
      </c>
      <c r="D86" s="454">
        <f t="shared" si="5"/>
        <v>100</v>
      </c>
      <c r="F86" s="784">
        <f>F87</f>
        <v>85.5</v>
      </c>
      <c r="G86" s="784">
        <f t="shared" si="7"/>
        <v>75.330396475770925</v>
      </c>
      <c r="I86" s="784">
        <f>I87</f>
        <v>14</v>
      </c>
      <c r="J86" s="784">
        <f t="shared" si="6"/>
        <v>12.334801762114537</v>
      </c>
      <c r="L86" s="784">
        <f>L87</f>
        <v>14</v>
      </c>
      <c r="M86" s="784">
        <f t="shared" si="4"/>
        <v>12.334801762114537</v>
      </c>
    </row>
    <row r="87" spans="1:13" ht="12" customHeight="1">
      <c r="A87" s="455" t="s">
        <v>69</v>
      </c>
      <c r="C87" s="784">
        <f t="shared" si="5"/>
        <v>113.5</v>
      </c>
      <c r="D87" s="454">
        <f t="shared" si="5"/>
        <v>100</v>
      </c>
      <c r="F87" s="784">
        <f>SUM(F88:F91)</f>
        <v>85.5</v>
      </c>
      <c r="G87" s="784">
        <f t="shared" si="7"/>
        <v>75.330396475770925</v>
      </c>
      <c r="I87" s="784">
        <f>SUM(I88:I91)</f>
        <v>14</v>
      </c>
      <c r="J87" s="784">
        <f t="shared" si="6"/>
        <v>12.334801762114537</v>
      </c>
      <c r="L87" s="784">
        <f>SUM(L88:L91)</f>
        <v>14</v>
      </c>
      <c r="M87" s="784">
        <f t="shared" si="4"/>
        <v>12.334801762114537</v>
      </c>
    </row>
    <row r="88" spans="1:13" ht="12" customHeight="1">
      <c r="A88" s="455" t="s">
        <v>70</v>
      </c>
      <c r="C88" s="784">
        <f t="shared" si="5"/>
        <v>21.8</v>
      </c>
      <c r="D88" s="454">
        <f t="shared" si="5"/>
        <v>100.00000000000001</v>
      </c>
      <c r="F88" s="784">
        <f>3/30+6/30+18.5</f>
        <v>18.8</v>
      </c>
      <c r="G88" s="784">
        <f t="shared" si="7"/>
        <v>86.238532110091754</v>
      </c>
      <c r="I88" s="784">
        <v>0</v>
      </c>
      <c r="J88" s="784">
        <f t="shared" si="6"/>
        <v>0</v>
      </c>
      <c r="L88" s="784">
        <v>3</v>
      </c>
      <c r="M88" s="784">
        <f t="shared" si="4"/>
        <v>13.761467889908257</v>
      </c>
    </row>
    <row r="89" spans="1:13" ht="12" customHeight="1">
      <c r="A89" s="455" t="s">
        <v>71</v>
      </c>
      <c r="C89" s="784">
        <f t="shared" si="5"/>
        <v>42.016666666666666</v>
      </c>
      <c r="D89" s="454">
        <f t="shared" si="5"/>
        <v>100</v>
      </c>
      <c r="F89" s="784">
        <f>6/30+32/30+31.75</f>
        <v>33.016666666666666</v>
      </c>
      <c r="G89" s="784">
        <f t="shared" si="7"/>
        <v>78.579928599761999</v>
      </c>
      <c r="I89" s="784">
        <v>6</v>
      </c>
      <c r="J89" s="784">
        <f t="shared" si="6"/>
        <v>14.280047600158669</v>
      </c>
      <c r="L89" s="784">
        <v>3</v>
      </c>
      <c r="M89" s="784">
        <f t="shared" si="4"/>
        <v>7.1400238000793346</v>
      </c>
    </row>
    <row r="90" spans="1:13" ht="12" customHeight="1">
      <c r="A90" s="455" t="s">
        <v>72</v>
      </c>
      <c r="C90" s="784">
        <f t="shared" si="5"/>
        <v>25.433333333333334</v>
      </c>
      <c r="D90" s="454">
        <f t="shared" si="5"/>
        <v>100</v>
      </c>
      <c r="F90" s="784">
        <f>9/30+4/30+18</f>
        <v>18.433333333333334</v>
      </c>
      <c r="G90" s="784">
        <f t="shared" si="7"/>
        <v>72.477064220183479</v>
      </c>
      <c r="I90" s="784">
        <v>4</v>
      </c>
      <c r="J90" s="784">
        <f t="shared" si="6"/>
        <v>15.727391874180865</v>
      </c>
      <c r="L90" s="784">
        <v>3</v>
      </c>
      <c r="M90" s="784">
        <f t="shared" si="4"/>
        <v>11.795543905635649</v>
      </c>
    </row>
    <row r="91" spans="1:13" ht="12" customHeight="1">
      <c r="A91" s="455" t="s">
        <v>73</v>
      </c>
      <c r="C91" s="784">
        <f t="shared" si="5"/>
        <v>24.25</v>
      </c>
      <c r="D91" s="454">
        <f t="shared" si="5"/>
        <v>99.999999999999986</v>
      </c>
      <c r="F91" s="784">
        <v>15.25</v>
      </c>
      <c r="G91" s="784">
        <f t="shared" si="7"/>
        <v>62.886597938144327</v>
      </c>
      <c r="I91" s="784">
        <v>4</v>
      </c>
      <c r="J91" s="784">
        <f t="shared" si="6"/>
        <v>16.494845360824741</v>
      </c>
      <c r="L91" s="784">
        <v>5</v>
      </c>
      <c r="M91" s="784">
        <f t="shared" si="4"/>
        <v>20.618556701030926</v>
      </c>
    </row>
    <row r="92" spans="1:13" ht="12" customHeight="1">
      <c r="D92" s="454"/>
    </row>
    <row r="93" spans="1:13" ht="12" customHeight="1">
      <c r="D93" s="454"/>
    </row>
    <row r="94" spans="1:13" ht="12" customHeight="1">
      <c r="D94" s="454"/>
    </row>
    <row r="95" spans="1:13" ht="12" customHeight="1">
      <c r="D95" s="454"/>
    </row>
    <row r="96" spans="1:13" ht="12" customHeight="1" thickBot="1"/>
    <row r="97" spans="1:13" ht="12" customHeight="1">
      <c r="A97" s="486"/>
      <c r="B97" s="437"/>
      <c r="C97" s="786"/>
      <c r="D97" s="486"/>
      <c r="E97" s="486"/>
      <c r="F97" s="786"/>
      <c r="G97" s="786"/>
      <c r="H97" s="786"/>
      <c r="I97" s="786"/>
      <c r="J97" s="786"/>
      <c r="K97" s="786"/>
      <c r="L97" s="786"/>
      <c r="M97" s="786"/>
    </row>
    <row r="98" spans="1:13" ht="12" customHeight="1">
      <c r="C98" s="1257" t="s">
        <v>3</v>
      </c>
      <c r="D98" s="1257"/>
      <c r="E98" s="1257"/>
      <c r="F98" s="1257"/>
      <c r="G98" s="1257"/>
      <c r="H98" s="1257"/>
      <c r="I98" s="1257"/>
      <c r="J98" s="1257"/>
      <c r="K98" s="1257"/>
      <c r="L98" s="1257"/>
      <c r="M98" s="1257"/>
    </row>
    <row r="99" spans="1:13" ht="12" customHeight="1">
      <c r="A99" s="9" t="s">
        <v>4</v>
      </c>
      <c r="C99" s="1258" t="s">
        <v>5</v>
      </c>
      <c r="D99" s="1258"/>
      <c r="F99" s="1259" t="s">
        <v>6</v>
      </c>
      <c r="G99" s="1259"/>
      <c r="H99" s="10"/>
      <c r="I99" s="1259" t="s">
        <v>7</v>
      </c>
      <c r="J99" s="1259"/>
      <c r="K99" s="10"/>
      <c r="L99" s="1259" t="s">
        <v>8</v>
      </c>
      <c r="M99" s="1259"/>
    </row>
    <row r="100" spans="1:13" ht="12" customHeight="1">
      <c r="C100" s="11" t="s">
        <v>9</v>
      </c>
      <c r="D100" s="12" t="s">
        <v>10</v>
      </c>
      <c r="F100" s="12" t="s">
        <v>9</v>
      </c>
      <c r="G100" s="12" t="s">
        <v>10</v>
      </c>
      <c r="I100" s="12" t="s">
        <v>9</v>
      </c>
      <c r="J100" s="12" t="s">
        <v>10</v>
      </c>
      <c r="L100" s="12" t="s">
        <v>9</v>
      </c>
      <c r="M100" s="12" t="s">
        <v>10</v>
      </c>
    </row>
    <row r="101" spans="1:13" ht="12" customHeight="1" thickBot="1">
      <c r="A101" s="503"/>
      <c r="B101" s="445"/>
      <c r="C101" s="787"/>
      <c r="D101" s="503"/>
      <c r="E101" s="503"/>
      <c r="F101" s="787"/>
      <c r="G101" s="787"/>
      <c r="H101" s="787"/>
      <c r="I101" s="787"/>
      <c r="J101" s="787"/>
      <c r="K101" s="787"/>
      <c r="L101" s="787"/>
      <c r="M101" s="787"/>
    </row>
    <row r="102" spans="1:13" ht="12" customHeight="1">
      <c r="C102" s="784" t="str">
        <f t="shared" si="5"/>
        <v/>
      </c>
      <c r="D102" s="454" t="str">
        <f t="shared" si="5"/>
        <v/>
      </c>
      <c r="L102" s="784" t="s">
        <v>11</v>
      </c>
      <c r="M102" s="784" t="str">
        <f t="shared" si="4"/>
        <v/>
      </c>
    </row>
    <row r="103" spans="1:13" ht="12" customHeight="1">
      <c r="A103" s="455" t="s">
        <v>396</v>
      </c>
      <c r="C103" s="784">
        <f t="shared" si="5"/>
        <v>321.87333333333333</v>
      </c>
      <c r="D103" s="454">
        <f t="shared" si="5"/>
        <v>100</v>
      </c>
      <c r="F103" s="784">
        <f>SUM(F104)</f>
        <v>239.12333333333336</v>
      </c>
      <c r="G103" s="784">
        <f t="shared" si="7"/>
        <v>74.291129015554773</v>
      </c>
      <c r="I103" s="784">
        <f>SUM(I104)</f>
        <v>18.5</v>
      </c>
      <c r="J103" s="784">
        <f t="shared" si="6"/>
        <v>5.7476025765829206</v>
      </c>
      <c r="L103" s="784">
        <f>SUM(L104)</f>
        <v>64.25</v>
      </c>
      <c r="M103" s="784">
        <f t="shared" si="4"/>
        <v>19.961268407862306</v>
      </c>
    </row>
    <row r="104" spans="1:13" ht="12" customHeight="1">
      <c r="A104" s="455" t="s">
        <v>75</v>
      </c>
      <c r="C104" s="784">
        <f t="shared" si="5"/>
        <v>321.87333333333333</v>
      </c>
      <c r="D104" s="454">
        <f t="shared" si="5"/>
        <v>100</v>
      </c>
      <c r="F104" s="784">
        <f>SUM(F105:F113)</f>
        <v>239.12333333333336</v>
      </c>
      <c r="G104" s="784">
        <f t="shared" si="7"/>
        <v>74.291129015554773</v>
      </c>
      <c r="I104" s="784">
        <f>SUM(I105:I113)</f>
        <v>18.5</v>
      </c>
      <c r="J104" s="784">
        <f t="shared" si="6"/>
        <v>5.7476025765829206</v>
      </c>
      <c r="L104" s="784">
        <f>SUM(L105:L113)</f>
        <v>64.25</v>
      </c>
      <c r="M104" s="784">
        <f t="shared" si="4"/>
        <v>19.961268407862306</v>
      </c>
    </row>
    <row r="105" spans="1:13" ht="12" customHeight="1">
      <c r="A105" s="455" t="s">
        <v>76</v>
      </c>
      <c r="C105" s="784">
        <f t="shared" si="5"/>
        <v>51.59</v>
      </c>
      <c r="D105" s="454">
        <f t="shared" si="5"/>
        <v>100</v>
      </c>
      <c r="F105" s="784">
        <v>37.090000000000003</v>
      </c>
      <c r="G105" s="784">
        <f t="shared" si="7"/>
        <v>71.893777863927127</v>
      </c>
      <c r="I105" s="784">
        <v>5.5</v>
      </c>
      <c r="J105" s="784">
        <f t="shared" si="6"/>
        <v>10.660980810234541</v>
      </c>
      <c r="L105" s="784">
        <v>9</v>
      </c>
      <c r="M105" s="784">
        <f t="shared" si="4"/>
        <v>17.445241325838339</v>
      </c>
    </row>
    <row r="106" spans="1:13" ht="12" customHeight="1">
      <c r="A106" s="455" t="s">
        <v>77</v>
      </c>
      <c r="C106" s="784">
        <f t="shared" si="5"/>
        <v>25.25</v>
      </c>
      <c r="D106" s="454">
        <f t="shared" si="5"/>
        <v>99.999999999999986</v>
      </c>
      <c r="F106" s="784">
        <v>18.75</v>
      </c>
      <c r="G106" s="784">
        <f t="shared" si="7"/>
        <v>74.257425742574256</v>
      </c>
      <c r="I106" s="784">
        <v>2</v>
      </c>
      <c r="J106" s="784">
        <f t="shared" si="6"/>
        <v>7.9207920792079207</v>
      </c>
      <c r="L106" s="784">
        <v>4.5</v>
      </c>
      <c r="M106" s="784">
        <f t="shared" si="4"/>
        <v>17.82178217821782</v>
      </c>
    </row>
    <row r="107" spans="1:13" ht="12" customHeight="1">
      <c r="A107" s="455" t="s">
        <v>78</v>
      </c>
      <c r="C107" s="784">
        <f t="shared" si="5"/>
        <v>50.266666666666666</v>
      </c>
      <c r="D107" s="454">
        <f t="shared" si="5"/>
        <v>100</v>
      </c>
      <c r="F107" s="784">
        <f>8/30+32.5</f>
        <v>32.766666666666666</v>
      </c>
      <c r="G107" s="784">
        <f t="shared" si="7"/>
        <v>65.185676392572944</v>
      </c>
      <c r="I107" s="784">
        <v>6</v>
      </c>
      <c r="J107" s="784">
        <f t="shared" si="6"/>
        <v>11.936339522546421</v>
      </c>
      <c r="L107" s="784">
        <v>11.5</v>
      </c>
      <c r="M107" s="784">
        <f t="shared" si="4"/>
        <v>22.877984084880637</v>
      </c>
    </row>
    <row r="108" spans="1:13" ht="12" customHeight="1">
      <c r="A108" s="455" t="s">
        <v>79</v>
      </c>
      <c r="C108" s="784">
        <f t="shared" si="5"/>
        <v>28.25</v>
      </c>
      <c r="D108" s="454">
        <f t="shared" si="5"/>
        <v>100</v>
      </c>
      <c r="F108" s="784">
        <v>22.25</v>
      </c>
      <c r="G108" s="784">
        <f t="shared" si="7"/>
        <v>78.761061946902657</v>
      </c>
      <c r="I108" s="784">
        <v>2</v>
      </c>
      <c r="J108" s="784">
        <f t="shared" si="6"/>
        <v>7.0796460176991154</v>
      </c>
      <c r="L108" s="784">
        <v>4</v>
      </c>
      <c r="M108" s="784">
        <f t="shared" si="4"/>
        <v>14.159292035398231</v>
      </c>
    </row>
    <row r="109" spans="1:13" ht="12" customHeight="1">
      <c r="A109" s="455" t="s">
        <v>80</v>
      </c>
      <c r="C109" s="784">
        <f t="shared" si="5"/>
        <v>33.5</v>
      </c>
      <c r="D109" s="454">
        <f t="shared" si="5"/>
        <v>100</v>
      </c>
      <c r="F109" s="784">
        <f>15/30+26.5</f>
        <v>27</v>
      </c>
      <c r="G109" s="784">
        <f t="shared" si="7"/>
        <v>80.597014925373131</v>
      </c>
      <c r="I109" s="784">
        <v>0</v>
      </c>
      <c r="J109" s="784">
        <f t="shared" si="6"/>
        <v>0</v>
      </c>
      <c r="L109" s="784">
        <v>6.5</v>
      </c>
      <c r="M109" s="784">
        <f t="shared" si="4"/>
        <v>19.402985074626866</v>
      </c>
    </row>
    <row r="110" spans="1:13" ht="12" customHeight="1">
      <c r="A110" s="455" t="s">
        <v>81</v>
      </c>
      <c r="C110" s="784">
        <f t="shared" si="5"/>
        <v>53.05</v>
      </c>
      <c r="D110" s="454">
        <f t="shared" si="5"/>
        <v>100</v>
      </c>
      <c r="F110" s="784">
        <f>24/30+38.5</f>
        <v>39.299999999999997</v>
      </c>
      <c r="G110" s="784">
        <f t="shared" si="7"/>
        <v>74.081055607917051</v>
      </c>
      <c r="I110" s="784">
        <v>0</v>
      </c>
      <c r="J110" s="784">
        <f t="shared" si="6"/>
        <v>0</v>
      </c>
      <c r="L110" s="784">
        <v>13.75</v>
      </c>
      <c r="M110" s="784">
        <f t="shared" si="4"/>
        <v>25.918944392082942</v>
      </c>
    </row>
    <row r="111" spans="1:13" ht="12" customHeight="1">
      <c r="A111" s="455" t="s">
        <v>82</v>
      </c>
      <c r="C111" s="784">
        <f t="shared" si="5"/>
        <v>15.25</v>
      </c>
      <c r="D111" s="454">
        <f t="shared" si="5"/>
        <v>100</v>
      </c>
      <c r="F111" s="784">
        <v>11.25</v>
      </c>
      <c r="G111" s="784">
        <f t="shared" si="7"/>
        <v>73.770491803278688</v>
      </c>
      <c r="I111" s="784">
        <v>0</v>
      </c>
      <c r="J111" s="784">
        <f t="shared" si="6"/>
        <v>0</v>
      </c>
      <c r="L111" s="784">
        <v>4</v>
      </c>
      <c r="M111" s="784">
        <f t="shared" si="4"/>
        <v>26.229508196721312</v>
      </c>
    </row>
    <row r="112" spans="1:13" ht="12" customHeight="1">
      <c r="A112" s="455" t="s">
        <v>83</v>
      </c>
      <c r="C112" s="784">
        <f>IF($A112&lt;&gt;0,F112+I112+L112,"")</f>
        <v>46.616666666666667</v>
      </c>
      <c r="D112" s="454">
        <f>IF($A112&lt;&gt;0,G112+J112+M112,"")</f>
        <v>99.999999999999986</v>
      </c>
      <c r="F112" s="784">
        <f>26/30+34.75</f>
        <v>35.616666666666667</v>
      </c>
      <c r="G112" s="784">
        <f>IF($A112&lt;&gt;0,F112/$C112*100,"")</f>
        <v>76.403289238469782</v>
      </c>
      <c r="I112" s="784">
        <v>2</v>
      </c>
      <c r="J112" s="784">
        <f>IF($A112&lt;&gt;0,I112/$C112*100,"")</f>
        <v>4.2903110475509472</v>
      </c>
      <c r="L112" s="784">
        <v>9</v>
      </c>
      <c r="M112" s="784">
        <f>IF($A112&lt;&gt;0,L112/$C112*100,"")</f>
        <v>19.306399713979264</v>
      </c>
    </row>
    <row r="113" spans="1:13" ht="12" customHeight="1">
      <c r="A113" s="455" t="s">
        <v>84</v>
      </c>
      <c r="C113" s="784">
        <f t="shared" si="5"/>
        <v>18.100000000000001</v>
      </c>
      <c r="D113" s="454">
        <f t="shared" si="5"/>
        <v>99.999999999999986</v>
      </c>
      <c r="F113" s="784">
        <f>65/30+43/30+11.5</f>
        <v>15.1</v>
      </c>
      <c r="G113" s="784">
        <f t="shared" si="7"/>
        <v>83.425414364640872</v>
      </c>
      <c r="I113" s="784">
        <v>1</v>
      </c>
      <c r="J113" s="784">
        <f t="shared" si="6"/>
        <v>5.5248618784530388</v>
      </c>
      <c r="L113" s="784">
        <v>2</v>
      </c>
      <c r="M113" s="784">
        <f t="shared" si="4"/>
        <v>11.049723756906078</v>
      </c>
    </row>
    <row r="114" spans="1:13" ht="12" customHeight="1">
      <c r="C114" s="784" t="str">
        <f t="shared" si="5"/>
        <v/>
      </c>
      <c r="D114" s="454" t="str">
        <f t="shared" si="5"/>
        <v/>
      </c>
      <c r="L114" s="784" t="s">
        <v>11</v>
      </c>
      <c r="M114" s="784" t="str">
        <f t="shared" si="4"/>
        <v/>
      </c>
    </row>
    <row r="115" spans="1:13" ht="12" customHeight="1">
      <c r="A115" s="455" t="s">
        <v>85</v>
      </c>
      <c r="C115" s="784">
        <f t="shared" si="5"/>
        <v>127.58333333333333</v>
      </c>
      <c r="D115" s="454">
        <f t="shared" si="5"/>
        <v>100</v>
      </c>
      <c r="F115" s="784">
        <f>115/30+108.25</f>
        <v>112.08333333333333</v>
      </c>
      <c r="G115" s="784">
        <f t="shared" si="7"/>
        <v>87.851077726975831</v>
      </c>
      <c r="I115" s="784">
        <v>0</v>
      </c>
      <c r="J115" s="784">
        <f t="shared" si="6"/>
        <v>0</v>
      </c>
      <c r="L115" s="784">
        <v>15.5</v>
      </c>
      <c r="M115" s="784">
        <f t="shared" si="4"/>
        <v>12.148922273024167</v>
      </c>
    </row>
    <row r="116" spans="1:13" ht="12" customHeight="1">
      <c r="C116" s="784" t="str">
        <f t="shared" si="5"/>
        <v/>
      </c>
      <c r="D116" s="454" t="str">
        <f t="shared" si="5"/>
        <v/>
      </c>
      <c r="G116" s="784" t="str">
        <f t="shared" si="7"/>
        <v/>
      </c>
      <c r="J116" s="784" t="str">
        <f t="shared" si="6"/>
        <v/>
      </c>
      <c r="L116" s="784" t="s">
        <v>11</v>
      </c>
      <c r="M116" s="784" t="str">
        <f t="shared" si="4"/>
        <v/>
      </c>
    </row>
    <row r="117" spans="1:13" ht="12" customHeight="1">
      <c r="A117" s="9" t="s">
        <v>86</v>
      </c>
      <c r="C117" s="784">
        <f t="shared" si="5"/>
        <v>1000.322</v>
      </c>
      <c r="D117" s="454">
        <f t="shared" si="5"/>
        <v>100</v>
      </c>
      <c r="F117" s="784">
        <f>F119+F136+F185</f>
        <v>339.56700000000001</v>
      </c>
      <c r="G117" s="784">
        <f t="shared" si="7"/>
        <v>33.945769462233159</v>
      </c>
      <c r="I117" s="784">
        <f>I119+I136+I185</f>
        <v>334.505</v>
      </c>
      <c r="J117" s="784">
        <f t="shared" si="6"/>
        <v>33.439732406165213</v>
      </c>
      <c r="L117" s="784">
        <f>L119+L136+L185</f>
        <v>326.25</v>
      </c>
      <c r="M117" s="784">
        <f t="shared" si="4"/>
        <v>32.614498131601628</v>
      </c>
    </row>
    <row r="118" spans="1:13" ht="12" customHeight="1">
      <c r="C118" s="784" t="str">
        <f t="shared" si="5"/>
        <v/>
      </c>
      <c r="D118" s="454" t="str">
        <f t="shared" si="5"/>
        <v/>
      </c>
      <c r="G118" s="784" t="str">
        <f t="shared" si="7"/>
        <v/>
      </c>
      <c r="J118" s="784" t="str">
        <f t="shared" si="6"/>
        <v/>
      </c>
      <c r="L118" s="784" t="s">
        <v>11</v>
      </c>
      <c r="M118" s="784" t="str">
        <f t="shared" si="4"/>
        <v/>
      </c>
    </row>
    <row r="119" spans="1:13" ht="12" customHeight="1">
      <c r="A119" s="455" t="s">
        <v>87</v>
      </c>
      <c r="C119" s="784">
        <f t="shared" si="5"/>
        <v>442.02499999999998</v>
      </c>
      <c r="D119" s="454">
        <f t="shared" si="5"/>
        <v>100</v>
      </c>
      <c r="F119" s="784">
        <f>SUM(F121:F134)</f>
        <v>89.4</v>
      </c>
      <c r="G119" s="784">
        <f t="shared" si="7"/>
        <v>20.225100390249423</v>
      </c>
      <c r="I119" s="784">
        <f>SUM(I121:I134)</f>
        <v>205.625</v>
      </c>
      <c r="J119" s="784">
        <f t="shared" si="6"/>
        <v>46.518862055313612</v>
      </c>
      <c r="L119" s="784">
        <f>SUM(L121:L134)</f>
        <v>147</v>
      </c>
      <c r="M119" s="784">
        <f t="shared" si="4"/>
        <v>33.256037554436965</v>
      </c>
    </row>
    <row r="120" spans="1:13" ht="12" customHeight="1">
      <c r="C120" s="784" t="str">
        <f t="shared" si="5"/>
        <v/>
      </c>
      <c r="D120" s="454" t="str">
        <f t="shared" si="5"/>
        <v/>
      </c>
      <c r="G120" s="784" t="str">
        <f t="shared" si="7"/>
        <v/>
      </c>
      <c r="J120" s="784" t="str">
        <f t="shared" si="6"/>
        <v/>
      </c>
      <c r="L120" s="784" t="s">
        <v>11</v>
      </c>
      <c r="M120" s="784" t="str">
        <f t="shared" si="4"/>
        <v/>
      </c>
    </row>
    <row r="121" spans="1:13" ht="12" customHeight="1">
      <c r="A121" s="455" t="s">
        <v>88</v>
      </c>
      <c r="C121" s="784">
        <f t="shared" si="5"/>
        <v>62.875</v>
      </c>
      <c r="D121" s="454">
        <f t="shared" si="5"/>
        <v>100.00000000000001</v>
      </c>
      <c r="F121" s="784">
        <v>54.875</v>
      </c>
      <c r="G121" s="784">
        <f t="shared" si="7"/>
        <v>87.276341948310147</v>
      </c>
      <c r="I121" s="784">
        <v>7</v>
      </c>
      <c r="J121" s="784">
        <f t="shared" si="6"/>
        <v>11.133200795228628</v>
      </c>
      <c r="L121" s="784">
        <v>1</v>
      </c>
      <c r="M121" s="784">
        <f t="shared" si="4"/>
        <v>1.5904572564612325</v>
      </c>
    </row>
    <row r="122" spans="1:13" ht="12" customHeight="1">
      <c r="A122" s="455" t="s">
        <v>89</v>
      </c>
      <c r="C122" s="784">
        <f t="shared" si="5"/>
        <v>63.75</v>
      </c>
      <c r="D122" s="454">
        <f t="shared" si="5"/>
        <v>100</v>
      </c>
      <c r="F122" s="784">
        <v>1</v>
      </c>
      <c r="G122" s="784">
        <f t="shared" si="7"/>
        <v>1.5686274509803921</v>
      </c>
      <c r="I122" s="784">
        <v>3</v>
      </c>
      <c r="J122" s="784">
        <f t="shared" si="6"/>
        <v>4.7058823529411766</v>
      </c>
      <c r="L122" s="784">
        <v>59.75</v>
      </c>
      <c r="M122" s="784">
        <f t="shared" si="4"/>
        <v>93.725490196078425</v>
      </c>
    </row>
    <row r="123" spans="1:13" ht="12" customHeight="1">
      <c r="A123" s="455" t="s">
        <v>90</v>
      </c>
      <c r="C123" s="784">
        <f t="shared" si="5"/>
        <v>162.625</v>
      </c>
      <c r="D123" s="454">
        <f t="shared" si="5"/>
        <v>100</v>
      </c>
      <c r="F123" s="784">
        <v>0</v>
      </c>
      <c r="G123" s="784">
        <f t="shared" si="7"/>
        <v>0</v>
      </c>
      <c r="I123" s="784">
        <v>131.625</v>
      </c>
      <c r="J123" s="784">
        <f t="shared" si="6"/>
        <v>80.937740199846274</v>
      </c>
      <c r="L123" s="784">
        <v>31</v>
      </c>
      <c r="M123" s="784">
        <f t="shared" si="4"/>
        <v>19.062259800153729</v>
      </c>
    </row>
    <row r="124" spans="1:13" ht="12" customHeight="1">
      <c r="A124" s="19" t="s">
        <v>91</v>
      </c>
      <c r="C124" s="784">
        <f t="shared" si="5"/>
        <v>23.25</v>
      </c>
      <c r="D124" s="454">
        <f t="shared" si="5"/>
        <v>100</v>
      </c>
      <c r="F124" s="784">
        <v>4.25</v>
      </c>
      <c r="G124" s="784">
        <f t="shared" si="7"/>
        <v>18.27956989247312</v>
      </c>
      <c r="I124" s="784">
        <v>9</v>
      </c>
      <c r="J124" s="784">
        <f t="shared" si="6"/>
        <v>38.70967741935484</v>
      </c>
      <c r="L124" s="784">
        <v>10</v>
      </c>
      <c r="M124" s="784">
        <f t="shared" si="4"/>
        <v>43.01075268817204</v>
      </c>
    </row>
    <row r="125" spans="1:13" ht="12" customHeight="1">
      <c r="A125" s="19" t="s">
        <v>92</v>
      </c>
      <c r="C125" s="784">
        <f t="shared" si="5"/>
        <v>76.525000000000006</v>
      </c>
      <c r="D125" s="454">
        <f t="shared" si="5"/>
        <v>99.999999999999986</v>
      </c>
      <c r="F125" s="784">
        <v>18.274999999999999</v>
      </c>
      <c r="G125" s="784">
        <f t="shared" si="7"/>
        <v>23.881084612871607</v>
      </c>
      <c r="I125" s="784">
        <v>32.25</v>
      </c>
      <c r="J125" s="784">
        <f t="shared" si="6"/>
        <v>42.143090493302836</v>
      </c>
      <c r="L125" s="784">
        <v>26</v>
      </c>
      <c r="M125" s="784">
        <f t="shared" si="4"/>
        <v>33.975824893825546</v>
      </c>
    </row>
    <row r="126" spans="1:13" ht="12" customHeight="1">
      <c r="A126" s="19" t="s">
        <v>93</v>
      </c>
      <c r="C126" s="784">
        <f t="shared" si="5"/>
        <v>23</v>
      </c>
      <c r="D126" s="454">
        <f t="shared" si="5"/>
        <v>100</v>
      </c>
      <c r="F126" s="784">
        <v>4</v>
      </c>
      <c r="G126" s="784">
        <f t="shared" si="7"/>
        <v>17.391304347826086</v>
      </c>
      <c r="I126" s="784">
        <v>13</v>
      </c>
      <c r="J126" s="784">
        <f t="shared" si="6"/>
        <v>56.521739130434781</v>
      </c>
      <c r="L126" s="784">
        <v>6</v>
      </c>
      <c r="M126" s="784">
        <f t="shared" si="4"/>
        <v>26.086956521739129</v>
      </c>
    </row>
    <row r="127" spans="1:13" ht="12" customHeight="1">
      <c r="A127" s="19" t="s">
        <v>94</v>
      </c>
      <c r="C127" s="784">
        <f t="shared" si="5"/>
        <v>10</v>
      </c>
      <c r="D127" s="454">
        <f t="shared" si="5"/>
        <v>100</v>
      </c>
      <c r="F127" s="784">
        <v>2</v>
      </c>
      <c r="G127" s="784">
        <f>IF($A127&lt;&gt;0,F127/$C127*100,"")</f>
        <v>20</v>
      </c>
      <c r="I127" s="784">
        <v>6</v>
      </c>
      <c r="J127" s="784">
        <f>IF($A127&lt;&gt;0,I127/$C127*100,"")</f>
        <v>60</v>
      </c>
      <c r="L127" s="784">
        <v>2</v>
      </c>
      <c r="M127" s="784">
        <f t="shared" si="4"/>
        <v>20</v>
      </c>
    </row>
    <row r="128" spans="1:13" ht="12" customHeight="1">
      <c r="A128" s="19" t="s">
        <v>95</v>
      </c>
      <c r="C128" s="784">
        <f t="shared" si="5"/>
        <v>1</v>
      </c>
      <c r="D128" s="454">
        <f t="shared" si="5"/>
        <v>100</v>
      </c>
      <c r="F128" s="784">
        <v>0</v>
      </c>
      <c r="G128" s="784">
        <f>IF($A128&lt;&gt;0,F128/$C128*100,"")</f>
        <v>0</v>
      </c>
      <c r="I128" s="784">
        <v>0</v>
      </c>
      <c r="J128" s="784">
        <f>IF($A128&lt;&gt;0,I128/$C128*100,"")</f>
        <v>0</v>
      </c>
      <c r="L128" s="784">
        <v>1</v>
      </c>
      <c r="M128" s="784">
        <f t="shared" si="4"/>
        <v>100</v>
      </c>
    </row>
    <row r="129" spans="1:13" ht="12" customHeight="1">
      <c r="A129" s="19" t="s">
        <v>96</v>
      </c>
      <c r="C129" s="784">
        <f t="shared" si="5"/>
        <v>5.5</v>
      </c>
      <c r="D129" s="454">
        <f t="shared" si="5"/>
        <v>100</v>
      </c>
      <c r="F129" s="784">
        <v>1.5</v>
      </c>
      <c r="G129" s="784">
        <f>IF($A129&lt;&gt;0,F129/$C129*100,"")</f>
        <v>27.27272727272727</v>
      </c>
      <c r="I129" s="784">
        <v>2</v>
      </c>
      <c r="J129" s="784">
        <f>IF($A129&lt;&gt;0,I129/$C129*100,"")</f>
        <v>36.363636363636367</v>
      </c>
      <c r="L129" s="784">
        <v>2</v>
      </c>
      <c r="M129" s="784">
        <f t="shared" si="4"/>
        <v>36.363636363636367</v>
      </c>
    </row>
    <row r="130" spans="1:13" ht="12" customHeight="1">
      <c r="A130" s="19" t="s">
        <v>97</v>
      </c>
      <c r="C130" s="784">
        <f t="shared" si="5"/>
        <v>2</v>
      </c>
      <c r="D130" s="454">
        <f t="shared" si="5"/>
        <v>100</v>
      </c>
      <c r="F130" s="784">
        <v>1</v>
      </c>
      <c r="G130" s="784">
        <f t="shared" si="7"/>
        <v>50</v>
      </c>
      <c r="I130" s="784">
        <v>0</v>
      </c>
      <c r="J130" s="784">
        <f t="shared" si="6"/>
        <v>0</v>
      </c>
      <c r="L130" s="784">
        <v>1</v>
      </c>
      <c r="M130" s="784">
        <f t="shared" si="4"/>
        <v>50</v>
      </c>
    </row>
    <row r="131" spans="1:13" ht="12" customHeight="1">
      <c r="A131" s="19" t="s">
        <v>98</v>
      </c>
      <c r="C131" s="784">
        <f t="shared" si="5"/>
        <v>1.5</v>
      </c>
      <c r="D131" s="454">
        <f t="shared" si="5"/>
        <v>99.999999999999986</v>
      </c>
      <c r="F131" s="784">
        <v>0.5</v>
      </c>
      <c r="G131" s="784">
        <f t="shared" si="7"/>
        <v>33.333333333333329</v>
      </c>
      <c r="I131" s="784">
        <v>0</v>
      </c>
      <c r="J131" s="784">
        <f t="shared" si="6"/>
        <v>0</v>
      </c>
      <c r="L131" s="784">
        <v>1</v>
      </c>
      <c r="M131" s="784">
        <f t="shared" si="4"/>
        <v>66.666666666666657</v>
      </c>
    </row>
    <row r="132" spans="1:13" ht="12" customHeight="1">
      <c r="A132" s="19" t="s">
        <v>99</v>
      </c>
      <c r="C132" s="784">
        <f t="shared" si="5"/>
        <v>6</v>
      </c>
      <c r="D132" s="454">
        <f t="shared" si="5"/>
        <v>99.999999999999986</v>
      </c>
      <c r="F132" s="784">
        <v>0.5</v>
      </c>
      <c r="G132" s="784">
        <f t="shared" si="7"/>
        <v>8.3333333333333321</v>
      </c>
      <c r="I132" s="784">
        <v>0</v>
      </c>
      <c r="J132" s="784">
        <f t="shared" si="6"/>
        <v>0</v>
      </c>
      <c r="L132" s="784">
        <v>5.5</v>
      </c>
      <c r="M132" s="784">
        <f t="shared" si="4"/>
        <v>91.666666666666657</v>
      </c>
    </row>
    <row r="133" spans="1:13" ht="12" customHeight="1">
      <c r="A133" s="19" t="s">
        <v>100</v>
      </c>
      <c r="C133" s="784">
        <f>IF($A133&lt;&gt;0,F133+I133+L133,"")</f>
        <v>3</v>
      </c>
      <c r="D133" s="454">
        <f>IF($A133&lt;&gt;0,G133+J133+M133,"")</f>
        <v>100</v>
      </c>
      <c r="F133" s="784">
        <v>0.5</v>
      </c>
      <c r="G133" s="784">
        <f>IF($A133&lt;&gt;0,F133/$C133*100,"")</f>
        <v>16.666666666666664</v>
      </c>
      <c r="I133" s="784">
        <v>1.75</v>
      </c>
      <c r="J133" s="784">
        <f>IF($A133&lt;&gt;0,I133/$C133*100,"")</f>
        <v>58.333333333333336</v>
      </c>
      <c r="L133" s="784">
        <v>0.75</v>
      </c>
      <c r="M133" s="784">
        <f t="shared" si="4"/>
        <v>25</v>
      </c>
    </row>
    <row r="134" spans="1:13" ht="12" customHeight="1">
      <c r="A134" s="19" t="s">
        <v>101</v>
      </c>
      <c r="C134" s="784">
        <f>IF($A134&lt;&gt;0,F134+I134+L134,"")</f>
        <v>1</v>
      </c>
      <c r="D134" s="454">
        <f>IF($A134&lt;&gt;0,G134+J134+M134,"")</f>
        <v>100</v>
      </c>
      <c r="F134" s="784">
        <v>1</v>
      </c>
      <c r="G134" s="784">
        <f t="shared" si="7"/>
        <v>100</v>
      </c>
      <c r="I134" s="784">
        <v>0</v>
      </c>
      <c r="J134" s="784">
        <f t="shared" si="6"/>
        <v>0</v>
      </c>
      <c r="L134" s="784">
        <v>0</v>
      </c>
      <c r="M134" s="784">
        <f t="shared" si="4"/>
        <v>0</v>
      </c>
    </row>
    <row r="135" spans="1:13" ht="12" customHeight="1">
      <c r="A135" s="19"/>
      <c r="C135" s="784" t="str">
        <f t="shared" si="5"/>
        <v/>
      </c>
      <c r="D135" s="454" t="str">
        <f t="shared" si="5"/>
        <v/>
      </c>
      <c r="G135" s="784" t="str">
        <f t="shared" si="7"/>
        <v/>
      </c>
      <c r="J135" s="784" t="str">
        <f t="shared" si="6"/>
        <v/>
      </c>
      <c r="L135" s="784" t="s">
        <v>11</v>
      </c>
      <c r="M135" s="784" t="str">
        <f t="shared" si="4"/>
        <v/>
      </c>
    </row>
    <row r="136" spans="1:13" ht="12" customHeight="1">
      <c r="A136" s="455" t="s">
        <v>102</v>
      </c>
      <c r="C136" s="784">
        <f t="shared" si="5"/>
        <v>458.92200000000003</v>
      </c>
      <c r="D136" s="454">
        <f t="shared" si="5"/>
        <v>100</v>
      </c>
      <c r="F136" s="784">
        <f>SUM(F138:F183)</f>
        <v>187.292</v>
      </c>
      <c r="G136" s="784">
        <f t="shared" si="7"/>
        <v>40.811292550803842</v>
      </c>
      <c r="I136" s="784">
        <f>SUM(I138:I183)</f>
        <v>128.38</v>
      </c>
      <c r="J136" s="784">
        <f t="shared" si="6"/>
        <v>27.974252705252745</v>
      </c>
      <c r="L136" s="784">
        <f>SUM(L138:L183)</f>
        <v>143.25</v>
      </c>
      <c r="M136" s="784">
        <f t="shared" si="4"/>
        <v>31.214454743943413</v>
      </c>
    </row>
    <row r="137" spans="1:13" ht="12" customHeight="1">
      <c r="A137" s="19"/>
      <c r="D137" s="454" t="str">
        <f t="shared" si="5"/>
        <v/>
      </c>
      <c r="G137" s="784" t="str">
        <f t="shared" si="7"/>
        <v/>
      </c>
      <c r="J137" s="784" t="str">
        <f t="shared" si="6"/>
        <v/>
      </c>
      <c r="L137" s="784" t="s">
        <v>11</v>
      </c>
      <c r="M137" s="784" t="str">
        <f t="shared" si="4"/>
        <v/>
      </c>
    </row>
    <row r="138" spans="1:13" ht="12" customHeight="1">
      <c r="A138" s="19" t="s">
        <v>103</v>
      </c>
      <c r="C138" s="784">
        <f t="shared" si="5"/>
        <v>24</v>
      </c>
      <c r="D138" s="454">
        <f t="shared" si="5"/>
        <v>100</v>
      </c>
      <c r="F138" s="784">
        <v>12</v>
      </c>
      <c r="G138" s="784">
        <f t="shared" si="7"/>
        <v>50</v>
      </c>
      <c r="I138" s="784">
        <v>6.5</v>
      </c>
      <c r="J138" s="784">
        <f t="shared" si="6"/>
        <v>27.083333333333332</v>
      </c>
      <c r="L138" s="784">
        <v>5.5</v>
      </c>
      <c r="M138" s="784">
        <f t="shared" si="4"/>
        <v>22.916666666666664</v>
      </c>
    </row>
    <row r="139" spans="1:13" ht="12" customHeight="1">
      <c r="A139" s="19" t="s">
        <v>104</v>
      </c>
      <c r="C139" s="784">
        <f t="shared" si="5"/>
        <v>9.25</v>
      </c>
      <c r="D139" s="454">
        <f t="shared" si="5"/>
        <v>100</v>
      </c>
      <c r="F139" s="784">
        <v>3.25</v>
      </c>
      <c r="G139" s="784">
        <f t="shared" si="7"/>
        <v>35.135135135135137</v>
      </c>
      <c r="I139" s="784">
        <v>2</v>
      </c>
      <c r="J139" s="784">
        <f t="shared" si="6"/>
        <v>21.621621621621621</v>
      </c>
      <c r="L139" s="784">
        <v>4</v>
      </c>
      <c r="M139" s="784">
        <f t="shared" si="4"/>
        <v>43.243243243243242</v>
      </c>
    </row>
    <row r="140" spans="1:13" ht="12" customHeight="1">
      <c r="A140" s="19" t="s">
        <v>105</v>
      </c>
      <c r="C140" s="784">
        <f t="shared" si="5"/>
        <v>4</v>
      </c>
      <c r="D140" s="454">
        <f t="shared" si="5"/>
        <v>100</v>
      </c>
      <c r="F140" s="784">
        <v>2</v>
      </c>
      <c r="G140" s="784">
        <f t="shared" si="7"/>
        <v>50</v>
      </c>
      <c r="I140" s="784">
        <v>1</v>
      </c>
      <c r="J140" s="784">
        <f t="shared" si="6"/>
        <v>25</v>
      </c>
      <c r="L140" s="784">
        <v>1</v>
      </c>
      <c r="M140" s="784">
        <f t="shared" si="4"/>
        <v>25</v>
      </c>
    </row>
    <row r="141" spans="1:13" ht="12" customHeight="1">
      <c r="A141" s="19" t="s">
        <v>106</v>
      </c>
      <c r="C141" s="784">
        <f t="shared" si="5"/>
        <v>7.5</v>
      </c>
      <c r="D141" s="454">
        <f t="shared" si="5"/>
        <v>99.999999999999986</v>
      </c>
      <c r="F141" s="784">
        <v>1.5</v>
      </c>
      <c r="G141" s="784">
        <f t="shared" si="7"/>
        <v>20</v>
      </c>
      <c r="I141" s="784">
        <v>5</v>
      </c>
      <c r="J141" s="784">
        <f t="shared" si="6"/>
        <v>66.666666666666657</v>
      </c>
      <c r="L141" s="784">
        <v>1</v>
      </c>
      <c r="M141" s="784">
        <f t="shared" si="4"/>
        <v>13.333333333333334</v>
      </c>
    </row>
    <row r="142" spans="1:13" ht="12" customHeight="1">
      <c r="A142" s="19" t="s">
        <v>107</v>
      </c>
      <c r="C142" s="784">
        <f t="shared" si="5"/>
        <v>6.5</v>
      </c>
      <c r="D142" s="454">
        <f t="shared" si="5"/>
        <v>100</v>
      </c>
      <c r="F142" s="784">
        <v>2.5</v>
      </c>
      <c r="G142" s="784">
        <f t="shared" si="7"/>
        <v>38.461538461538467</v>
      </c>
      <c r="I142" s="784">
        <v>3</v>
      </c>
      <c r="J142" s="784">
        <f t="shared" si="6"/>
        <v>46.153846153846153</v>
      </c>
      <c r="L142" s="784">
        <v>1</v>
      </c>
      <c r="M142" s="784">
        <f t="shared" si="4"/>
        <v>15.384615384615385</v>
      </c>
    </row>
    <row r="143" spans="1:13" ht="12" customHeight="1">
      <c r="A143" s="19" t="s">
        <v>108</v>
      </c>
      <c r="C143" s="784">
        <f t="shared" si="5"/>
        <v>7</v>
      </c>
      <c r="D143" s="454">
        <f t="shared" si="5"/>
        <v>99.999999999999986</v>
      </c>
      <c r="F143" s="784">
        <v>1</v>
      </c>
      <c r="G143" s="784">
        <f t="shared" si="7"/>
        <v>14.285714285714285</v>
      </c>
      <c r="I143" s="784">
        <v>4</v>
      </c>
      <c r="J143" s="784">
        <f t="shared" si="6"/>
        <v>57.142857142857139</v>
      </c>
      <c r="L143" s="784">
        <v>2</v>
      </c>
      <c r="M143" s="784">
        <f t="shared" si="4"/>
        <v>28.571428571428569</v>
      </c>
    </row>
    <row r="144" spans="1:13" ht="12" customHeight="1">
      <c r="A144" s="19" t="s">
        <v>109</v>
      </c>
      <c r="C144" s="784">
        <f t="shared" si="5"/>
        <v>3</v>
      </c>
      <c r="D144" s="454">
        <f t="shared" si="5"/>
        <v>99.999999999999986</v>
      </c>
      <c r="F144" s="784">
        <v>1</v>
      </c>
      <c r="G144" s="784">
        <f t="shared" si="7"/>
        <v>33.333333333333329</v>
      </c>
      <c r="I144" s="784">
        <v>0</v>
      </c>
      <c r="J144" s="784">
        <f t="shared" si="6"/>
        <v>0</v>
      </c>
      <c r="L144" s="784">
        <v>2</v>
      </c>
      <c r="M144" s="784">
        <f t="shared" si="4"/>
        <v>66.666666666666657</v>
      </c>
    </row>
    <row r="145" spans="1:13" ht="12" customHeight="1">
      <c r="A145" s="19" t="s">
        <v>110</v>
      </c>
      <c r="C145" s="784">
        <f t="shared" si="5"/>
        <v>9.5</v>
      </c>
      <c r="D145" s="454">
        <f t="shared" si="5"/>
        <v>100</v>
      </c>
      <c r="F145" s="784">
        <v>4.5</v>
      </c>
      <c r="G145" s="784">
        <f t="shared" si="7"/>
        <v>47.368421052631575</v>
      </c>
      <c r="I145" s="784">
        <v>2</v>
      </c>
      <c r="J145" s="784">
        <f t="shared" si="6"/>
        <v>21.052631578947366</v>
      </c>
      <c r="L145" s="784">
        <v>3</v>
      </c>
      <c r="M145" s="784">
        <f t="shared" si="4"/>
        <v>31.578947368421051</v>
      </c>
    </row>
    <row r="146" spans="1:13" ht="12" customHeight="1">
      <c r="A146" s="19" t="s">
        <v>111</v>
      </c>
      <c r="C146" s="784">
        <f t="shared" si="5"/>
        <v>21.5</v>
      </c>
      <c r="D146" s="454">
        <f t="shared" si="5"/>
        <v>100</v>
      </c>
      <c r="F146" s="784">
        <v>9</v>
      </c>
      <c r="G146" s="784">
        <f t="shared" si="7"/>
        <v>41.860465116279073</v>
      </c>
      <c r="I146" s="784">
        <v>7.5</v>
      </c>
      <c r="J146" s="784">
        <f t="shared" si="6"/>
        <v>34.883720930232556</v>
      </c>
      <c r="L146" s="784">
        <v>5</v>
      </c>
      <c r="M146" s="784">
        <f t="shared" si="4"/>
        <v>23.255813953488371</v>
      </c>
    </row>
    <row r="147" spans="1:13" ht="12" customHeight="1">
      <c r="A147" s="19" t="s">
        <v>112</v>
      </c>
      <c r="C147" s="784">
        <f t="shared" si="5"/>
        <v>23.75</v>
      </c>
      <c r="D147" s="454">
        <f t="shared" si="5"/>
        <v>100</v>
      </c>
      <c r="F147" s="784">
        <v>9.25</v>
      </c>
      <c r="G147" s="784">
        <f t="shared" si="7"/>
        <v>38.94736842105263</v>
      </c>
      <c r="I147" s="784">
        <v>6</v>
      </c>
      <c r="J147" s="784">
        <f t="shared" si="6"/>
        <v>25.263157894736842</v>
      </c>
      <c r="L147" s="784">
        <v>8.5</v>
      </c>
      <c r="M147" s="784">
        <f t="shared" si="4"/>
        <v>35.789473684210527</v>
      </c>
    </row>
    <row r="148" spans="1:13" ht="12" customHeight="1">
      <c r="A148" s="19" t="s">
        <v>113</v>
      </c>
      <c r="C148" s="784">
        <f t="shared" si="5"/>
        <v>23.5</v>
      </c>
      <c r="D148" s="454">
        <f t="shared" si="5"/>
        <v>100</v>
      </c>
      <c r="F148" s="784">
        <v>10</v>
      </c>
      <c r="G148" s="784">
        <f t="shared" si="7"/>
        <v>42.553191489361701</v>
      </c>
      <c r="I148" s="784">
        <v>8</v>
      </c>
      <c r="J148" s="784">
        <f t="shared" si="6"/>
        <v>34.042553191489361</v>
      </c>
      <c r="L148" s="784">
        <v>5.5</v>
      </c>
      <c r="M148" s="784">
        <f t="shared" si="4"/>
        <v>23.404255319148938</v>
      </c>
    </row>
    <row r="149" spans="1:13" ht="12" customHeight="1">
      <c r="A149" s="19" t="s">
        <v>114</v>
      </c>
      <c r="C149" s="784">
        <f t="shared" si="5"/>
        <v>35.5</v>
      </c>
      <c r="D149" s="454">
        <f t="shared" si="5"/>
        <v>100</v>
      </c>
      <c r="F149" s="784">
        <v>14.5</v>
      </c>
      <c r="G149" s="784">
        <f t="shared" si="7"/>
        <v>40.845070422535215</v>
      </c>
      <c r="I149" s="784">
        <v>12.5</v>
      </c>
      <c r="J149" s="784">
        <f t="shared" si="6"/>
        <v>35.2112676056338</v>
      </c>
      <c r="L149" s="784">
        <v>8.5</v>
      </c>
      <c r="M149" s="784">
        <f t="shared" si="4"/>
        <v>23.943661971830984</v>
      </c>
    </row>
    <row r="150" spans="1:13" ht="12" customHeight="1">
      <c r="A150" s="19" t="s">
        <v>115</v>
      </c>
      <c r="C150" s="784">
        <f t="shared" si="5"/>
        <v>19.75</v>
      </c>
      <c r="D150" s="454">
        <f t="shared" si="5"/>
        <v>100</v>
      </c>
      <c r="F150" s="784">
        <v>5.75</v>
      </c>
      <c r="G150" s="784">
        <f t="shared" si="7"/>
        <v>29.11392405063291</v>
      </c>
      <c r="I150" s="784">
        <v>9</v>
      </c>
      <c r="J150" s="784">
        <f t="shared" si="6"/>
        <v>45.569620253164558</v>
      </c>
      <c r="L150" s="784">
        <v>5</v>
      </c>
      <c r="M150" s="784">
        <f t="shared" si="4"/>
        <v>25.316455696202532</v>
      </c>
    </row>
    <row r="151" spans="1:13" ht="12" customHeight="1">
      <c r="A151" s="19" t="s">
        <v>116</v>
      </c>
      <c r="C151" s="784">
        <f t="shared" si="5"/>
        <v>32.792000000000002</v>
      </c>
      <c r="D151" s="454">
        <f t="shared" si="5"/>
        <v>100</v>
      </c>
      <c r="F151" s="784">
        <v>17.292000000000002</v>
      </c>
      <c r="G151" s="784">
        <f t="shared" si="7"/>
        <v>52.73237374969505</v>
      </c>
      <c r="I151" s="784">
        <v>4</v>
      </c>
      <c r="J151" s="784">
        <f t="shared" si="6"/>
        <v>12.198097096852891</v>
      </c>
      <c r="L151" s="784">
        <v>11.5</v>
      </c>
      <c r="M151" s="784">
        <f t="shared" si="4"/>
        <v>35.069529153452059</v>
      </c>
    </row>
    <row r="152" spans="1:13" ht="12" customHeight="1">
      <c r="A152" s="19" t="s">
        <v>117</v>
      </c>
      <c r="C152" s="784">
        <f t="shared" si="5"/>
        <v>20.25</v>
      </c>
      <c r="D152" s="454">
        <f t="shared" si="5"/>
        <v>100</v>
      </c>
      <c r="F152" s="784">
        <v>8.25</v>
      </c>
      <c r="G152" s="784">
        <f t="shared" si="7"/>
        <v>40.74074074074074</v>
      </c>
      <c r="I152" s="784">
        <v>6.75</v>
      </c>
      <c r="J152" s="784">
        <f t="shared" si="6"/>
        <v>33.333333333333329</v>
      </c>
      <c r="L152" s="784">
        <v>5.25</v>
      </c>
      <c r="M152" s="784">
        <f t="shared" si="4"/>
        <v>25.925925925925924</v>
      </c>
    </row>
    <row r="153" spans="1:13" ht="12" customHeight="1">
      <c r="A153" s="19" t="s">
        <v>118</v>
      </c>
      <c r="C153" s="784">
        <f t="shared" si="5"/>
        <v>22.88</v>
      </c>
      <c r="D153" s="454">
        <f t="shared" si="5"/>
        <v>100</v>
      </c>
      <c r="F153" s="784">
        <v>12.25</v>
      </c>
      <c r="G153" s="784">
        <f t="shared" si="7"/>
        <v>53.540209790209794</v>
      </c>
      <c r="I153" s="784">
        <v>4.13</v>
      </c>
      <c r="J153" s="784">
        <f t="shared" si="6"/>
        <v>18.050699300699304</v>
      </c>
      <c r="L153" s="784">
        <v>6.5</v>
      </c>
      <c r="M153" s="784">
        <f t="shared" si="4"/>
        <v>28.40909090909091</v>
      </c>
    </row>
    <row r="154" spans="1:13" ht="12" customHeight="1">
      <c r="A154" s="19" t="s">
        <v>119</v>
      </c>
      <c r="C154" s="784">
        <f t="shared" si="5"/>
        <v>39.25</v>
      </c>
      <c r="D154" s="454">
        <f t="shared" si="5"/>
        <v>100.00000000000001</v>
      </c>
      <c r="F154" s="784">
        <v>12</v>
      </c>
      <c r="G154" s="784">
        <f t="shared" si="7"/>
        <v>30.573248407643312</v>
      </c>
      <c r="I154" s="784">
        <v>18.75</v>
      </c>
      <c r="J154" s="784">
        <f t="shared" si="6"/>
        <v>47.770700636942678</v>
      </c>
      <c r="L154" s="784">
        <v>8.5</v>
      </c>
      <c r="M154" s="784">
        <f t="shared" ref="M154:M231" si="8">IF($A154&lt;&gt;0,L154/$C154*100,"")</f>
        <v>21.656050955414013</v>
      </c>
    </row>
    <row r="155" spans="1:13" ht="12" customHeight="1">
      <c r="A155" s="19" t="s">
        <v>120</v>
      </c>
      <c r="C155" s="784">
        <f t="shared" ref="C155:D232" si="9">IF($A155&lt;&gt;0,F155+I155+L155,"")</f>
        <v>29.625</v>
      </c>
      <c r="D155" s="454">
        <f t="shared" si="9"/>
        <v>100</v>
      </c>
      <c r="F155" s="784">
        <v>14.625</v>
      </c>
      <c r="G155" s="784">
        <f t="shared" si="7"/>
        <v>49.367088607594937</v>
      </c>
      <c r="I155" s="784">
        <v>8</v>
      </c>
      <c r="J155" s="784">
        <f t="shared" ref="J155:J233" si="10">IF($A155&lt;&gt;0,I155/$C155*100,"")</f>
        <v>27.004219409282697</v>
      </c>
      <c r="L155" s="784">
        <v>7</v>
      </c>
      <c r="M155" s="784">
        <f t="shared" si="8"/>
        <v>23.628691983122362</v>
      </c>
    </row>
    <row r="156" spans="1:13" ht="12" customHeight="1">
      <c r="A156" s="19" t="s">
        <v>121</v>
      </c>
      <c r="C156" s="784">
        <f t="shared" si="9"/>
        <v>23.5</v>
      </c>
      <c r="D156" s="454">
        <f t="shared" si="9"/>
        <v>100</v>
      </c>
      <c r="F156" s="784">
        <v>9.5</v>
      </c>
      <c r="G156" s="784">
        <f t="shared" ref="G156:G234" si="11">IF($A156&lt;&gt;0,F156/$C156*100,"")</f>
        <v>40.425531914893611</v>
      </c>
      <c r="I156" s="784">
        <v>8</v>
      </c>
      <c r="J156" s="784">
        <f t="shared" si="10"/>
        <v>34.042553191489361</v>
      </c>
      <c r="L156" s="784">
        <v>6</v>
      </c>
      <c r="M156" s="784">
        <f t="shared" si="8"/>
        <v>25.531914893617021</v>
      </c>
    </row>
    <row r="157" spans="1:13" ht="12" customHeight="1">
      <c r="A157" s="19" t="s">
        <v>122</v>
      </c>
      <c r="C157" s="784">
        <f t="shared" si="9"/>
        <v>2.5</v>
      </c>
      <c r="D157" s="454">
        <f t="shared" si="9"/>
        <v>100</v>
      </c>
      <c r="F157" s="784">
        <v>1.5</v>
      </c>
      <c r="G157" s="784">
        <f t="shared" si="11"/>
        <v>60</v>
      </c>
      <c r="I157" s="784">
        <v>1</v>
      </c>
      <c r="J157" s="784">
        <f t="shared" si="10"/>
        <v>40</v>
      </c>
      <c r="L157" s="784">
        <v>0</v>
      </c>
      <c r="M157" s="784">
        <f t="shared" si="8"/>
        <v>0</v>
      </c>
    </row>
    <row r="158" spans="1:13" ht="12" customHeight="1">
      <c r="A158" s="19" t="s">
        <v>123</v>
      </c>
      <c r="C158" s="784">
        <f t="shared" si="9"/>
        <v>3</v>
      </c>
      <c r="D158" s="454">
        <f t="shared" si="9"/>
        <v>99.999999999999986</v>
      </c>
      <c r="F158" s="784">
        <v>1</v>
      </c>
      <c r="G158" s="784">
        <f t="shared" si="11"/>
        <v>33.333333333333329</v>
      </c>
      <c r="I158" s="784">
        <v>1</v>
      </c>
      <c r="J158" s="784">
        <f t="shared" si="10"/>
        <v>33.333333333333329</v>
      </c>
      <c r="L158" s="784">
        <v>1</v>
      </c>
      <c r="M158" s="784">
        <f t="shared" si="8"/>
        <v>33.333333333333329</v>
      </c>
    </row>
    <row r="159" spans="1:13" ht="12" customHeight="1">
      <c r="A159" s="19" t="s">
        <v>124</v>
      </c>
      <c r="C159" s="784">
        <f t="shared" si="9"/>
        <v>1.5</v>
      </c>
      <c r="D159" s="454">
        <f t="shared" si="9"/>
        <v>99.999999999999986</v>
      </c>
      <c r="F159" s="784">
        <v>0.5</v>
      </c>
      <c r="G159" s="784">
        <f t="shared" si="11"/>
        <v>33.333333333333329</v>
      </c>
      <c r="I159" s="784">
        <v>0</v>
      </c>
      <c r="J159" s="784">
        <f t="shared" si="10"/>
        <v>0</v>
      </c>
      <c r="L159" s="784">
        <v>1</v>
      </c>
      <c r="M159" s="784">
        <f t="shared" si="8"/>
        <v>66.666666666666657</v>
      </c>
    </row>
    <row r="160" spans="1:13" ht="12" customHeight="1">
      <c r="A160" s="19" t="s">
        <v>125</v>
      </c>
      <c r="C160" s="784">
        <f t="shared" si="9"/>
        <v>2.5</v>
      </c>
      <c r="D160" s="454">
        <f t="shared" si="9"/>
        <v>100</v>
      </c>
      <c r="F160" s="784">
        <v>1.5</v>
      </c>
      <c r="G160" s="784">
        <f t="shared" si="11"/>
        <v>60</v>
      </c>
      <c r="I160" s="784">
        <v>0</v>
      </c>
      <c r="J160" s="784">
        <f t="shared" si="10"/>
        <v>0</v>
      </c>
      <c r="L160" s="784">
        <v>1</v>
      </c>
      <c r="M160" s="784">
        <f t="shared" si="8"/>
        <v>40</v>
      </c>
    </row>
    <row r="161" spans="1:13" ht="12" customHeight="1">
      <c r="A161" s="19" t="s">
        <v>126</v>
      </c>
      <c r="C161" s="784">
        <f t="shared" si="9"/>
        <v>1.5</v>
      </c>
      <c r="D161" s="454">
        <f t="shared" si="9"/>
        <v>99.999999999999986</v>
      </c>
      <c r="F161" s="784">
        <v>0.5</v>
      </c>
      <c r="G161" s="784">
        <f t="shared" si="11"/>
        <v>33.333333333333329</v>
      </c>
      <c r="I161" s="784">
        <v>0</v>
      </c>
      <c r="J161" s="784">
        <f t="shared" si="10"/>
        <v>0</v>
      </c>
      <c r="L161" s="784">
        <v>1</v>
      </c>
      <c r="M161" s="784">
        <f t="shared" si="8"/>
        <v>66.666666666666657</v>
      </c>
    </row>
    <row r="162" spans="1:13" ht="12" customHeight="1">
      <c r="A162" s="19" t="s">
        <v>127</v>
      </c>
      <c r="C162" s="784">
        <f t="shared" si="9"/>
        <v>1.5</v>
      </c>
      <c r="D162" s="454">
        <f t="shared" si="9"/>
        <v>99.999999999999986</v>
      </c>
      <c r="F162" s="784">
        <v>0.5</v>
      </c>
      <c r="G162" s="784">
        <f t="shared" si="11"/>
        <v>33.333333333333329</v>
      </c>
      <c r="I162" s="784">
        <v>0</v>
      </c>
      <c r="J162" s="784">
        <f t="shared" si="10"/>
        <v>0</v>
      </c>
      <c r="L162" s="784">
        <v>1</v>
      </c>
      <c r="M162" s="784">
        <f t="shared" si="8"/>
        <v>66.666666666666657</v>
      </c>
    </row>
    <row r="163" spans="1:13" ht="12" customHeight="1">
      <c r="A163" s="19" t="s">
        <v>128</v>
      </c>
      <c r="C163" s="784">
        <f t="shared" si="9"/>
        <v>5.75</v>
      </c>
      <c r="D163" s="454">
        <f t="shared" si="9"/>
        <v>100</v>
      </c>
      <c r="F163" s="784">
        <v>1.5</v>
      </c>
      <c r="G163" s="784">
        <f t="shared" si="11"/>
        <v>26.086956521739129</v>
      </c>
      <c r="I163" s="784">
        <v>1.75</v>
      </c>
      <c r="J163" s="784">
        <f t="shared" si="10"/>
        <v>30.434782608695656</v>
      </c>
      <c r="L163" s="784">
        <v>2.5</v>
      </c>
      <c r="M163" s="784">
        <f t="shared" si="8"/>
        <v>43.478260869565219</v>
      </c>
    </row>
    <row r="164" spans="1:13" ht="12" customHeight="1">
      <c r="A164" s="19" t="s">
        <v>129</v>
      </c>
      <c r="C164" s="784">
        <f t="shared" si="9"/>
        <v>2.375</v>
      </c>
      <c r="D164" s="454">
        <f t="shared" si="9"/>
        <v>100</v>
      </c>
      <c r="F164" s="784">
        <v>1.375</v>
      </c>
      <c r="G164" s="784">
        <f t="shared" si="11"/>
        <v>57.894736842105267</v>
      </c>
      <c r="I164" s="784">
        <v>0</v>
      </c>
      <c r="J164" s="784">
        <f t="shared" si="10"/>
        <v>0</v>
      </c>
      <c r="L164" s="784">
        <v>1</v>
      </c>
      <c r="M164" s="784">
        <f t="shared" si="8"/>
        <v>42.105263157894733</v>
      </c>
    </row>
    <row r="165" spans="1:13" ht="12" customHeight="1">
      <c r="A165" s="19" t="s">
        <v>130</v>
      </c>
      <c r="C165" s="784">
        <f t="shared" si="9"/>
        <v>8</v>
      </c>
      <c r="D165" s="454">
        <f t="shared" si="9"/>
        <v>100</v>
      </c>
      <c r="F165" s="784">
        <v>3.5</v>
      </c>
      <c r="G165" s="784">
        <f t="shared" si="11"/>
        <v>43.75</v>
      </c>
      <c r="I165" s="784">
        <v>1</v>
      </c>
      <c r="J165" s="784">
        <f t="shared" si="10"/>
        <v>12.5</v>
      </c>
      <c r="L165" s="784">
        <v>3.5</v>
      </c>
      <c r="M165" s="784">
        <f t="shared" si="8"/>
        <v>43.75</v>
      </c>
    </row>
    <row r="166" spans="1:13" ht="12" customHeight="1">
      <c r="A166" s="19" t="s">
        <v>131</v>
      </c>
      <c r="C166" s="784">
        <f t="shared" si="9"/>
        <v>1</v>
      </c>
      <c r="D166" s="454">
        <f t="shared" si="9"/>
        <v>100</v>
      </c>
      <c r="F166" s="784">
        <v>1</v>
      </c>
      <c r="G166" s="784">
        <f t="shared" si="11"/>
        <v>100</v>
      </c>
      <c r="I166" s="784">
        <v>0</v>
      </c>
      <c r="J166" s="784">
        <f t="shared" si="10"/>
        <v>0</v>
      </c>
      <c r="L166" s="784">
        <v>0</v>
      </c>
      <c r="M166" s="784">
        <f t="shared" si="8"/>
        <v>0</v>
      </c>
    </row>
    <row r="167" spans="1:13" ht="12" customHeight="1">
      <c r="A167" s="19" t="s">
        <v>132</v>
      </c>
      <c r="C167" s="784">
        <f t="shared" si="9"/>
        <v>2.5</v>
      </c>
      <c r="D167" s="454">
        <f t="shared" si="9"/>
        <v>100</v>
      </c>
      <c r="F167" s="784">
        <v>0.5</v>
      </c>
      <c r="G167" s="784">
        <f t="shared" si="11"/>
        <v>20</v>
      </c>
      <c r="I167" s="784">
        <v>0</v>
      </c>
      <c r="J167" s="784">
        <f t="shared" si="10"/>
        <v>0</v>
      </c>
      <c r="L167" s="784">
        <v>2</v>
      </c>
      <c r="M167" s="784">
        <f t="shared" si="8"/>
        <v>80</v>
      </c>
    </row>
    <row r="168" spans="1:13" ht="12" customHeight="1">
      <c r="A168" s="19" t="s">
        <v>133</v>
      </c>
      <c r="C168" s="784">
        <f t="shared" si="9"/>
        <v>4</v>
      </c>
      <c r="D168" s="454">
        <f t="shared" si="9"/>
        <v>100</v>
      </c>
      <c r="F168" s="784">
        <v>1</v>
      </c>
      <c r="G168" s="784">
        <f t="shared" si="11"/>
        <v>25</v>
      </c>
      <c r="I168" s="784">
        <v>0.5</v>
      </c>
      <c r="J168" s="784">
        <f t="shared" si="10"/>
        <v>12.5</v>
      </c>
      <c r="L168" s="784">
        <v>2.5</v>
      </c>
      <c r="M168" s="784">
        <f t="shared" si="8"/>
        <v>62.5</v>
      </c>
    </row>
    <row r="169" spans="1:13" ht="12" customHeight="1">
      <c r="A169" s="19" t="s">
        <v>134</v>
      </c>
      <c r="C169" s="784">
        <f t="shared" si="9"/>
        <v>3.5</v>
      </c>
      <c r="D169" s="454">
        <f t="shared" si="9"/>
        <v>100</v>
      </c>
      <c r="F169" s="784">
        <v>1</v>
      </c>
      <c r="G169" s="784">
        <f t="shared" si="11"/>
        <v>28.571428571428569</v>
      </c>
      <c r="I169" s="784">
        <v>0</v>
      </c>
      <c r="J169" s="784">
        <f t="shared" si="10"/>
        <v>0</v>
      </c>
      <c r="L169" s="784">
        <v>2.5</v>
      </c>
      <c r="M169" s="784">
        <f t="shared" si="8"/>
        <v>71.428571428571431</v>
      </c>
    </row>
    <row r="170" spans="1:13" ht="12" customHeight="1">
      <c r="A170" s="19" t="s">
        <v>135</v>
      </c>
      <c r="C170" s="784">
        <f t="shared" si="9"/>
        <v>2.5</v>
      </c>
      <c r="D170" s="454">
        <f t="shared" si="9"/>
        <v>100</v>
      </c>
      <c r="F170" s="784">
        <v>1.5</v>
      </c>
      <c r="G170" s="784">
        <f t="shared" si="11"/>
        <v>60</v>
      </c>
      <c r="I170" s="784">
        <v>0</v>
      </c>
      <c r="J170" s="784">
        <f t="shared" si="10"/>
        <v>0</v>
      </c>
      <c r="L170" s="784">
        <v>1</v>
      </c>
      <c r="M170" s="784">
        <f t="shared" si="8"/>
        <v>40</v>
      </c>
    </row>
    <row r="171" spans="1:13" ht="12" customHeight="1">
      <c r="A171" s="19" t="s">
        <v>136</v>
      </c>
      <c r="C171" s="784">
        <f t="shared" si="9"/>
        <v>12</v>
      </c>
      <c r="D171" s="454">
        <f t="shared" si="9"/>
        <v>100</v>
      </c>
      <c r="F171" s="784">
        <v>6</v>
      </c>
      <c r="G171" s="784">
        <f t="shared" si="11"/>
        <v>50</v>
      </c>
      <c r="I171" s="784">
        <v>3</v>
      </c>
      <c r="J171" s="784">
        <f t="shared" si="10"/>
        <v>25</v>
      </c>
      <c r="L171" s="784">
        <v>3</v>
      </c>
      <c r="M171" s="784">
        <f t="shared" si="8"/>
        <v>25</v>
      </c>
    </row>
    <row r="172" spans="1:13" ht="12" customHeight="1">
      <c r="A172" s="19" t="s">
        <v>137</v>
      </c>
      <c r="C172" s="784">
        <f t="shared" si="9"/>
        <v>2.5</v>
      </c>
      <c r="D172" s="454">
        <f t="shared" si="9"/>
        <v>100</v>
      </c>
      <c r="F172" s="784">
        <v>0.5</v>
      </c>
      <c r="G172" s="784">
        <f t="shared" si="11"/>
        <v>20</v>
      </c>
      <c r="I172" s="784">
        <v>0</v>
      </c>
      <c r="J172" s="784">
        <f t="shared" si="10"/>
        <v>0</v>
      </c>
      <c r="L172" s="784">
        <v>2</v>
      </c>
      <c r="M172" s="784">
        <f t="shared" si="8"/>
        <v>80</v>
      </c>
    </row>
    <row r="173" spans="1:13" ht="12" customHeight="1">
      <c r="A173" s="19" t="s">
        <v>138</v>
      </c>
      <c r="C173" s="784">
        <f t="shared" si="9"/>
        <v>3.5</v>
      </c>
      <c r="D173" s="454">
        <f t="shared" si="9"/>
        <v>100</v>
      </c>
      <c r="F173" s="784">
        <v>0.5</v>
      </c>
      <c r="G173" s="784">
        <f t="shared" si="11"/>
        <v>14.285714285714285</v>
      </c>
      <c r="I173" s="784">
        <v>0</v>
      </c>
      <c r="J173" s="784">
        <f t="shared" si="10"/>
        <v>0</v>
      </c>
      <c r="L173" s="784">
        <v>3</v>
      </c>
      <c r="M173" s="784">
        <f t="shared" si="8"/>
        <v>85.714285714285708</v>
      </c>
    </row>
    <row r="174" spans="1:13" ht="12" customHeight="1">
      <c r="A174" s="19" t="s">
        <v>139</v>
      </c>
      <c r="C174" s="784">
        <f t="shared" si="9"/>
        <v>4.5</v>
      </c>
      <c r="D174" s="454">
        <f t="shared" si="9"/>
        <v>100</v>
      </c>
      <c r="F174" s="784">
        <v>0.5</v>
      </c>
      <c r="G174" s="784">
        <f t="shared" si="11"/>
        <v>11.111111111111111</v>
      </c>
      <c r="I174" s="784">
        <v>2</v>
      </c>
      <c r="J174" s="784">
        <f t="shared" si="10"/>
        <v>44.444444444444443</v>
      </c>
      <c r="L174" s="784">
        <v>2</v>
      </c>
      <c r="M174" s="784">
        <f t="shared" si="8"/>
        <v>44.444444444444443</v>
      </c>
    </row>
    <row r="175" spans="1:13" ht="12" customHeight="1">
      <c r="A175" s="19" t="s">
        <v>140</v>
      </c>
      <c r="C175" s="784">
        <f t="shared" si="9"/>
        <v>8.5</v>
      </c>
      <c r="D175" s="454">
        <f t="shared" si="9"/>
        <v>100</v>
      </c>
      <c r="F175" s="784">
        <v>2.5</v>
      </c>
      <c r="G175" s="784">
        <f t="shared" si="11"/>
        <v>29.411764705882355</v>
      </c>
      <c r="I175" s="784">
        <v>0</v>
      </c>
      <c r="J175" s="784">
        <f t="shared" si="10"/>
        <v>0</v>
      </c>
      <c r="L175" s="784">
        <v>6</v>
      </c>
      <c r="M175" s="784">
        <f t="shared" si="8"/>
        <v>70.588235294117652</v>
      </c>
    </row>
    <row r="176" spans="1:13" ht="12" customHeight="1">
      <c r="A176" s="19" t="s">
        <v>141</v>
      </c>
      <c r="C176" s="784">
        <f>IF($A176&lt;&gt;0,F176+I176+L176,"")</f>
        <v>3</v>
      </c>
      <c r="D176" s="454">
        <f>IF($A176&lt;&gt;0,G176+J176+M176,"")</f>
        <v>100</v>
      </c>
      <c r="F176" s="784">
        <v>0.5</v>
      </c>
      <c r="G176" s="784">
        <f>IF($A176&lt;&gt;0,F176/$C176*100,"")</f>
        <v>16.666666666666664</v>
      </c>
      <c r="I176" s="784">
        <v>0</v>
      </c>
      <c r="J176" s="784">
        <f>IF($A176&lt;&gt;0,I176/$C176*100,"")</f>
        <v>0</v>
      </c>
      <c r="L176" s="784">
        <v>2.5</v>
      </c>
      <c r="M176" s="784">
        <f t="shared" si="8"/>
        <v>83.333333333333343</v>
      </c>
    </row>
    <row r="177" spans="1:13" ht="12" customHeight="1">
      <c r="A177" s="19" t="s">
        <v>142</v>
      </c>
      <c r="C177" s="784">
        <f t="shared" si="9"/>
        <v>4.25</v>
      </c>
      <c r="D177" s="454">
        <f t="shared" si="9"/>
        <v>100</v>
      </c>
      <c r="F177" s="784">
        <v>0.75</v>
      </c>
      <c r="G177" s="784">
        <f t="shared" si="11"/>
        <v>17.647058823529413</v>
      </c>
      <c r="I177" s="784">
        <v>0.5</v>
      </c>
      <c r="J177" s="784">
        <f t="shared" si="10"/>
        <v>11.76470588235294</v>
      </c>
      <c r="L177" s="784">
        <v>3</v>
      </c>
      <c r="M177" s="784">
        <f t="shared" si="8"/>
        <v>70.588235294117652</v>
      </c>
    </row>
    <row r="178" spans="1:13" ht="12" customHeight="1">
      <c r="A178" s="19" t="s">
        <v>143</v>
      </c>
      <c r="C178" s="784">
        <f t="shared" si="9"/>
        <v>6.5</v>
      </c>
      <c r="D178" s="454">
        <f t="shared" si="9"/>
        <v>100</v>
      </c>
      <c r="F178" s="784">
        <v>3.5</v>
      </c>
      <c r="G178" s="784">
        <f t="shared" si="11"/>
        <v>53.846153846153847</v>
      </c>
      <c r="I178" s="784">
        <v>0</v>
      </c>
      <c r="J178" s="784">
        <f t="shared" si="10"/>
        <v>0</v>
      </c>
      <c r="L178" s="784">
        <v>3</v>
      </c>
      <c r="M178" s="784">
        <f t="shared" si="8"/>
        <v>46.153846153846153</v>
      </c>
    </row>
    <row r="179" spans="1:13" ht="12" customHeight="1">
      <c r="A179" s="19" t="s">
        <v>144</v>
      </c>
      <c r="C179" s="784">
        <f t="shared" si="9"/>
        <v>2.5</v>
      </c>
      <c r="D179" s="454">
        <f t="shared" si="9"/>
        <v>100</v>
      </c>
      <c r="F179" s="784">
        <v>1.5</v>
      </c>
      <c r="G179" s="784">
        <f t="shared" si="11"/>
        <v>60</v>
      </c>
      <c r="I179" s="784">
        <v>0</v>
      </c>
      <c r="J179" s="784">
        <f t="shared" si="10"/>
        <v>0</v>
      </c>
      <c r="L179" s="784">
        <v>1</v>
      </c>
      <c r="M179" s="784">
        <f t="shared" si="8"/>
        <v>40</v>
      </c>
    </row>
    <row r="180" spans="1:13" ht="12" customHeight="1">
      <c r="A180" s="19" t="s">
        <v>145</v>
      </c>
      <c r="C180" s="784">
        <f t="shared" si="9"/>
        <v>0.5</v>
      </c>
      <c r="D180" s="454">
        <f t="shared" si="9"/>
        <v>100</v>
      </c>
      <c r="F180" s="784">
        <v>0.5</v>
      </c>
      <c r="G180" s="784">
        <f t="shared" si="11"/>
        <v>100</v>
      </c>
      <c r="I180" s="784">
        <v>0</v>
      </c>
      <c r="J180" s="784">
        <f t="shared" si="10"/>
        <v>0</v>
      </c>
      <c r="L180" s="784">
        <v>0</v>
      </c>
      <c r="M180" s="784">
        <f t="shared" si="8"/>
        <v>0</v>
      </c>
    </row>
    <row r="181" spans="1:13" ht="12" customHeight="1">
      <c r="A181" s="19" t="s">
        <v>146</v>
      </c>
      <c r="C181" s="784">
        <f t="shared" si="9"/>
        <v>4.25</v>
      </c>
      <c r="D181" s="454">
        <f t="shared" si="9"/>
        <v>100.00000000000001</v>
      </c>
      <c r="F181" s="784">
        <v>2.25</v>
      </c>
      <c r="G181" s="784">
        <f t="shared" si="11"/>
        <v>52.941176470588239</v>
      </c>
      <c r="I181" s="784">
        <v>1.5</v>
      </c>
      <c r="J181" s="784">
        <f t="shared" si="10"/>
        <v>35.294117647058826</v>
      </c>
      <c r="L181" s="784">
        <v>0.5</v>
      </c>
      <c r="M181" s="784">
        <f t="shared" si="8"/>
        <v>11.76470588235294</v>
      </c>
    </row>
    <row r="182" spans="1:13" ht="12" customHeight="1">
      <c r="A182" s="19" t="s">
        <v>147</v>
      </c>
      <c r="C182" s="784">
        <f>IF($A182&lt;&gt;0,F182+I182+L182,"")</f>
        <v>1</v>
      </c>
      <c r="D182" s="454">
        <f>IF($A182&lt;&gt;0,G182+J182+M182,"")</f>
        <v>100</v>
      </c>
      <c r="F182" s="784">
        <v>1</v>
      </c>
      <c r="G182" s="784">
        <f t="shared" si="11"/>
        <v>100</v>
      </c>
      <c r="I182" s="784">
        <v>0</v>
      </c>
      <c r="J182" s="784">
        <f t="shared" si="10"/>
        <v>0</v>
      </c>
      <c r="L182" s="784">
        <v>0</v>
      </c>
      <c r="M182" s="784">
        <f t="shared" si="8"/>
        <v>0</v>
      </c>
    </row>
    <row r="183" spans="1:13" ht="12" customHeight="1">
      <c r="A183" s="19" t="s">
        <v>148</v>
      </c>
      <c r="C183" s="784">
        <f t="shared" si="9"/>
        <v>0.75</v>
      </c>
      <c r="D183" s="454">
        <f t="shared" si="9"/>
        <v>99.999999999999986</v>
      </c>
      <c r="F183" s="784">
        <v>0.25</v>
      </c>
      <c r="G183" s="784">
        <f t="shared" si="11"/>
        <v>33.333333333333329</v>
      </c>
      <c r="I183" s="784">
        <v>0</v>
      </c>
      <c r="J183" s="784">
        <f t="shared" si="10"/>
        <v>0</v>
      </c>
      <c r="L183" s="784">
        <v>0.5</v>
      </c>
      <c r="M183" s="784">
        <f t="shared" si="8"/>
        <v>66.666666666666657</v>
      </c>
    </row>
    <row r="184" spans="1:13" ht="12" customHeight="1">
      <c r="A184" s="19"/>
      <c r="C184" s="784" t="str">
        <f t="shared" si="9"/>
        <v/>
      </c>
      <c r="D184" s="454" t="str">
        <f t="shared" si="9"/>
        <v/>
      </c>
      <c r="G184" s="784" t="str">
        <f t="shared" si="11"/>
        <v/>
      </c>
      <c r="J184" s="784" t="str">
        <f t="shared" si="10"/>
        <v/>
      </c>
      <c r="L184" s="784" t="s">
        <v>11</v>
      </c>
      <c r="M184" s="784" t="str">
        <f t="shared" si="8"/>
        <v/>
      </c>
    </row>
    <row r="185" spans="1:13" ht="12" customHeight="1">
      <c r="A185" s="455" t="s">
        <v>149</v>
      </c>
      <c r="C185" s="784">
        <f t="shared" si="9"/>
        <v>99.375</v>
      </c>
      <c r="D185" s="454">
        <f t="shared" si="9"/>
        <v>100</v>
      </c>
      <c r="F185" s="784">
        <v>62.875</v>
      </c>
      <c r="G185" s="784">
        <f t="shared" si="11"/>
        <v>63.270440251572325</v>
      </c>
      <c r="I185" s="784">
        <v>0.5</v>
      </c>
      <c r="J185" s="784">
        <f t="shared" si="10"/>
        <v>0.50314465408805031</v>
      </c>
      <c r="L185" s="784">
        <v>36</v>
      </c>
      <c r="M185" s="784">
        <f t="shared" si="8"/>
        <v>36.226415094339622</v>
      </c>
    </row>
    <row r="186" spans="1:13" ht="12" customHeight="1">
      <c r="D186" s="454"/>
    </row>
    <row r="187" spans="1:13" ht="12" customHeight="1">
      <c r="D187" s="454"/>
    </row>
    <row r="188" spans="1:13" ht="12" customHeight="1">
      <c r="D188" s="454"/>
    </row>
    <row r="189" spans="1:13" ht="12" customHeight="1">
      <c r="D189" s="454"/>
    </row>
    <row r="190" spans="1:13" ht="12" customHeight="1" thickBot="1"/>
    <row r="191" spans="1:13" ht="12" customHeight="1">
      <c r="A191" s="486"/>
      <c r="B191" s="437"/>
      <c r="C191" s="786"/>
      <c r="D191" s="486"/>
      <c r="E191" s="486"/>
      <c r="F191" s="786"/>
      <c r="G191" s="786"/>
      <c r="H191" s="786"/>
      <c r="I191" s="786"/>
      <c r="J191" s="786"/>
      <c r="K191" s="786"/>
      <c r="L191" s="786"/>
      <c r="M191" s="786"/>
    </row>
    <row r="192" spans="1:13" ht="12" customHeight="1">
      <c r="C192" s="1257" t="s">
        <v>3</v>
      </c>
      <c r="D192" s="1257"/>
      <c r="E192" s="1257"/>
      <c r="F192" s="1257"/>
      <c r="G192" s="1257"/>
      <c r="H192" s="1257"/>
      <c r="I192" s="1257"/>
      <c r="J192" s="1257"/>
      <c r="K192" s="1257"/>
      <c r="L192" s="1257"/>
      <c r="M192" s="1257"/>
    </row>
    <row r="193" spans="1:13" ht="12" customHeight="1">
      <c r="A193" s="9" t="s">
        <v>4</v>
      </c>
      <c r="C193" s="1258" t="s">
        <v>5</v>
      </c>
      <c r="D193" s="1258"/>
      <c r="F193" s="1259" t="s">
        <v>6</v>
      </c>
      <c r="G193" s="1259"/>
      <c r="H193" s="10"/>
      <c r="I193" s="1259" t="s">
        <v>7</v>
      </c>
      <c r="J193" s="1259"/>
      <c r="K193" s="10"/>
      <c r="L193" s="1259" t="s">
        <v>8</v>
      </c>
      <c r="M193" s="1259"/>
    </row>
    <row r="194" spans="1:13" ht="12" customHeight="1">
      <c r="C194" s="11" t="s">
        <v>9</v>
      </c>
      <c r="D194" s="12" t="s">
        <v>10</v>
      </c>
      <c r="F194" s="12" t="s">
        <v>9</v>
      </c>
      <c r="G194" s="12" t="s">
        <v>10</v>
      </c>
      <c r="I194" s="12" t="s">
        <v>9</v>
      </c>
      <c r="J194" s="12" t="s">
        <v>10</v>
      </c>
      <c r="L194" s="12" t="s">
        <v>9</v>
      </c>
      <c r="M194" s="12" t="s">
        <v>10</v>
      </c>
    </row>
    <row r="195" spans="1:13" ht="12" customHeight="1" thickBot="1">
      <c r="A195" s="503"/>
      <c r="B195" s="445"/>
      <c r="C195" s="787"/>
      <c r="D195" s="503"/>
      <c r="E195" s="503"/>
      <c r="F195" s="787"/>
      <c r="G195" s="787"/>
      <c r="H195" s="787"/>
      <c r="I195" s="787"/>
      <c r="J195" s="787"/>
      <c r="K195" s="787"/>
      <c r="L195" s="787"/>
      <c r="M195" s="787"/>
    </row>
    <row r="196" spans="1:13" ht="12" customHeight="1">
      <c r="C196" s="784" t="str">
        <f t="shared" si="9"/>
        <v/>
      </c>
      <c r="D196" s="454" t="str">
        <f t="shared" si="9"/>
        <v/>
      </c>
      <c r="G196" s="784" t="str">
        <f t="shared" si="11"/>
        <v/>
      </c>
      <c r="J196" s="784" t="str">
        <f t="shared" si="10"/>
        <v/>
      </c>
      <c r="L196" s="784" t="s">
        <v>11</v>
      </c>
      <c r="M196" s="784" t="str">
        <f t="shared" si="8"/>
        <v/>
      </c>
    </row>
    <row r="197" spans="1:13" ht="12" customHeight="1">
      <c r="A197" s="9" t="s">
        <v>150</v>
      </c>
      <c r="C197" s="784">
        <f t="shared" si="9"/>
        <v>206.625</v>
      </c>
      <c r="D197" s="454">
        <f t="shared" si="9"/>
        <v>100</v>
      </c>
      <c r="F197" s="784">
        <f>F199+F206</f>
        <v>40.25</v>
      </c>
      <c r="G197" s="784">
        <f t="shared" si="11"/>
        <v>19.479733817301874</v>
      </c>
      <c r="I197" s="784">
        <f>I199+I206</f>
        <v>113.125</v>
      </c>
      <c r="J197" s="784">
        <f t="shared" si="10"/>
        <v>54.748941318814282</v>
      </c>
      <c r="L197" s="784">
        <f>L199+L206</f>
        <v>53.25</v>
      </c>
      <c r="M197" s="784">
        <f t="shared" si="8"/>
        <v>25.771324863883848</v>
      </c>
    </row>
    <row r="198" spans="1:13" ht="12" customHeight="1">
      <c r="C198" s="784" t="str">
        <f t="shared" si="9"/>
        <v/>
      </c>
      <c r="D198" s="454" t="str">
        <f t="shared" si="9"/>
        <v/>
      </c>
      <c r="G198" s="784" t="str">
        <f t="shared" si="11"/>
        <v/>
      </c>
      <c r="J198" s="784" t="str">
        <f t="shared" si="10"/>
        <v/>
      </c>
      <c r="L198" s="784" t="s">
        <v>11</v>
      </c>
      <c r="M198" s="784" t="str">
        <f t="shared" si="8"/>
        <v/>
      </c>
    </row>
    <row r="199" spans="1:13" ht="12" customHeight="1">
      <c r="A199" s="455" t="s">
        <v>151</v>
      </c>
      <c r="C199" s="784">
        <f t="shared" si="9"/>
        <v>118.25</v>
      </c>
      <c r="D199" s="454">
        <f t="shared" si="9"/>
        <v>100</v>
      </c>
      <c r="F199" s="784">
        <f>SUM(F201:F204)</f>
        <v>0</v>
      </c>
      <c r="G199" s="784">
        <f t="shared" si="11"/>
        <v>0</v>
      </c>
      <c r="I199" s="784">
        <f>SUM(I201:I204)</f>
        <v>87.5</v>
      </c>
      <c r="J199" s="784">
        <f t="shared" si="10"/>
        <v>73.99577167019028</v>
      </c>
      <c r="L199" s="784">
        <f>SUM(L201:L204)</f>
        <v>30.75</v>
      </c>
      <c r="M199" s="784">
        <f t="shared" si="8"/>
        <v>26.004228329809724</v>
      </c>
    </row>
    <row r="200" spans="1:13" ht="12" customHeight="1">
      <c r="C200" s="784" t="str">
        <f t="shared" si="9"/>
        <v/>
      </c>
      <c r="D200" s="454" t="str">
        <f t="shared" si="9"/>
        <v/>
      </c>
      <c r="G200" s="784" t="str">
        <f t="shared" si="11"/>
        <v/>
      </c>
      <c r="J200" s="784" t="str">
        <f t="shared" si="10"/>
        <v/>
      </c>
      <c r="L200" s="784" t="s">
        <v>11</v>
      </c>
      <c r="M200" s="784" t="str">
        <f t="shared" si="8"/>
        <v/>
      </c>
    </row>
    <row r="201" spans="1:13" ht="12" customHeight="1">
      <c r="A201" s="19" t="s">
        <v>152</v>
      </c>
      <c r="C201" s="784">
        <f t="shared" si="9"/>
        <v>20.5</v>
      </c>
      <c r="D201" s="454">
        <f t="shared" si="9"/>
        <v>100</v>
      </c>
      <c r="F201" s="18">
        <v>0</v>
      </c>
      <c r="G201" s="784">
        <f t="shared" si="11"/>
        <v>0</v>
      </c>
      <c r="H201" s="18"/>
      <c r="I201" s="18">
        <v>11</v>
      </c>
      <c r="J201" s="784">
        <f t="shared" si="10"/>
        <v>53.658536585365859</v>
      </c>
      <c r="K201" s="18"/>
      <c r="L201" s="784">
        <v>9.5</v>
      </c>
      <c r="M201" s="784">
        <f t="shared" si="8"/>
        <v>46.341463414634148</v>
      </c>
    </row>
    <row r="202" spans="1:13" ht="12" customHeight="1">
      <c r="A202" s="19" t="s">
        <v>153</v>
      </c>
      <c r="C202" s="784">
        <f t="shared" si="9"/>
        <v>29</v>
      </c>
      <c r="D202" s="454">
        <f t="shared" si="9"/>
        <v>99.999999999999986</v>
      </c>
      <c r="F202" s="18">
        <v>0</v>
      </c>
      <c r="G202" s="784">
        <f t="shared" si="11"/>
        <v>0</v>
      </c>
      <c r="H202" s="18"/>
      <c r="I202" s="18">
        <v>21.25</v>
      </c>
      <c r="J202" s="784">
        <f t="shared" si="10"/>
        <v>73.275862068965509</v>
      </c>
      <c r="K202" s="18"/>
      <c r="L202" s="784">
        <v>7.75</v>
      </c>
      <c r="M202" s="784">
        <f t="shared" si="8"/>
        <v>26.72413793103448</v>
      </c>
    </row>
    <row r="203" spans="1:13" ht="12" customHeight="1">
      <c r="A203" s="19" t="s">
        <v>154</v>
      </c>
      <c r="C203" s="784">
        <f t="shared" si="9"/>
        <v>40</v>
      </c>
      <c r="D203" s="454">
        <f t="shared" si="9"/>
        <v>100</v>
      </c>
      <c r="F203" s="18">
        <v>0</v>
      </c>
      <c r="G203" s="784">
        <f t="shared" si="11"/>
        <v>0</v>
      </c>
      <c r="H203" s="18"/>
      <c r="I203" s="18">
        <v>37</v>
      </c>
      <c r="J203" s="784">
        <f t="shared" si="10"/>
        <v>92.5</v>
      </c>
      <c r="K203" s="18"/>
      <c r="L203" s="784">
        <v>3</v>
      </c>
      <c r="M203" s="784">
        <f t="shared" si="8"/>
        <v>7.5</v>
      </c>
    </row>
    <row r="204" spans="1:13" ht="12" customHeight="1">
      <c r="A204" s="19" t="s">
        <v>155</v>
      </c>
      <c r="C204" s="784">
        <f t="shared" si="9"/>
        <v>28.75</v>
      </c>
      <c r="D204" s="454">
        <f t="shared" si="9"/>
        <v>100</v>
      </c>
      <c r="F204" s="18">
        <v>0</v>
      </c>
      <c r="G204" s="784">
        <f t="shared" si="11"/>
        <v>0</v>
      </c>
      <c r="H204" s="18"/>
      <c r="I204" s="18">
        <v>18.25</v>
      </c>
      <c r="J204" s="784">
        <f t="shared" si="10"/>
        <v>63.478260869565219</v>
      </c>
      <c r="K204" s="18"/>
      <c r="L204" s="784">
        <v>10.5</v>
      </c>
      <c r="M204" s="784">
        <f t="shared" si="8"/>
        <v>36.521739130434781</v>
      </c>
    </row>
    <row r="205" spans="1:13" ht="12" customHeight="1">
      <c r="A205" s="19"/>
      <c r="C205" s="784" t="str">
        <f t="shared" si="9"/>
        <v/>
      </c>
      <c r="D205" s="454" t="str">
        <f t="shared" si="9"/>
        <v/>
      </c>
      <c r="G205" s="784" t="str">
        <f t="shared" si="11"/>
        <v/>
      </c>
      <c r="J205" s="784" t="str">
        <f t="shared" si="10"/>
        <v/>
      </c>
      <c r="L205" s="784" t="s">
        <v>11</v>
      </c>
      <c r="M205" s="784" t="str">
        <f t="shared" si="8"/>
        <v/>
      </c>
    </row>
    <row r="206" spans="1:13" ht="12" customHeight="1">
      <c r="A206" s="4" t="s">
        <v>156</v>
      </c>
      <c r="C206" s="784">
        <f t="shared" si="9"/>
        <v>88.375</v>
      </c>
      <c r="D206" s="454">
        <f t="shared" si="9"/>
        <v>100</v>
      </c>
      <c r="F206" s="784">
        <f>SUM(F208:F213)</f>
        <v>40.25</v>
      </c>
      <c r="G206" s="784">
        <f t="shared" si="11"/>
        <v>45.544554455445549</v>
      </c>
      <c r="I206" s="784">
        <f>SUM(I208:I213)</f>
        <v>25.625</v>
      </c>
      <c r="J206" s="784">
        <f t="shared" si="10"/>
        <v>28.995756718528998</v>
      </c>
      <c r="L206" s="784">
        <f>SUM(L208:L213)</f>
        <v>22.5</v>
      </c>
      <c r="M206" s="784">
        <f t="shared" si="8"/>
        <v>25.459688826025463</v>
      </c>
    </row>
    <row r="207" spans="1:13" ht="12" customHeight="1">
      <c r="A207" s="4"/>
      <c r="C207" s="784" t="str">
        <f t="shared" si="9"/>
        <v/>
      </c>
      <c r="D207" s="454" t="str">
        <f t="shared" si="9"/>
        <v/>
      </c>
      <c r="G207" s="784" t="str">
        <f t="shared" si="11"/>
        <v/>
      </c>
      <c r="J207" s="784" t="str">
        <f t="shared" si="10"/>
        <v/>
      </c>
      <c r="L207" s="784" t="s">
        <v>11</v>
      </c>
      <c r="M207" s="784" t="str">
        <f t="shared" si="8"/>
        <v/>
      </c>
    </row>
    <row r="208" spans="1:13" ht="12" customHeight="1">
      <c r="A208" s="19" t="s">
        <v>157</v>
      </c>
      <c r="C208" s="784">
        <f t="shared" si="9"/>
        <v>7.75</v>
      </c>
      <c r="D208" s="454">
        <f t="shared" si="9"/>
        <v>100</v>
      </c>
      <c r="F208" s="18">
        <v>1.5</v>
      </c>
      <c r="G208" s="784">
        <f t="shared" si="11"/>
        <v>19.35483870967742</v>
      </c>
      <c r="H208" s="18"/>
      <c r="I208" s="18">
        <v>1</v>
      </c>
      <c r="J208" s="784">
        <f t="shared" si="10"/>
        <v>12.903225806451612</v>
      </c>
      <c r="K208" s="18"/>
      <c r="L208" s="784">
        <v>5.25</v>
      </c>
      <c r="M208" s="784">
        <f t="shared" si="8"/>
        <v>67.741935483870961</v>
      </c>
    </row>
    <row r="209" spans="1:13" ht="12" customHeight="1">
      <c r="A209" s="4" t="s">
        <v>158</v>
      </c>
      <c r="C209" s="784">
        <f t="shared" si="9"/>
        <v>1.25</v>
      </c>
      <c r="D209" s="454">
        <f t="shared" si="9"/>
        <v>100</v>
      </c>
      <c r="F209" s="18">
        <v>0</v>
      </c>
      <c r="G209" s="784">
        <f t="shared" si="11"/>
        <v>0</v>
      </c>
      <c r="H209" s="18"/>
      <c r="I209" s="18">
        <v>1</v>
      </c>
      <c r="J209" s="784">
        <f t="shared" si="10"/>
        <v>80</v>
      </c>
      <c r="K209" s="18"/>
      <c r="L209" s="784">
        <v>0.25</v>
      </c>
      <c r="M209" s="784">
        <f t="shared" si="8"/>
        <v>20</v>
      </c>
    </row>
    <row r="210" spans="1:13" ht="12" customHeight="1">
      <c r="A210" s="19" t="s">
        <v>159</v>
      </c>
      <c r="C210" s="784">
        <f t="shared" si="9"/>
        <v>19.75</v>
      </c>
      <c r="D210" s="454">
        <f t="shared" si="9"/>
        <v>100</v>
      </c>
      <c r="F210" s="18">
        <v>0</v>
      </c>
      <c r="G210" s="784">
        <f t="shared" si="11"/>
        <v>0</v>
      </c>
      <c r="H210" s="18"/>
      <c r="I210" s="18">
        <v>17.75</v>
      </c>
      <c r="J210" s="784">
        <f t="shared" si="10"/>
        <v>89.87341772151899</v>
      </c>
      <c r="K210" s="18"/>
      <c r="L210" s="784">
        <v>2</v>
      </c>
      <c r="M210" s="784">
        <f t="shared" si="8"/>
        <v>10.126582278481013</v>
      </c>
    </row>
    <row r="211" spans="1:13" ht="12" customHeight="1">
      <c r="A211" s="4" t="s">
        <v>160</v>
      </c>
      <c r="C211" s="784">
        <f t="shared" si="9"/>
        <v>38.5</v>
      </c>
      <c r="D211" s="454">
        <f t="shared" si="9"/>
        <v>100</v>
      </c>
      <c r="F211" s="18">
        <v>36.25</v>
      </c>
      <c r="G211" s="784">
        <f t="shared" si="11"/>
        <v>94.155844155844164</v>
      </c>
      <c r="H211" s="18"/>
      <c r="I211" s="18">
        <v>1.25</v>
      </c>
      <c r="J211" s="784">
        <f t="shared" si="10"/>
        <v>3.2467532467532463</v>
      </c>
      <c r="K211" s="18"/>
      <c r="L211" s="784">
        <v>1</v>
      </c>
      <c r="M211" s="784">
        <f t="shared" si="8"/>
        <v>2.5974025974025974</v>
      </c>
    </row>
    <row r="212" spans="1:13" ht="12" customHeight="1">
      <c r="A212" s="4" t="s">
        <v>161</v>
      </c>
      <c r="C212" s="784">
        <f t="shared" si="9"/>
        <v>7</v>
      </c>
      <c r="D212" s="454">
        <f t="shared" si="9"/>
        <v>100</v>
      </c>
      <c r="F212" s="18">
        <v>1.5</v>
      </c>
      <c r="G212" s="784">
        <f t="shared" si="11"/>
        <v>21.428571428571427</v>
      </c>
      <c r="H212" s="18"/>
      <c r="I212" s="18">
        <v>1</v>
      </c>
      <c r="J212" s="784">
        <f t="shared" si="10"/>
        <v>14.285714285714285</v>
      </c>
      <c r="K212" s="18"/>
      <c r="L212" s="784">
        <v>4.5</v>
      </c>
      <c r="M212" s="784">
        <f t="shared" si="8"/>
        <v>64.285714285714292</v>
      </c>
    </row>
    <row r="213" spans="1:13" ht="12" customHeight="1">
      <c r="A213" s="4" t="s">
        <v>162</v>
      </c>
      <c r="C213" s="784">
        <f t="shared" si="9"/>
        <v>14.125</v>
      </c>
      <c r="D213" s="454">
        <f t="shared" si="9"/>
        <v>100</v>
      </c>
      <c r="F213" s="18">
        <v>1</v>
      </c>
      <c r="G213" s="784">
        <f t="shared" si="11"/>
        <v>7.0796460176991154</v>
      </c>
      <c r="H213" s="18"/>
      <c r="I213" s="18">
        <v>3.625</v>
      </c>
      <c r="J213" s="784">
        <f t="shared" si="10"/>
        <v>25.663716814159294</v>
      </c>
      <c r="K213" s="18"/>
      <c r="L213" s="784">
        <v>9.5</v>
      </c>
      <c r="M213" s="784">
        <f t="shared" si="8"/>
        <v>67.256637168141594</v>
      </c>
    </row>
    <row r="214" spans="1:13" ht="12" customHeight="1">
      <c r="A214" s="4"/>
      <c r="C214" s="784" t="str">
        <f t="shared" si="9"/>
        <v/>
      </c>
      <c r="D214" s="454" t="str">
        <f t="shared" si="9"/>
        <v/>
      </c>
      <c r="G214" s="784" t="str">
        <f t="shared" si="11"/>
        <v/>
      </c>
      <c r="J214" s="784" t="str">
        <f t="shared" si="10"/>
        <v/>
      </c>
      <c r="L214" s="784" t="s">
        <v>11</v>
      </c>
      <c r="M214" s="784" t="str">
        <f t="shared" si="8"/>
        <v/>
      </c>
    </row>
    <row r="215" spans="1:13" ht="12" customHeight="1">
      <c r="A215" s="9" t="s">
        <v>163</v>
      </c>
      <c r="C215" s="784">
        <f t="shared" si="9"/>
        <v>205.5</v>
      </c>
      <c r="D215" s="454">
        <f t="shared" si="9"/>
        <v>100</v>
      </c>
      <c r="F215" s="784">
        <f>SUM(F216:F221)</f>
        <v>0</v>
      </c>
      <c r="G215" s="784">
        <f t="shared" si="11"/>
        <v>0</v>
      </c>
      <c r="I215" s="784">
        <f>SUM(I216:I221)</f>
        <v>38.5</v>
      </c>
      <c r="J215" s="784">
        <f t="shared" si="10"/>
        <v>18.734793187347933</v>
      </c>
      <c r="L215" s="784">
        <f>SUM(L216:L221)</f>
        <v>167</v>
      </c>
      <c r="M215" s="784">
        <f t="shared" si="8"/>
        <v>81.265206812652067</v>
      </c>
    </row>
    <row r="216" spans="1:13" ht="12" customHeight="1">
      <c r="C216" s="784" t="str">
        <f t="shared" si="9"/>
        <v/>
      </c>
      <c r="D216" s="454" t="str">
        <f t="shared" si="9"/>
        <v/>
      </c>
      <c r="G216" s="784" t="str">
        <f t="shared" si="11"/>
        <v/>
      </c>
      <c r="J216" s="784" t="str">
        <f t="shared" si="10"/>
        <v/>
      </c>
      <c r="L216" s="784" t="s">
        <v>11</v>
      </c>
      <c r="M216" s="784" t="str">
        <f t="shared" si="8"/>
        <v/>
      </c>
    </row>
    <row r="217" spans="1:13" ht="12" customHeight="1">
      <c r="A217" s="455" t="s">
        <v>164</v>
      </c>
      <c r="C217" s="784">
        <f t="shared" si="9"/>
        <v>6.5</v>
      </c>
      <c r="D217" s="454">
        <f t="shared" si="9"/>
        <v>100</v>
      </c>
      <c r="F217" s="784">
        <v>0</v>
      </c>
      <c r="G217" s="784">
        <f t="shared" si="11"/>
        <v>0</v>
      </c>
      <c r="I217" s="784">
        <v>1</v>
      </c>
      <c r="J217" s="784">
        <f t="shared" si="10"/>
        <v>15.384615384615385</v>
      </c>
      <c r="L217" s="784">
        <v>5.5</v>
      </c>
      <c r="M217" s="784">
        <f t="shared" si="8"/>
        <v>84.615384615384613</v>
      </c>
    </row>
    <row r="218" spans="1:13" ht="12" customHeight="1">
      <c r="A218" s="455" t="s">
        <v>165</v>
      </c>
      <c r="C218" s="784">
        <f t="shared" si="9"/>
        <v>47</v>
      </c>
      <c r="D218" s="454">
        <f t="shared" si="9"/>
        <v>100</v>
      </c>
      <c r="F218" s="784">
        <v>0</v>
      </c>
      <c r="G218" s="784">
        <f t="shared" si="11"/>
        <v>0</v>
      </c>
      <c r="I218" s="784">
        <v>0</v>
      </c>
      <c r="J218" s="784">
        <f t="shared" si="10"/>
        <v>0</v>
      </c>
      <c r="L218" s="784">
        <v>47</v>
      </c>
      <c r="M218" s="784">
        <f t="shared" si="8"/>
        <v>100</v>
      </c>
    </row>
    <row r="219" spans="1:13" ht="12" customHeight="1">
      <c r="A219" s="455" t="s">
        <v>166</v>
      </c>
      <c r="C219" s="784">
        <f t="shared" si="9"/>
        <v>41.75</v>
      </c>
      <c r="D219" s="454">
        <f t="shared" si="9"/>
        <v>100</v>
      </c>
      <c r="F219" s="784">
        <v>0</v>
      </c>
      <c r="G219" s="784">
        <f t="shared" si="11"/>
        <v>0</v>
      </c>
      <c r="I219" s="784">
        <v>3.5</v>
      </c>
      <c r="J219" s="784">
        <f t="shared" si="10"/>
        <v>8.3832335329341312</v>
      </c>
      <c r="L219" s="784">
        <v>38.25</v>
      </c>
      <c r="M219" s="784">
        <f t="shared" si="8"/>
        <v>91.616766467065872</v>
      </c>
    </row>
    <row r="220" spans="1:13" ht="12" customHeight="1">
      <c r="A220" s="455" t="s">
        <v>167</v>
      </c>
      <c r="C220" s="784">
        <f t="shared" si="9"/>
        <v>40</v>
      </c>
      <c r="D220" s="454">
        <f t="shared" si="9"/>
        <v>100</v>
      </c>
      <c r="F220" s="784">
        <v>0</v>
      </c>
      <c r="G220" s="784">
        <f t="shared" si="11"/>
        <v>0</v>
      </c>
      <c r="I220" s="784">
        <v>30.5</v>
      </c>
      <c r="J220" s="784">
        <f t="shared" si="10"/>
        <v>76.25</v>
      </c>
      <c r="L220" s="784">
        <v>9.5</v>
      </c>
      <c r="M220" s="784">
        <f t="shared" si="8"/>
        <v>23.75</v>
      </c>
    </row>
    <row r="221" spans="1:13" ht="12" customHeight="1">
      <c r="A221" s="455" t="s">
        <v>168</v>
      </c>
      <c r="C221" s="784">
        <f t="shared" si="9"/>
        <v>70.25</v>
      </c>
      <c r="D221" s="454">
        <f t="shared" si="9"/>
        <v>100</v>
      </c>
      <c r="F221" s="784">
        <v>0</v>
      </c>
      <c r="G221" s="784">
        <f t="shared" si="11"/>
        <v>0</v>
      </c>
      <c r="I221" s="784">
        <v>3.5</v>
      </c>
      <c r="J221" s="784">
        <f t="shared" si="10"/>
        <v>4.9822064056939501</v>
      </c>
      <c r="L221" s="784">
        <v>66.75</v>
      </c>
      <c r="M221" s="784">
        <f t="shared" si="8"/>
        <v>95.017793594306056</v>
      </c>
    </row>
    <row r="222" spans="1:13" ht="12" customHeight="1">
      <c r="C222" s="784" t="str">
        <f t="shared" si="9"/>
        <v/>
      </c>
      <c r="D222" s="454" t="str">
        <f t="shared" si="9"/>
        <v/>
      </c>
      <c r="L222" s="784" t="s">
        <v>11</v>
      </c>
      <c r="M222" s="784" t="str">
        <f t="shared" si="8"/>
        <v/>
      </c>
    </row>
    <row r="223" spans="1:13" ht="12" customHeight="1">
      <c r="A223" s="9" t="s">
        <v>169</v>
      </c>
      <c r="C223" s="784">
        <f t="shared" si="9"/>
        <v>665</v>
      </c>
      <c r="D223" s="454">
        <f t="shared" si="9"/>
        <v>100</v>
      </c>
      <c r="F223" s="784">
        <f>SUM(F225+F230)</f>
        <v>0</v>
      </c>
      <c r="G223" s="784">
        <f t="shared" si="11"/>
        <v>0</v>
      </c>
      <c r="I223" s="784">
        <f>SUM(I225+I230)</f>
        <v>0</v>
      </c>
      <c r="J223" s="784">
        <f t="shared" si="10"/>
        <v>0</v>
      </c>
      <c r="L223" s="784">
        <f>SUM(L225+L230)</f>
        <v>665</v>
      </c>
      <c r="M223" s="784">
        <f t="shared" si="8"/>
        <v>100</v>
      </c>
    </row>
    <row r="224" spans="1:13" ht="12" customHeight="1">
      <c r="C224" s="784" t="str">
        <f t="shared" si="9"/>
        <v/>
      </c>
      <c r="D224" s="454" t="str">
        <f t="shared" si="9"/>
        <v/>
      </c>
      <c r="G224" s="784" t="str">
        <f t="shared" si="11"/>
        <v/>
      </c>
      <c r="J224" s="784" t="str">
        <f t="shared" si="10"/>
        <v/>
      </c>
      <c r="L224" s="784" t="s">
        <v>11</v>
      </c>
      <c r="M224" s="784" t="str">
        <f t="shared" si="8"/>
        <v/>
      </c>
    </row>
    <row r="225" spans="1:13" ht="12" customHeight="1">
      <c r="A225" s="455" t="s">
        <v>170</v>
      </c>
      <c r="C225" s="784">
        <f t="shared" si="9"/>
        <v>161.5</v>
      </c>
      <c r="D225" s="454">
        <f t="shared" si="9"/>
        <v>100</v>
      </c>
      <c r="F225" s="784">
        <f>SUM(F227:F228)</f>
        <v>0</v>
      </c>
      <c r="G225" s="784">
        <f t="shared" si="11"/>
        <v>0</v>
      </c>
      <c r="I225" s="784">
        <f>SUM(I227:I228)</f>
        <v>0</v>
      </c>
      <c r="J225" s="784">
        <f t="shared" si="10"/>
        <v>0</v>
      </c>
      <c r="L225" s="784">
        <f>SUM(L227:L228)</f>
        <v>161.5</v>
      </c>
      <c r="M225" s="784">
        <f t="shared" si="8"/>
        <v>100</v>
      </c>
    </row>
    <row r="226" spans="1:13" ht="12" customHeight="1">
      <c r="C226" s="784" t="str">
        <f t="shared" si="9"/>
        <v/>
      </c>
      <c r="D226" s="454" t="str">
        <f t="shared" si="9"/>
        <v/>
      </c>
      <c r="G226" s="784" t="str">
        <f t="shared" si="11"/>
        <v/>
      </c>
      <c r="J226" s="784" t="str">
        <f t="shared" si="10"/>
        <v/>
      </c>
      <c r="L226" s="784" t="s">
        <v>11</v>
      </c>
      <c r="M226" s="784" t="str">
        <f t="shared" si="8"/>
        <v/>
      </c>
    </row>
    <row r="227" spans="1:13" ht="12" customHeight="1">
      <c r="A227" s="455" t="s">
        <v>171</v>
      </c>
      <c r="C227" s="784">
        <f t="shared" si="9"/>
        <v>86</v>
      </c>
      <c r="D227" s="454">
        <f t="shared" si="9"/>
        <v>100</v>
      </c>
      <c r="F227" s="784">
        <v>0</v>
      </c>
      <c r="G227" s="784">
        <f t="shared" si="11"/>
        <v>0</v>
      </c>
      <c r="I227" s="784">
        <v>0</v>
      </c>
      <c r="J227" s="784">
        <f t="shared" si="10"/>
        <v>0</v>
      </c>
      <c r="L227" s="784">
        <v>86</v>
      </c>
      <c r="M227" s="784">
        <f t="shared" si="8"/>
        <v>100</v>
      </c>
    </row>
    <row r="228" spans="1:13" ht="12" customHeight="1">
      <c r="A228" s="455" t="s">
        <v>2199</v>
      </c>
      <c r="C228" s="784">
        <f t="shared" si="9"/>
        <v>75.5</v>
      </c>
      <c r="D228" s="454">
        <f t="shared" si="9"/>
        <v>100</v>
      </c>
      <c r="F228" s="784">
        <v>0</v>
      </c>
      <c r="G228" s="784">
        <f t="shared" si="11"/>
        <v>0</v>
      </c>
      <c r="I228" s="784">
        <v>0</v>
      </c>
      <c r="J228" s="784">
        <f t="shared" si="10"/>
        <v>0</v>
      </c>
      <c r="L228" s="784">
        <v>75.5</v>
      </c>
      <c r="M228" s="784">
        <f t="shared" si="8"/>
        <v>100</v>
      </c>
    </row>
    <row r="229" spans="1:13" ht="12" customHeight="1">
      <c r="C229" s="784" t="str">
        <f t="shared" si="9"/>
        <v/>
      </c>
      <c r="D229" s="454" t="str">
        <f t="shared" si="9"/>
        <v/>
      </c>
      <c r="G229" s="784" t="str">
        <f t="shared" si="11"/>
        <v/>
      </c>
      <c r="J229" s="784" t="str">
        <f t="shared" si="10"/>
        <v/>
      </c>
      <c r="L229" s="784" t="s">
        <v>11</v>
      </c>
      <c r="M229" s="784" t="str">
        <f t="shared" si="8"/>
        <v/>
      </c>
    </row>
    <row r="230" spans="1:13" ht="12" customHeight="1">
      <c r="A230" s="455" t="s">
        <v>173</v>
      </c>
      <c r="C230" s="784">
        <f t="shared" si="9"/>
        <v>503.5</v>
      </c>
      <c r="D230" s="454">
        <f t="shared" si="9"/>
        <v>100</v>
      </c>
      <c r="F230" s="784">
        <f>SUM(F232:F240)</f>
        <v>0</v>
      </c>
      <c r="G230" s="784">
        <f t="shared" si="11"/>
        <v>0</v>
      </c>
      <c r="I230" s="784">
        <f>SUM(I232:I240)</f>
        <v>0</v>
      </c>
      <c r="J230" s="784">
        <f t="shared" si="10"/>
        <v>0</v>
      </c>
      <c r="L230" s="784">
        <f>SUM(L232:L240)</f>
        <v>503.5</v>
      </c>
      <c r="M230" s="784">
        <f t="shared" si="8"/>
        <v>100</v>
      </c>
    </row>
    <row r="231" spans="1:13" ht="12" customHeight="1">
      <c r="C231" s="784" t="str">
        <f t="shared" si="9"/>
        <v/>
      </c>
      <c r="D231" s="454" t="str">
        <f t="shared" si="9"/>
        <v/>
      </c>
      <c r="G231" s="784" t="str">
        <f t="shared" si="11"/>
        <v/>
      </c>
      <c r="J231" s="784" t="str">
        <f t="shared" si="10"/>
        <v/>
      </c>
      <c r="L231" s="784" t="s">
        <v>11</v>
      </c>
      <c r="M231" s="784" t="str">
        <f t="shared" si="8"/>
        <v/>
      </c>
    </row>
    <row r="232" spans="1:13" ht="12" customHeight="1">
      <c r="A232" s="455" t="s">
        <v>174</v>
      </c>
      <c r="C232" s="784">
        <f t="shared" si="9"/>
        <v>68.5</v>
      </c>
      <c r="D232" s="454">
        <f t="shared" si="9"/>
        <v>100</v>
      </c>
      <c r="F232" s="784">
        <v>0</v>
      </c>
      <c r="G232" s="784">
        <f t="shared" si="11"/>
        <v>0</v>
      </c>
      <c r="I232" s="784">
        <v>0</v>
      </c>
      <c r="J232" s="784">
        <f t="shared" si="10"/>
        <v>0</v>
      </c>
      <c r="L232" s="784">
        <v>68.5</v>
      </c>
      <c r="M232" s="784">
        <f t="shared" ref="M232:M306" si="12">IF($A232&lt;&gt;0,L232/$C232*100,"")</f>
        <v>100</v>
      </c>
    </row>
    <row r="233" spans="1:13" ht="12" customHeight="1">
      <c r="A233" s="455" t="s">
        <v>175</v>
      </c>
      <c r="C233" s="784">
        <f t="shared" ref="C233:D307" si="13">IF($A233&lt;&gt;0,F233+I233+L233,"")</f>
        <v>25</v>
      </c>
      <c r="D233" s="454">
        <f t="shared" si="13"/>
        <v>100</v>
      </c>
      <c r="F233" s="784">
        <v>0</v>
      </c>
      <c r="G233" s="784">
        <f t="shared" si="11"/>
        <v>0</v>
      </c>
      <c r="I233" s="784">
        <v>0</v>
      </c>
      <c r="J233" s="784">
        <f t="shared" si="10"/>
        <v>0</v>
      </c>
      <c r="L233" s="784">
        <v>25</v>
      </c>
      <c r="M233" s="784">
        <f t="shared" si="12"/>
        <v>100</v>
      </c>
    </row>
    <row r="234" spans="1:13" ht="12" customHeight="1">
      <c r="A234" s="455" t="s">
        <v>176</v>
      </c>
      <c r="C234" s="784">
        <f t="shared" si="13"/>
        <v>186</v>
      </c>
      <c r="D234" s="454">
        <f t="shared" si="13"/>
        <v>100</v>
      </c>
      <c r="F234" s="784">
        <v>0</v>
      </c>
      <c r="G234" s="784">
        <f t="shared" si="11"/>
        <v>0</v>
      </c>
      <c r="I234" s="784">
        <v>0</v>
      </c>
      <c r="J234" s="784">
        <f t="shared" ref="J234:J308" si="14">IF($A234&lt;&gt;0,I234/$C234*100,"")</f>
        <v>0</v>
      </c>
      <c r="L234" s="784">
        <v>186</v>
      </c>
      <c r="M234" s="784">
        <f t="shared" si="12"/>
        <v>100</v>
      </c>
    </row>
    <row r="235" spans="1:13" ht="12" customHeight="1">
      <c r="A235" s="455" t="s">
        <v>177</v>
      </c>
      <c r="C235" s="784">
        <f t="shared" si="13"/>
        <v>12</v>
      </c>
      <c r="D235" s="454">
        <f t="shared" si="13"/>
        <v>100</v>
      </c>
      <c r="F235" s="784">
        <v>0</v>
      </c>
      <c r="G235" s="784">
        <f t="shared" ref="G235:G309" si="15">IF($A235&lt;&gt;0,F235/$C235*100,"")</f>
        <v>0</v>
      </c>
      <c r="I235" s="784">
        <v>0</v>
      </c>
      <c r="J235" s="784">
        <f t="shared" si="14"/>
        <v>0</v>
      </c>
      <c r="L235" s="784">
        <v>12</v>
      </c>
      <c r="M235" s="784">
        <f t="shared" si="12"/>
        <v>100</v>
      </c>
    </row>
    <row r="236" spans="1:13" ht="12" customHeight="1">
      <c r="A236" s="455" t="s">
        <v>178</v>
      </c>
      <c r="C236" s="784">
        <f t="shared" si="13"/>
        <v>42</v>
      </c>
      <c r="D236" s="454">
        <f t="shared" si="13"/>
        <v>100</v>
      </c>
      <c r="F236" s="784">
        <v>0</v>
      </c>
      <c r="G236" s="784">
        <f t="shared" si="15"/>
        <v>0</v>
      </c>
      <c r="I236" s="784">
        <v>0</v>
      </c>
      <c r="J236" s="784">
        <f t="shared" si="14"/>
        <v>0</v>
      </c>
      <c r="L236" s="784">
        <v>42</v>
      </c>
      <c r="M236" s="784">
        <f t="shared" si="12"/>
        <v>100</v>
      </c>
    </row>
    <row r="237" spans="1:13" ht="12" customHeight="1">
      <c r="A237" s="455" t="s">
        <v>179</v>
      </c>
      <c r="C237" s="784">
        <f t="shared" si="13"/>
        <v>150</v>
      </c>
      <c r="D237" s="454">
        <f t="shared" si="13"/>
        <v>100</v>
      </c>
      <c r="F237" s="784">
        <v>0</v>
      </c>
      <c r="G237" s="784">
        <f t="shared" si="15"/>
        <v>0</v>
      </c>
      <c r="I237" s="784">
        <v>0</v>
      </c>
      <c r="J237" s="784">
        <f t="shared" si="14"/>
        <v>0</v>
      </c>
      <c r="L237" s="784">
        <v>150</v>
      </c>
      <c r="M237" s="784">
        <f t="shared" si="12"/>
        <v>100</v>
      </c>
    </row>
    <row r="238" spans="1:13" ht="12" customHeight="1">
      <c r="A238" s="4" t="s">
        <v>180</v>
      </c>
      <c r="C238" s="784">
        <f>IF($A238&lt;&gt;0,F238+I238+L238,"")</f>
        <v>1</v>
      </c>
      <c r="D238" s="454">
        <f>IF($A238&lt;&gt;0,G238+J238+M238,"")</f>
        <v>100</v>
      </c>
      <c r="F238" s="784">
        <v>0</v>
      </c>
      <c r="G238" s="784">
        <f>IF($A238&lt;&gt;0,F238/$C238*100,"")</f>
        <v>0</v>
      </c>
      <c r="I238" s="784">
        <v>0</v>
      </c>
      <c r="J238" s="784">
        <f>IF($A238&lt;&gt;0,I238/$C238*100,"")</f>
        <v>0</v>
      </c>
      <c r="L238" s="784">
        <v>1</v>
      </c>
      <c r="M238" s="784">
        <f>IF($A238&lt;&gt;0,L238/$C238*100,"")</f>
        <v>100</v>
      </c>
    </row>
    <row r="239" spans="1:13" ht="12" customHeight="1">
      <c r="A239" s="455" t="s">
        <v>181</v>
      </c>
      <c r="C239" s="784">
        <f t="shared" si="13"/>
        <v>17</v>
      </c>
      <c r="D239" s="454">
        <f t="shared" si="13"/>
        <v>100</v>
      </c>
      <c r="F239" s="784">
        <v>0</v>
      </c>
      <c r="G239" s="784">
        <f t="shared" si="15"/>
        <v>0</v>
      </c>
      <c r="I239" s="784">
        <v>0</v>
      </c>
      <c r="J239" s="784">
        <f t="shared" si="14"/>
        <v>0</v>
      </c>
      <c r="L239" s="784">
        <v>17</v>
      </c>
      <c r="M239" s="784">
        <f t="shared" si="12"/>
        <v>100</v>
      </c>
    </row>
    <row r="240" spans="1:13" ht="12" customHeight="1">
      <c r="A240" s="455" t="s">
        <v>182</v>
      </c>
      <c r="C240" s="784">
        <f t="shared" si="13"/>
        <v>2</v>
      </c>
      <c r="D240" s="454">
        <f t="shared" si="13"/>
        <v>100</v>
      </c>
      <c r="F240" s="784">
        <v>0</v>
      </c>
      <c r="G240" s="784">
        <f t="shared" si="15"/>
        <v>0</v>
      </c>
      <c r="I240" s="784">
        <v>0</v>
      </c>
      <c r="J240" s="784">
        <f t="shared" si="14"/>
        <v>0</v>
      </c>
      <c r="L240" s="784">
        <v>2</v>
      </c>
      <c r="M240" s="784">
        <f t="shared" si="12"/>
        <v>100</v>
      </c>
    </row>
    <row r="241" spans="1:13" ht="12" customHeight="1">
      <c r="C241" s="784" t="str">
        <f t="shared" si="13"/>
        <v/>
      </c>
      <c r="D241" s="454" t="str">
        <f t="shared" si="13"/>
        <v/>
      </c>
      <c r="G241" s="784" t="str">
        <f t="shared" si="15"/>
        <v/>
      </c>
      <c r="J241" s="784" t="str">
        <f t="shared" si="14"/>
        <v/>
      </c>
      <c r="L241" s="784" t="s">
        <v>11</v>
      </c>
      <c r="M241" s="784" t="str">
        <f t="shared" si="12"/>
        <v/>
      </c>
    </row>
    <row r="242" spans="1:13" ht="12" customHeight="1">
      <c r="A242" s="9" t="s">
        <v>183</v>
      </c>
      <c r="C242" s="784">
        <f t="shared" si="13"/>
        <v>664.7</v>
      </c>
      <c r="D242" s="454">
        <f t="shared" si="13"/>
        <v>100</v>
      </c>
      <c r="F242" s="784">
        <f>SUM(F248+F256+F268+F244+F246)</f>
        <v>59.25</v>
      </c>
      <c r="G242" s="784">
        <f t="shared" si="15"/>
        <v>8.9137956973070551</v>
      </c>
      <c r="I242" s="784">
        <f>SUM(I248+I256+I268+I244+I246)</f>
        <v>21.25</v>
      </c>
      <c r="J242" s="784">
        <f t="shared" si="14"/>
        <v>3.1969309462915598</v>
      </c>
      <c r="L242" s="784">
        <f>SUM(L248+L256+L268+L244+L246)</f>
        <v>584.20000000000005</v>
      </c>
      <c r="M242" s="784">
        <f t="shared" si="12"/>
        <v>87.889273356401389</v>
      </c>
    </row>
    <row r="243" spans="1:13" ht="12" customHeight="1">
      <c r="C243" s="784" t="str">
        <f t="shared" si="13"/>
        <v/>
      </c>
      <c r="D243" s="454" t="str">
        <f t="shared" si="13"/>
        <v/>
      </c>
      <c r="G243" s="784" t="str">
        <f t="shared" si="15"/>
        <v/>
      </c>
      <c r="J243" s="784" t="str">
        <f t="shared" si="14"/>
        <v/>
      </c>
      <c r="L243" s="784" t="s">
        <v>11</v>
      </c>
      <c r="M243" s="784" t="str">
        <f t="shared" si="12"/>
        <v/>
      </c>
    </row>
    <row r="244" spans="1:13" ht="12" customHeight="1">
      <c r="A244" s="455" t="s">
        <v>184</v>
      </c>
      <c r="C244" s="784">
        <f t="shared" si="13"/>
        <v>56.75</v>
      </c>
      <c r="D244" s="454">
        <f t="shared" si="13"/>
        <v>100</v>
      </c>
      <c r="F244" s="784">
        <v>8.5</v>
      </c>
      <c r="G244" s="784">
        <f t="shared" si="15"/>
        <v>14.977973568281937</v>
      </c>
      <c r="I244" s="784">
        <v>0</v>
      </c>
      <c r="J244" s="784">
        <f t="shared" si="14"/>
        <v>0</v>
      </c>
      <c r="L244" s="784">
        <v>48.25</v>
      </c>
      <c r="M244" s="784">
        <f t="shared" si="12"/>
        <v>85.022026431718061</v>
      </c>
    </row>
    <row r="245" spans="1:13" ht="12" customHeight="1">
      <c r="C245" s="784" t="str">
        <f t="shared" si="13"/>
        <v/>
      </c>
      <c r="D245" s="454" t="str">
        <f t="shared" si="13"/>
        <v/>
      </c>
      <c r="G245" s="784" t="str">
        <f t="shared" si="15"/>
        <v/>
      </c>
      <c r="J245" s="784" t="str">
        <f t="shared" si="14"/>
        <v/>
      </c>
      <c r="L245" s="784" t="s">
        <v>11</v>
      </c>
      <c r="M245" s="784" t="str">
        <f t="shared" si="12"/>
        <v/>
      </c>
    </row>
    <row r="246" spans="1:13" ht="12" customHeight="1">
      <c r="A246" s="455" t="s">
        <v>185</v>
      </c>
      <c r="C246" s="784">
        <f t="shared" si="13"/>
        <v>28</v>
      </c>
      <c r="D246" s="454">
        <f t="shared" si="13"/>
        <v>100</v>
      </c>
      <c r="F246" s="784">
        <v>1</v>
      </c>
      <c r="G246" s="784">
        <f t="shared" si="15"/>
        <v>3.5714285714285712</v>
      </c>
      <c r="I246" s="784">
        <v>0</v>
      </c>
      <c r="J246" s="784">
        <f t="shared" si="14"/>
        <v>0</v>
      </c>
      <c r="L246" s="784">
        <v>27</v>
      </c>
      <c r="M246" s="784">
        <f t="shared" si="12"/>
        <v>96.428571428571431</v>
      </c>
    </row>
    <row r="247" spans="1:13" ht="12" customHeight="1">
      <c r="C247" s="784" t="str">
        <f t="shared" si="13"/>
        <v/>
      </c>
      <c r="D247" s="454" t="str">
        <f t="shared" si="13"/>
        <v/>
      </c>
      <c r="G247" s="784" t="str">
        <f t="shared" si="15"/>
        <v/>
      </c>
      <c r="J247" s="784" t="str">
        <f t="shared" si="14"/>
        <v/>
      </c>
      <c r="L247" s="784" t="s">
        <v>11</v>
      </c>
      <c r="M247" s="784" t="str">
        <f t="shared" si="12"/>
        <v/>
      </c>
    </row>
    <row r="248" spans="1:13" ht="12" customHeight="1">
      <c r="A248" s="455" t="s">
        <v>186</v>
      </c>
      <c r="C248" s="784">
        <f t="shared" si="13"/>
        <v>151.875</v>
      </c>
      <c r="D248" s="454">
        <f t="shared" si="13"/>
        <v>100</v>
      </c>
      <c r="F248" s="784">
        <f>SUM(F250:F254)</f>
        <v>18</v>
      </c>
      <c r="G248" s="784">
        <f t="shared" si="15"/>
        <v>11.851851851851853</v>
      </c>
      <c r="I248" s="784">
        <f>SUM(I250:I254)</f>
        <v>17</v>
      </c>
      <c r="J248" s="784">
        <f t="shared" si="14"/>
        <v>11.193415637860083</v>
      </c>
      <c r="L248" s="784">
        <f>SUM(L250:L254)</f>
        <v>116.875</v>
      </c>
      <c r="M248" s="784">
        <f t="shared" si="12"/>
        <v>76.954732510288068</v>
      </c>
    </row>
    <row r="249" spans="1:13" ht="12" customHeight="1">
      <c r="C249" s="784" t="str">
        <f t="shared" si="13"/>
        <v/>
      </c>
      <c r="D249" s="454" t="str">
        <f t="shared" si="13"/>
        <v/>
      </c>
      <c r="G249" s="784" t="str">
        <f t="shared" si="15"/>
        <v/>
      </c>
      <c r="J249" s="784" t="str">
        <f t="shared" si="14"/>
        <v/>
      </c>
      <c r="L249" s="784" t="s">
        <v>11</v>
      </c>
      <c r="M249" s="784" t="str">
        <f t="shared" si="12"/>
        <v/>
      </c>
    </row>
    <row r="250" spans="1:13" ht="12" customHeight="1">
      <c r="A250" s="19" t="s">
        <v>187</v>
      </c>
      <c r="C250" s="784">
        <f t="shared" si="13"/>
        <v>21</v>
      </c>
      <c r="D250" s="454">
        <f t="shared" si="13"/>
        <v>99.999999999999986</v>
      </c>
      <c r="F250" s="784">
        <v>6</v>
      </c>
      <c r="G250" s="784">
        <f t="shared" si="15"/>
        <v>28.571428571428569</v>
      </c>
      <c r="I250" s="784">
        <v>1</v>
      </c>
      <c r="J250" s="784">
        <f t="shared" si="14"/>
        <v>4.7619047619047619</v>
      </c>
      <c r="L250" s="784">
        <v>14</v>
      </c>
      <c r="M250" s="784">
        <f t="shared" si="12"/>
        <v>66.666666666666657</v>
      </c>
    </row>
    <row r="251" spans="1:13" ht="12" customHeight="1">
      <c r="A251" s="19" t="s">
        <v>188</v>
      </c>
      <c r="C251" s="784">
        <f t="shared" si="13"/>
        <v>51.75</v>
      </c>
      <c r="D251" s="454">
        <f t="shared" si="13"/>
        <v>100</v>
      </c>
      <c r="F251" s="784">
        <v>5.5</v>
      </c>
      <c r="G251" s="784">
        <f t="shared" si="15"/>
        <v>10.628019323671497</v>
      </c>
      <c r="I251" s="784">
        <v>15.5</v>
      </c>
      <c r="J251" s="784">
        <f t="shared" si="14"/>
        <v>29.951690821256037</v>
      </c>
      <c r="L251" s="784">
        <v>30.75</v>
      </c>
      <c r="M251" s="784">
        <f t="shared" si="12"/>
        <v>59.420289855072461</v>
      </c>
    </row>
    <row r="252" spans="1:13" ht="12" customHeight="1">
      <c r="A252" s="19" t="s">
        <v>189</v>
      </c>
      <c r="C252" s="784">
        <f t="shared" si="13"/>
        <v>38.5</v>
      </c>
      <c r="D252" s="454">
        <f t="shared" si="13"/>
        <v>100</v>
      </c>
      <c r="F252" s="784">
        <v>4</v>
      </c>
      <c r="G252" s="784">
        <f t="shared" si="15"/>
        <v>10.38961038961039</v>
      </c>
      <c r="I252" s="784">
        <v>0.5</v>
      </c>
      <c r="J252" s="784">
        <f t="shared" si="14"/>
        <v>1.2987012987012987</v>
      </c>
      <c r="L252" s="784">
        <v>34</v>
      </c>
      <c r="M252" s="784">
        <f t="shared" si="12"/>
        <v>88.311688311688314</v>
      </c>
    </row>
    <row r="253" spans="1:13" ht="12" customHeight="1">
      <c r="A253" s="19" t="s">
        <v>190</v>
      </c>
      <c r="C253" s="784">
        <f t="shared" si="13"/>
        <v>11.5</v>
      </c>
      <c r="D253" s="454">
        <f t="shared" si="13"/>
        <v>100</v>
      </c>
      <c r="F253" s="784">
        <v>1.5</v>
      </c>
      <c r="G253" s="784">
        <f t="shared" si="15"/>
        <v>13.043478260869565</v>
      </c>
      <c r="I253" s="784">
        <v>0</v>
      </c>
      <c r="J253" s="784">
        <f t="shared" si="14"/>
        <v>0</v>
      </c>
      <c r="L253" s="784">
        <v>10</v>
      </c>
      <c r="M253" s="784">
        <f t="shared" si="12"/>
        <v>86.956521739130437</v>
      </c>
    </row>
    <row r="254" spans="1:13" ht="12" customHeight="1">
      <c r="A254" s="19" t="s">
        <v>191</v>
      </c>
      <c r="C254" s="784">
        <f t="shared" si="13"/>
        <v>29.125</v>
      </c>
      <c r="D254" s="454">
        <f t="shared" si="13"/>
        <v>100</v>
      </c>
      <c r="F254" s="784">
        <v>1</v>
      </c>
      <c r="G254" s="784">
        <f t="shared" si="15"/>
        <v>3.4334763948497855</v>
      </c>
      <c r="I254" s="784">
        <v>0</v>
      </c>
      <c r="J254" s="784">
        <f t="shared" si="14"/>
        <v>0</v>
      </c>
      <c r="L254" s="784">
        <v>28.125</v>
      </c>
      <c r="M254" s="784">
        <f t="shared" si="12"/>
        <v>96.566523605150209</v>
      </c>
    </row>
    <row r="255" spans="1:13" ht="12" customHeight="1">
      <c r="A255" s="4"/>
      <c r="C255" s="784" t="str">
        <f t="shared" si="13"/>
        <v/>
      </c>
      <c r="D255" s="454" t="str">
        <f t="shared" si="13"/>
        <v/>
      </c>
      <c r="G255" s="784" t="str">
        <f t="shared" si="15"/>
        <v/>
      </c>
      <c r="J255" s="784" t="str">
        <f t="shared" si="14"/>
        <v/>
      </c>
      <c r="L255" s="784" t="s">
        <v>11</v>
      </c>
      <c r="M255" s="784" t="str">
        <f t="shared" si="12"/>
        <v/>
      </c>
    </row>
    <row r="256" spans="1:13" ht="12" customHeight="1">
      <c r="A256" s="4" t="s">
        <v>192</v>
      </c>
      <c r="C256" s="784">
        <f t="shared" si="13"/>
        <v>149.5</v>
      </c>
      <c r="D256" s="454">
        <f t="shared" si="13"/>
        <v>100</v>
      </c>
      <c r="F256" s="784">
        <f>SUM(F258:F266)</f>
        <v>10.25</v>
      </c>
      <c r="G256" s="784">
        <f t="shared" si="15"/>
        <v>6.8561872909698991</v>
      </c>
      <c r="I256" s="784">
        <f>SUM(I258:I266)</f>
        <v>3.25</v>
      </c>
      <c r="J256" s="784">
        <f t="shared" si="14"/>
        <v>2.1739130434782608</v>
      </c>
      <c r="L256" s="784">
        <f>SUM(L258:L266)</f>
        <v>136</v>
      </c>
      <c r="M256" s="784">
        <f t="shared" si="12"/>
        <v>90.969899665551836</v>
      </c>
    </row>
    <row r="257" spans="1:13" ht="12" customHeight="1">
      <c r="A257" s="4"/>
      <c r="C257" s="784" t="str">
        <f t="shared" si="13"/>
        <v/>
      </c>
      <c r="D257" s="454" t="str">
        <f t="shared" si="13"/>
        <v/>
      </c>
      <c r="G257" s="784" t="str">
        <f t="shared" si="15"/>
        <v/>
      </c>
      <c r="J257" s="784" t="str">
        <f t="shared" si="14"/>
        <v/>
      </c>
      <c r="L257" s="784" t="s">
        <v>11</v>
      </c>
      <c r="M257" s="784" t="str">
        <f t="shared" si="12"/>
        <v/>
      </c>
    </row>
    <row r="258" spans="1:13" ht="12" customHeight="1">
      <c r="A258" s="19" t="s">
        <v>193</v>
      </c>
      <c r="C258" s="784">
        <f t="shared" si="13"/>
        <v>5</v>
      </c>
      <c r="D258" s="454">
        <f t="shared" si="13"/>
        <v>100</v>
      </c>
      <c r="F258" s="784">
        <v>1</v>
      </c>
      <c r="G258" s="784">
        <f t="shared" si="15"/>
        <v>20</v>
      </c>
      <c r="I258" s="784">
        <v>0</v>
      </c>
      <c r="J258" s="784">
        <f t="shared" si="14"/>
        <v>0</v>
      </c>
      <c r="L258" s="784">
        <v>4</v>
      </c>
      <c r="M258" s="784">
        <f t="shared" si="12"/>
        <v>80</v>
      </c>
    </row>
    <row r="259" spans="1:13" ht="12" customHeight="1">
      <c r="A259" s="19" t="s">
        <v>194</v>
      </c>
      <c r="C259" s="784">
        <f t="shared" si="13"/>
        <v>17</v>
      </c>
      <c r="D259" s="454">
        <f t="shared" si="13"/>
        <v>99.999999999999986</v>
      </c>
      <c r="F259" s="784">
        <v>1</v>
      </c>
      <c r="G259" s="784">
        <f t="shared" si="15"/>
        <v>5.8823529411764701</v>
      </c>
      <c r="I259" s="784">
        <v>0</v>
      </c>
      <c r="J259" s="784">
        <f t="shared" si="14"/>
        <v>0</v>
      </c>
      <c r="L259" s="784">
        <v>16</v>
      </c>
      <c r="M259" s="784">
        <f t="shared" si="12"/>
        <v>94.117647058823522</v>
      </c>
    </row>
    <row r="260" spans="1:13" ht="12" customHeight="1">
      <c r="A260" s="19" t="s">
        <v>195</v>
      </c>
      <c r="C260" s="784">
        <f t="shared" si="13"/>
        <v>3</v>
      </c>
      <c r="D260" s="454">
        <f t="shared" si="13"/>
        <v>99.999999999999986</v>
      </c>
      <c r="F260" s="784">
        <v>1</v>
      </c>
      <c r="G260" s="784">
        <f t="shared" si="15"/>
        <v>33.333333333333329</v>
      </c>
      <c r="I260" s="784">
        <v>0</v>
      </c>
      <c r="J260" s="784">
        <f t="shared" si="14"/>
        <v>0</v>
      </c>
      <c r="L260" s="784">
        <v>2</v>
      </c>
      <c r="M260" s="784">
        <f t="shared" si="12"/>
        <v>66.666666666666657</v>
      </c>
    </row>
    <row r="261" spans="1:13" ht="12" customHeight="1">
      <c r="A261" s="19" t="s">
        <v>196</v>
      </c>
      <c r="C261" s="784">
        <f t="shared" si="13"/>
        <v>19.5</v>
      </c>
      <c r="D261" s="454">
        <f t="shared" si="13"/>
        <v>99.999999999999986</v>
      </c>
      <c r="F261" s="784">
        <v>1</v>
      </c>
      <c r="G261" s="784">
        <f t="shared" si="15"/>
        <v>5.1282051282051277</v>
      </c>
      <c r="I261" s="784">
        <v>0</v>
      </c>
      <c r="J261" s="784">
        <f t="shared" si="14"/>
        <v>0</v>
      </c>
      <c r="L261" s="784">
        <v>18.5</v>
      </c>
      <c r="M261" s="784">
        <f t="shared" si="12"/>
        <v>94.871794871794862</v>
      </c>
    </row>
    <row r="262" spans="1:13" ht="12" customHeight="1">
      <c r="A262" s="19" t="s">
        <v>197</v>
      </c>
      <c r="C262" s="784">
        <f t="shared" si="13"/>
        <v>18.25</v>
      </c>
      <c r="D262" s="454">
        <f t="shared" si="13"/>
        <v>100</v>
      </c>
      <c r="F262" s="784">
        <v>2.25</v>
      </c>
      <c r="G262" s="784">
        <f t="shared" si="15"/>
        <v>12.328767123287671</v>
      </c>
      <c r="I262" s="784">
        <v>0</v>
      </c>
      <c r="J262" s="784">
        <f t="shared" si="14"/>
        <v>0</v>
      </c>
      <c r="L262" s="784">
        <v>16</v>
      </c>
      <c r="M262" s="784">
        <f t="shared" si="12"/>
        <v>87.671232876712324</v>
      </c>
    </row>
    <row r="263" spans="1:13" ht="12" customHeight="1">
      <c r="A263" s="19" t="s">
        <v>198</v>
      </c>
      <c r="C263" s="784">
        <f t="shared" si="13"/>
        <v>35</v>
      </c>
      <c r="D263" s="454">
        <f t="shared" si="13"/>
        <v>100</v>
      </c>
      <c r="F263" s="784">
        <v>1</v>
      </c>
      <c r="G263" s="784">
        <f t="shared" si="15"/>
        <v>2.8571428571428572</v>
      </c>
      <c r="I263" s="784">
        <v>0</v>
      </c>
      <c r="J263" s="784">
        <f t="shared" si="14"/>
        <v>0</v>
      </c>
      <c r="L263" s="784">
        <v>34</v>
      </c>
      <c r="M263" s="784">
        <f t="shared" si="12"/>
        <v>97.142857142857139</v>
      </c>
    </row>
    <row r="264" spans="1:13" ht="12" customHeight="1">
      <c r="A264" s="19" t="s">
        <v>199</v>
      </c>
      <c r="C264" s="784">
        <f t="shared" si="13"/>
        <v>20.25</v>
      </c>
      <c r="D264" s="454">
        <f t="shared" si="13"/>
        <v>100</v>
      </c>
      <c r="F264" s="784">
        <v>1</v>
      </c>
      <c r="G264" s="784">
        <f t="shared" si="15"/>
        <v>4.9382716049382713</v>
      </c>
      <c r="I264" s="784">
        <v>1.75</v>
      </c>
      <c r="J264" s="784">
        <f t="shared" si="14"/>
        <v>8.6419753086419746</v>
      </c>
      <c r="L264" s="784">
        <v>17.5</v>
      </c>
      <c r="M264" s="784">
        <f t="shared" si="12"/>
        <v>86.419753086419746</v>
      </c>
    </row>
    <row r="265" spans="1:13" ht="12" customHeight="1">
      <c r="A265" s="19" t="s">
        <v>200</v>
      </c>
      <c r="C265" s="784">
        <f t="shared" si="13"/>
        <v>14.5</v>
      </c>
      <c r="D265" s="454">
        <f t="shared" si="13"/>
        <v>100</v>
      </c>
      <c r="F265" s="784">
        <v>1</v>
      </c>
      <c r="G265" s="784">
        <f t="shared" si="15"/>
        <v>6.8965517241379306</v>
      </c>
      <c r="I265" s="784">
        <v>1.5</v>
      </c>
      <c r="J265" s="784">
        <f t="shared" si="14"/>
        <v>10.344827586206897</v>
      </c>
      <c r="L265" s="784">
        <v>12</v>
      </c>
      <c r="M265" s="784">
        <f t="shared" si="12"/>
        <v>82.758620689655174</v>
      </c>
    </row>
    <row r="266" spans="1:13" ht="12" customHeight="1">
      <c r="A266" s="19" t="s">
        <v>201</v>
      </c>
      <c r="C266" s="784">
        <f t="shared" si="13"/>
        <v>17</v>
      </c>
      <c r="D266" s="454">
        <f t="shared" si="13"/>
        <v>99.999999999999986</v>
      </c>
      <c r="F266" s="784">
        <v>1</v>
      </c>
      <c r="G266" s="784">
        <f t="shared" si="15"/>
        <v>5.8823529411764701</v>
      </c>
      <c r="I266" s="784">
        <v>0</v>
      </c>
      <c r="J266" s="784">
        <f t="shared" si="14"/>
        <v>0</v>
      </c>
      <c r="L266" s="784">
        <v>16</v>
      </c>
      <c r="M266" s="784">
        <f t="shared" si="12"/>
        <v>94.117647058823522</v>
      </c>
    </row>
    <row r="267" spans="1:13" ht="12" customHeight="1">
      <c r="C267" s="784" t="str">
        <f t="shared" si="13"/>
        <v/>
      </c>
      <c r="D267" s="454" t="str">
        <f t="shared" si="13"/>
        <v/>
      </c>
      <c r="G267" s="784" t="str">
        <f t="shared" si="15"/>
        <v/>
      </c>
      <c r="J267" s="784" t="str">
        <f t="shared" si="14"/>
        <v/>
      </c>
      <c r="L267" s="784" t="s">
        <v>11</v>
      </c>
      <c r="M267" s="784" t="str">
        <f t="shared" si="12"/>
        <v/>
      </c>
    </row>
    <row r="268" spans="1:13" ht="12" customHeight="1">
      <c r="A268" s="455" t="s">
        <v>202</v>
      </c>
      <c r="C268" s="784">
        <f t="shared" si="13"/>
        <v>278.57499999999999</v>
      </c>
      <c r="D268" s="454">
        <f t="shared" si="13"/>
        <v>100</v>
      </c>
      <c r="F268" s="784">
        <f>SUM(F270:F279)</f>
        <v>21.5</v>
      </c>
      <c r="G268" s="784">
        <f t="shared" si="15"/>
        <v>7.7178497711567804</v>
      </c>
      <c r="I268" s="784">
        <f>SUM(I270:I279)</f>
        <v>1</v>
      </c>
      <c r="J268" s="784">
        <f t="shared" si="14"/>
        <v>0.35896975679798976</v>
      </c>
      <c r="L268" s="784">
        <f>SUM(L270:L279)</f>
        <v>256.07499999999999</v>
      </c>
      <c r="M268" s="784">
        <f t="shared" si="12"/>
        <v>91.923180472045232</v>
      </c>
    </row>
    <row r="269" spans="1:13" ht="12" customHeight="1">
      <c r="C269" s="784" t="str">
        <f t="shared" si="13"/>
        <v/>
      </c>
      <c r="D269" s="454" t="str">
        <f t="shared" si="13"/>
        <v/>
      </c>
      <c r="G269" s="784" t="str">
        <f t="shared" si="15"/>
        <v/>
      </c>
      <c r="J269" s="784" t="str">
        <f t="shared" si="14"/>
        <v/>
      </c>
      <c r="L269" s="784" t="s">
        <v>11</v>
      </c>
      <c r="M269" s="784" t="str">
        <f t="shared" si="12"/>
        <v/>
      </c>
    </row>
    <row r="270" spans="1:13" ht="12" customHeight="1">
      <c r="A270" s="455" t="s">
        <v>203</v>
      </c>
      <c r="C270" s="784">
        <f t="shared" si="13"/>
        <v>32.5</v>
      </c>
      <c r="D270" s="454">
        <f t="shared" si="13"/>
        <v>100</v>
      </c>
      <c r="F270" s="784">
        <v>0</v>
      </c>
      <c r="G270" s="784">
        <f t="shared" si="15"/>
        <v>0</v>
      </c>
      <c r="I270" s="784">
        <v>0</v>
      </c>
      <c r="J270" s="784">
        <f t="shared" si="14"/>
        <v>0</v>
      </c>
      <c r="L270" s="784">
        <v>32.5</v>
      </c>
      <c r="M270" s="784">
        <f t="shared" si="12"/>
        <v>100</v>
      </c>
    </row>
    <row r="271" spans="1:13" ht="12" customHeight="1">
      <c r="A271" s="455" t="s">
        <v>204</v>
      </c>
      <c r="C271" s="784">
        <f t="shared" si="13"/>
        <v>35</v>
      </c>
      <c r="D271" s="454">
        <f t="shared" si="13"/>
        <v>100</v>
      </c>
      <c r="F271" s="784">
        <v>0</v>
      </c>
      <c r="G271" s="784">
        <f t="shared" si="15"/>
        <v>0</v>
      </c>
      <c r="I271" s="784">
        <v>0</v>
      </c>
      <c r="J271" s="784">
        <f t="shared" si="14"/>
        <v>0</v>
      </c>
      <c r="L271" s="784">
        <v>35</v>
      </c>
      <c r="M271" s="784">
        <f t="shared" si="12"/>
        <v>100</v>
      </c>
    </row>
    <row r="272" spans="1:13" ht="12" customHeight="1">
      <c r="A272" s="455" t="s">
        <v>205</v>
      </c>
      <c r="C272" s="784">
        <f t="shared" si="13"/>
        <v>17.824999999999999</v>
      </c>
      <c r="D272" s="454">
        <f t="shared" si="13"/>
        <v>100</v>
      </c>
      <c r="F272" s="784">
        <v>0</v>
      </c>
      <c r="G272" s="784">
        <f t="shared" si="15"/>
        <v>0</v>
      </c>
      <c r="I272" s="784">
        <v>0</v>
      </c>
      <c r="J272" s="784">
        <f t="shared" si="14"/>
        <v>0</v>
      </c>
      <c r="L272" s="784">
        <v>17.824999999999999</v>
      </c>
      <c r="M272" s="784">
        <f t="shared" si="12"/>
        <v>100</v>
      </c>
    </row>
    <row r="273" spans="1:13" ht="12" customHeight="1">
      <c r="A273" s="455" t="s">
        <v>206</v>
      </c>
      <c r="C273" s="784">
        <f t="shared" si="13"/>
        <v>28.75</v>
      </c>
      <c r="D273" s="454">
        <f t="shared" si="13"/>
        <v>100</v>
      </c>
      <c r="F273" s="784">
        <v>0</v>
      </c>
      <c r="G273" s="784">
        <f t="shared" si="15"/>
        <v>0</v>
      </c>
      <c r="I273" s="784">
        <v>0</v>
      </c>
      <c r="J273" s="784">
        <f t="shared" si="14"/>
        <v>0</v>
      </c>
      <c r="L273" s="784">
        <v>28.75</v>
      </c>
      <c r="M273" s="784">
        <f t="shared" si="12"/>
        <v>100</v>
      </c>
    </row>
    <row r="274" spans="1:13" ht="12" customHeight="1">
      <c r="A274" s="455" t="s">
        <v>207</v>
      </c>
      <c r="C274" s="784">
        <f t="shared" si="13"/>
        <v>18</v>
      </c>
      <c r="D274" s="454">
        <f t="shared" si="13"/>
        <v>100</v>
      </c>
      <c r="F274" s="784">
        <v>2</v>
      </c>
      <c r="G274" s="784">
        <f t="shared" si="15"/>
        <v>11.111111111111111</v>
      </c>
      <c r="I274" s="784">
        <v>0</v>
      </c>
      <c r="J274" s="784">
        <f t="shared" si="14"/>
        <v>0</v>
      </c>
      <c r="L274" s="784">
        <v>16</v>
      </c>
      <c r="M274" s="784">
        <f t="shared" si="12"/>
        <v>88.888888888888886</v>
      </c>
    </row>
    <row r="275" spans="1:13" ht="12" customHeight="1">
      <c r="A275" s="455" t="s">
        <v>208</v>
      </c>
      <c r="C275" s="784">
        <f t="shared" si="13"/>
        <v>86.5</v>
      </c>
      <c r="D275" s="454">
        <f t="shared" si="13"/>
        <v>100</v>
      </c>
      <c r="F275" s="784">
        <v>0</v>
      </c>
      <c r="G275" s="784">
        <f t="shared" si="15"/>
        <v>0</v>
      </c>
      <c r="I275" s="784">
        <v>0</v>
      </c>
      <c r="J275" s="784">
        <f t="shared" si="14"/>
        <v>0</v>
      </c>
      <c r="L275" s="784">
        <v>86.5</v>
      </c>
      <c r="M275" s="784">
        <f t="shared" si="12"/>
        <v>100</v>
      </c>
    </row>
    <row r="276" spans="1:13" ht="12" customHeight="1">
      <c r="A276" s="455" t="s">
        <v>209</v>
      </c>
      <c r="C276" s="784">
        <f t="shared" si="13"/>
        <v>4.5</v>
      </c>
      <c r="D276" s="454">
        <f t="shared" si="13"/>
        <v>99.999999999999986</v>
      </c>
      <c r="F276" s="784">
        <v>1.5</v>
      </c>
      <c r="G276" s="784">
        <f t="shared" si="15"/>
        <v>33.333333333333329</v>
      </c>
      <c r="I276" s="784">
        <v>0</v>
      </c>
      <c r="J276" s="784">
        <f t="shared" si="14"/>
        <v>0</v>
      </c>
      <c r="L276" s="784">
        <v>3</v>
      </c>
      <c r="M276" s="784">
        <f t="shared" si="12"/>
        <v>66.666666666666657</v>
      </c>
    </row>
    <row r="277" spans="1:13" ht="12" customHeight="1">
      <c r="A277" s="455" t="s">
        <v>210</v>
      </c>
      <c r="C277" s="784">
        <f t="shared" si="13"/>
        <v>9</v>
      </c>
      <c r="D277" s="454">
        <f t="shared" si="13"/>
        <v>100</v>
      </c>
      <c r="F277" s="784">
        <v>5</v>
      </c>
      <c r="G277" s="784">
        <f t="shared" si="15"/>
        <v>55.555555555555557</v>
      </c>
      <c r="I277" s="784">
        <v>0</v>
      </c>
      <c r="J277" s="784">
        <f t="shared" si="14"/>
        <v>0</v>
      </c>
      <c r="L277" s="784">
        <v>4</v>
      </c>
      <c r="M277" s="784">
        <f t="shared" si="12"/>
        <v>44.444444444444443</v>
      </c>
    </row>
    <row r="278" spans="1:13" ht="12" customHeight="1">
      <c r="A278" s="455" t="s">
        <v>211</v>
      </c>
      <c r="C278" s="784">
        <f t="shared" si="13"/>
        <v>38.5</v>
      </c>
      <c r="D278" s="454">
        <f t="shared" si="13"/>
        <v>100</v>
      </c>
      <c r="F278" s="784">
        <v>13</v>
      </c>
      <c r="G278" s="784">
        <f t="shared" si="15"/>
        <v>33.766233766233768</v>
      </c>
      <c r="I278" s="784">
        <v>1</v>
      </c>
      <c r="J278" s="784">
        <f t="shared" si="14"/>
        <v>2.5974025974025974</v>
      </c>
      <c r="L278" s="784">
        <v>24.5</v>
      </c>
      <c r="M278" s="784">
        <f t="shared" si="12"/>
        <v>63.636363636363633</v>
      </c>
    </row>
    <row r="279" spans="1:13" ht="12" customHeight="1">
      <c r="A279" s="455" t="s">
        <v>212</v>
      </c>
      <c r="C279" s="784">
        <f t="shared" si="13"/>
        <v>8</v>
      </c>
      <c r="D279" s="454">
        <f t="shared" si="13"/>
        <v>100</v>
      </c>
      <c r="F279" s="784">
        <v>0</v>
      </c>
      <c r="G279" s="784">
        <f t="shared" si="15"/>
        <v>0</v>
      </c>
      <c r="I279" s="784">
        <v>0</v>
      </c>
      <c r="J279" s="784">
        <f t="shared" si="14"/>
        <v>0</v>
      </c>
      <c r="L279" s="784">
        <v>8</v>
      </c>
      <c r="M279" s="784">
        <f t="shared" si="12"/>
        <v>100</v>
      </c>
    </row>
    <row r="280" spans="1:13" ht="12" customHeight="1">
      <c r="D280" s="454"/>
    </row>
    <row r="281" spans="1:13" ht="12" customHeight="1">
      <c r="D281" s="454"/>
    </row>
    <row r="282" spans="1:13" ht="12" customHeight="1">
      <c r="D282" s="454"/>
    </row>
    <row r="283" spans="1:13" ht="12" customHeight="1">
      <c r="D283" s="454"/>
    </row>
    <row r="284" spans="1:13" ht="12" customHeight="1" thickBot="1"/>
    <row r="285" spans="1:13" ht="12" customHeight="1">
      <c r="A285" s="486"/>
      <c r="B285" s="437"/>
      <c r="C285" s="786"/>
      <c r="D285" s="486"/>
      <c r="E285" s="486"/>
      <c r="F285" s="786"/>
      <c r="G285" s="786"/>
      <c r="H285" s="786"/>
      <c r="I285" s="786"/>
      <c r="J285" s="786"/>
      <c r="K285" s="786"/>
      <c r="L285" s="786"/>
      <c r="M285" s="786"/>
    </row>
    <row r="286" spans="1:13" ht="12" customHeight="1">
      <c r="C286" s="1257" t="s">
        <v>3</v>
      </c>
      <c r="D286" s="1257"/>
      <c r="E286" s="1257"/>
      <c r="F286" s="1257"/>
      <c r="G286" s="1257"/>
      <c r="H286" s="1257"/>
      <c r="I286" s="1257"/>
      <c r="J286" s="1257"/>
      <c r="K286" s="1257"/>
      <c r="L286" s="1257"/>
      <c r="M286" s="1257"/>
    </row>
    <row r="287" spans="1:13" ht="12" customHeight="1">
      <c r="A287" s="9" t="s">
        <v>4</v>
      </c>
      <c r="C287" s="1258" t="s">
        <v>5</v>
      </c>
      <c r="D287" s="1258"/>
      <c r="F287" s="1259" t="s">
        <v>6</v>
      </c>
      <c r="G287" s="1259"/>
      <c r="H287" s="10"/>
      <c r="I287" s="1259" t="s">
        <v>7</v>
      </c>
      <c r="J287" s="1259"/>
      <c r="K287" s="10"/>
      <c r="L287" s="1259" t="s">
        <v>8</v>
      </c>
      <c r="M287" s="1259"/>
    </row>
    <row r="288" spans="1:13" ht="12" customHeight="1">
      <c r="C288" s="11" t="s">
        <v>9</v>
      </c>
      <c r="D288" s="12" t="s">
        <v>10</v>
      </c>
      <c r="F288" s="12" t="s">
        <v>9</v>
      </c>
      <c r="G288" s="12" t="s">
        <v>10</v>
      </c>
      <c r="I288" s="12" t="s">
        <v>9</v>
      </c>
      <c r="J288" s="12" t="s">
        <v>10</v>
      </c>
      <c r="L288" s="12" t="s">
        <v>9</v>
      </c>
      <c r="M288" s="12" t="s">
        <v>10</v>
      </c>
    </row>
    <row r="289" spans="1:13" ht="12" customHeight="1" thickBot="1">
      <c r="A289" s="503"/>
      <c r="B289" s="445"/>
      <c r="C289" s="787"/>
      <c r="D289" s="503"/>
      <c r="E289" s="503"/>
      <c r="F289" s="787"/>
      <c r="G289" s="787"/>
      <c r="H289" s="787"/>
      <c r="I289" s="787"/>
      <c r="J289" s="787"/>
      <c r="K289" s="787"/>
      <c r="L289" s="787"/>
      <c r="M289" s="787"/>
    </row>
    <row r="290" spans="1:13" ht="12" customHeight="1">
      <c r="D290" s="454"/>
    </row>
    <row r="291" spans="1:13" ht="12" customHeight="1">
      <c r="A291" s="9" t="s">
        <v>213</v>
      </c>
      <c r="C291" s="784">
        <f t="shared" si="13"/>
        <v>972.35</v>
      </c>
      <c r="D291" s="454">
        <f t="shared" si="13"/>
        <v>100</v>
      </c>
      <c r="F291" s="784">
        <f>F293+F301+F309+F317+F325</f>
        <v>532.6</v>
      </c>
      <c r="G291" s="784">
        <f t="shared" si="15"/>
        <v>54.774515349411224</v>
      </c>
      <c r="I291" s="784">
        <f>I293+I301+I309+I317+I325</f>
        <v>70.5</v>
      </c>
      <c r="J291" s="784">
        <f t="shared" si="14"/>
        <v>7.2504756517714819</v>
      </c>
      <c r="L291" s="784">
        <f>L293+L301+L309+L317+L325</f>
        <v>369.25</v>
      </c>
      <c r="M291" s="784">
        <f t="shared" si="12"/>
        <v>37.975008998817302</v>
      </c>
    </row>
    <row r="292" spans="1:13" ht="6" customHeight="1">
      <c r="C292" s="784" t="str">
        <f t="shared" si="13"/>
        <v/>
      </c>
      <c r="D292" s="454" t="str">
        <f t="shared" si="13"/>
        <v/>
      </c>
      <c r="G292" s="784" t="str">
        <f t="shared" si="15"/>
        <v/>
      </c>
      <c r="J292" s="784" t="str">
        <f t="shared" si="14"/>
        <v/>
      </c>
      <c r="L292" s="784" t="s">
        <v>11</v>
      </c>
      <c r="M292" s="784" t="str">
        <f t="shared" si="12"/>
        <v/>
      </c>
    </row>
    <row r="293" spans="1:13" ht="12" customHeight="1">
      <c r="A293" s="455" t="s">
        <v>214</v>
      </c>
      <c r="C293" s="784">
        <f t="shared" si="13"/>
        <v>352.75833333333333</v>
      </c>
      <c r="D293" s="454">
        <f t="shared" si="13"/>
        <v>100</v>
      </c>
      <c r="F293" s="784">
        <f>SUM(F295:F299)</f>
        <v>187.75833333333333</v>
      </c>
      <c r="G293" s="784">
        <f t="shared" si="15"/>
        <v>53.225768349436585</v>
      </c>
      <c r="I293" s="784">
        <f>SUM(I295:I299)</f>
        <v>38</v>
      </c>
      <c r="J293" s="784">
        <f t="shared" si="14"/>
        <v>10.772247289220665</v>
      </c>
      <c r="L293" s="784">
        <f>SUM(L295:L299)</f>
        <v>127</v>
      </c>
      <c r="M293" s="784">
        <f t="shared" si="12"/>
        <v>36.001984361342757</v>
      </c>
    </row>
    <row r="294" spans="1:13" ht="5.25" customHeight="1">
      <c r="C294" s="784" t="str">
        <f t="shared" si="13"/>
        <v/>
      </c>
      <c r="D294" s="454" t="str">
        <f t="shared" si="13"/>
        <v/>
      </c>
      <c r="G294" s="784" t="str">
        <f t="shared" si="15"/>
        <v/>
      </c>
      <c r="J294" s="784" t="str">
        <f t="shared" si="14"/>
        <v/>
      </c>
      <c r="L294" s="784" t="s">
        <v>11</v>
      </c>
      <c r="M294" s="784" t="str">
        <f t="shared" si="12"/>
        <v/>
      </c>
    </row>
    <row r="295" spans="1:13" ht="12" customHeight="1">
      <c r="A295" s="19" t="s">
        <v>215</v>
      </c>
      <c r="C295" s="784">
        <f t="shared" si="13"/>
        <v>193.25833333333333</v>
      </c>
      <c r="D295" s="454">
        <f t="shared" si="13"/>
        <v>99.999999999999986</v>
      </c>
      <c r="F295" s="789">
        <f>19/30+179.375</f>
        <v>180.00833333333333</v>
      </c>
      <c r="G295" s="784">
        <f t="shared" si="15"/>
        <v>93.14389202707946</v>
      </c>
      <c r="I295" s="784">
        <v>6.5</v>
      </c>
      <c r="J295" s="784">
        <f t="shared" si="14"/>
        <v>3.3633737225647877</v>
      </c>
      <c r="L295" s="784">
        <v>6.75</v>
      </c>
      <c r="M295" s="784">
        <f t="shared" si="12"/>
        <v>3.4927342503557419</v>
      </c>
    </row>
    <row r="296" spans="1:13" ht="12" customHeight="1">
      <c r="A296" s="19" t="s">
        <v>216</v>
      </c>
      <c r="C296" s="784">
        <f t="shared" si="13"/>
        <v>29.5</v>
      </c>
      <c r="D296" s="454">
        <f t="shared" si="13"/>
        <v>100</v>
      </c>
      <c r="F296" s="789">
        <v>5.75</v>
      </c>
      <c r="G296" s="784">
        <f t="shared" si="15"/>
        <v>19.491525423728813</v>
      </c>
      <c r="I296" s="784">
        <v>21.25</v>
      </c>
      <c r="J296" s="784">
        <f t="shared" si="14"/>
        <v>72.033898305084747</v>
      </c>
      <c r="L296" s="784">
        <v>2.5</v>
      </c>
      <c r="M296" s="784">
        <f t="shared" si="12"/>
        <v>8.4745762711864394</v>
      </c>
    </row>
    <row r="297" spans="1:13" ht="12" customHeight="1">
      <c r="A297" s="19" t="s">
        <v>217</v>
      </c>
      <c r="C297" s="784">
        <f t="shared" si="13"/>
        <v>6.25</v>
      </c>
      <c r="D297" s="454">
        <f t="shared" si="13"/>
        <v>100</v>
      </c>
      <c r="F297" s="789">
        <v>1</v>
      </c>
      <c r="G297" s="784">
        <f t="shared" si="15"/>
        <v>16</v>
      </c>
      <c r="H297" s="18"/>
      <c r="I297" s="18">
        <v>3</v>
      </c>
      <c r="J297" s="784">
        <f t="shared" si="14"/>
        <v>48</v>
      </c>
      <c r="K297" s="18"/>
      <c r="L297" s="784">
        <v>2.25</v>
      </c>
      <c r="M297" s="784">
        <f t="shared" si="12"/>
        <v>36</v>
      </c>
    </row>
    <row r="298" spans="1:13" ht="12" customHeight="1">
      <c r="A298" s="19" t="s">
        <v>218</v>
      </c>
      <c r="C298" s="784">
        <f t="shared" si="13"/>
        <v>20.5</v>
      </c>
      <c r="D298" s="454">
        <f t="shared" si="13"/>
        <v>100</v>
      </c>
      <c r="F298" s="789">
        <v>0</v>
      </c>
      <c r="G298" s="784">
        <f t="shared" si="15"/>
        <v>0</v>
      </c>
      <c r="I298" s="18">
        <f>5+0.25</f>
        <v>5.25</v>
      </c>
      <c r="J298" s="784">
        <f t="shared" si="14"/>
        <v>25.609756097560975</v>
      </c>
      <c r="L298" s="784">
        <v>15.25</v>
      </c>
      <c r="M298" s="784">
        <f t="shared" si="12"/>
        <v>74.390243902439025</v>
      </c>
    </row>
    <row r="299" spans="1:13" ht="12" customHeight="1">
      <c r="A299" s="19" t="s">
        <v>219</v>
      </c>
      <c r="C299" s="784">
        <f t="shared" si="13"/>
        <v>103.25</v>
      </c>
      <c r="D299" s="454">
        <f t="shared" si="13"/>
        <v>100</v>
      </c>
      <c r="F299" s="789">
        <v>1</v>
      </c>
      <c r="G299" s="784">
        <f t="shared" si="15"/>
        <v>0.96852300242130751</v>
      </c>
      <c r="I299" s="784">
        <f>1+1</f>
        <v>2</v>
      </c>
      <c r="J299" s="784">
        <f t="shared" si="14"/>
        <v>1.937046004842615</v>
      </c>
      <c r="L299" s="784">
        <f>94.25+6</f>
        <v>100.25</v>
      </c>
      <c r="M299" s="784">
        <f t="shared" si="12"/>
        <v>97.094430992736079</v>
      </c>
    </row>
    <row r="300" spans="1:13" ht="12" customHeight="1">
      <c r="C300" s="784" t="str">
        <f t="shared" si="13"/>
        <v/>
      </c>
      <c r="D300" s="454" t="str">
        <f t="shared" si="13"/>
        <v/>
      </c>
      <c r="G300" s="784" t="str">
        <f t="shared" si="15"/>
        <v/>
      </c>
      <c r="J300" s="784" t="str">
        <f t="shared" si="14"/>
        <v/>
      </c>
      <c r="L300" s="784" t="s">
        <v>11</v>
      </c>
      <c r="M300" s="784" t="str">
        <f t="shared" si="12"/>
        <v/>
      </c>
    </row>
    <row r="301" spans="1:13" ht="12" customHeight="1">
      <c r="A301" s="455" t="s">
        <v>220</v>
      </c>
      <c r="C301" s="784">
        <f t="shared" si="13"/>
        <v>196.75</v>
      </c>
      <c r="D301" s="454">
        <f t="shared" si="13"/>
        <v>100</v>
      </c>
      <c r="F301" s="784">
        <f>SUM(F303:F307)</f>
        <v>104.75</v>
      </c>
      <c r="G301" s="784">
        <f t="shared" si="15"/>
        <v>53.240152477763658</v>
      </c>
      <c r="I301" s="784">
        <f>SUM(I303:I307)</f>
        <v>11</v>
      </c>
      <c r="J301" s="784">
        <f t="shared" si="14"/>
        <v>5.5908513341804325</v>
      </c>
      <c r="L301" s="784">
        <f>SUM(L303:L307)</f>
        <v>81</v>
      </c>
      <c r="M301" s="784">
        <f t="shared" si="12"/>
        <v>41.168996188055907</v>
      </c>
    </row>
    <row r="302" spans="1:13" ht="12" customHeight="1">
      <c r="C302" s="784" t="str">
        <f t="shared" si="13"/>
        <v/>
      </c>
      <c r="D302" s="454" t="str">
        <f t="shared" si="13"/>
        <v/>
      </c>
      <c r="G302" s="784" t="str">
        <f t="shared" si="15"/>
        <v/>
      </c>
      <c r="J302" s="784" t="str">
        <f t="shared" si="14"/>
        <v/>
      </c>
      <c r="L302" s="784" t="s">
        <v>11</v>
      </c>
      <c r="M302" s="784" t="str">
        <f t="shared" si="12"/>
        <v/>
      </c>
    </row>
    <row r="303" spans="1:13" ht="12" customHeight="1">
      <c r="A303" s="19" t="s">
        <v>221</v>
      </c>
      <c r="C303" s="784">
        <f t="shared" si="13"/>
        <v>95.674999999999997</v>
      </c>
      <c r="D303" s="454">
        <f t="shared" si="13"/>
        <v>99.999999999999986</v>
      </c>
      <c r="F303" s="789">
        <f>89.675+5</f>
        <v>94.674999999999997</v>
      </c>
      <c r="G303" s="784">
        <f t="shared" si="15"/>
        <v>98.954794878494894</v>
      </c>
      <c r="I303" s="784">
        <v>1</v>
      </c>
      <c r="J303" s="784">
        <f t="shared" si="14"/>
        <v>1.0452051215050955</v>
      </c>
      <c r="L303" s="784">
        <v>0</v>
      </c>
      <c r="M303" s="784">
        <f t="shared" si="12"/>
        <v>0</v>
      </c>
    </row>
    <row r="304" spans="1:13" ht="12" customHeight="1">
      <c r="A304" s="19" t="s">
        <v>222</v>
      </c>
      <c r="C304" s="784">
        <f t="shared" si="13"/>
        <v>11.824999999999999</v>
      </c>
      <c r="D304" s="454">
        <f t="shared" si="13"/>
        <v>100.00000000000001</v>
      </c>
      <c r="F304" s="784">
        <v>3.8250000000000002</v>
      </c>
      <c r="G304" s="784">
        <f t="shared" si="15"/>
        <v>32.346723044397471</v>
      </c>
      <c r="I304" s="784">
        <v>7</v>
      </c>
      <c r="J304" s="784">
        <f t="shared" si="14"/>
        <v>59.196617336152222</v>
      </c>
      <c r="L304" s="784">
        <v>1</v>
      </c>
      <c r="M304" s="784">
        <f t="shared" si="12"/>
        <v>8.456659619450317</v>
      </c>
    </row>
    <row r="305" spans="1:13" ht="12" customHeight="1">
      <c r="A305" s="19" t="s">
        <v>223</v>
      </c>
      <c r="C305" s="784">
        <f t="shared" si="13"/>
        <v>4.75</v>
      </c>
      <c r="D305" s="454">
        <f t="shared" si="13"/>
        <v>100</v>
      </c>
      <c r="F305" s="18">
        <v>4.75</v>
      </c>
      <c r="G305" s="784">
        <f t="shared" si="15"/>
        <v>100</v>
      </c>
      <c r="H305" s="18"/>
      <c r="I305" s="18">
        <v>0</v>
      </c>
      <c r="J305" s="784">
        <f t="shared" si="14"/>
        <v>0</v>
      </c>
      <c r="K305" s="18"/>
      <c r="L305" s="784">
        <v>0</v>
      </c>
      <c r="M305" s="784">
        <f t="shared" si="12"/>
        <v>0</v>
      </c>
    </row>
    <row r="306" spans="1:13" ht="12" customHeight="1">
      <c r="A306" s="19" t="s">
        <v>224</v>
      </c>
      <c r="C306" s="784">
        <f t="shared" si="13"/>
        <v>11</v>
      </c>
      <c r="D306" s="454">
        <f t="shared" si="13"/>
        <v>100</v>
      </c>
      <c r="F306" s="784">
        <v>0.5</v>
      </c>
      <c r="G306" s="784">
        <f t="shared" si="15"/>
        <v>4.5454545454545459</v>
      </c>
      <c r="I306" s="784">
        <v>2</v>
      </c>
      <c r="J306" s="784">
        <f t="shared" si="14"/>
        <v>18.181818181818183</v>
      </c>
      <c r="L306" s="784">
        <v>8.5</v>
      </c>
      <c r="M306" s="784">
        <f t="shared" si="12"/>
        <v>77.272727272727266</v>
      </c>
    </row>
    <row r="307" spans="1:13" ht="12" customHeight="1">
      <c r="A307" s="19" t="s">
        <v>225</v>
      </c>
      <c r="C307" s="784">
        <f t="shared" si="13"/>
        <v>73.5</v>
      </c>
      <c r="D307" s="454">
        <f t="shared" si="13"/>
        <v>100</v>
      </c>
      <c r="F307" s="784">
        <v>1</v>
      </c>
      <c r="G307" s="784">
        <f t="shared" si="15"/>
        <v>1.3605442176870748</v>
      </c>
      <c r="I307" s="784">
        <v>1</v>
      </c>
      <c r="J307" s="784">
        <f t="shared" si="14"/>
        <v>1.3605442176870748</v>
      </c>
      <c r="L307" s="784">
        <f>66+5.5</f>
        <v>71.5</v>
      </c>
      <c r="M307" s="784">
        <f t="shared" ref="M307:M332" si="16">IF($A307&lt;&gt;0,L307/$C307*100,"")</f>
        <v>97.278911564625844</v>
      </c>
    </row>
    <row r="308" spans="1:13" ht="12" customHeight="1">
      <c r="A308" s="19"/>
      <c r="C308" s="784" t="str">
        <f t="shared" ref="C308:D332" si="17">IF($A308&lt;&gt;0,F308+I308+L308,"")</f>
        <v/>
      </c>
      <c r="D308" s="454" t="str">
        <f t="shared" si="17"/>
        <v/>
      </c>
      <c r="G308" s="784" t="str">
        <f t="shared" si="15"/>
        <v/>
      </c>
      <c r="J308" s="784" t="str">
        <f t="shared" si="14"/>
        <v/>
      </c>
      <c r="L308" s="784" t="s">
        <v>11</v>
      </c>
      <c r="M308" s="784" t="str">
        <f t="shared" si="16"/>
        <v/>
      </c>
    </row>
    <row r="309" spans="1:13" ht="12" customHeight="1">
      <c r="A309" s="455" t="s">
        <v>226</v>
      </c>
      <c r="C309" s="784">
        <f t="shared" si="17"/>
        <v>207.71666666666667</v>
      </c>
      <c r="D309" s="454">
        <f t="shared" si="17"/>
        <v>100</v>
      </c>
      <c r="F309" s="784">
        <f>SUM(F311:F315)</f>
        <v>103.71666666666667</v>
      </c>
      <c r="G309" s="784">
        <f t="shared" si="15"/>
        <v>49.93179812244243</v>
      </c>
      <c r="I309" s="784">
        <f>SUM(I311:I315)</f>
        <v>11.25</v>
      </c>
      <c r="J309" s="784">
        <f t="shared" ref="J309:J332" si="18">IF($A309&lt;&gt;0,I309/$C309*100,"")</f>
        <v>5.4160314531011791</v>
      </c>
      <c r="L309" s="784">
        <f>SUM(L311:L315)</f>
        <v>92.75</v>
      </c>
      <c r="M309" s="784">
        <f t="shared" si="16"/>
        <v>44.652170424456386</v>
      </c>
    </row>
    <row r="310" spans="1:13" ht="12" customHeight="1">
      <c r="C310" s="784" t="str">
        <f t="shared" si="17"/>
        <v/>
      </c>
      <c r="D310" s="454" t="str">
        <f t="shared" si="17"/>
        <v/>
      </c>
      <c r="G310" s="784" t="str">
        <f t="shared" ref="G310:G332" si="19">IF($A310&lt;&gt;0,F310/$C310*100,"")</f>
        <v/>
      </c>
      <c r="J310" s="784" t="str">
        <f t="shared" si="18"/>
        <v/>
      </c>
      <c r="L310" s="784" t="s">
        <v>11</v>
      </c>
      <c r="M310" s="784" t="str">
        <f t="shared" si="16"/>
        <v/>
      </c>
    </row>
    <row r="311" spans="1:13" ht="12" customHeight="1">
      <c r="A311" s="19" t="s">
        <v>227</v>
      </c>
      <c r="C311" s="784">
        <f t="shared" si="17"/>
        <v>101.71666666666667</v>
      </c>
      <c r="D311" s="454">
        <f t="shared" si="17"/>
        <v>99.999999999999986</v>
      </c>
      <c r="F311" s="790">
        <f>29/30+95.75</f>
        <v>96.716666666666669</v>
      </c>
      <c r="G311" s="784">
        <f t="shared" si="19"/>
        <v>95.084384728821888</v>
      </c>
      <c r="I311" s="784">
        <v>2</v>
      </c>
      <c r="J311" s="784">
        <f t="shared" si="18"/>
        <v>1.9662461084712437</v>
      </c>
      <c r="L311" s="784">
        <v>3</v>
      </c>
      <c r="M311" s="784">
        <f t="shared" si="16"/>
        <v>2.9493691627068652</v>
      </c>
    </row>
    <row r="312" spans="1:13" ht="12" customHeight="1">
      <c r="A312" s="19" t="s">
        <v>228</v>
      </c>
      <c r="C312" s="784">
        <f t="shared" si="17"/>
        <v>10</v>
      </c>
      <c r="D312" s="454">
        <f t="shared" si="17"/>
        <v>100</v>
      </c>
      <c r="F312" s="789">
        <f>1.5+3.5</f>
        <v>5</v>
      </c>
      <c r="G312" s="784">
        <f t="shared" si="19"/>
        <v>50</v>
      </c>
      <c r="I312" s="784">
        <v>5</v>
      </c>
      <c r="J312" s="784">
        <f t="shared" si="18"/>
        <v>50</v>
      </c>
      <c r="L312" s="784">
        <v>0</v>
      </c>
      <c r="M312" s="784">
        <f t="shared" si="16"/>
        <v>0</v>
      </c>
    </row>
    <row r="313" spans="1:13" ht="12" customHeight="1">
      <c r="A313" s="19" t="s">
        <v>229</v>
      </c>
      <c r="C313" s="784">
        <f t="shared" si="17"/>
        <v>2</v>
      </c>
      <c r="D313" s="454">
        <f t="shared" si="17"/>
        <v>100</v>
      </c>
      <c r="F313" s="789">
        <v>0.5</v>
      </c>
      <c r="G313" s="784">
        <f t="shared" si="19"/>
        <v>25</v>
      </c>
      <c r="H313" s="18"/>
      <c r="I313" s="18">
        <v>0</v>
      </c>
      <c r="J313" s="784">
        <f t="shared" si="18"/>
        <v>0</v>
      </c>
      <c r="K313" s="18"/>
      <c r="L313" s="784">
        <v>1.5</v>
      </c>
      <c r="M313" s="784">
        <f t="shared" si="16"/>
        <v>75</v>
      </c>
    </row>
    <row r="314" spans="1:13" ht="12" customHeight="1">
      <c r="A314" s="19" t="s">
        <v>230</v>
      </c>
      <c r="C314" s="784">
        <f t="shared" si="17"/>
        <v>14</v>
      </c>
      <c r="D314" s="454">
        <f t="shared" si="17"/>
        <v>100</v>
      </c>
      <c r="F314" s="789">
        <v>0.5</v>
      </c>
      <c r="G314" s="784">
        <f t="shared" si="19"/>
        <v>3.5714285714285712</v>
      </c>
      <c r="I314" s="784">
        <v>3.25</v>
      </c>
      <c r="J314" s="784">
        <f t="shared" si="18"/>
        <v>23.214285714285715</v>
      </c>
      <c r="L314" s="784">
        <f>7.25+3</f>
        <v>10.25</v>
      </c>
      <c r="M314" s="784">
        <f t="shared" si="16"/>
        <v>73.214285714285708</v>
      </c>
    </row>
    <row r="315" spans="1:13" ht="12" customHeight="1">
      <c r="A315" s="19" t="s">
        <v>231</v>
      </c>
      <c r="C315" s="784">
        <f t="shared" si="17"/>
        <v>80</v>
      </c>
      <c r="D315" s="454">
        <f t="shared" si="17"/>
        <v>100</v>
      </c>
      <c r="F315" s="789">
        <v>1</v>
      </c>
      <c r="G315" s="784">
        <f t="shared" si="19"/>
        <v>1.25</v>
      </c>
      <c r="I315" s="784">
        <v>1</v>
      </c>
      <c r="J315" s="784">
        <f t="shared" si="18"/>
        <v>1.25</v>
      </c>
      <c r="L315" s="784">
        <f>59+8+11</f>
        <v>78</v>
      </c>
      <c r="M315" s="784">
        <f t="shared" si="16"/>
        <v>97.5</v>
      </c>
    </row>
    <row r="316" spans="1:13" ht="12" customHeight="1">
      <c r="A316" s="19"/>
      <c r="C316" s="784" t="str">
        <f t="shared" si="17"/>
        <v/>
      </c>
      <c r="D316" s="454" t="str">
        <f t="shared" si="17"/>
        <v/>
      </c>
      <c r="G316" s="784" t="str">
        <f t="shared" si="19"/>
        <v/>
      </c>
      <c r="J316" s="784" t="str">
        <f t="shared" si="18"/>
        <v/>
      </c>
      <c r="L316" s="784" t="s">
        <v>11</v>
      </c>
      <c r="M316" s="784" t="str">
        <f t="shared" si="16"/>
        <v/>
      </c>
    </row>
    <row r="317" spans="1:13" ht="12" customHeight="1">
      <c r="A317" s="4" t="s">
        <v>232</v>
      </c>
      <c r="C317" s="784">
        <f t="shared" si="17"/>
        <v>112</v>
      </c>
      <c r="D317" s="454">
        <f t="shared" si="17"/>
        <v>100</v>
      </c>
      <c r="F317" s="784">
        <f>SUM(F319:F323)</f>
        <v>72.5</v>
      </c>
      <c r="G317" s="784">
        <f t="shared" si="19"/>
        <v>64.732142857142861</v>
      </c>
      <c r="I317" s="784">
        <f>SUM(I319:I323)</f>
        <v>3.5</v>
      </c>
      <c r="J317" s="784">
        <f t="shared" si="18"/>
        <v>3.125</v>
      </c>
      <c r="L317" s="784">
        <f>SUM(L319:L323)</f>
        <v>36</v>
      </c>
      <c r="M317" s="784">
        <f t="shared" si="16"/>
        <v>32.142857142857146</v>
      </c>
    </row>
    <row r="318" spans="1:13" ht="12" customHeight="1">
      <c r="A318" s="19"/>
      <c r="C318" s="784" t="str">
        <f t="shared" si="17"/>
        <v/>
      </c>
      <c r="D318" s="454" t="str">
        <f t="shared" si="17"/>
        <v/>
      </c>
      <c r="G318" s="784" t="str">
        <f t="shared" si="19"/>
        <v/>
      </c>
      <c r="J318" s="784" t="str">
        <f t="shared" si="18"/>
        <v/>
      </c>
      <c r="L318" s="784" t="s">
        <v>11</v>
      </c>
      <c r="M318" s="784" t="str">
        <f t="shared" si="16"/>
        <v/>
      </c>
    </row>
    <row r="319" spans="1:13" ht="12" customHeight="1">
      <c r="A319" s="19" t="s">
        <v>233</v>
      </c>
      <c r="C319" s="784">
        <f t="shared" si="17"/>
        <v>74</v>
      </c>
      <c r="D319" s="454">
        <f t="shared" si="17"/>
        <v>100.00000000000001</v>
      </c>
      <c r="F319" s="784">
        <v>71.5</v>
      </c>
      <c r="G319" s="784">
        <f t="shared" si="19"/>
        <v>96.621621621621628</v>
      </c>
      <c r="I319" s="784">
        <v>1</v>
      </c>
      <c r="J319" s="784">
        <f t="shared" si="18"/>
        <v>1.3513513513513513</v>
      </c>
      <c r="L319" s="784">
        <v>1.5</v>
      </c>
      <c r="M319" s="784">
        <f t="shared" si="16"/>
        <v>2.0270270270270272</v>
      </c>
    </row>
    <row r="320" spans="1:13" ht="12" customHeight="1">
      <c r="A320" s="19" t="s">
        <v>234</v>
      </c>
      <c r="C320" s="784">
        <f t="shared" si="17"/>
        <v>2</v>
      </c>
      <c r="D320" s="454">
        <f t="shared" si="17"/>
        <v>100</v>
      </c>
      <c r="F320" s="784">
        <v>0</v>
      </c>
      <c r="G320" s="784">
        <f t="shared" si="19"/>
        <v>0</v>
      </c>
      <c r="I320" s="784">
        <v>1</v>
      </c>
      <c r="J320" s="784">
        <f t="shared" si="18"/>
        <v>50</v>
      </c>
      <c r="L320" s="784">
        <v>1</v>
      </c>
      <c r="M320" s="784">
        <f t="shared" si="16"/>
        <v>50</v>
      </c>
    </row>
    <row r="321" spans="1:13" ht="12" customHeight="1">
      <c r="A321" s="19" t="s">
        <v>235</v>
      </c>
      <c r="C321" s="784">
        <f t="shared" si="17"/>
        <v>1</v>
      </c>
      <c r="D321" s="454">
        <f t="shared" si="17"/>
        <v>100</v>
      </c>
      <c r="F321" s="18">
        <v>0</v>
      </c>
      <c r="G321" s="784">
        <f t="shared" si="19"/>
        <v>0</v>
      </c>
      <c r="H321" s="18"/>
      <c r="I321" s="18">
        <v>0</v>
      </c>
      <c r="J321" s="784">
        <f t="shared" si="18"/>
        <v>0</v>
      </c>
      <c r="K321" s="18"/>
      <c r="L321" s="784">
        <v>1</v>
      </c>
      <c r="M321" s="784">
        <f t="shared" si="16"/>
        <v>100</v>
      </c>
    </row>
    <row r="322" spans="1:13" ht="12" customHeight="1">
      <c r="A322" s="19" t="s">
        <v>236</v>
      </c>
      <c r="C322" s="784">
        <f t="shared" si="17"/>
        <v>10</v>
      </c>
      <c r="D322" s="454">
        <f t="shared" si="17"/>
        <v>100</v>
      </c>
      <c r="F322" s="784">
        <v>0</v>
      </c>
      <c r="G322" s="784">
        <f t="shared" si="19"/>
        <v>0</v>
      </c>
      <c r="I322" s="784">
        <v>1.5</v>
      </c>
      <c r="J322" s="784">
        <f t="shared" si="18"/>
        <v>15</v>
      </c>
      <c r="L322" s="784">
        <v>8.5</v>
      </c>
      <c r="M322" s="784">
        <f t="shared" si="16"/>
        <v>85</v>
      </c>
    </row>
    <row r="323" spans="1:13" ht="12" customHeight="1">
      <c r="A323" s="19" t="s">
        <v>237</v>
      </c>
      <c r="C323" s="784">
        <f t="shared" si="17"/>
        <v>25</v>
      </c>
      <c r="D323" s="454">
        <f t="shared" si="17"/>
        <v>100</v>
      </c>
      <c r="F323" s="784">
        <v>1</v>
      </c>
      <c r="G323" s="784">
        <f t="shared" si="19"/>
        <v>4</v>
      </c>
      <c r="I323" s="784">
        <v>0</v>
      </c>
      <c r="J323" s="784">
        <f t="shared" si="18"/>
        <v>0</v>
      </c>
      <c r="L323" s="784">
        <v>24</v>
      </c>
      <c r="M323" s="784">
        <f t="shared" si="16"/>
        <v>96</v>
      </c>
    </row>
    <row r="324" spans="1:13" ht="12" customHeight="1">
      <c r="A324" s="19"/>
      <c r="C324" s="784" t="str">
        <f t="shared" si="17"/>
        <v/>
      </c>
      <c r="D324" s="454" t="str">
        <f t="shared" si="17"/>
        <v/>
      </c>
      <c r="G324" s="784" t="str">
        <f t="shared" si="19"/>
        <v/>
      </c>
      <c r="J324" s="784" t="str">
        <f t="shared" si="18"/>
        <v/>
      </c>
      <c r="L324" s="784" t="s">
        <v>11</v>
      </c>
      <c r="M324" s="784" t="str">
        <f t="shared" si="16"/>
        <v/>
      </c>
    </row>
    <row r="325" spans="1:13" ht="12" customHeight="1">
      <c r="A325" s="4" t="s">
        <v>238</v>
      </c>
      <c r="C325" s="784">
        <f t="shared" si="17"/>
        <v>103.125</v>
      </c>
      <c r="D325" s="454">
        <f t="shared" si="17"/>
        <v>100</v>
      </c>
      <c r="F325" s="784">
        <f>SUM(F327:F332)</f>
        <v>63.875</v>
      </c>
      <c r="G325" s="784">
        <f t="shared" si="19"/>
        <v>61.939393939393938</v>
      </c>
      <c r="I325" s="784">
        <f>SUM(I327:I332)</f>
        <v>6.75</v>
      </c>
      <c r="J325" s="784">
        <f t="shared" si="18"/>
        <v>6.5454545454545459</v>
      </c>
      <c r="L325" s="784">
        <f>SUM(L327:L332)</f>
        <v>32.5</v>
      </c>
      <c r="M325" s="784">
        <f t="shared" si="16"/>
        <v>31.515151515151512</v>
      </c>
    </row>
    <row r="326" spans="1:13" ht="12" customHeight="1">
      <c r="A326" s="19"/>
      <c r="C326" s="784" t="str">
        <f t="shared" si="17"/>
        <v/>
      </c>
      <c r="D326" s="454" t="str">
        <f t="shared" si="17"/>
        <v/>
      </c>
      <c r="G326" s="784" t="str">
        <f t="shared" si="19"/>
        <v/>
      </c>
      <c r="J326" s="784" t="str">
        <f t="shared" si="18"/>
        <v/>
      </c>
      <c r="L326" s="784" t="s">
        <v>11</v>
      </c>
      <c r="M326" s="784" t="str">
        <f t="shared" si="16"/>
        <v/>
      </c>
    </row>
    <row r="327" spans="1:13" ht="12" customHeight="1">
      <c r="A327" s="19" t="s">
        <v>239</v>
      </c>
      <c r="C327" s="784">
        <f t="shared" si="17"/>
        <v>57.875</v>
      </c>
      <c r="D327" s="454">
        <f t="shared" si="17"/>
        <v>100</v>
      </c>
      <c r="F327" s="784">
        <v>57.875</v>
      </c>
      <c r="G327" s="784">
        <f t="shared" si="19"/>
        <v>100</v>
      </c>
      <c r="I327" s="784">
        <v>0</v>
      </c>
      <c r="J327" s="784">
        <f t="shared" si="18"/>
        <v>0</v>
      </c>
      <c r="L327" s="784">
        <v>0</v>
      </c>
      <c r="M327" s="784">
        <f t="shared" si="16"/>
        <v>0</v>
      </c>
    </row>
    <row r="328" spans="1:13" ht="12" customHeight="1">
      <c r="A328" s="19" t="s">
        <v>240</v>
      </c>
      <c r="C328" s="784">
        <f t="shared" si="17"/>
        <v>5</v>
      </c>
      <c r="D328" s="454">
        <f t="shared" si="17"/>
        <v>100</v>
      </c>
      <c r="F328" s="784">
        <v>0</v>
      </c>
      <c r="G328" s="784">
        <f t="shared" si="19"/>
        <v>0</v>
      </c>
      <c r="I328" s="784">
        <v>5</v>
      </c>
      <c r="J328" s="784">
        <f t="shared" si="18"/>
        <v>100</v>
      </c>
      <c r="L328" s="784">
        <v>0</v>
      </c>
      <c r="M328" s="784">
        <f t="shared" si="16"/>
        <v>0</v>
      </c>
    </row>
    <row r="329" spans="1:13" ht="12" customHeight="1">
      <c r="A329" s="19" t="s">
        <v>241</v>
      </c>
      <c r="C329" s="784">
        <f t="shared" si="17"/>
        <v>5</v>
      </c>
      <c r="D329" s="454">
        <f t="shared" si="17"/>
        <v>100</v>
      </c>
      <c r="F329" s="784">
        <v>5</v>
      </c>
      <c r="G329" s="784">
        <f t="shared" si="19"/>
        <v>100</v>
      </c>
      <c r="I329" s="784">
        <v>0</v>
      </c>
      <c r="J329" s="784">
        <f t="shared" si="18"/>
        <v>0</v>
      </c>
      <c r="L329" s="784">
        <v>0</v>
      </c>
      <c r="M329" s="784">
        <f t="shared" si="16"/>
        <v>0</v>
      </c>
    </row>
    <row r="330" spans="1:13" ht="12" customHeight="1">
      <c r="A330" s="19" t="s">
        <v>242</v>
      </c>
      <c r="C330" s="784">
        <f t="shared" si="17"/>
        <v>6.25</v>
      </c>
      <c r="D330" s="454">
        <f t="shared" si="17"/>
        <v>100</v>
      </c>
      <c r="F330" s="784">
        <v>0</v>
      </c>
      <c r="G330" s="784">
        <f t="shared" si="19"/>
        <v>0</v>
      </c>
      <c r="I330" s="784">
        <v>1.75</v>
      </c>
      <c r="J330" s="784">
        <f t="shared" si="18"/>
        <v>28.000000000000004</v>
      </c>
      <c r="L330" s="784">
        <v>4.5</v>
      </c>
      <c r="M330" s="784">
        <f t="shared" si="16"/>
        <v>72</v>
      </c>
    </row>
    <row r="331" spans="1:13">
      <c r="A331" s="19" t="s">
        <v>243</v>
      </c>
      <c r="C331" s="784">
        <f t="shared" si="17"/>
        <v>28</v>
      </c>
      <c r="D331" s="454">
        <f t="shared" si="17"/>
        <v>100</v>
      </c>
      <c r="F331" s="784">
        <v>0</v>
      </c>
      <c r="G331" s="784">
        <f t="shared" si="19"/>
        <v>0</v>
      </c>
      <c r="I331" s="784">
        <v>0</v>
      </c>
      <c r="J331" s="784">
        <f t="shared" si="18"/>
        <v>0</v>
      </c>
      <c r="L331" s="784">
        <v>28</v>
      </c>
      <c r="M331" s="784">
        <f t="shared" si="16"/>
        <v>100</v>
      </c>
    </row>
    <row r="332" spans="1:13">
      <c r="A332" s="19" t="s">
        <v>244</v>
      </c>
      <c r="C332" s="784">
        <f t="shared" si="17"/>
        <v>1</v>
      </c>
      <c r="D332" s="454">
        <f t="shared" si="17"/>
        <v>100</v>
      </c>
      <c r="F332" s="784">
        <v>1</v>
      </c>
      <c r="G332" s="784">
        <f t="shared" si="19"/>
        <v>100</v>
      </c>
      <c r="I332" s="784">
        <v>0</v>
      </c>
      <c r="J332" s="784">
        <f t="shared" si="18"/>
        <v>0</v>
      </c>
      <c r="L332" s="784">
        <v>0</v>
      </c>
      <c r="M332" s="784">
        <f t="shared" si="16"/>
        <v>0</v>
      </c>
    </row>
    <row r="333" spans="1:13" ht="13.5" thickBot="1">
      <c r="A333" s="503"/>
      <c r="B333" s="445"/>
      <c r="C333" s="787"/>
      <c r="D333" s="503"/>
      <c r="E333" s="503"/>
      <c r="F333" s="787"/>
      <c r="G333" s="787"/>
      <c r="H333" s="787"/>
      <c r="I333" s="787"/>
      <c r="J333" s="787"/>
      <c r="K333" s="787"/>
      <c r="L333" s="787"/>
      <c r="M333" s="787"/>
    </row>
    <row r="335" spans="1:13" ht="14.25">
      <c r="A335" s="22" t="s">
        <v>2102</v>
      </c>
    </row>
    <row r="336" spans="1:13" ht="14.25">
      <c r="A336" s="22" t="s">
        <v>246</v>
      </c>
    </row>
    <row r="337" spans="1:1" ht="14.25">
      <c r="A337" s="22" t="s">
        <v>247</v>
      </c>
    </row>
    <row r="338" spans="1:1" ht="14.25">
      <c r="A338" s="22" t="s">
        <v>2103</v>
      </c>
    </row>
    <row r="339" spans="1:1" ht="14.25">
      <c r="A339" s="22" t="s">
        <v>248</v>
      </c>
    </row>
    <row r="340" spans="1:1">
      <c r="A340" s="4" t="s">
        <v>2104</v>
      </c>
    </row>
    <row r="341" spans="1:1">
      <c r="A341" s="455" t="s">
        <v>250</v>
      </c>
    </row>
    <row r="343" spans="1:1">
      <c r="A343" s="791"/>
    </row>
  </sheetData>
  <mergeCells count="20">
    <mergeCell ref="C193:D193"/>
    <mergeCell ref="F193:G193"/>
    <mergeCell ref="I193:J193"/>
    <mergeCell ref="L193:M193"/>
    <mergeCell ref="F99:G99"/>
    <mergeCell ref="C7:M7"/>
    <mergeCell ref="C8:D8"/>
    <mergeCell ref="C98:M98"/>
    <mergeCell ref="C99:D99"/>
    <mergeCell ref="C192:M192"/>
    <mergeCell ref="I8:J8"/>
    <mergeCell ref="F8:G8"/>
    <mergeCell ref="L8:M8"/>
    <mergeCell ref="I99:J99"/>
    <mergeCell ref="L99:M99"/>
    <mergeCell ref="C286:M286"/>
    <mergeCell ref="C287:D287"/>
    <mergeCell ref="F287:G287"/>
    <mergeCell ref="I287:J287"/>
    <mergeCell ref="L287:M287"/>
  </mergeCells>
  <printOptions horizontalCentered="1" verticalCentered="1"/>
  <pageMargins left="0" right="0" top="0" bottom="0" header="0.31496062992125984" footer="0.31496062992125984"/>
  <pageSetup paperSize="9" scale="75" orientation="portrait" r:id="rId1"/>
</worksheet>
</file>

<file path=xl/worksheets/sheet40.xml><?xml version="1.0" encoding="utf-8"?>
<worksheet xmlns="http://schemas.openxmlformats.org/spreadsheetml/2006/main" xmlns:r="http://schemas.openxmlformats.org/officeDocument/2006/relationships">
  <dimension ref="A1:T113"/>
  <sheetViews>
    <sheetView topLeftCell="A70" workbookViewId="0">
      <selection activeCell="A4" sqref="A4"/>
    </sheetView>
  </sheetViews>
  <sheetFormatPr baseColWidth="10" defaultColWidth="8.85546875" defaultRowHeight="12.75"/>
  <cols>
    <col min="1" max="1" width="32.140625" style="434" customWidth="1"/>
    <col min="2" max="2" width="8" style="65" customWidth="1"/>
    <col min="3" max="3" width="8" style="94" customWidth="1"/>
    <col min="4" max="4" width="2.7109375" style="42" customWidth="1"/>
    <col min="5" max="5" width="6.7109375" style="93" customWidth="1"/>
    <col min="6" max="6" width="6.7109375" style="94" customWidth="1"/>
    <col min="7" max="7" width="3.28515625" style="42" customWidth="1"/>
    <col min="8" max="8" width="6.42578125" style="93" customWidth="1"/>
    <col min="9" max="9" width="6.85546875" style="94" customWidth="1"/>
    <col min="10" max="10" width="2.7109375" style="42" customWidth="1"/>
    <col min="11" max="11" width="6.85546875" style="93" customWidth="1"/>
    <col min="12" max="12" width="6.85546875" style="94" customWidth="1"/>
    <col min="13" max="13" width="2.7109375" style="42" customWidth="1"/>
    <col min="14" max="14" width="6.5703125" style="93" customWidth="1"/>
    <col min="15" max="15" width="6.5703125" style="94" customWidth="1"/>
    <col min="16" max="16" width="2.7109375" style="42" customWidth="1"/>
    <col min="17" max="17" width="5.85546875" style="93" customWidth="1"/>
    <col min="18" max="18" width="5.85546875" style="94" customWidth="1"/>
    <col min="19" max="19" width="2.7109375" style="42" customWidth="1"/>
    <col min="20" max="20" width="3.85546875" style="42" customWidth="1"/>
    <col min="21" max="21" width="2.85546875" style="434" customWidth="1"/>
    <col min="22" max="256" width="8.85546875" style="434"/>
    <col min="257" max="257" width="32.140625" style="434" customWidth="1"/>
    <col min="258" max="258" width="10.28515625" style="434" customWidth="1"/>
    <col min="259" max="259" width="9.85546875" style="434" customWidth="1"/>
    <col min="260" max="260" width="2.7109375" style="434" customWidth="1"/>
    <col min="261" max="261" width="8.7109375" style="434" customWidth="1"/>
    <col min="262" max="262" width="8.28515625" style="434" customWidth="1"/>
    <col min="263" max="263" width="3.28515625" style="434" customWidth="1"/>
    <col min="264" max="265" width="7.85546875" style="434" customWidth="1"/>
    <col min="266" max="266" width="2.7109375" style="434" customWidth="1"/>
    <col min="267" max="268" width="7.5703125" style="434" customWidth="1"/>
    <col min="269" max="269" width="2.7109375" style="434" customWidth="1"/>
    <col min="270" max="271" width="7.7109375" style="434" customWidth="1"/>
    <col min="272" max="272" width="2.7109375" style="434" customWidth="1"/>
    <col min="273" max="274" width="7.5703125" style="434" customWidth="1"/>
    <col min="275" max="275" width="2.7109375" style="434" customWidth="1"/>
    <col min="276" max="276" width="3.85546875" style="434" customWidth="1"/>
    <col min="277" max="277" width="2.85546875" style="434" customWidth="1"/>
    <col min="278" max="512" width="8.85546875" style="434"/>
    <col min="513" max="513" width="32.140625" style="434" customWidth="1"/>
    <col min="514" max="514" width="10.28515625" style="434" customWidth="1"/>
    <col min="515" max="515" width="9.85546875" style="434" customWidth="1"/>
    <col min="516" max="516" width="2.7109375" style="434" customWidth="1"/>
    <col min="517" max="517" width="8.7109375" style="434" customWidth="1"/>
    <col min="518" max="518" width="8.28515625" style="434" customWidth="1"/>
    <col min="519" max="519" width="3.28515625" style="434" customWidth="1"/>
    <col min="520" max="521" width="7.85546875" style="434" customWidth="1"/>
    <col min="522" max="522" width="2.7109375" style="434" customWidth="1"/>
    <col min="523" max="524" width="7.5703125" style="434" customWidth="1"/>
    <col min="525" max="525" width="2.7109375" style="434" customWidth="1"/>
    <col min="526" max="527" width="7.7109375" style="434" customWidth="1"/>
    <col min="528" max="528" width="2.7109375" style="434" customWidth="1"/>
    <col min="529" max="530" width="7.5703125" style="434" customWidth="1"/>
    <col min="531" max="531" width="2.7109375" style="434" customWidth="1"/>
    <col min="532" max="532" width="3.85546875" style="434" customWidth="1"/>
    <col min="533" max="533" width="2.85546875" style="434" customWidth="1"/>
    <col min="534" max="768" width="8.85546875" style="434"/>
    <col min="769" max="769" width="32.140625" style="434" customWidth="1"/>
    <col min="770" max="770" width="10.28515625" style="434" customWidth="1"/>
    <col min="771" max="771" width="9.85546875" style="434" customWidth="1"/>
    <col min="772" max="772" width="2.7109375" style="434" customWidth="1"/>
    <col min="773" max="773" width="8.7109375" style="434" customWidth="1"/>
    <col min="774" max="774" width="8.28515625" style="434" customWidth="1"/>
    <col min="775" max="775" width="3.28515625" style="434" customWidth="1"/>
    <col min="776" max="777" width="7.85546875" style="434" customWidth="1"/>
    <col min="778" max="778" width="2.7109375" style="434" customWidth="1"/>
    <col min="779" max="780" width="7.5703125" style="434" customWidth="1"/>
    <col min="781" max="781" width="2.7109375" style="434" customWidth="1"/>
    <col min="782" max="783" width="7.7109375" style="434" customWidth="1"/>
    <col min="784" max="784" width="2.7109375" style="434" customWidth="1"/>
    <col min="785" max="786" width="7.5703125" style="434" customWidth="1"/>
    <col min="787" max="787" width="2.7109375" style="434" customWidth="1"/>
    <col min="788" max="788" width="3.85546875" style="434" customWidth="1"/>
    <col min="789" max="789" width="2.85546875" style="434" customWidth="1"/>
    <col min="790" max="1024" width="8.85546875" style="434"/>
    <col min="1025" max="1025" width="32.140625" style="434" customWidth="1"/>
    <col min="1026" max="1026" width="10.28515625" style="434" customWidth="1"/>
    <col min="1027" max="1027" width="9.85546875" style="434" customWidth="1"/>
    <col min="1028" max="1028" width="2.7109375" style="434" customWidth="1"/>
    <col min="1029" max="1029" width="8.7109375" style="434" customWidth="1"/>
    <col min="1030" max="1030" width="8.28515625" style="434" customWidth="1"/>
    <col min="1031" max="1031" width="3.28515625" style="434" customWidth="1"/>
    <col min="1032" max="1033" width="7.85546875" style="434" customWidth="1"/>
    <col min="1034" max="1034" width="2.7109375" style="434" customWidth="1"/>
    <col min="1035" max="1036" width="7.5703125" style="434" customWidth="1"/>
    <col min="1037" max="1037" width="2.7109375" style="434" customWidth="1"/>
    <col min="1038" max="1039" width="7.7109375" style="434" customWidth="1"/>
    <col min="1040" max="1040" width="2.7109375" style="434" customWidth="1"/>
    <col min="1041" max="1042" width="7.5703125" style="434" customWidth="1"/>
    <col min="1043" max="1043" width="2.7109375" style="434" customWidth="1"/>
    <col min="1044" max="1044" width="3.85546875" style="434" customWidth="1"/>
    <col min="1045" max="1045" width="2.85546875" style="434" customWidth="1"/>
    <col min="1046" max="1280" width="8.85546875" style="434"/>
    <col min="1281" max="1281" width="32.140625" style="434" customWidth="1"/>
    <col min="1282" max="1282" width="10.28515625" style="434" customWidth="1"/>
    <col min="1283" max="1283" width="9.85546875" style="434" customWidth="1"/>
    <col min="1284" max="1284" width="2.7109375" style="434" customWidth="1"/>
    <col min="1285" max="1285" width="8.7109375" style="434" customWidth="1"/>
    <col min="1286" max="1286" width="8.28515625" style="434" customWidth="1"/>
    <col min="1287" max="1287" width="3.28515625" style="434" customWidth="1"/>
    <col min="1288" max="1289" width="7.85546875" style="434" customWidth="1"/>
    <col min="1290" max="1290" width="2.7109375" style="434" customWidth="1"/>
    <col min="1291" max="1292" width="7.5703125" style="434" customWidth="1"/>
    <col min="1293" max="1293" width="2.7109375" style="434" customWidth="1"/>
    <col min="1294" max="1295" width="7.7109375" style="434" customWidth="1"/>
    <col min="1296" max="1296" width="2.7109375" style="434" customWidth="1"/>
    <col min="1297" max="1298" width="7.5703125" style="434" customWidth="1"/>
    <col min="1299" max="1299" width="2.7109375" style="434" customWidth="1"/>
    <col min="1300" max="1300" width="3.85546875" style="434" customWidth="1"/>
    <col min="1301" max="1301" width="2.85546875" style="434" customWidth="1"/>
    <col min="1302" max="1536" width="8.85546875" style="434"/>
    <col min="1537" max="1537" width="32.140625" style="434" customWidth="1"/>
    <col min="1538" max="1538" width="10.28515625" style="434" customWidth="1"/>
    <col min="1539" max="1539" width="9.85546875" style="434" customWidth="1"/>
    <col min="1540" max="1540" width="2.7109375" style="434" customWidth="1"/>
    <col min="1541" max="1541" width="8.7109375" style="434" customWidth="1"/>
    <col min="1542" max="1542" width="8.28515625" style="434" customWidth="1"/>
    <col min="1543" max="1543" width="3.28515625" style="434" customWidth="1"/>
    <col min="1544" max="1545" width="7.85546875" style="434" customWidth="1"/>
    <col min="1546" max="1546" width="2.7109375" style="434" customWidth="1"/>
    <col min="1547" max="1548" width="7.5703125" style="434" customWidth="1"/>
    <col min="1549" max="1549" width="2.7109375" style="434" customWidth="1"/>
    <col min="1550" max="1551" width="7.7109375" style="434" customWidth="1"/>
    <col min="1552" max="1552" width="2.7109375" style="434" customWidth="1"/>
    <col min="1553" max="1554" width="7.5703125" style="434" customWidth="1"/>
    <col min="1555" max="1555" width="2.7109375" style="434" customWidth="1"/>
    <col min="1556" max="1556" width="3.85546875" style="434" customWidth="1"/>
    <col min="1557" max="1557" width="2.85546875" style="434" customWidth="1"/>
    <col min="1558" max="1792" width="8.85546875" style="434"/>
    <col min="1793" max="1793" width="32.140625" style="434" customWidth="1"/>
    <col min="1794" max="1794" width="10.28515625" style="434" customWidth="1"/>
    <col min="1795" max="1795" width="9.85546875" style="434" customWidth="1"/>
    <col min="1796" max="1796" width="2.7109375" style="434" customWidth="1"/>
    <col min="1797" max="1797" width="8.7109375" style="434" customWidth="1"/>
    <col min="1798" max="1798" width="8.28515625" style="434" customWidth="1"/>
    <col min="1799" max="1799" width="3.28515625" style="434" customWidth="1"/>
    <col min="1800" max="1801" width="7.85546875" style="434" customWidth="1"/>
    <col min="1802" max="1802" width="2.7109375" style="434" customWidth="1"/>
    <col min="1803" max="1804" width="7.5703125" style="434" customWidth="1"/>
    <col min="1805" max="1805" width="2.7109375" style="434" customWidth="1"/>
    <col min="1806" max="1807" width="7.7109375" style="434" customWidth="1"/>
    <col min="1808" max="1808" width="2.7109375" style="434" customWidth="1"/>
    <col min="1809" max="1810" width="7.5703125" style="434" customWidth="1"/>
    <col min="1811" max="1811" width="2.7109375" style="434" customWidth="1"/>
    <col min="1812" max="1812" width="3.85546875" style="434" customWidth="1"/>
    <col min="1813" max="1813" width="2.85546875" style="434" customWidth="1"/>
    <col min="1814" max="2048" width="8.85546875" style="434"/>
    <col min="2049" max="2049" width="32.140625" style="434" customWidth="1"/>
    <col min="2050" max="2050" width="10.28515625" style="434" customWidth="1"/>
    <col min="2051" max="2051" width="9.85546875" style="434" customWidth="1"/>
    <col min="2052" max="2052" width="2.7109375" style="434" customWidth="1"/>
    <col min="2053" max="2053" width="8.7109375" style="434" customWidth="1"/>
    <col min="2054" max="2054" width="8.28515625" style="434" customWidth="1"/>
    <col min="2055" max="2055" width="3.28515625" style="434" customWidth="1"/>
    <col min="2056" max="2057" width="7.85546875" style="434" customWidth="1"/>
    <col min="2058" max="2058" width="2.7109375" style="434" customWidth="1"/>
    <col min="2059" max="2060" width="7.5703125" style="434" customWidth="1"/>
    <col min="2061" max="2061" width="2.7109375" style="434" customWidth="1"/>
    <col min="2062" max="2063" width="7.7109375" style="434" customWidth="1"/>
    <col min="2064" max="2064" width="2.7109375" style="434" customWidth="1"/>
    <col min="2065" max="2066" width="7.5703125" style="434" customWidth="1"/>
    <col min="2067" max="2067" width="2.7109375" style="434" customWidth="1"/>
    <col min="2068" max="2068" width="3.85546875" style="434" customWidth="1"/>
    <col min="2069" max="2069" width="2.85546875" style="434" customWidth="1"/>
    <col min="2070" max="2304" width="8.85546875" style="434"/>
    <col min="2305" max="2305" width="32.140625" style="434" customWidth="1"/>
    <col min="2306" max="2306" width="10.28515625" style="434" customWidth="1"/>
    <col min="2307" max="2307" width="9.85546875" style="434" customWidth="1"/>
    <col min="2308" max="2308" width="2.7109375" style="434" customWidth="1"/>
    <col min="2309" max="2309" width="8.7109375" style="434" customWidth="1"/>
    <col min="2310" max="2310" width="8.28515625" style="434" customWidth="1"/>
    <col min="2311" max="2311" width="3.28515625" style="434" customWidth="1"/>
    <col min="2312" max="2313" width="7.85546875" style="434" customWidth="1"/>
    <col min="2314" max="2314" width="2.7109375" style="434" customWidth="1"/>
    <col min="2315" max="2316" width="7.5703125" style="434" customWidth="1"/>
    <col min="2317" max="2317" width="2.7109375" style="434" customWidth="1"/>
    <col min="2318" max="2319" width="7.7109375" style="434" customWidth="1"/>
    <col min="2320" max="2320" width="2.7109375" style="434" customWidth="1"/>
    <col min="2321" max="2322" width="7.5703125" style="434" customWidth="1"/>
    <col min="2323" max="2323" width="2.7109375" style="434" customWidth="1"/>
    <col min="2324" max="2324" width="3.85546875" style="434" customWidth="1"/>
    <col min="2325" max="2325" width="2.85546875" style="434" customWidth="1"/>
    <col min="2326" max="2560" width="8.85546875" style="434"/>
    <col min="2561" max="2561" width="32.140625" style="434" customWidth="1"/>
    <col min="2562" max="2562" width="10.28515625" style="434" customWidth="1"/>
    <col min="2563" max="2563" width="9.85546875" style="434" customWidth="1"/>
    <col min="2564" max="2564" width="2.7109375" style="434" customWidth="1"/>
    <col min="2565" max="2565" width="8.7109375" style="434" customWidth="1"/>
    <col min="2566" max="2566" width="8.28515625" style="434" customWidth="1"/>
    <col min="2567" max="2567" width="3.28515625" style="434" customWidth="1"/>
    <col min="2568" max="2569" width="7.85546875" style="434" customWidth="1"/>
    <col min="2570" max="2570" width="2.7109375" style="434" customWidth="1"/>
    <col min="2571" max="2572" width="7.5703125" style="434" customWidth="1"/>
    <col min="2573" max="2573" width="2.7109375" style="434" customWidth="1"/>
    <col min="2574" max="2575" width="7.7109375" style="434" customWidth="1"/>
    <col min="2576" max="2576" width="2.7109375" style="434" customWidth="1"/>
    <col min="2577" max="2578" width="7.5703125" style="434" customWidth="1"/>
    <col min="2579" max="2579" width="2.7109375" style="434" customWidth="1"/>
    <col min="2580" max="2580" width="3.85546875" style="434" customWidth="1"/>
    <col min="2581" max="2581" width="2.85546875" style="434" customWidth="1"/>
    <col min="2582" max="2816" width="8.85546875" style="434"/>
    <col min="2817" max="2817" width="32.140625" style="434" customWidth="1"/>
    <col min="2818" max="2818" width="10.28515625" style="434" customWidth="1"/>
    <col min="2819" max="2819" width="9.85546875" style="434" customWidth="1"/>
    <col min="2820" max="2820" width="2.7109375" style="434" customWidth="1"/>
    <col min="2821" max="2821" width="8.7109375" style="434" customWidth="1"/>
    <col min="2822" max="2822" width="8.28515625" style="434" customWidth="1"/>
    <col min="2823" max="2823" width="3.28515625" style="434" customWidth="1"/>
    <col min="2824" max="2825" width="7.85546875" style="434" customWidth="1"/>
    <col min="2826" max="2826" width="2.7109375" style="434" customWidth="1"/>
    <col min="2827" max="2828" width="7.5703125" style="434" customWidth="1"/>
    <col min="2829" max="2829" width="2.7109375" style="434" customWidth="1"/>
    <col min="2830" max="2831" width="7.7109375" style="434" customWidth="1"/>
    <col min="2832" max="2832" width="2.7109375" style="434" customWidth="1"/>
    <col min="2833" max="2834" width="7.5703125" style="434" customWidth="1"/>
    <col min="2835" max="2835" width="2.7109375" style="434" customWidth="1"/>
    <col min="2836" max="2836" width="3.85546875" style="434" customWidth="1"/>
    <col min="2837" max="2837" width="2.85546875" style="434" customWidth="1"/>
    <col min="2838" max="3072" width="8.85546875" style="434"/>
    <col min="3073" max="3073" width="32.140625" style="434" customWidth="1"/>
    <col min="3074" max="3074" width="10.28515625" style="434" customWidth="1"/>
    <col min="3075" max="3075" width="9.85546875" style="434" customWidth="1"/>
    <col min="3076" max="3076" width="2.7109375" style="434" customWidth="1"/>
    <col min="3077" max="3077" width="8.7109375" style="434" customWidth="1"/>
    <col min="3078" max="3078" width="8.28515625" style="434" customWidth="1"/>
    <col min="3079" max="3079" width="3.28515625" style="434" customWidth="1"/>
    <col min="3080" max="3081" width="7.85546875" style="434" customWidth="1"/>
    <col min="3082" max="3082" width="2.7109375" style="434" customWidth="1"/>
    <col min="3083" max="3084" width="7.5703125" style="434" customWidth="1"/>
    <col min="3085" max="3085" width="2.7109375" style="434" customWidth="1"/>
    <col min="3086" max="3087" width="7.7109375" style="434" customWidth="1"/>
    <col min="3088" max="3088" width="2.7109375" style="434" customWidth="1"/>
    <col min="3089" max="3090" width="7.5703125" style="434" customWidth="1"/>
    <col min="3091" max="3091" width="2.7109375" style="434" customWidth="1"/>
    <col min="3092" max="3092" width="3.85546875" style="434" customWidth="1"/>
    <col min="3093" max="3093" width="2.85546875" style="434" customWidth="1"/>
    <col min="3094" max="3328" width="8.85546875" style="434"/>
    <col min="3329" max="3329" width="32.140625" style="434" customWidth="1"/>
    <col min="3330" max="3330" width="10.28515625" style="434" customWidth="1"/>
    <col min="3331" max="3331" width="9.85546875" style="434" customWidth="1"/>
    <col min="3332" max="3332" width="2.7109375" style="434" customWidth="1"/>
    <col min="3333" max="3333" width="8.7109375" style="434" customWidth="1"/>
    <col min="3334" max="3334" width="8.28515625" style="434" customWidth="1"/>
    <col min="3335" max="3335" width="3.28515625" style="434" customWidth="1"/>
    <col min="3336" max="3337" width="7.85546875" style="434" customWidth="1"/>
    <col min="3338" max="3338" width="2.7109375" style="434" customWidth="1"/>
    <col min="3339" max="3340" width="7.5703125" style="434" customWidth="1"/>
    <col min="3341" max="3341" width="2.7109375" style="434" customWidth="1"/>
    <col min="3342" max="3343" width="7.7109375" style="434" customWidth="1"/>
    <col min="3344" max="3344" width="2.7109375" style="434" customWidth="1"/>
    <col min="3345" max="3346" width="7.5703125" style="434" customWidth="1"/>
    <col min="3347" max="3347" width="2.7109375" style="434" customWidth="1"/>
    <col min="3348" max="3348" width="3.85546875" style="434" customWidth="1"/>
    <col min="3349" max="3349" width="2.85546875" style="434" customWidth="1"/>
    <col min="3350" max="3584" width="8.85546875" style="434"/>
    <col min="3585" max="3585" width="32.140625" style="434" customWidth="1"/>
    <col min="3586" max="3586" width="10.28515625" style="434" customWidth="1"/>
    <col min="3587" max="3587" width="9.85546875" style="434" customWidth="1"/>
    <col min="3588" max="3588" width="2.7109375" style="434" customWidth="1"/>
    <col min="3589" max="3589" width="8.7109375" style="434" customWidth="1"/>
    <col min="3590" max="3590" width="8.28515625" style="434" customWidth="1"/>
    <col min="3591" max="3591" width="3.28515625" style="434" customWidth="1"/>
    <col min="3592" max="3593" width="7.85546875" style="434" customWidth="1"/>
    <col min="3594" max="3594" width="2.7109375" style="434" customWidth="1"/>
    <col min="3595" max="3596" width="7.5703125" style="434" customWidth="1"/>
    <col min="3597" max="3597" width="2.7109375" style="434" customWidth="1"/>
    <col min="3598" max="3599" width="7.7109375" style="434" customWidth="1"/>
    <col min="3600" max="3600" width="2.7109375" style="434" customWidth="1"/>
    <col min="3601" max="3602" width="7.5703125" style="434" customWidth="1"/>
    <col min="3603" max="3603" width="2.7109375" style="434" customWidth="1"/>
    <col min="3604" max="3604" width="3.85546875" style="434" customWidth="1"/>
    <col min="3605" max="3605" width="2.85546875" style="434" customWidth="1"/>
    <col min="3606" max="3840" width="8.85546875" style="434"/>
    <col min="3841" max="3841" width="32.140625" style="434" customWidth="1"/>
    <col min="3842" max="3842" width="10.28515625" style="434" customWidth="1"/>
    <col min="3843" max="3843" width="9.85546875" style="434" customWidth="1"/>
    <col min="3844" max="3844" width="2.7109375" style="434" customWidth="1"/>
    <col min="3845" max="3845" width="8.7109375" style="434" customWidth="1"/>
    <col min="3846" max="3846" width="8.28515625" style="434" customWidth="1"/>
    <col min="3847" max="3847" width="3.28515625" style="434" customWidth="1"/>
    <col min="3848" max="3849" width="7.85546875" style="434" customWidth="1"/>
    <col min="3850" max="3850" width="2.7109375" style="434" customWidth="1"/>
    <col min="3851" max="3852" width="7.5703125" style="434" customWidth="1"/>
    <col min="3853" max="3853" width="2.7109375" style="434" customWidth="1"/>
    <col min="3854" max="3855" width="7.7109375" style="434" customWidth="1"/>
    <col min="3856" max="3856" width="2.7109375" style="434" customWidth="1"/>
    <col min="3857" max="3858" width="7.5703125" style="434" customWidth="1"/>
    <col min="3859" max="3859" width="2.7109375" style="434" customWidth="1"/>
    <col min="3860" max="3860" width="3.85546875" style="434" customWidth="1"/>
    <col min="3861" max="3861" width="2.85546875" style="434" customWidth="1"/>
    <col min="3862" max="4096" width="8.85546875" style="434"/>
    <col min="4097" max="4097" width="32.140625" style="434" customWidth="1"/>
    <col min="4098" max="4098" width="10.28515625" style="434" customWidth="1"/>
    <col min="4099" max="4099" width="9.85546875" style="434" customWidth="1"/>
    <col min="4100" max="4100" width="2.7109375" style="434" customWidth="1"/>
    <col min="4101" max="4101" width="8.7109375" style="434" customWidth="1"/>
    <col min="4102" max="4102" width="8.28515625" style="434" customWidth="1"/>
    <col min="4103" max="4103" width="3.28515625" style="434" customWidth="1"/>
    <col min="4104" max="4105" width="7.85546875" style="434" customWidth="1"/>
    <col min="4106" max="4106" width="2.7109375" style="434" customWidth="1"/>
    <col min="4107" max="4108" width="7.5703125" style="434" customWidth="1"/>
    <col min="4109" max="4109" width="2.7109375" style="434" customWidth="1"/>
    <col min="4110" max="4111" width="7.7109375" style="434" customWidth="1"/>
    <col min="4112" max="4112" width="2.7109375" style="434" customWidth="1"/>
    <col min="4113" max="4114" width="7.5703125" style="434" customWidth="1"/>
    <col min="4115" max="4115" width="2.7109375" style="434" customWidth="1"/>
    <col min="4116" max="4116" width="3.85546875" style="434" customWidth="1"/>
    <col min="4117" max="4117" width="2.85546875" style="434" customWidth="1"/>
    <col min="4118" max="4352" width="8.85546875" style="434"/>
    <col min="4353" max="4353" width="32.140625" style="434" customWidth="1"/>
    <col min="4354" max="4354" width="10.28515625" style="434" customWidth="1"/>
    <col min="4355" max="4355" width="9.85546875" style="434" customWidth="1"/>
    <col min="4356" max="4356" width="2.7109375" style="434" customWidth="1"/>
    <col min="4357" max="4357" width="8.7109375" style="434" customWidth="1"/>
    <col min="4358" max="4358" width="8.28515625" style="434" customWidth="1"/>
    <col min="4359" max="4359" width="3.28515625" style="434" customWidth="1"/>
    <col min="4360" max="4361" width="7.85546875" style="434" customWidth="1"/>
    <col min="4362" max="4362" width="2.7109375" style="434" customWidth="1"/>
    <col min="4363" max="4364" width="7.5703125" style="434" customWidth="1"/>
    <col min="4365" max="4365" width="2.7109375" style="434" customWidth="1"/>
    <col min="4366" max="4367" width="7.7109375" style="434" customWidth="1"/>
    <col min="4368" max="4368" width="2.7109375" style="434" customWidth="1"/>
    <col min="4369" max="4370" width="7.5703125" style="434" customWidth="1"/>
    <col min="4371" max="4371" width="2.7109375" style="434" customWidth="1"/>
    <col min="4372" max="4372" width="3.85546875" style="434" customWidth="1"/>
    <col min="4373" max="4373" width="2.85546875" style="434" customWidth="1"/>
    <col min="4374" max="4608" width="8.85546875" style="434"/>
    <col min="4609" max="4609" width="32.140625" style="434" customWidth="1"/>
    <col min="4610" max="4610" width="10.28515625" style="434" customWidth="1"/>
    <col min="4611" max="4611" width="9.85546875" style="434" customWidth="1"/>
    <col min="4612" max="4612" width="2.7109375" style="434" customWidth="1"/>
    <col min="4613" max="4613" width="8.7109375" style="434" customWidth="1"/>
    <col min="4614" max="4614" width="8.28515625" style="434" customWidth="1"/>
    <col min="4615" max="4615" width="3.28515625" style="434" customWidth="1"/>
    <col min="4616" max="4617" width="7.85546875" style="434" customWidth="1"/>
    <col min="4618" max="4618" width="2.7109375" style="434" customWidth="1"/>
    <col min="4619" max="4620" width="7.5703125" style="434" customWidth="1"/>
    <col min="4621" max="4621" width="2.7109375" style="434" customWidth="1"/>
    <col min="4622" max="4623" width="7.7109375" style="434" customWidth="1"/>
    <col min="4624" max="4624" width="2.7109375" style="434" customWidth="1"/>
    <col min="4625" max="4626" width="7.5703125" style="434" customWidth="1"/>
    <col min="4627" max="4627" width="2.7109375" style="434" customWidth="1"/>
    <col min="4628" max="4628" width="3.85546875" style="434" customWidth="1"/>
    <col min="4629" max="4629" width="2.85546875" style="434" customWidth="1"/>
    <col min="4630" max="4864" width="8.85546875" style="434"/>
    <col min="4865" max="4865" width="32.140625" style="434" customWidth="1"/>
    <col min="4866" max="4866" width="10.28515625" style="434" customWidth="1"/>
    <col min="4867" max="4867" width="9.85546875" style="434" customWidth="1"/>
    <col min="4868" max="4868" width="2.7109375" style="434" customWidth="1"/>
    <col min="4869" max="4869" width="8.7109375" style="434" customWidth="1"/>
    <col min="4870" max="4870" width="8.28515625" style="434" customWidth="1"/>
    <col min="4871" max="4871" width="3.28515625" style="434" customWidth="1"/>
    <col min="4872" max="4873" width="7.85546875" style="434" customWidth="1"/>
    <col min="4874" max="4874" width="2.7109375" style="434" customWidth="1"/>
    <col min="4875" max="4876" width="7.5703125" style="434" customWidth="1"/>
    <col min="4877" max="4877" width="2.7109375" style="434" customWidth="1"/>
    <col min="4878" max="4879" width="7.7109375" style="434" customWidth="1"/>
    <col min="4880" max="4880" width="2.7109375" style="434" customWidth="1"/>
    <col min="4881" max="4882" width="7.5703125" style="434" customWidth="1"/>
    <col min="4883" max="4883" width="2.7109375" style="434" customWidth="1"/>
    <col min="4884" max="4884" width="3.85546875" style="434" customWidth="1"/>
    <col min="4885" max="4885" width="2.85546875" style="434" customWidth="1"/>
    <col min="4886" max="5120" width="8.85546875" style="434"/>
    <col min="5121" max="5121" width="32.140625" style="434" customWidth="1"/>
    <col min="5122" max="5122" width="10.28515625" style="434" customWidth="1"/>
    <col min="5123" max="5123" width="9.85546875" style="434" customWidth="1"/>
    <col min="5124" max="5124" width="2.7109375" style="434" customWidth="1"/>
    <col min="5125" max="5125" width="8.7109375" style="434" customWidth="1"/>
    <col min="5126" max="5126" width="8.28515625" style="434" customWidth="1"/>
    <col min="5127" max="5127" width="3.28515625" style="434" customWidth="1"/>
    <col min="5128" max="5129" width="7.85546875" style="434" customWidth="1"/>
    <col min="5130" max="5130" width="2.7109375" style="434" customWidth="1"/>
    <col min="5131" max="5132" width="7.5703125" style="434" customWidth="1"/>
    <col min="5133" max="5133" width="2.7109375" style="434" customWidth="1"/>
    <col min="5134" max="5135" width="7.7109375" style="434" customWidth="1"/>
    <col min="5136" max="5136" width="2.7109375" style="434" customWidth="1"/>
    <col min="5137" max="5138" width="7.5703125" style="434" customWidth="1"/>
    <col min="5139" max="5139" width="2.7109375" style="434" customWidth="1"/>
    <col min="5140" max="5140" width="3.85546875" style="434" customWidth="1"/>
    <col min="5141" max="5141" width="2.85546875" style="434" customWidth="1"/>
    <col min="5142" max="5376" width="8.85546875" style="434"/>
    <col min="5377" max="5377" width="32.140625" style="434" customWidth="1"/>
    <col min="5378" max="5378" width="10.28515625" style="434" customWidth="1"/>
    <col min="5379" max="5379" width="9.85546875" style="434" customWidth="1"/>
    <col min="5380" max="5380" width="2.7109375" style="434" customWidth="1"/>
    <col min="5381" max="5381" width="8.7109375" style="434" customWidth="1"/>
    <col min="5382" max="5382" width="8.28515625" style="434" customWidth="1"/>
    <col min="5383" max="5383" width="3.28515625" style="434" customWidth="1"/>
    <col min="5384" max="5385" width="7.85546875" style="434" customWidth="1"/>
    <col min="5386" max="5386" width="2.7109375" style="434" customWidth="1"/>
    <col min="5387" max="5388" width="7.5703125" style="434" customWidth="1"/>
    <col min="5389" max="5389" width="2.7109375" style="434" customWidth="1"/>
    <col min="5390" max="5391" width="7.7109375" style="434" customWidth="1"/>
    <col min="5392" max="5392" width="2.7109375" style="434" customWidth="1"/>
    <col min="5393" max="5394" width="7.5703125" style="434" customWidth="1"/>
    <col min="5395" max="5395" width="2.7109375" style="434" customWidth="1"/>
    <col min="5396" max="5396" width="3.85546875" style="434" customWidth="1"/>
    <col min="5397" max="5397" width="2.85546875" style="434" customWidth="1"/>
    <col min="5398" max="5632" width="8.85546875" style="434"/>
    <col min="5633" max="5633" width="32.140625" style="434" customWidth="1"/>
    <col min="5634" max="5634" width="10.28515625" style="434" customWidth="1"/>
    <col min="5635" max="5635" width="9.85546875" style="434" customWidth="1"/>
    <col min="5636" max="5636" width="2.7109375" style="434" customWidth="1"/>
    <col min="5637" max="5637" width="8.7109375" style="434" customWidth="1"/>
    <col min="5638" max="5638" width="8.28515625" style="434" customWidth="1"/>
    <col min="5639" max="5639" width="3.28515625" style="434" customWidth="1"/>
    <col min="5640" max="5641" width="7.85546875" style="434" customWidth="1"/>
    <col min="5642" max="5642" width="2.7109375" style="434" customWidth="1"/>
    <col min="5643" max="5644" width="7.5703125" style="434" customWidth="1"/>
    <col min="5645" max="5645" width="2.7109375" style="434" customWidth="1"/>
    <col min="5646" max="5647" width="7.7109375" style="434" customWidth="1"/>
    <col min="5648" max="5648" width="2.7109375" style="434" customWidth="1"/>
    <col min="5649" max="5650" width="7.5703125" style="434" customWidth="1"/>
    <col min="5651" max="5651" width="2.7109375" style="434" customWidth="1"/>
    <col min="5652" max="5652" width="3.85546875" style="434" customWidth="1"/>
    <col min="5653" max="5653" width="2.85546875" style="434" customWidth="1"/>
    <col min="5654" max="5888" width="8.85546875" style="434"/>
    <col min="5889" max="5889" width="32.140625" style="434" customWidth="1"/>
    <col min="5890" max="5890" width="10.28515625" style="434" customWidth="1"/>
    <col min="5891" max="5891" width="9.85546875" style="434" customWidth="1"/>
    <col min="5892" max="5892" width="2.7109375" style="434" customWidth="1"/>
    <col min="5893" max="5893" width="8.7109375" style="434" customWidth="1"/>
    <col min="5894" max="5894" width="8.28515625" style="434" customWidth="1"/>
    <col min="5895" max="5895" width="3.28515625" style="434" customWidth="1"/>
    <col min="5896" max="5897" width="7.85546875" style="434" customWidth="1"/>
    <col min="5898" max="5898" width="2.7109375" style="434" customWidth="1"/>
    <col min="5899" max="5900" width="7.5703125" style="434" customWidth="1"/>
    <col min="5901" max="5901" width="2.7109375" style="434" customWidth="1"/>
    <col min="5902" max="5903" width="7.7109375" style="434" customWidth="1"/>
    <col min="5904" max="5904" width="2.7109375" style="434" customWidth="1"/>
    <col min="5905" max="5906" width="7.5703125" style="434" customWidth="1"/>
    <col min="5907" max="5907" width="2.7109375" style="434" customWidth="1"/>
    <col min="5908" max="5908" width="3.85546875" style="434" customWidth="1"/>
    <col min="5909" max="5909" width="2.85546875" style="434" customWidth="1"/>
    <col min="5910" max="6144" width="8.85546875" style="434"/>
    <col min="6145" max="6145" width="32.140625" style="434" customWidth="1"/>
    <col min="6146" max="6146" width="10.28515625" style="434" customWidth="1"/>
    <col min="6147" max="6147" width="9.85546875" style="434" customWidth="1"/>
    <col min="6148" max="6148" width="2.7109375" style="434" customWidth="1"/>
    <col min="6149" max="6149" width="8.7109375" style="434" customWidth="1"/>
    <col min="6150" max="6150" width="8.28515625" style="434" customWidth="1"/>
    <col min="6151" max="6151" width="3.28515625" style="434" customWidth="1"/>
    <col min="6152" max="6153" width="7.85546875" style="434" customWidth="1"/>
    <col min="6154" max="6154" width="2.7109375" style="434" customWidth="1"/>
    <col min="6155" max="6156" width="7.5703125" style="434" customWidth="1"/>
    <col min="6157" max="6157" width="2.7109375" style="434" customWidth="1"/>
    <col min="6158" max="6159" width="7.7109375" style="434" customWidth="1"/>
    <col min="6160" max="6160" width="2.7109375" style="434" customWidth="1"/>
    <col min="6161" max="6162" width="7.5703125" style="434" customWidth="1"/>
    <col min="6163" max="6163" width="2.7109375" style="434" customWidth="1"/>
    <col min="6164" max="6164" width="3.85546875" style="434" customWidth="1"/>
    <col min="6165" max="6165" width="2.85546875" style="434" customWidth="1"/>
    <col min="6166" max="6400" width="8.85546875" style="434"/>
    <col min="6401" max="6401" width="32.140625" style="434" customWidth="1"/>
    <col min="6402" max="6402" width="10.28515625" style="434" customWidth="1"/>
    <col min="6403" max="6403" width="9.85546875" style="434" customWidth="1"/>
    <col min="6404" max="6404" width="2.7109375" style="434" customWidth="1"/>
    <col min="6405" max="6405" width="8.7109375" style="434" customWidth="1"/>
    <col min="6406" max="6406" width="8.28515625" style="434" customWidth="1"/>
    <col min="6407" max="6407" width="3.28515625" style="434" customWidth="1"/>
    <col min="6408" max="6409" width="7.85546875" style="434" customWidth="1"/>
    <col min="6410" max="6410" width="2.7109375" style="434" customWidth="1"/>
    <col min="6411" max="6412" width="7.5703125" style="434" customWidth="1"/>
    <col min="6413" max="6413" width="2.7109375" style="434" customWidth="1"/>
    <col min="6414" max="6415" width="7.7109375" style="434" customWidth="1"/>
    <col min="6416" max="6416" width="2.7109375" style="434" customWidth="1"/>
    <col min="6417" max="6418" width="7.5703125" style="434" customWidth="1"/>
    <col min="6419" max="6419" width="2.7109375" style="434" customWidth="1"/>
    <col min="6420" max="6420" width="3.85546875" style="434" customWidth="1"/>
    <col min="6421" max="6421" width="2.85546875" style="434" customWidth="1"/>
    <col min="6422" max="6656" width="8.85546875" style="434"/>
    <col min="6657" max="6657" width="32.140625" style="434" customWidth="1"/>
    <col min="6658" max="6658" width="10.28515625" style="434" customWidth="1"/>
    <col min="6659" max="6659" width="9.85546875" style="434" customWidth="1"/>
    <col min="6660" max="6660" width="2.7109375" style="434" customWidth="1"/>
    <col min="6661" max="6661" width="8.7109375" style="434" customWidth="1"/>
    <col min="6662" max="6662" width="8.28515625" style="434" customWidth="1"/>
    <col min="6663" max="6663" width="3.28515625" style="434" customWidth="1"/>
    <col min="6664" max="6665" width="7.85546875" style="434" customWidth="1"/>
    <col min="6666" max="6666" width="2.7109375" style="434" customWidth="1"/>
    <col min="6667" max="6668" width="7.5703125" style="434" customWidth="1"/>
    <col min="6669" max="6669" width="2.7109375" style="434" customWidth="1"/>
    <col min="6670" max="6671" width="7.7109375" style="434" customWidth="1"/>
    <col min="6672" max="6672" width="2.7109375" style="434" customWidth="1"/>
    <col min="6673" max="6674" width="7.5703125" style="434" customWidth="1"/>
    <col min="6675" max="6675" width="2.7109375" style="434" customWidth="1"/>
    <col min="6676" max="6676" width="3.85546875" style="434" customWidth="1"/>
    <col min="6677" max="6677" width="2.85546875" style="434" customWidth="1"/>
    <col min="6678" max="6912" width="8.85546875" style="434"/>
    <col min="6913" max="6913" width="32.140625" style="434" customWidth="1"/>
    <col min="6914" max="6914" width="10.28515625" style="434" customWidth="1"/>
    <col min="6915" max="6915" width="9.85546875" style="434" customWidth="1"/>
    <col min="6916" max="6916" width="2.7109375" style="434" customWidth="1"/>
    <col min="6917" max="6917" width="8.7109375" style="434" customWidth="1"/>
    <col min="6918" max="6918" width="8.28515625" style="434" customWidth="1"/>
    <col min="6919" max="6919" width="3.28515625" style="434" customWidth="1"/>
    <col min="6920" max="6921" width="7.85546875" style="434" customWidth="1"/>
    <col min="6922" max="6922" width="2.7109375" style="434" customWidth="1"/>
    <col min="6923" max="6924" width="7.5703125" style="434" customWidth="1"/>
    <col min="6925" max="6925" width="2.7109375" style="434" customWidth="1"/>
    <col min="6926" max="6927" width="7.7109375" style="434" customWidth="1"/>
    <col min="6928" max="6928" width="2.7109375" style="434" customWidth="1"/>
    <col min="6929" max="6930" width="7.5703125" style="434" customWidth="1"/>
    <col min="6931" max="6931" width="2.7109375" style="434" customWidth="1"/>
    <col min="6932" max="6932" width="3.85546875" style="434" customWidth="1"/>
    <col min="6933" max="6933" width="2.85546875" style="434" customWidth="1"/>
    <col min="6934" max="7168" width="8.85546875" style="434"/>
    <col min="7169" max="7169" width="32.140625" style="434" customWidth="1"/>
    <col min="7170" max="7170" width="10.28515625" style="434" customWidth="1"/>
    <col min="7171" max="7171" width="9.85546875" style="434" customWidth="1"/>
    <col min="7172" max="7172" width="2.7109375" style="434" customWidth="1"/>
    <col min="7173" max="7173" width="8.7109375" style="434" customWidth="1"/>
    <col min="7174" max="7174" width="8.28515625" style="434" customWidth="1"/>
    <col min="7175" max="7175" width="3.28515625" style="434" customWidth="1"/>
    <col min="7176" max="7177" width="7.85546875" style="434" customWidth="1"/>
    <col min="7178" max="7178" width="2.7109375" style="434" customWidth="1"/>
    <col min="7179" max="7180" width="7.5703125" style="434" customWidth="1"/>
    <col min="7181" max="7181" width="2.7109375" style="434" customWidth="1"/>
    <col min="7182" max="7183" width="7.7109375" style="434" customWidth="1"/>
    <col min="7184" max="7184" width="2.7109375" style="434" customWidth="1"/>
    <col min="7185" max="7186" width="7.5703125" style="434" customWidth="1"/>
    <col min="7187" max="7187" width="2.7109375" style="434" customWidth="1"/>
    <col min="7188" max="7188" width="3.85546875" style="434" customWidth="1"/>
    <col min="7189" max="7189" width="2.85546875" style="434" customWidth="1"/>
    <col min="7190" max="7424" width="8.85546875" style="434"/>
    <col min="7425" max="7425" width="32.140625" style="434" customWidth="1"/>
    <col min="7426" max="7426" width="10.28515625" style="434" customWidth="1"/>
    <col min="7427" max="7427" width="9.85546875" style="434" customWidth="1"/>
    <col min="7428" max="7428" width="2.7109375" style="434" customWidth="1"/>
    <col min="7429" max="7429" width="8.7109375" style="434" customWidth="1"/>
    <col min="7430" max="7430" width="8.28515625" style="434" customWidth="1"/>
    <col min="7431" max="7431" width="3.28515625" style="434" customWidth="1"/>
    <col min="7432" max="7433" width="7.85546875" style="434" customWidth="1"/>
    <col min="7434" max="7434" width="2.7109375" style="434" customWidth="1"/>
    <col min="7435" max="7436" width="7.5703125" style="434" customWidth="1"/>
    <col min="7437" max="7437" width="2.7109375" style="434" customWidth="1"/>
    <col min="7438" max="7439" width="7.7109375" style="434" customWidth="1"/>
    <col min="7440" max="7440" width="2.7109375" style="434" customWidth="1"/>
    <col min="7441" max="7442" width="7.5703125" style="434" customWidth="1"/>
    <col min="7443" max="7443" width="2.7109375" style="434" customWidth="1"/>
    <col min="7444" max="7444" width="3.85546875" style="434" customWidth="1"/>
    <col min="7445" max="7445" width="2.85546875" style="434" customWidth="1"/>
    <col min="7446" max="7680" width="8.85546875" style="434"/>
    <col min="7681" max="7681" width="32.140625" style="434" customWidth="1"/>
    <col min="7682" max="7682" width="10.28515625" style="434" customWidth="1"/>
    <col min="7683" max="7683" width="9.85546875" style="434" customWidth="1"/>
    <col min="7684" max="7684" width="2.7109375" style="434" customWidth="1"/>
    <col min="7685" max="7685" width="8.7109375" style="434" customWidth="1"/>
    <col min="7686" max="7686" width="8.28515625" style="434" customWidth="1"/>
    <col min="7687" max="7687" width="3.28515625" style="434" customWidth="1"/>
    <col min="7688" max="7689" width="7.85546875" style="434" customWidth="1"/>
    <col min="7690" max="7690" width="2.7109375" style="434" customWidth="1"/>
    <col min="7691" max="7692" width="7.5703125" style="434" customWidth="1"/>
    <col min="7693" max="7693" width="2.7109375" style="434" customWidth="1"/>
    <col min="7694" max="7695" width="7.7109375" style="434" customWidth="1"/>
    <col min="7696" max="7696" width="2.7109375" style="434" customWidth="1"/>
    <col min="7697" max="7698" width="7.5703125" style="434" customWidth="1"/>
    <col min="7699" max="7699" width="2.7109375" style="434" customWidth="1"/>
    <col min="7700" max="7700" width="3.85546875" style="434" customWidth="1"/>
    <col min="7701" max="7701" width="2.85546875" style="434" customWidth="1"/>
    <col min="7702" max="7936" width="8.85546875" style="434"/>
    <col min="7937" max="7937" width="32.140625" style="434" customWidth="1"/>
    <col min="7938" max="7938" width="10.28515625" style="434" customWidth="1"/>
    <col min="7939" max="7939" width="9.85546875" style="434" customWidth="1"/>
    <col min="7940" max="7940" width="2.7109375" style="434" customWidth="1"/>
    <col min="7941" max="7941" width="8.7109375" style="434" customWidth="1"/>
    <col min="7942" max="7942" width="8.28515625" style="434" customWidth="1"/>
    <col min="7943" max="7943" width="3.28515625" style="434" customWidth="1"/>
    <col min="7944" max="7945" width="7.85546875" style="434" customWidth="1"/>
    <col min="7946" max="7946" width="2.7109375" style="434" customWidth="1"/>
    <col min="7947" max="7948" width="7.5703125" style="434" customWidth="1"/>
    <col min="7949" max="7949" width="2.7109375" style="434" customWidth="1"/>
    <col min="7950" max="7951" width="7.7109375" style="434" customWidth="1"/>
    <col min="7952" max="7952" width="2.7109375" style="434" customWidth="1"/>
    <col min="7953" max="7954" width="7.5703125" style="434" customWidth="1"/>
    <col min="7955" max="7955" width="2.7109375" style="434" customWidth="1"/>
    <col min="7956" max="7956" width="3.85546875" style="434" customWidth="1"/>
    <col min="7957" max="7957" width="2.85546875" style="434" customWidth="1"/>
    <col min="7958" max="8192" width="8.85546875" style="434"/>
    <col min="8193" max="8193" width="32.140625" style="434" customWidth="1"/>
    <col min="8194" max="8194" width="10.28515625" style="434" customWidth="1"/>
    <col min="8195" max="8195" width="9.85546875" style="434" customWidth="1"/>
    <col min="8196" max="8196" width="2.7109375" style="434" customWidth="1"/>
    <col min="8197" max="8197" width="8.7109375" style="434" customWidth="1"/>
    <col min="8198" max="8198" width="8.28515625" style="434" customWidth="1"/>
    <col min="8199" max="8199" width="3.28515625" style="434" customWidth="1"/>
    <col min="8200" max="8201" width="7.85546875" style="434" customWidth="1"/>
    <col min="8202" max="8202" width="2.7109375" style="434" customWidth="1"/>
    <col min="8203" max="8204" width="7.5703125" style="434" customWidth="1"/>
    <col min="8205" max="8205" width="2.7109375" style="434" customWidth="1"/>
    <col min="8206" max="8207" width="7.7109375" style="434" customWidth="1"/>
    <col min="8208" max="8208" width="2.7109375" style="434" customWidth="1"/>
    <col min="8209" max="8210" width="7.5703125" style="434" customWidth="1"/>
    <col min="8211" max="8211" width="2.7109375" style="434" customWidth="1"/>
    <col min="8212" max="8212" width="3.85546875" style="434" customWidth="1"/>
    <col min="8213" max="8213" width="2.85546875" style="434" customWidth="1"/>
    <col min="8214" max="8448" width="8.85546875" style="434"/>
    <col min="8449" max="8449" width="32.140625" style="434" customWidth="1"/>
    <col min="8450" max="8450" width="10.28515625" style="434" customWidth="1"/>
    <col min="8451" max="8451" width="9.85546875" style="434" customWidth="1"/>
    <col min="8452" max="8452" width="2.7109375" style="434" customWidth="1"/>
    <col min="8453" max="8453" width="8.7109375" style="434" customWidth="1"/>
    <col min="8454" max="8454" width="8.28515625" style="434" customWidth="1"/>
    <col min="8455" max="8455" width="3.28515625" style="434" customWidth="1"/>
    <col min="8456" max="8457" width="7.85546875" style="434" customWidth="1"/>
    <col min="8458" max="8458" width="2.7109375" style="434" customWidth="1"/>
    <col min="8459" max="8460" width="7.5703125" style="434" customWidth="1"/>
    <col min="8461" max="8461" width="2.7109375" style="434" customWidth="1"/>
    <col min="8462" max="8463" width="7.7109375" style="434" customWidth="1"/>
    <col min="8464" max="8464" width="2.7109375" style="434" customWidth="1"/>
    <col min="8465" max="8466" width="7.5703125" style="434" customWidth="1"/>
    <col min="8467" max="8467" width="2.7109375" style="434" customWidth="1"/>
    <col min="8468" max="8468" width="3.85546875" style="434" customWidth="1"/>
    <col min="8469" max="8469" width="2.85546875" style="434" customWidth="1"/>
    <col min="8470" max="8704" width="8.85546875" style="434"/>
    <col min="8705" max="8705" width="32.140625" style="434" customWidth="1"/>
    <col min="8706" max="8706" width="10.28515625" style="434" customWidth="1"/>
    <col min="8707" max="8707" width="9.85546875" style="434" customWidth="1"/>
    <col min="8708" max="8708" width="2.7109375" style="434" customWidth="1"/>
    <col min="8709" max="8709" width="8.7109375" style="434" customWidth="1"/>
    <col min="8710" max="8710" width="8.28515625" style="434" customWidth="1"/>
    <col min="8711" max="8711" width="3.28515625" style="434" customWidth="1"/>
    <col min="8712" max="8713" width="7.85546875" style="434" customWidth="1"/>
    <col min="8714" max="8714" width="2.7109375" style="434" customWidth="1"/>
    <col min="8715" max="8716" width="7.5703125" style="434" customWidth="1"/>
    <col min="8717" max="8717" width="2.7109375" style="434" customWidth="1"/>
    <col min="8718" max="8719" width="7.7109375" style="434" customWidth="1"/>
    <col min="8720" max="8720" width="2.7109375" style="434" customWidth="1"/>
    <col min="8721" max="8722" width="7.5703125" style="434" customWidth="1"/>
    <col min="8723" max="8723" width="2.7109375" style="434" customWidth="1"/>
    <col min="8724" max="8724" width="3.85546875" style="434" customWidth="1"/>
    <col min="8725" max="8725" width="2.85546875" style="434" customWidth="1"/>
    <col min="8726" max="8960" width="8.85546875" style="434"/>
    <col min="8961" max="8961" width="32.140625" style="434" customWidth="1"/>
    <col min="8962" max="8962" width="10.28515625" style="434" customWidth="1"/>
    <col min="8963" max="8963" width="9.85546875" style="434" customWidth="1"/>
    <col min="8964" max="8964" width="2.7109375" style="434" customWidth="1"/>
    <col min="8965" max="8965" width="8.7109375" style="434" customWidth="1"/>
    <col min="8966" max="8966" width="8.28515625" style="434" customWidth="1"/>
    <col min="8967" max="8967" width="3.28515625" style="434" customWidth="1"/>
    <col min="8968" max="8969" width="7.85546875" style="434" customWidth="1"/>
    <col min="8970" max="8970" width="2.7109375" style="434" customWidth="1"/>
    <col min="8971" max="8972" width="7.5703125" style="434" customWidth="1"/>
    <col min="8973" max="8973" width="2.7109375" style="434" customWidth="1"/>
    <col min="8974" max="8975" width="7.7109375" style="434" customWidth="1"/>
    <col min="8976" max="8976" width="2.7109375" style="434" customWidth="1"/>
    <col min="8977" max="8978" width="7.5703125" style="434" customWidth="1"/>
    <col min="8979" max="8979" width="2.7109375" style="434" customWidth="1"/>
    <col min="8980" max="8980" width="3.85546875" style="434" customWidth="1"/>
    <col min="8981" max="8981" width="2.85546875" style="434" customWidth="1"/>
    <col min="8982" max="9216" width="8.85546875" style="434"/>
    <col min="9217" max="9217" width="32.140625" style="434" customWidth="1"/>
    <col min="9218" max="9218" width="10.28515625" style="434" customWidth="1"/>
    <col min="9219" max="9219" width="9.85546875" style="434" customWidth="1"/>
    <col min="9220" max="9220" width="2.7109375" style="434" customWidth="1"/>
    <col min="9221" max="9221" width="8.7109375" style="434" customWidth="1"/>
    <col min="9222" max="9222" width="8.28515625" style="434" customWidth="1"/>
    <col min="9223" max="9223" width="3.28515625" style="434" customWidth="1"/>
    <col min="9224" max="9225" width="7.85546875" style="434" customWidth="1"/>
    <col min="9226" max="9226" width="2.7109375" style="434" customWidth="1"/>
    <col min="9227" max="9228" width="7.5703125" style="434" customWidth="1"/>
    <col min="9229" max="9229" width="2.7109375" style="434" customWidth="1"/>
    <col min="9230" max="9231" width="7.7109375" style="434" customWidth="1"/>
    <col min="9232" max="9232" width="2.7109375" style="434" customWidth="1"/>
    <col min="9233" max="9234" width="7.5703125" style="434" customWidth="1"/>
    <col min="9235" max="9235" width="2.7109375" style="434" customWidth="1"/>
    <col min="9236" max="9236" width="3.85546875" style="434" customWidth="1"/>
    <col min="9237" max="9237" width="2.85546875" style="434" customWidth="1"/>
    <col min="9238" max="9472" width="8.85546875" style="434"/>
    <col min="9473" max="9473" width="32.140625" style="434" customWidth="1"/>
    <col min="9474" max="9474" width="10.28515625" style="434" customWidth="1"/>
    <col min="9475" max="9475" width="9.85546875" style="434" customWidth="1"/>
    <col min="9476" max="9476" width="2.7109375" style="434" customWidth="1"/>
    <col min="9477" max="9477" width="8.7109375" style="434" customWidth="1"/>
    <col min="9478" max="9478" width="8.28515625" style="434" customWidth="1"/>
    <col min="9479" max="9479" width="3.28515625" style="434" customWidth="1"/>
    <col min="9480" max="9481" width="7.85546875" style="434" customWidth="1"/>
    <col min="9482" max="9482" width="2.7109375" style="434" customWidth="1"/>
    <col min="9483" max="9484" width="7.5703125" style="434" customWidth="1"/>
    <col min="9485" max="9485" width="2.7109375" style="434" customWidth="1"/>
    <col min="9486" max="9487" width="7.7109375" style="434" customWidth="1"/>
    <col min="9488" max="9488" width="2.7109375" style="434" customWidth="1"/>
    <col min="9489" max="9490" width="7.5703125" style="434" customWidth="1"/>
    <col min="9491" max="9491" width="2.7109375" style="434" customWidth="1"/>
    <col min="9492" max="9492" width="3.85546875" style="434" customWidth="1"/>
    <col min="9493" max="9493" width="2.85546875" style="434" customWidth="1"/>
    <col min="9494" max="9728" width="8.85546875" style="434"/>
    <col min="9729" max="9729" width="32.140625" style="434" customWidth="1"/>
    <col min="9730" max="9730" width="10.28515625" style="434" customWidth="1"/>
    <col min="9731" max="9731" width="9.85546875" style="434" customWidth="1"/>
    <col min="9732" max="9732" width="2.7109375" style="434" customWidth="1"/>
    <col min="9733" max="9733" width="8.7109375" style="434" customWidth="1"/>
    <col min="9734" max="9734" width="8.28515625" style="434" customWidth="1"/>
    <col min="9735" max="9735" width="3.28515625" style="434" customWidth="1"/>
    <col min="9736" max="9737" width="7.85546875" style="434" customWidth="1"/>
    <col min="9738" max="9738" width="2.7109375" style="434" customWidth="1"/>
    <col min="9739" max="9740" width="7.5703125" style="434" customWidth="1"/>
    <col min="9741" max="9741" width="2.7109375" style="434" customWidth="1"/>
    <col min="9742" max="9743" width="7.7109375" style="434" customWidth="1"/>
    <col min="9744" max="9744" width="2.7109375" style="434" customWidth="1"/>
    <col min="9745" max="9746" width="7.5703125" style="434" customWidth="1"/>
    <col min="9747" max="9747" width="2.7109375" style="434" customWidth="1"/>
    <col min="9748" max="9748" width="3.85546875" style="434" customWidth="1"/>
    <col min="9749" max="9749" width="2.85546875" style="434" customWidth="1"/>
    <col min="9750" max="9984" width="8.85546875" style="434"/>
    <col min="9985" max="9985" width="32.140625" style="434" customWidth="1"/>
    <col min="9986" max="9986" width="10.28515625" style="434" customWidth="1"/>
    <col min="9987" max="9987" width="9.85546875" style="434" customWidth="1"/>
    <col min="9988" max="9988" width="2.7109375" style="434" customWidth="1"/>
    <col min="9989" max="9989" width="8.7109375" style="434" customWidth="1"/>
    <col min="9990" max="9990" width="8.28515625" style="434" customWidth="1"/>
    <col min="9991" max="9991" width="3.28515625" style="434" customWidth="1"/>
    <col min="9992" max="9993" width="7.85546875" style="434" customWidth="1"/>
    <col min="9994" max="9994" width="2.7109375" style="434" customWidth="1"/>
    <col min="9995" max="9996" width="7.5703125" style="434" customWidth="1"/>
    <col min="9997" max="9997" width="2.7109375" style="434" customWidth="1"/>
    <col min="9998" max="9999" width="7.7109375" style="434" customWidth="1"/>
    <col min="10000" max="10000" width="2.7109375" style="434" customWidth="1"/>
    <col min="10001" max="10002" width="7.5703125" style="434" customWidth="1"/>
    <col min="10003" max="10003" width="2.7109375" style="434" customWidth="1"/>
    <col min="10004" max="10004" width="3.85546875" style="434" customWidth="1"/>
    <col min="10005" max="10005" width="2.85546875" style="434" customWidth="1"/>
    <col min="10006" max="10240" width="8.85546875" style="434"/>
    <col min="10241" max="10241" width="32.140625" style="434" customWidth="1"/>
    <col min="10242" max="10242" width="10.28515625" style="434" customWidth="1"/>
    <col min="10243" max="10243" width="9.85546875" style="434" customWidth="1"/>
    <col min="10244" max="10244" width="2.7109375" style="434" customWidth="1"/>
    <col min="10245" max="10245" width="8.7109375" style="434" customWidth="1"/>
    <col min="10246" max="10246" width="8.28515625" style="434" customWidth="1"/>
    <col min="10247" max="10247" width="3.28515625" style="434" customWidth="1"/>
    <col min="10248" max="10249" width="7.85546875" style="434" customWidth="1"/>
    <col min="10250" max="10250" width="2.7109375" style="434" customWidth="1"/>
    <col min="10251" max="10252" width="7.5703125" style="434" customWidth="1"/>
    <col min="10253" max="10253" width="2.7109375" style="434" customWidth="1"/>
    <col min="10254" max="10255" width="7.7109375" style="434" customWidth="1"/>
    <col min="10256" max="10256" width="2.7109375" style="434" customWidth="1"/>
    <col min="10257" max="10258" width="7.5703125" style="434" customWidth="1"/>
    <col min="10259" max="10259" width="2.7109375" style="434" customWidth="1"/>
    <col min="10260" max="10260" width="3.85546875" style="434" customWidth="1"/>
    <col min="10261" max="10261" width="2.85546875" style="434" customWidth="1"/>
    <col min="10262" max="10496" width="8.85546875" style="434"/>
    <col min="10497" max="10497" width="32.140625" style="434" customWidth="1"/>
    <col min="10498" max="10498" width="10.28515625" style="434" customWidth="1"/>
    <col min="10499" max="10499" width="9.85546875" style="434" customWidth="1"/>
    <col min="10500" max="10500" width="2.7109375" style="434" customWidth="1"/>
    <col min="10501" max="10501" width="8.7109375" style="434" customWidth="1"/>
    <col min="10502" max="10502" width="8.28515625" style="434" customWidth="1"/>
    <col min="10503" max="10503" width="3.28515625" style="434" customWidth="1"/>
    <col min="10504" max="10505" width="7.85546875" style="434" customWidth="1"/>
    <col min="10506" max="10506" width="2.7109375" style="434" customWidth="1"/>
    <col min="10507" max="10508" width="7.5703125" style="434" customWidth="1"/>
    <col min="10509" max="10509" width="2.7109375" style="434" customWidth="1"/>
    <col min="10510" max="10511" width="7.7109375" style="434" customWidth="1"/>
    <col min="10512" max="10512" width="2.7109375" style="434" customWidth="1"/>
    <col min="10513" max="10514" width="7.5703125" style="434" customWidth="1"/>
    <col min="10515" max="10515" width="2.7109375" style="434" customWidth="1"/>
    <col min="10516" max="10516" width="3.85546875" style="434" customWidth="1"/>
    <col min="10517" max="10517" width="2.85546875" style="434" customWidth="1"/>
    <col min="10518" max="10752" width="8.85546875" style="434"/>
    <col min="10753" max="10753" width="32.140625" style="434" customWidth="1"/>
    <col min="10754" max="10754" width="10.28515625" style="434" customWidth="1"/>
    <col min="10755" max="10755" width="9.85546875" style="434" customWidth="1"/>
    <col min="10756" max="10756" width="2.7109375" style="434" customWidth="1"/>
    <col min="10757" max="10757" width="8.7109375" style="434" customWidth="1"/>
    <col min="10758" max="10758" width="8.28515625" style="434" customWidth="1"/>
    <col min="10759" max="10759" width="3.28515625" style="434" customWidth="1"/>
    <col min="10760" max="10761" width="7.85546875" style="434" customWidth="1"/>
    <col min="10762" max="10762" width="2.7109375" style="434" customWidth="1"/>
    <col min="10763" max="10764" width="7.5703125" style="434" customWidth="1"/>
    <col min="10765" max="10765" width="2.7109375" style="434" customWidth="1"/>
    <col min="10766" max="10767" width="7.7109375" style="434" customWidth="1"/>
    <col min="10768" max="10768" width="2.7109375" style="434" customWidth="1"/>
    <col min="10769" max="10770" width="7.5703125" style="434" customWidth="1"/>
    <col min="10771" max="10771" width="2.7109375" style="434" customWidth="1"/>
    <col min="10772" max="10772" width="3.85546875" style="434" customWidth="1"/>
    <col min="10773" max="10773" width="2.85546875" style="434" customWidth="1"/>
    <col min="10774" max="11008" width="8.85546875" style="434"/>
    <col min="11009" max="11009" width="32.140625" style="434" customWidth="1"/>
    <col min="11010" max="11010" width="10.28515625" style="434" customWidth="1"/>
    <col min="11011" max="11011" width="9.85546875" style="434" customWidth="1"/>
    <col min="11012" max="11012" width="2.7109375" style="434" customWidth="1"/>
    <col min="11013" max="11013" width="8.7109375" style="434" customWidth="1"/>
    <col min="11014" max="11014" width="8.28515625" style="434" customWidth="1"/>
    <col min="11015" max="11015" width="3.28515625" style="434" customWidth="1"/>
    <col min="11016" max="11017" width="7.85546875" style="434" customWidth="1"/>
    <col min="11018" max="11018" width="2.7109375" style="434" customWidth="1"/>
    <col min="11019" max="11020" width="7.5703125" style="434" customWidth="1"/>
    <col min="11021" max="11021" width="2.7109375" style="434" customWidth="1"/>
    <col min="11022" max="11023" width="7.7109375" style="434" customWidth="1"/>
    <col min="11024" max="11024" width="2.7109375" style="434" customWidth="1"/>
    <col min="11025" max="11026" width="7.5703125" style="434" customWidth="1"/>
    <col min="11027" max="11027" width="2.7109375" style="434" customWidth="1"/>
    <col min="11028" max="11028" width="3.85546875" style="434" customWidth="1"/>
    <col min="11029" max="11029" width="2.85546875" style="434" customWidth="1"/>
    <col min="11030" max="11264" width="8.85546875" style="434"/>
    <col min="11265" max="11265" width="32.140625" style="434" customWidth="1"/>
    <col min="11266" max="11266" width="10.28515625" style="434" customWidth="1"/>
    <col min="11267" max="11267" width="9.85546875" style="434" customWidth="1"/>
    <col min="11268" max="11268" width="2.7109375" style="434" customWidth="1"/>
    <col min="11269" max="11269" width="8.7109375" style="434" customWidth="1"/>
    <col min="11270" max="11270" width="8.28515625" style="434" customWidth="1"/>
    <col min="11271" max="11271" width="3.28515625" style="434" customWidth="1"/>
    <col min="11272" max="11273" width="7.85546875" style="434" customWidth="1"/>
    <col min="11274" max="11274" width="2.7109375" style="434" customWidth="1"/>
    <col min="11275" max="11276" width="7.5703125" style="434" customWidth="1"/>
    <col min="11277" max="11277" width="2.7109375" style="434" customWidth="1"/>
    <col min="11278" max="11279" width="7.7109375" style="434" customWidth="1"/>
    <col min="11280" max="11280" width="2.7109375" style="434" customWidth="1"/>
    <col min="11281" max="11282" width="7.5703125" style="434" customWidth="1"/>
    <col min="11283" max="11283" width="2.7109375" style="434" customWidth="1"/>
    <col min="11284" max="11284" width="3.85546875" style="434" customWidth="1"/>
    <col min="11285" max="11285" width="2.85546875" style="434" customWidth="1"/>
    <col min="11286" max="11520" width="8.85546875" style="434"/>
    <col min="11521" max="11521" width="32.140625" style="434" customWidth="1"/>
    <col min="11522" max="11522" width="10.28515625" style="434" customWidth="1"/>
    <col min="11523" max="11523" width="9.85546875" style="434" customWidth="1"/>
    <col min="11524" max="11524" width="2.7109375" style="434" customWidth="1"/>
    <col min="11525" max="11525" width="8.7109375" style="434" customWidth="1"/>
    <col min="11526" max="11526" width="8.28515625" style="434" customWidth="1"/>
    <col min="11527" max="11527" width="3.28515625" style="434" customWidth="1"/>
    <col min="11528" max="11529" width="7.85546875" style="434" customWidth="1"/>
    <col min="11530" max="11530" width="2.7109375" style="434" customWidth="1"/>
    <col min="11531" max="11532" width="7.5703125" style="434" customWidth="1"/>
    <col min="11533" max="11533" width="2.7109375" style="434" customWidth="1"/>
    <col min="11534" max="11535" width="7.7109375" style="434" customWidth="1"/>
    <col min="11536" max="11536" width="2.7109375" style="434" customWidth="1"/>
    <col min="11537" max="11538" width="7.5703125" style="434" customWidth="1"/>
    <col min="11539" max="11539" width="2.7109375" style="434" customWidth="1"/>
    <col min="11540" max="11540" width="3.85546875" style="434" customWidth="1"/>
    <col min="11541" max="11541" width="2.85546875" style="434" customWidth="1"/>
    <col min="11542" max="11776" width="8.85546875" style="434"/>
    <col min="11777" max="11777" width="32.140625" style="434" customWidth="1"/>
    <col min="11778" max="11778" width="10.28515625" style="434" customWidth="1"/>
    <col min="11779" max="11779" width="9.85546875" style="434" customWidth="1"/>
    <col min="11780" max="11780" width="2.7109375" style="434" customWidth="1"/>
    <col min="11781" max="11781" width="8.7109375" style="434" customWidth="1"/>
    <col min="11782" max="11782" width="8.28515625" style="434" customWidth="1"/>
    <col min="11783" max="11783" width="3.28515625" style="434" customWidth="1"/>
    <col min="11784" max="11785" width="7.85546875" style="434" customWidth="1"/>
    <col min="11786" max="11786" width="2.7109375" style="434" customWidth="1"/>
    <col min="11787" max="11788" width="7.5703125" style="434" customWidth="1"/>
    <col min="11789" max="11789" width="2.7109375" style="434" customWidth="1"/>
    <col min="11790" max="11791" width="7.7109375" style="434" customWidth="1"/>
    <col min="11792" max="11792" width="2.7109375" style="434" customWidth="1"/>
    <col min="11793" max="11794" width="7.5703125" style="434" customWidth="1"/>
    <col min="11795" max="11795" width="2.7109375" style="434" customWidth="1"/>
    <col min="11796" max="11796" width="3.85546875" style="434" customWidth="1"/>
    <col min="11797" max="11797" width="2.85546875" style="434" customWidth="1"/>
    <col min="11798" max="12032" width="8.85546875" style="434"/>
    <col min="12033" max="12033" width="32.140625" style="434" customWidth="1"/>
    <col min="12034" max="12034" width="10.28515625" style="434" customWidth="1"/>
    <col min="12035" max="12035" width="9.85546875" style="434" customWidth="1"/>
    <col min="12036" max="12036" width="2.7109375" style="434" customWidth="1"/>
    <col min="12037" max="12037" width="8.7109375" style="434" customWidth="1"/>
    <col min="12038" max="12038" width="8.28515625" style="434" customWidth="1"/>
    <col min="12039" max="12039" width="3.28515625" style="434" customWidth="1"/>
    <col min="12040" max="12041" width="7.85546875" style="434" customWidth="1"/>
    <col min="12042" max="12042" width="2.7109375" style="434" customWidth="1"/>
    <col min="12043" max="12044" width="7.5703125" style="434" customWidth="1"/>
    <col min="12045" max="12045" width="2.7109375" style="434" customWidth="1"/>
    <col min="12046" max="12047" width="7.7109375" style="434" customWidth="1"/>
    <col min="12048" max="12048" width="2.7109375" style="434" customWidth="1"/>
    <col min="12049" max="12050" width="7.5703125" style="434" customWidth="1"/>
    <col min="12051" max="12051" width="2.7109375" style="434" customWidth="1"/>
    <col min="12052" max="12052" width="3.85546875" style="434" customWidth="1"/>
    <col min="12053" max="12053" width="2.85546875" style="434" customWidth="1"/>
    <col min="12054" max="12288" width="8.85546875" style="434"/>
    <col min="12289" max="12289" width="32.140625" style="434" customWidth="1"/>
    <col min="12290" max="12290" width="10.28515625" style="434" customWidth="1"/>
    <col min="12291" max="12291" width="9.85546875" style="434" customWidth="1"/>
    <col min="12292" max="12292" width="2.7109375" style="434" customWidth="1"/>
    <col min="12293" max="12293" width="8.7109375" style="434" customWidth="1"/>
    <col min="12294" max="12294" width="8.28515625" style="434" customWidth="1"/>
    <col min="12295" max="12295" width="3.28515625" style="434" customWidth="1"/>
    <col min="12296" max="12297" width="7.85546875" style="434" customWidth="1"/>
    <col min="12298" max="12298" width="2.7109375" style="434" customWidth="1"/>
    <col min="12299" max="12300" width="7.5703125" style="434" customWidth="1"/>
    <col min="12301" max="12301" width="2.7109375" style="434" customWidth="1"/>
    <col min="12302" max="12303" width="7.7109375" style="434" customWidth="1"/>
    <col min="12304" max="12304" width="2.7109375" style="434" customWidth="1"/>
    <col min="12305" max="12306" width="7.5703125" style="434" customWidth="1"/>
    <col min="12307" max="12307" width="2.7109375" style="434" customWidth="1"/>
    <col min="12308" max="12308" width="3.85546875" style="434" customWidth="1"/>
    <col min="12309" max="12309" width="2.85546875" style="434" customWidth="1"/>
    <col min="12310" max="12544" width="8.85546875" style="434"/>
    <col min="12545" max="12545" width="32.140625" style="434" customWidth="1"/>
    <col min="12546" max="12546" width="10.28515625" style="434" customWidth="1"/>
    <col min="12547" max="12547" width="9.85546875" style="434" customWidth="1"/>
    <col min="12548" max="12548" width="2.7109375" style="434" customWidth="1"/>
    <col min="12549" max="12549" width="8.7109375" style="434" customWidth="1"/>
    <col min="12550" max="12550" width="8.28515625" style="434" customWidth="1"/>
    <col min="12551" max="12551" width="3.28515625" style="434" customWidth="1"/>
    <col min="12552" max="12553" width="7.85546875" style="434" customWidth="1"/>
    <col min="12554" max="12554" width="2.7109375" style="434" customWidth="1"/>
    <col min="12555" max="12556" width="7.5703125" style="434" customWidth="1"/>
    <col min="12557" max="12557" width="2.7109375" style="434" customWidth="1"/>
    <col min="12558" max="12559" width="7.7109375" style="434" customWidth="1"/>
    <col min="12560" max="12560" width="2.7109375" style="434" customWidth="1"/>
    <col min="12561" max="12562" width="7.5703125" style="434" customWidth="1"/>
    <col min="12563" max="12563" width="2.7109375" style="434" customWidth="1"/>
    <col min="12564" max="12564" width="3.85546875" style="434" customWidth="1"/>
    <col min="12565" max="12565" width="2.85546875" style="434" customWidth="1"/>
    <col min="12566" max="12800" width="8.85546875" style="434"/>
    <col min="12801" max="12801" width="32.140625" style="434" customWidth="1"/>
    <col min="12802" max="12802" width="10.28515625" style="434" customWidth="1"/>
    <col min="12803" max="12803" width="9.85546875" style="434" customWidth="1"/>
    <col min="12804" max="12804" width="2.7109375" style="434" customWidth="1"/>
    <col min="12805" max="12805" width="8.7109375" style="434" customWidth="1"/>
    <col min="12806" max="12806" width="8.28515625" style="434" customWidth="1"/>
    <col min="12807" max="12807" width="3.28515625" style="434" customWidth="1"/>
    <col min="12808" max="12809" width="7.85546875" style="434" customWidth="1"/>
    <col min="12810" max="12810" width="2.7109375" style="434" customWidth="1"/>
    <col min="12811" max="12812" width="7.5703125" style="434" customWidth="1"/>
    <col min="12813" max="12813" width="2.7109375" style="434" customWidth="1"/>
    <col min="12814" max="12815" width="7.7109375" style="434" customWidth="1"/>
    <col min="12816" max="12816" width="2.7109375" style="434" customWidth="1"/>
    <col min="12817" max="12818" width="7.5703125" style="434" customWidth="1"/>
    <col min="12819" max="12819" width="2.7109375" style="434" customWidth="1"/>
    <col min="12820" max="12820" width="3.85546875" style="434" customWidth="1"/>
    <col min="12821" max="12821" width="2.85546875" style="434" customWidth="1"/>
    <col min="12822" max="13056" width="8.85546875" style="434"/>
    <col min="13057" max="13057" width="32.140625" style="434" customWidth="1"/>
    <col min="13058" max="13058" width="10.28515625" style="434" customWidth="1"/>
    <col min="13059" max="13059" width="9.85546875" style="434" customWidth="1"/>
    <col min="13060" max="13060" width="2.7109375" style="434" customWidth="1"/>
    <col min="13061" max="13061" width="8.7109375" style="434" customWidth="1"/>
    <col min="13062" max="13062" width="8.28515625" style="434" customWidth="1"/>
    <col min="13063" max="13063" width="3.28515625" style="434" customWidth="1"/>
    <col min="13064" max="13065" width="7.85546875" style="434" customWidth="1"/>
    <col min="13066" max="13066" width="2.7109375" style="434" customWidth="1"/>
    <col min="13067" max="13068" width="7.5703125" style="434" customWidth="1"/>
    <col min="13069" max="13069" width="2.7109375" style="434" customWidth="1"/>
    <col min="13070" max="13071" width="7.7109375" style="434" customWidth="1"/>
    <col min="13072" max="13072" width="2.7109375" style="434" customWidth="1"/>
    <col min="13073" max="13074" width="7.5703125" style="434" customWidth="1"/>
    <col min="13075" max="13075" width="2.7109375" style="434" customWidth="1"/>
    <col min="13076" max="13076" width="3.85546875" style="434" customWidth="1"/>
    <col min="13077" max="13077" width="2.85546875" style="434" customWidth="1"/>
    <col min="13078" max="13312" width="8.85546875" style="434"/>
    <col min="13313" max="13313" width="32.140625" style="434" customWidth="1"/>
    <col min="13314" max="13314" width="10.28515625" style="434" customWidth="1"/>
    <col min="13315" max="13315" width="9.85546875" style="434" customWidth="1"/>
    <col min="13316" max="13316" width="2.7109375" style="434" customWidth="1"/>
    <col min="13317" max="13317" width="8.7109375" style="434" customWidth="1"/>
    <col min="13318" max="13318" width="8.28515625" style="434" customWidth="1"/>
    <col min="13319" max="13319" width="3.28515625" style="434" customWidth="1"/>
    <col min="13320" max="13321" width="7.85546875" style="434" customWidth="1"/>
    <col min="13322" max="13322" width="2.7109375" style="434" customWidth="1"/>
    <col min="13323" max="13324" width="7.5703125" style="434" customWidth="1"/>
    <col min="13325" max="13325" width="2.7109375" style="434" customWidth="1"/>
    <col min="13326" max="13327" width="7.7109375" style="434" customWidth="1"/>
    <col min="13328" max="13328" width="2.7109375" style="434" customWidth="1"/>
    <col min="13329" max="13330" width="7.5703125" style="434" customWidth="1"/>
    <col min="13331" max="13331" width="2.7109375" style="434" customWidth="1"/>
    <col min="13332" max="13332" width="3.85546875" style="434" customWidth="1"/>
    <col min="13333" max="13333" width="2.85546875" style="434" customWidth="1"/>
    <col min="13334" max="13568" width="8.85546875" style="434"/>
    <col min="13569" max="13569" width="32.140625" style="434" customWidth="1"/>
    <col min="13570" max="13570" width="10.28515625" style="434" customWidth="1"/>
    <col min="13571" max="13571" width="9.85546875" style="434" customWidth="1"/>
    <col min="13572" max="13572" width="2.7109375" style="434" customWidth="1"/>
    <col min="13573" max="13573" width="8.7109375" style="434" customWidth="1"/>
    <col min="13574" max="13574" width="8.28515625" style="434" customWidth="1"/>
    <col min="13575" max="13575" width="3.28515625" style="434" customWidth="1"/>
    <col min="13576" max="13577" width="7.85546875" style="434" customWidth="1"/>
    <col min="13578" max="13578" width="2.7109375" style="434" customWidth="1"/>
    <col min="13579" max="13580" width="7.5703125" style="434" customWidth="1"/>
    <col min="13581" max="13581" width="2.7109375" style="434" customWidth="1"/>
    <col min="13582" max="13583" width="7.7109375" style="434" customWidth="1"/>
    <col min="13584" max="13584" width="2.7109375" style="434" customWidth="1"/>
    <col min="13585" max="13586" width="7.5703125" style="434" customWidth="1"/>
    <col min="13587" max="13587" width="2.7109375" style="434" customWidth="1"/>
    <col min="13588" max="13588" width="3.85546875" style="434" customWidth="1"/>
    <col min="13589" max="13589" width="2.85546875" style="434" customWidth="1"/>
    <col min="13590" max="13824" width="8.85546875" style="434"/>
    <col min="13825" max="13825" width="32.140625" style="434" customWidth="1"/>
    <col min="13826" max="13826" width="10.28515625" style="434" customWidth="1"/>
    <col min="13827" max="13827" width="9.85546875" style="434" customWidth="1"/>
    <col min="13828" max="13828" width="2.7109375" style="434" customWidth="1"/>
    <col min="13829" max="13829" width="8.7109375" style="434" customWidth="1"/>
    <col min="13830" max="13830" width="8.28515625" style="434" customWidth="1"/>
    <col min="13831" max="13831" width="3.28515625" style="434" customWidth="1"/>
    <col min="13832" max="13833" width="7.85546875" style="434" customWidth="1"/>
    <col min="13834" max="13834" width="2.7109375" style="434" customWidth="1"/>
    <col min="13835" max="13836" width="7.5703125" style="434" customWidth="1"/>
    <col min="13837" max="13837" width="2.7109375" style="434" customWidth="1"/>
    <col min="13838" max="13839" width="7.7109375" style="434" customWidth="1"/>
    <col min="13840" max="13840" width="2.7109375" style="434" customWidth="1"/>
    <col min="13841" max="13842" width="7.5703125" style="434" customWidth="1"/>
    <col min="13843" max="13843" width="2.7109375" style="434" customWidth="1"/>
    <col min="13844" max="13844" width="3.85546875" style="434" customWidth="1"/>
    <col min="13845" max="13845" width="2.85546875" style="434" customWidth="1"/>
    <col min="13846" max="14080" width="8.85546875" style="434"/>
    <col min="14081" max="14081" width="32.140625" style="434" customWidth="1"/>
    <col min="14082" max="14082" width="10.28515625" style="434" customWidth="1"/>
    <col min="14083" max="14083" width="9.85546875" style="434" customWidth="1"/>
    <col min="14084" max="14084" width="2.7109375" style="434" customWidth="1"/>
    <col min="14085" max="14085" width="8.7109375" style="434" customWidth="1"/>
    <col min="14086" max="14086" width="8.28515625" style="434" customWidth="1"/>
    <col min="14087" max="14087" width="3.28515625" style="434" customWidth="1"/>
    <col min="14088" max="14089" width="7.85546875" style="434" customWidth="1"/>
    <col min="14090" max="14090" width="2.7109375" style="434" customWidth="1"/>
    <col min="14091" max="14092" width="7.5703125" style="434" customWidth="1"/>
    <col min="14093" max="14093" width="2.7109375" style="434" customWidth="1"/>
    <col min="14094" max="14095" width="7.7109375" style="434" customWidth="1"/>
    <col min="14096" max="14096" width="2.7109375" style="434" customWidth="1"/>
    <col min="14097" max="14098" width="7.5703125" style="434" customWidth="1"/>
    <col min="14099" max="14099" width="2.7109375" style="434" customWidth="1"/>
    <col min="14100" max="14100" width="3.85546875" style="434" customWidth="1"/>
    <col min="14101" max="14101" width="2.85546875" style="434" customWidth="1"/>
    <col min="14102" max="14336" width="8.85546875" style="434"/>
    <col min="14337" max="14337" width="32.140625" style="434" customWidth="1"/>
    <col min="14338" max="14338" width="10.28515625" style="434" customWidth="1"/>
    <col min="14339" max="14339" width="9.85546875" style="434" customWidth="1"/>
    <col min="14340" max="14340" width="2.7109375" style="434" customWidth="1"/>
    <col min="14341" max="14341" width="8.7109375" style="434" customWidth="1"/>
    <col min="14342" max="14342" width="8.28515625" style="434" customWidth="1"/>
    <col min="14343" max="14343" width="3.28515625" style="434" customWidth="1"/>
    <col min="14344" max="14345" width="7.85546875" style="434" customWidth="1"/>
    <col min="14346" max="14346" width="2.7109375" style="434" customWidth="1"/>
    <col min="14347" max="14348" width="7.5703125" style="434" customWidth="1"/>
    <col min="14349" max="14349" width="2.7109375" style="434" customWidth="1"/>
    <col min="14350" max="14351" width="7.7109375" style="434" customWidth="1"/>
    <col min="14352" max="14352" width="2.7109375" style="434" customWidth="1"/>
    <col min="14353" max="14354" width="7.5703125" style="434" customWidth="1"/>
    <col min="14355" max="14355" width="2.7109375" style="434" customWidth="1"/>
    <col min="14356" max="14356" width="3.85546875" style="434" customWidth="1"/>
    <col min="14357" max="14357" width="2.85546875" style="434" customWidth="1"/>
    <col min="14358" max="14592" width="8.85546875" style="434"/>
    <col min="14593" max="14593" width="32.140625" style="434" customWidth="1"/>
    <col min="14594" max="14594" width="10.28515625" style="434" customWidth="1"/>
    <col min="14595" max="14595" width="9.85546875" style="434" customWidth="1"/>
    <col min="14596" max="14596" width="2.7109375" style="434" customWidth="1"/>
    <col min="14597" max="14597" width="8.7109375" style="434" customWidth="1"/>
    <col min="14598" max="14598" width="8.28515625" style="434" customWidth="1"/>
    <col min="14599" max="14599" width="3.28515625" style="434" customWidth="1"/>
    <col min="14600" max="14601" width="7.85546875" style="434" customWidth="1"/>
    <col min="14602" max="14602" width="2.7109375" style="434" customWidth="1"/>
    <col min="14603" max="14604" width="7.5703125" style="434" customWidth="1"/>
    <col min="14605" max="14605" width="2.7109375" style="434" customWidth="1"/>
    <col min="14606" max="14607" width="7.7109375" style="434" customWidth="1"/>
    <col min="14608" max="14608" width="2.7109375" style="434" customWidth="1"/>
    <col min="14609" max="14610" width="7.5703125" style="434" customWidth="1"/>
    <col min="14611" max="14611" width="2.7109375" style="434" customWidth="1"/>
    <col min="14612" max="14612" width="3.85546875" style="434" customWidth="1"/>
    <col min="14613" max="14613" width="2.85546875" style="434" customWidth="1"/>
    <col min="14614" max="14848" width="8.85546875" style="434"/>
    <col min="14849" max="14849" width="32.140625" style="434" customWidth="1"/>
    <col min="14850" max="14850" width="10.28515625" style="434" customWidth="1"/>
    <col min="14851" max="14851" width="9.85546875" style="434" customWidth="1"/>
    <col min="14852" max="14852" width="2.7109375" style="434" customWidth="1"/>
    <col min="14853" max="14853" width="8.7109375" style="434" customWidth="1"/>
    <col min="14854" max="14854" width="8.28515625" style="434" customWidth="1"/>
    <col min="14855" max="14855" width="3.28515625" style="434" customWidth="1"/>
    <col min="14856" max="14857" width="7.85546875" style="434" customWidth="1"/>
    <col min="14858" max="14858" width="2.7109375" style="434" customWidth="1"/>
    <col min="14859" max="14860" width="7.5703125" style="434" customWidth="1"/>
    <col min="14861" max="14861" width="2.7109375" style="434" customWidth="1"/>
    <col min="14862" max="14863" width="7.7109375" style="434" customWidth="1"/>
    <col min="14864" max="14864" width="2.7109375" style="434" customWidth="1"/>
    <col min="14865" max="14866" width="7.5703125" style="434" customWidth="1"/>
    <col min="14867" max="14867" width="2.7109375" style="434" customWidth="1"/>
    <col min="14868" max="14868" width="3.85546875" style="434" customWidth="1"/>
    <col min="14869" max="14869" width="2.85546875" style="434" customWidth="1"/>
    <col min="14870" max="15104" width="8.85546875" style="434"/>
    <col min="15105" max="15105" width="32.140625" style="434" customWidth="1"/>
    <col min="15106" max="15106" width="10.28515625" style="434" customWidth="1"/>
    <col min="15107" max="15107" width="9.85546875" style="434" customWidth="1"/>
    <col min="15108" max="15108" width="2.7109375" style="434" customWidth="1"/>
    <col min="15109" max="15109" width="8.7109375" style="434" customWidth="1"/>
    <col min="15110" max="15110" width="8.28515625" style="434" customWidth="1"/>
    <col min="15111" max="15111" width="3.28515625" style="434" customWidth="1"/>
    <col min="15112" max="15113" width="7.85546875" style="434" customWidth="1"/>
    <col min="15114" max="15114" width="2.7109375" style="434" customWidth="1"/>
    <col min="15115" max="15116" width="7.5703125" style="434" customWidth="1"/>
    <col min="15117" max="15117" width="2.7109375" style="434" customWidth="1"/>
    <col min="15118" max="15119" width="7.7109375" style="434" customWidth="1"/>
    <col min="15120" max="15120" width="2.7109375" style="434" customWidth="1"/>
    <col min="15121" max="15122" width="7.5703125" style="434" customWidth="1"/>
    <col min="15123" max="15123" width="2.7109375" style="434" customWidth="1"/>
    <col min="15124" max="15124" width="3.85546875" style="434" customWidth="1"/>
    <col min="15125" max="15125" width="2.85546875" style="434" customWidth="1"/>
    <col min="15126" max="15360" width="8.85546875" style="434"/>
    <col min="15361" max="15361" width="32.140625" style="434" customWidth="1"/>
    <col min="15362" max="15362" width="10.28515625" style="434" customWidth="1"/>
    <col min="15363" max="15363" width="9.85546875" style="434" customWidth="1"/>
    <col min="15364" max="15364" width="2.7109375" style="434" customWidth="1"/>
    <col min="15365" max="15365" width="8.7109375" style="434" customWidth="1"/>
    <col min="15366" max="15366" width="8.28515625" style="434" customWidth="1"/>
    <col min="15367" max="15367" width="3.28515625" style="434" customWidth="1"/>
    <col min="15368" max="15369" width="7.85546875" style="434" customWidth="1"/>
    <col min="15370" max="15370" width="2.7109375" style="434" customWidth="1"/>
    <col min="15371" max="15372" width="7.5703125" style="434" customWidth="1"/>
    <col min="15373" max="15373" width="2.7109375" style="434" customWidth="1"/>
    <col min="15374" max="15375" width="7.7109375" style="434" customWidth="1"/>
    <col min="15376" max="15376" width="2.7109375" style="434" customWidth="1"/>
    <col min="15377" max="15378" width="7.5703125" style="434" customWidth="1"/>
    <col min="15379" max="15379" width="2.7109375" style="434" customWidth="1"/>
    <col min="15380" max="15380" width="3.85546875" style="434" customWidth="1"/>
    <col min="15381" max="15381" width="2.85546875" style="434" customWidth="1"/>
    <col min="15382" max="15616" width="8.85546875" style="434"/>
    <col min="15617" max="15617" width="32.140625" style="434" customWidth="1"/>
    <col min="15618" max="15618" width="10.28515625" style="434" customWidth="1"/>
    <col min="15619" max="15619" width="9.85546875" style="434" customWidth="1"/>
    <col min="15620" max="15620" width="2.7109375" style="434" customWidth="1"/>
    <col min="15621" max="15621" width="8.7109375" style="434" customWidth="1"/>
    <col min="15622" max="15622" width="8.28515625" style="434" customWidth="1"/>
    <col min="15623" max="15623" width="3.28515625" style="434" customWidth="1"/>
    <col min="15624" max="15625" width="7.85546875" style="434" customWidth="1"/>
    <col min="15626" max="15626" width="2.7109375" style="434" customWidth="1"/>
    <col min="15627" max="15628" width="7.5703125" style="434" customWidth="1"/>
    <col min="15629" max="15629" width="2.7109375" style="434" customWidth="1"/>
    <col min="15630" max="15631" width="7.7109375" style="434" customWidth="1"/>
    <col min="15632" max="15632" width="2.7109375" style="434" customWidth="1"/>
    <col min="15633" max="15634" width="7.5703125" style="434" customWidth="1"/>
    <col min="15635" max="15635" width="2.7109375" style="434" customWidth="1"/>
    <col min="15636" max="15636" width="3.85546875" style="434" customWidth="1"/>
    <col min="15637" max="15637" width="2.85546875" style="434" customWidth="1"/>
    <col min="15638" max="15872" width="8.85546875" style="434"/>
    <col min="15873" max="15873" width="32.140625" style="434" customWidth="1"/>
    <col min="15874" max="15874" width="10.28515625" style="434" customWidth="1"/>
    <col min="15875" max="15875" width="9.85546875" style="434" customWidth="1"/>
    <col min="15876" max="15876" width="2.7109375" style="434" customWidth="1"/>
    <col min="15877" max="15877" width="8.7109375" style="434" customWidth="1"/>
    <col min="15878" max="15878" width="8.28515625" style="434" customWidth="1"/>
    <col min="15879" max="15879" width="3.28515625" style="434" customWidth="1"/>
    <col min="15880" max="15881" width="7.85546875" style="434" customWidth="1"/>
    <col min="15882" max="15882" width="2.7109375" style="434" customWidth="1"/>
    <col min="15883" max="15884" width="7.5703125" style="434" customWidth="1"/>
    <col min="15885" max="15885" width="2.7109375" style="434" customWidth="1"/>
    <col min="15886" max="15887" width="7.7109375" style="434" customWidth="1"/>
    <col min="15888" max="15888" width="2.7109375" style="434" customWidth="1"/>
    <col min="15889" max="15890" width="7.5703125" style="434" customWidth="1"/>
    <col min="15891" max="15891" width="2.7109375" style="434" customWidth="1"/>
    <col min="15892" max="15892" width="3.85546875" style="434" customWidth="1"/>
    <col min="15893" max="15893" width="2.85546875" style="434" customWidth="1"/>
    <col min="15894" max="16128" width="8.85546875" style="434"/>
    <col min="16129" max="16129" width="32.140625" style="434" customWidth="1"/>
    <col min="16130" max="16130" width="10.28515625" style="434" customWidth="1"/>
    <col min="16131" max="16131" width="9.85546875" style="434" customWidth="1"/>
    <col min="16132" max="16132" width="2.7109375" style="434" customWidth="1"/>
    <col min="16133" max="16133" width="8.7109375" style="434" customWidth="1"/>
    <col min="16134" max="16134" width="8.28515625" style="434" customWidth="1"/>
    <col min="16135" max="16135" width="3.28515625" style="434" customWidth="1"/>
    <col min="16136" max="16137" width="7.85546875" style="434" customWidth="1"/>
    <col min="16138" max="16138" width="2.7109375" style="434" customWidth="1"/>
    <col min="16139" max="16140" width="7.5703125" style="434" customWidth="1"/>
    <col min="16141" max="16141" width="2.7109375" style="434" customWidth="1"/>
    <col min="16142" max="16143" width="7.7109375" style="434" customWidth="1"/>
    <col min="16144" max="16144" width="2.7109375" style="434" customWidth="1"/>
    <col min="16145" max="16146" width="7.5703125" style="434" customWidth="1"/>
    <col min="16147" max="16147" width="2.7109375" style="434" customWidth="1"/>
    <col min="16148" max="16148" width="3.85546875" style="434" customWidth="1"/>
    <col min="16149" max="16149" width="2.85546875" style="434" customWidth="1"/>
    <col min="16150" max="16384" width="8.85546875" style="434"/>
  </cols>
  <sheetData>
    <row r="1" spans="1:19">
      <c r="A1" s="434" t="s">
        <v>796</v>
      </c>
    </row>
    <row r="2" spans="1:19">
      <c r="A2" s="434" t="s">
        <v>797</v>
      </c>
      <c r="C2" s="93"/>
    </row>
    <row r="3" spans="1:19" ht="8.25" customHeight="1"/>
    <row r="4" spans="1:19">
      <c r="A4" s="42" t="s">
        <v>798</v>
      </c>
    </row>
    <row r="5" spans="1:19" ht="9.75" customHeight="1" thickBot="1">
      <c r="S5" s="94"/>
    </row>
    <row r="6" spans="1:19" ht="8.25" customHeight="1">
      <c r="A6" s="437"/>
      <c r="B6" s="235"/>
      <c r="C6" s="236"/>
      <c r="D6" s="237"/>
      <c r="E6" s="238"/>
      <c r="F6" s="236"/>
      <c r="G6" s="237"/>
      <c r="H6" s="238"/>
      <c r="I6" s="236"/>
      <c r="J6" s="237"/>
      <c r="K6" s="238"/>
      <c r="L6" s="236"/>
      <c r="M6" s="237"/>
      <c r="N6" s="238"/>
      <c r="O6" s="236"/>
      <c r="P6" s="237"/>
      <c r="Q6" s="238"/>
      <c r="R6" s="236"/>
      <c r="S6" s="236"/>
    </row>
    <row r="7" spans="1:19" ht="14.25">
      <c r="A7" s="440" t="s">
        <v>799</v>
      </c>
      <c r="B7" s="239" t="s">
        <v>800</v>
      </c>
      <c r="C7" s="240"/>
      <c r="D7" s="95"/>
      <c r="E7" s="1268" t="s">
        <v>801</v>
      </c>
      <c r="F7" s="1268"/>
      <c r="G7" s="241"/>
      <c r="H7" s="1287" t="s">
        <v>802</v>
      </c>
      <c r="I7" s="1287"/>
      <c r="J7" s="774"/>
      <c r="K7" s="1268" t="s">
        <v>803</v>
      </c>
      <c r="L7" s="1268"/>
      <c r="M7" s="774"/>
      <c r="N7" s="1268" t="s">
        <v>804</v>
      </c>
      <c r="O7" s="1268"/>
      <c r="P7" s="774"/>
      <c r="Q7" s="1268" t="s">
        <v>805</v>
      </c>
      <c r="R7" s="1268"/>
      <c r="S7" s="95"/>
    </row>
    <row r="8" spans="1:19">
      <c r="A8" s="434" t="s">
        <v>2279</v>
      </c>
      <c r="B8" s="243" t="s">
        <v>323</v>
      </c>
      <c r="C8" s="244" t="s">
        <v>806</v>
      </c>
      <c r="D8" s="95"/>
      <c r="E8" s="772" t="s">
        <v>323</v>
      </c>
      <c r="F8" s="241" t="s">
        <v>806</v>
      </c>
      <c r="G8" s="95"/>
      <c r="H8" s="246" t="s">
        <v>323</v>
      </c>
      <c r="I8" s="244" t="s">
        <v>806</v>
      </c>
      <c r="J8" s="95"/>
      <c r="K8" s="246" t="s">
        <v>323</v>
      </c>
      <c r="L8" s="244" t="s">
        <v>806</v>
      </c>
      <c r="M8" s="95"/>
      <c r="N8" s="246" t="s">
        <v>323</v>
      </c>
      <c r="O8" s="244" t="s">
        <v>806</v>
      </c>
      <c r="P8" s="95"/>
      <c r="Q8" s="246" t="s">
        <v>323</v>
      </c>
      <c r="R8" s="244" t="s">
        <v>806</v>
      </c>
    </row>
    <row r="9" spans="1:19" ht="8.25" customHeight="1" thickBot="1">
      <c r="A9" s="445"/>
      <c r="B9" s="247"/>
      <c r="C9" s="248"/>
      <c r="D9" s="249"/>
      <c r="E9" s="250"/>
      <c r="F9" s="248"/>
      <c r="G9" s="249"/>
      <c r="H9" s="250"/>
      <c r="I9" s="248"/>
      <c r="J9" s="249"/>
      <c r="K9" s="250"/>
      <c r="L9" s="248"/>
      <c r="M9" s="249"/>
      <c r="N9" s="250"/>
      <c r="O9" s="248"/>
      <c r="P9" s="249"/>
      <c r="Q9" s="250"/>
      <c r="R9" s="248"/>
      <c r="S9" s="248"/>
    </row>
    <row r="10" spans="1:19" ht="13.35" customHeight="1">
      <c r="A10" s="440"/>
      <c r="B10" s="239"/>
      <c r="C10" s="240"/>
      <c r="D10" s="95"/>
      <c r="E10" s="251"/>
      <c r="F10" s="240"/>
      <c r="G10" s="95"/>
      <c r="H10" s="251"/>
      <c r="I10" s="240"/>
      <c r="J10" s="95"/>
      <c r="K10" s="251"/>
      <c r="L10" s="240"/>
      <c r="M10" s="95"/>
      <c r="N10" s="251"/>
      <c r="O10" s="240"/>
      <c r="P10" s="95"/>
      <c r="Q10" s="251"/>
      <c r="R10" s="240"/>
      <c r="S10" s="236"/>
    </row>
    <row r="11" spans="1:19" ht="12.95" customHeight="1">
      <c r="A11" s="63" t="s">
        <v>325</v>
      </c>
      <c r="B11" s="65">
        <f>IF($A11&lt;&gt;"",B13+B98,"")</f>
        <v>40395</v>
      </c>
      <c r="C11" s="94">
        <f>SUM(C13+C98)</f>
        <v>100</v>
      </c>
      <c r="E11" s="93">
        <f>IF($A11&lt;&gt;"",E13+E98,"")</f>
        <v>11999</v>
      </c>
      <c r="F11" s="94">
        <f t="shared" ref="F11:F74" si="0">IF($A11&lt;&gt;"",E11/$B11*100,"")</f>
        <v>29.704171308330242</v>
      </c>
      <c r="H11" s="93">
        <f>IF($A11&lt;&gt;"",H13+H98,"")</f>
        <v>13891</v>
      </c>
      <c r="I11" s="94">
        <f t="shared" ref="I11:I74" si="1">IF($A11&lt;&gt;"",H11/$B11*100,"")</f>
        <v>34.387919296942691</v>
      </c>
      <c r="K11" s="93">
        <f>IF($A11&lt;&gt;"",K13+K98,"")</f>
        <v>13389</v>
      </c>
      <c r="L11" s="94">
        <f t="shared" ref="L11:L74" si="2">IF($A11&lt;&gt;"",K11/$B11*100,"")</f>
        <v>33.145191236539176</v>
      </c>
      <c r="N11" s="93">
        <f>IF($A11&lt;&gt;"",N13+N98,"")</f>
        <v>1030</v>
      </c>
      <c r="O11" s="94">
        <f t="shared" ref="O11:O74" si="3">IF($A11&lt;&gt;"",N11/$B11*100,"")</f>
        <v>2.5498205223418742</v>
      </c>
      <c r="P11" s="93"/>
      <c r="Q11" s="93">
        <f>IF($A11&lt;&gt;"",Q13+Q98,"")</f>
        <v>86</v>
      </c>
      <c r="R11" s="94">
        <f>IF($A11&lt;&gt;"",Q11/$B11*100,"")</f>
        <v>0.21289763584602053</v>
      </c>
    </row>
    <row r="12" spans="1:19" ht="8.25" customHeight="1">
      <c r="C12" s="94" t="str">
        <f t="shared" ref="C12:C76" si="4">IF(A12&lt;&gt;0,B12/$B$11*100,"")</f>
        <v/>
      </c>
      <c r="F12" s="94" t="str">
        <f t="shared" si="0"/>
        <v/>
      </c>
      <c r="I12" s="94" t="str">
        <f t="shared" si="1"/>
        <v/>
      </c>
      <c r="L12" s="94" t="str">
        <f t="shared" si="2"/>
        <v/>
      </c>
      <c r="O12" s="94" t="str">
        <f t="shared" si="3"/>
        <v/>
      </c>
      <c r="R12" s="94" t="str">
        <f t="shared" ref="R12:R76" si="5">IF($A12&lt;&gt;"",Q12/$B12*100,"")</f>
        <v/>
      </c>
    </row>
    <row r="13" spans="1:19" ht="12.95" customHeight="1">
      <c r="A13" s="63" t="s">
        <v>326</v>
      </c>
      <c r="B13" s="65">
        <f>IF($A13&lt;&gt;"",B93+B15+B26+B34+B74+B60+B81+B95+B96+B105,"")</f>
        <v>30922</v>
      </c>
      <c r="C13" s="94">
        <f t="shared" si="4"/>
        <v>76.549077856170328</v>
      </c>
      <c r="D13" s="42" t="s">
        <v>253</v>
      </c>
      <c r="E13" s="65">
        <f>IF($A13&lt;&gt;"",E93+E15+E26+E34+E74+E60+E81+E95+E96+E105,"")</f>
        <v>9803</v>
      </c>
      <c r="F13" s="94">
        <f t="shared" si="0"/>
        <v>31.702347842959703</v>
      </c>
      <c r="G13" s="42" t="s">
        <v>253</v>
      </c>
      <c r="H13" s="65">
        <f>IF($A13&lt;&gt;"",H93+H15+H26+H34+H74+H60+H81+H95+H96+H105,"")</f>
        <v>10139</v>
      </c>
      <c r="I13" s="94">
        <f t="shared" si="1"/>
        <v>32.788952849104199</v>
      </c>
      <c r="J13" s="42" t="s">
        <v>253</v>
      </c>
      <c r="K13" s="65">
        <f>IF($A13&lt;&gt;"",K93+K15+K26+K34+K74+K60+K81+K95+K96+K105,"")</f>
        <v>10022</v>
      </c>
      <c r="L13" s="94">
        <f t="shared" si="2"/>
        <v>32.410581463036024</v>
      </c>
      <c r="M13" s="42" t="s">
        <v>253</v>
      </c>
      <c r="N13" s="65">
        <f>IF($A13&lt;&gt;"",N93+N15+N26+N34+N74+N60+N81+N95+N96+N105,"")</f>
        <v>880</v>
      </c>
      <c r="O13" s="94">
        <f t="shared" si="3"/>
        <v>2.8458702541879566</v>
      </c>
      <c r="P13" s="42" t="s">
        <v>253</v>
      </c>
      <c r="Q13" s="65">
        <f>IF($A13&lt;&gt;"",Q93+Q15+Q26+Q34+Q74+Q60+Q81+Q95+Q96+Q105,"")</f>
        <v>78</v>
      </c>
      <c r="R13" s="94">
        <f t="shared" si="5"/>
        <v>0.25224759071211433</v>
      </c>
    </row>
    <row r="14" spans="1:19" ht="8.25" customHeight="1">
      <c r="C14" s="94" t="str">
        <f t="shared" si="4"/>
        <v/>
      </c>
      <c r="F14" s="94" t="str">
        <f t="shared" si="0"/>
        <v/>
      </c>
      <c r="I14" s="94" t="str">
        <f t="shared" si="1"/>
        <v/>
      </c>
      <c r="L14" s="94" t="str">
        <f t="shared" si="2"/>
        <v/>
      </c>
      <c r="O14" s="94" t="str">
        <f t="shared" si="3"/>
        <v/>
      </c>
      <c r="R14" s="94" t="str">
        <f t="shared" si="5"/>
        <v/>
      </c>
    </row>
    <row r="15" spans="1:19" ht="12.95" customHeight="1">
      <c r="A15" s="63" t="s">
        <v>327</v>
      </c>
      <c r="B15" s="65">
        <f>SUM(B16+B21)</f>
        <v>3095</v>
      </c>
      <c r="C15" s="94">
        <f t="shared" si="4"/>
        <v>7.6618393365515525</v>
      </c>
      <c r="E15" s="93">
        <f>SUM(E16+E21)</f>
        <v>1170</v>
      </c>
      <c r="F15" s="94">
        <f t="shared" si="0"/>
        <v>37.802907915993536</v>
      </c>
      <c r="H15" s="93">
        <f>SUM(H16+H21)</f>
        <v>992</v>
      </c>
      <c r="I15" s="94">
        <f t="shared" si="1"/>
        <v>32.051696284329559</v>
      </c>
      <c r="K15" s="93">
        <f>SUM(K16+K21)</f>
        <v>825</v>
      </c>
      <c r="L15" s="94">
        <f t="shared" si="2"/>
        <v>26.655896607431341</v>
      </c>
      <c r="N15" s="93">
        <f>SUM(N16+N21)</f>
        <v>104</v>
      </c>
      <c r="O15" s="94">
        <f t="shared" si="3"/>
        <v>3.3602584814216478</v>
      </c>
      <c r="Q15" s="93">
        <f>SUM(Q16+Q21)</f>
        <v>4</v>
      </c>
      <c r="R15" s="94">
        <f t="shared" si="5"/>
        <v>0.12924071082390953</v>
      </c>
    </row>
    <row r="16" spans="1:19" ht="12.95" customHeight="1">
      <c r="A16" s="434" t="s">
        <v>20</v>
      </c>
      <c r="B16" s="65">
        <f>SUM(E16+H16+K16+N16+Q16)</f>
        <v>1067</v>
      </c>
      <c r="C16" s="94">
        <f t="shared" si="4"/>
        <v>2.6414160168337664</v>
      </c>
      <c r="E16" s="93">
        <f>SUM(E17:E19)</f>
        <v>367</v>
      </c>
      <c r="F16" s="94">
        <f t="shared" si="0"/>
        <v>34.395501405810684</v>
      </c>
      <c r="G16" s="42" t="s">
        <v>253</v>
      </c>
      <c r="H16" s="93">
        <f>SUM(H17:H19)</f>
        <v>302</v>
      </c>
      <c r="I16" s="94">
        <f t="shared" si="1"/>
        <v>28.30365510777882</v>
      </c>
      <c r="J16" s="42" t="s">
        <v>253</v>
      </c>
      <c r="K16" s="93">
        <f>SUM(K17:K19)</f>
        <v>341</v>
      </c>
      <c r="L16" s="94">
        <f t="shared" si="2"/>
        <v>31.958762886597935</v>
      </c>
      <c r="M16" s="42" t="s">
        <v>253</v>
      </c>
      <c r="N16" s="93">
        <f>SUM(N17:N19)</f>
        <v>54</v>
      </c>
      <c r="O16" s="94">
        <f t="shared" si="3"/>
        <v>5.0609184629803181</v>
      </c>
      <c r="P16" s="42" t="s">
        <v>253</v>
      </c>
      <c r="Q16" s="93">
        <f>SUM(Q17:Q19)</f>
        <v>3</v>
      </c>
      <c r="R16" s="94">
        <f t="shared" si="5"/>
        <v>0.28116213683223995</v>
      </c>
    </row>
    <row r="17" spans="1:20" ht="12.95" customHeight="1">
      <c r="A17" s="434" t="s">
        <v>21</v>
      </c>
      <c r="B17" s="65">
        <f t="shared" ref="B17:B24" si="6">SUM(E17+H17+K17+N17+Q17)</f>
        <v>161</v>
      </c>
      <c r="C17" s="94">
        <f t="shared" si="4"/>
        <v>0.39856417873499195</v>
      </c>
      <c r="E17" s="252">
        <v>42</v>
      </c>
      <c r="F17" s="94">
        <f t="shared" si="0"/>
        <v>26.086956521739129</v>
      </c>
      <c r="G17" s="252"/>
      <c r="H17" s="253">
        <v>56</v>
      </c>
      <c r="I17" s="94">
        <f t="shared" si="1"/>
        <v>34.782608695652172</v>
      </c>
      <c r="J17" s="253"/>
      <c r="K17" s="253">
        <v>56</v>
      </c>
      <c r="L17" s="94">
        <f t="shared" si="2"/>
        <v>34.782608695652172</v>
      </c>
      <c r="M17" s="253"/>
      <c r="N17" s="253">
        <v>7</v>
      </c>
      <c r="O17" s="94">
        <f t="shared" si="3"/>
        <v>4.3478260869565215</v>
      </c>
      <c r="P17" s="253"/>
      <c r="Q17" s="253">
        <v>0</v>
      </c>
      <c r="R17" s="94">
        <f t="shared" si="5"/>
        <v>0</v>
      </c>
    </row>
    <row r="18" spans="1:20" ht="12.95" customHeight="1">
      <c r="A18" s="434" t="s">
        <v>22</v>
      </c>
      <c r="B18" s="65">
        <f t="shared" si="6"/>
        <v>221</v>
      </c>
      <c r="C18" s="94">
        <f t="shared" si="4"/>
        <v>0.5470974130461691</v>
      </c>
      <c r="E18" s="252">
        <v>47</v>
      </c>
      <c r="F18" s="94">
        <f t="shared" si="0"/>
        <v>21.266968325791854</v>
      </c>
      <c r="G18" s="252"/>
      <c r="H18" s="253">
        <v>48</v>
      </c>
      <c r="I18" s="94">
        <f t="shared" si="1"/>
        <v>21.719457013574662</v>
      </c>
      <c r="J18" s="253"/>
      <c r="K18" s="253">
        <v>92</v>
      </c>
      <c r="L18" s="94">
        <f t="shared" si="2"/>
        <v>41.628959276018101</v>
      </c>
      <c r="M18" s="253"/>
      <c r="N18" s="253">
        <v>31</v>
      </c>
      <c r="O18" s="94">
        <f t="shared" si="3"/>
        <v>14.027149321266968</v>
      </c>
      <c r="P18" s="253"/>
      <c r="Q18" s="253">
        <v>3</v>
      </c>
      <c r="R18" s="94">
        <f t="shared" si="5"/>
        <v>1.3574660633484164</v>
      </c>
    </row>
    <row r="19" spans="1:20" ht="12.95" customHeight="1">
      <c r="A19" s="434" t="s">
        <v>23</v>
      </c>
      <c r="B19" s="65">
        <f t="shared" si="6"/>
        <v>685</v>
      </c>
      <c r="C19" s="94">
        <f t="shared" si="4"/>
        <v>1.6957544250526055</v>
      </c>
      <c r="E19" s="252">
        <v>278</v>
      </c>
      <c r="F19" s="94">
        <f t="shared" si="0"/>
        <v>40.583941605839421</v>
      </c>
      <c r="G19" s="252"/>
      <c r="H19" s="253">
        <v>198</v>
      </c>
      <c r="I19" s="94">
        <f t="shared" si="1"/>
        <v>28.905109489051096</v>
      </c>
      <c r="J19" s="253"/>
      <c r="K19" s="253">
        <v>193</v>
      </c>
      <c r="L19" s="94">
        <f t="shared" si="2"/>
        <v>28.175182481751825</v>
      </c>
      <c r="M19" s="253"/>
      <c r="N19" s="253">
        <v>16</v>
      </c>
      <c r="O19" s="94">
        <f t="shared" si="3"/>
        <v>2.335766423357664</v>
      </c>
      <c r="P19" s="253"/>
      <c r="Q19" s="253">
        <v>0</v>
      </c>
      <c r="R19" s="94">
        <f t="shared" si="5"/>
        <v>0</v>
      </c>
    </row>
    <row r="20" spans="1:20" ht="8.25" customHeight="1">
      <c r="C20" s="94" t="str">
        <f t="shared" si="4"/>
        <v/>
      </c>
      <c r="F20" s="94" t="str">
        <f t="shared" si="0"/>
        <v/>
      </c>
      <c r="I20" s="94" t="str">
        <f t="shared" si="1"/>
        <v/>
      </c>
      <c r="L20" s="94" t="str">
        <f t="shared" si="2"/>
        <v/>
      </c>
      <c r="O20" s="94" t="str">
        <f t="shared" si="3"/>
        <v/>
      </c>
      <c r="R20" s="94" t="str">
        <f t="shared" si="5"/>
        <v/>
      </c>
    </row>
    <row r="21" spans="1:20" ht="12.95" customHeight="1">
      <c r="A21" s="434" t="s">
        <v>24</v>
      </c>
      <c r="B21" s="65">
        <f t="shared" si="6"/>
        <v>2028</v>
      </c>
      <c r="C21" s="94">
        <f t="shared" si="4"/>
        <v>5.0204233197177865</v>
      </c>
      <c r="E21" s="93">
        <f>SUM(E22:E24)</f>
        <v>803</v>
      </c>
      <c r="F21" s="94">
        <f t="shared" si="0"/>
        <v>39.595660749506905</v>
      </c>
      <c r="G21" s="42" t="s">
        <v>253</v>
      </c>
      <c r="H21" s="93">
        <f>SUM(H22:H24)</f>
        <v>690</v>
      </c>
      <c r="I21" s="94">
        <f t="shared" si="1"/>
        <v>34.023668639053255</v>
      </c>
      <c r="J21" s="42" t="s">
        <v>253</v>
      </c>
      <c r="K21" s="93">
        <f>SUM(K22:K24)</f>
        <v>484</v>
      </c>
      <c r="L21" s="94">
        <f t="shared" si="2"/>
        <v>23.865877712031558</v>
      </c>
      <c r="M21" s="42" t="s">
        <v>253</v>
      </c>
      <c r="N21" s="93">
        <f>SUM(N22:N24)</f>
        <v>50</v>
      </c>
      <c r="O21" s="94">
        <f t="shared" si="3"/>
        <v>2.4654832347140041</v>
      </c>
      <c r="P21" s="42" t="s">
        <v>253</v>
      </c>
      <c r="Q21" s="93">
        <f>SUM(Q22:Q24)</f>
        <v>1</v>
      </c>
      <c r="R21" s="94">
        <f t="shared" si="5"/>
        <v>4.9309664694280081E-2</v>
      </c>
    </row>
    <row r="22" spans="1:20" ht="12.95" customHeight="1">
      <c r="A22" s="434" t="s">
        <v>25</v>
      </c>
      <c r="B22" s="65">
        <f t="shared" si="6"/>
        <v>651</v>
      </c>
      <c r="C22" s="94">
        <f t="shared" si="4"/>
        <v>1.6115855922762718</v>
      </c>
      <c r="E22" s="252">
        <v>232</v>
      </c>
      <c r="F22" s="94">
        <f t="shared" si="0"/>
        <v>35.637480798771122</v>
      </c>
      <c r="G22" s="252"/>
      <c r="H22" s="253">
        <v>173</v>
      </c>
      <c r="I22" s="94">
        <f t="shared" si="1"/>
        <v>26.574500768049152</v>
      </c>
      <c r="J22" s="253"/>
      <c r="K22" s="253">
        <v>222</v>
      </c>
      <c r="L22" s="94">
        <f t="shared" si="2"/>
        <v>34.101382488479267</v>
      </c>
      <c r="M22" s="253"/>
      <c r="N22" s="253">
        <v>24</v>
      </c>
      <c r="O22" s="94">
        <f t="shared" si="3"/>
        <v>3.6866359447004609</v>
      </c>
      <c r="P22" s="253"/>
      <c r="Q22" s="253">
        <v>0</v>
      </c>
      <c r="R22" s="94">
        <f t="shared" si="5"/>
        <v>0</v>
      </c>
      <c r="S22" s="44"/>
      <c r="T22" s="44"/>
    </row>
    <row r="23" spans="1:20" ht="12.95" customHeight="1">
      <c r="A23" s="434" t="s">
        <v>26</v>
      </c>
      <c r="B23" s="65">
        <f t="shared" si="6"/>
        <v>332</v>
      </c>
      <c r="C23" s="94">
        <f t="shared" si="4"/>
        <v>0.82188389652184668</v>
      </c>
      <c r="E23" s="252">
        <v>129</v>
      </c>
      <c r="F23" s="94">
        <f t="shared" si="0"/>
        <v>38.855421686746986</v>
      </c>
      <c r="G23" s="252"/>
      <c r="H23" s="253">
        <v>118</v>
      </c>
      <c r="I23" s="94">
        <f t="shared" si="1"/>
        <v>35.542168674698793</v>
      </c>
      <c r="J23" s="253"/>
      <c r="K23" s="253">
        <v>73</v>
      </c>
      <c r="L23" s="94">
        <f t="shared" si="2"/>
        <v>21.987951807228914</v>
      </c>
      <c r="M23" s="253"/>
      <c r="N23" s="253">
        <v>11</v>
      </c>
      <c r="O23" s="94">
        <f t="shared" si="3"/>
        <v>3.3132530120481931</v>
      </c>
      <c r="P23" s="253"/>
      <c r="Q23" s="253">
        <v>1</v>
      </c>
      <c r="R23" s="94">
        <f t="shared" si="5"/>
        <v>0.30120481927710846</v>
      </c>
      <c r="S23" s="44"/>
      <c r="T23" s="44"/>
    </row>
    <row r="24" spans="1:20" ht="12.95" customHeight="1">
      <c r="A24" s="434" t="s">
        <v>27</v>
      </c>
      <c r="B24" s="65">
        <f t="shared" si="6"/>
        <v>1045</v>
      </c>
      <c r="C24" s="94">
        <f t="shared" si="4"/>
        <v>2.5869538309196685</v>
      </c>
      <c r="E24" s="252">
        <v>442</v>
      </c>
      <c r="F24" s="94">
        <f t="shared" si="0"/>
        <v>42.296650717703351</v>
      </c>
      <c r="G24" s="252"/>
      <c r="H24" s="253">
        <v>399</v>
      </c>
      <c r="I24" s="94">
        <f t="shared" si="1"/>
        <v>38.181818181818187</v>
      </c>
      <c r="J24" s="253"/>
      <c r="K24" s="253">
        <v>189</v>
      </c>
      <c r="L24" s="94">
        <f t="shared" si="2"/>
        <v>18.086124401913874</v>
      </c>
      <c r="M24" s="253"/>
      <c r="N24" s="253">
        <v>15</v>
      </c>
      <c r="O24" s="94">
        <f t="shared" si="3"/>
        <v>1.4354066985645932</v>
      </c>
      <c r="P24" s="253"/>
      <c r="Q24" s="253">
        <v>0</v>
      </c>
      <c r="R24" s="94">
        <f t="shared" si="5"/>
        <v>0</v>
      </c>
      <c r="S24" s="44"/>
      <c r="T24" s="44"/>
    </row>
    <row r="25" spans="1:20" ht="8.25" customHeight="1">
      <c r="C25" s="94" t="str">
        <f t="shared" si="4"/>
        <v/>
      </c>
      <c r="F25" s="94" t="str">
        <f t="shared" si="0"/>
        <v/>
      </c>
      <c r="I25" s="94" t="str">
        <f t="shared" si="1"/>
        <v/>
      </c>
      <c r="L25" s="94" t="str">
        <f t="shared" si="2"/>
        <v/>
      </c>
      <c r="O25" s="94" t="str">
        <f t="shared" si="3"/>
        <v/>
      </c>
      <c r="R25" s="94" t="str">
        <f t="shared" si="5"/>
        <v/>
      </c>
    </row>
    <row r="26" spans="1:20" ht="12.95" customHeight="1">
      <c r="A26" s="63" t="s">
        <v>375</v>
      </c>
      <c r="B26" s="65">
        <f>SUM(B27)</f>
        <v>1940</v>
      </c>
      <c r="C26" s="94">
        <f t="shared" si="4"/>
        <v>4.8025745760613932</v>
      </c>
      <c r="E26" s="93">
        <f>SUM(E27)</f>
        <v>602</v>
      </c>
      <c r="F26" s="94">
        <f t="shared" si="0"/>
        <v>31.030927835051546</v>
      </c>
      <c r="H26" s="93">
        <f>SUM(H27)</f>
        <v>795</v>
      </c>
      <c r="I26" s="94">
        <f t="shared" si="1"/>
        <v>40.979381443298969</v>
      </c>
      <c r="K26" s="93">
        <f>SUM(K27)</f>
        <v>512</v>
      </c>
      <c r="L26" s="94">
        <f t="shared" si="2"/>
        <v>26.39175257731959</v>
      </c>
      <c r="N26" s="93">
        <f>SUM(N27)</f>
        <v>29</v>
      </c>
      <c r="O26" s="94">
        <f t="shared" si="3"/>
        <v>1.4948453608247423</v>
      </c>
      <c r="Q26" s="93">
        <f>SUM(Q27)</f>
        <v>2</v>
      </c>
      <c r="R26" s="94">
        <f t="shared" si="5"/>
        <v>0.10309278350515465</v>
      </c>
    </row>
    <row r="27" spans="1:20" ht="12.95" customHeight="1">
      <c r="A27" s="434" t="s">
        <v>29</v>
      </c>
      <c r="B27" s="65">
        <f t="shared" ref="B27:B32" si="7">SUM(E27+H27+K27+N27+Q27)</f>
        <v>1940</v>
      </c>
      <c r="C27" s="94">
        <f t="shared" si="4"/>
        <v>4.8025745760613932</v>
      </c>
      <c r="E27" s="93">
        <f>SUM(E28:E32)</f>
        <v>602</v>
      </c>
      <c r="F27" s="94">
        <f t="shared" si="0"/>
        <v>31.030927835051546</v>
      </c>
      <c r="G27" s="42" t="s">
        <v>253</v>
      </c>
      <c r="H27" s="93">
        <f>SUM(H28:H32)</f>
        <v>795</v>
      </c>
      <c r="I27" s="94">
        <f t="shared" si="1"/>
        <v>40.979381443298969</v>
      </c>
      <c r="J27" s="42" t="s">
        <v>253</v>
      </c>
      <c r="K27" s="93">
        <f>SUM(K28:K32)</f>
        <v>512</v>
      </c>
      <c r="L27" s="94">
        <f t="shared" si="2"/>
        <v>26.39175257731959</v>
      </c>
      <c r="M27" s="42" t="s">
        <v>253</v>
      </c>
      <c r="N27" s="93">
        <f>SUM(N28:N32)</f>
        <v>29</v>
      </c>
      <c r="O27" s="94">
        <f t="shared" si="3"/>
        <v>1.4948453608247423</v>
      </c>
      <c r="P27" s="42" t="s">
        <v>253</v>
      </c>
      <c r="Q27" s="93">
        <f>SUM(Q28:Q32)</f>
        <v>2</v>
      </c>
      <c r="R27" s="94">
        <f t="shared" si="5"/>
        <v>0.10309278350515465</v>
      </c>
    </row>
    <row r="28" spans="1:20" ht="12.95" customHeight="1">
      <c r="A28" s="434" t="s">
        <v>30</v>
      </c>
      <c r="B28" s="65">
        <f t="shared" si="7"/>
        <v>343</v>
      </c>
      <c r="C28" s="94">
        <f t="shared" si="4"/>
        <v>0.84911498947889597</v>
      </c>
      <c r="E28" s="252">
        <v>80</v>
      </c>
      <c r="F28" s="94">
        <f t="shared" si="0"/>
        <v>23.323615160349853</v>
      </c>
      <c r="G28" s="252"/>
      <c r="H28" s="253">
        <v>125</v>
      </c>
      <c r="I28" s="94">
        <f t="shared" si="1"/>
        <v>36.443148688046648</v>
      </c>
      <c r="J28" s="253"/>
      <c r="K28" s="253">
        <v>131</v>
      </c>
      <c r="L28" s="94">
        <f t="shared" si="2"/>
        <v>38.192419825072889</v>
      </c>
      <c r="M28" s="253"/>
      <c r="N28" s="253">
        <v>7</v>
      </c>
      <c r="O28" s="94">
        <f t="shared" si="3"/>
        <v>2.0408163265306123</v>
      </c>
      <c r="P28" s="253"/>
      <c r="Q28" s="253">
        <v>0</v>
      </c>
      <c r="R28" s="94">
        <f t="shared" si="5"/>
        <v>0</v>
      </c>
    </row>
    <row r="29" spans="1:20" ht="12.95" customHeight="1">
      <c r="A29" s="434" t="s">
        <v>31</v>
      </c>
      <c r="B29" s="65">
        <f t="shared" si="7"/>
        <v>499</v>
      </c>
      <c r="C29" s="94">
        <f t="shared" si="4"/>
        <v>1.2353013986879564</v>
      </c>
      <c r="E29" s="252">
        <v>149</v>
      </c>
      <c r="F29" s="94">
        <f t="shared" si="0"/>
        <v>29.859719438877757</v>
      </c>
      <c r="G29" s="252"/>
      <c r="H29" s="253">
        <v>214</v>
      </c>
      <c r="I29" s="94">
        <f t="shared" si="1"/>
        <v>42.885771543086172</v>
      </c>
      <c r="J29" s="253"/>
      <c r="K29" s="253">
        <v>127</v>
      </c>
      <c r="L29" s="94">
        <f t="shared" si="2"/>
        <v>25.450901803607213</v>
      </c>
      <c r="M29" s="253"/>
      <c r="N29" s="253">
        <v>8</v>
      </c>
      <c r="O29" s="94">
        <f t="shared" si="3"/>
        <v>1.6032064128256511</v>
      </c>
      <c r="P29" s="253"/>
      <c r="Q29" s="253">
        <v>1</v>
      </c>
      <c r="R29" s="94">
        <f t="shared" si="5"/>
        <v>0.20040080160320639</v>
      </c>
    </row>
    <row r="30" spans="1:20" ht="12.95" customHeight="1">
      <c r="A30" s="434" t="s">
        <v>32</v>
      </c>
      <c r="B30" s="65">
        <f t="shared" si="7"/>
        <v>349</v>
      </c>
      <c r="C30" s="94">
        <f t="shared" si="4"/>
        <v>0.86396831291001353</v>
      </c>
      <c r="E30" s="252">
        <v>129</v>
      </c>
      <c r="F30" s="94">
        <f t="shared" si="0"/>
        <v>36.96275071633238</v>
      </c>
      <c r="G30" s="252"/>
      <c r="H30" s="253">
        <v>149</v>
      </c>
      <c r="I30" s="94">
        <f t="shared" si="1"/>
        <v>42.693409742120345</v>
      </c>
      <c r="J30" s="253"/>
      <c r="K30" s="253">
        <v>69</v>
      </c>
      <c r="L30" s="94">
        <f t="shared" si="2"/>
        <v>19.770773638968482</v>
      </c>
      <c r="M30" s="253"/>
      <c r="N30" s="253">
        <v>2</v>
      </c>
      <c r="O30" s="94">
        <f t="shared" si="3"/>
        <v>0.57306590257879653</v>
      </c>
      <c r="P30" s="253"/>
      <c r="Q30" s="253">
        <v>0</v>
      </c>
      <c r="R30" s="94">
        <f t="shared" si="5"/>
        <v>0</v>
      </c>
    </row>
    <row r="31" spans="1:20" ht="12.95" customHeight="1">
      <c r="A31" s="434" t="s">
        <v>33</v>
      </c>
      <c r="B31" s="65">
        <f t="shared" si="7"/>
        <v>371</v>
      </c>
      <c r="C31" s="94">
        <f t="shared" si="4"/>
        <v>0.91843049882411187</v>
      </c>
      <c r="E31" s="252">
        <v>143</v>
      </c>
      <c r="F31" s="94">
        <f t="shared" si="0"/>
        <v>38.544474393530997</v>
      </c>
      <c r="G31" s="252"/>
      <c r="H31" s="253">
        <v>167</v>
      </c>
      <c r="I31" s="94">
        <f t="shared" si="1"/>
        <v>45.01347708894879</v>
      </c>
      <c r="J31" s="253"/>
      <c r="K31" s="253">
        <v>56</v>
      </c>
      <c r="L31" s="94">
        <f t="shared" si="2"/>
        <v>15.09433962264151</v>
      </c>
      <c r="M31" s="253"/>
      <c r="N31" s="253">
        <v>5</v>
      </c>
      <c r="O31" s="94">
        <f t="shared" si="3"/>
        <v>1.3477088948787064</v>
      </c>
      <c r="P31" s="253"/>
      <c r="Q31" s="253">
        <v>0</v>
      </c>
      <c r="R31" s="94">
        <f t="shared" si="5"/>
        <v>0</v>
      </c>
    </row>
    <row r="32" spans="1:20" ht="12.95" customHeight="1">
      <c r="A32" s="434" t="s">
        <v>34</v>
      </c>
      <c r="B32" s="65">
        <f t="shared" si="7"/>
        <v>378</v>
      </c>
      <c r="C32" s="94">
        <f t="shared" si="4"/>
        <v>0.93575937616041593</v>
      </c>
      <c r="E32" s="252">
        <v>101</v>
      </c>
      <c r="F32" s="94">
        <f t="shared" si="0"/>
        <v>26.719576719576722</v>
      </c>
      <c r="G32" s="252"/>
      <c r="H32" s="253">
        <v>140</v>
      </c>
      <c r="I32" s="94">
        <f t="shared" si="1"/>
        <v>37.037037037037038</v>
      </c>
      <c r="J32" s="253"/>
      <c r="K32" s="253">
        <v>129</v>
      </c>
      <c r="L32" s="94">
        <f t="shared" si="2"/>
        <v>34.126984126984127</v>
      </c>
      <c r="M32" s="253"/>
      <c r="N32" s="253">
        <v>7</v>
      </c>
      <c r="O32" s="94">
        <f t="shared" si="3"/>
        <v>1.8518518518518516</v>
      </c>
      <c r="P32" s="253"/>
      <c r="Q32" s="253">
        <v>1</v>
      </c>
      <c r="R32" s="94">
        <f t="shared" si="5"/>
        <v>0.26455026455026454</v>
      </c>
    </row>
    <row r="33" spans="1:19" ht="8.25" customHeight="1">
      <c r="C33" s="94" t="str">
        <f t="shared" si="4"/>
        <v/>
      </c>
      <c r="F33" s="94" t="str">
        <f t="shared" si="0"/>
        <v/>
      </c>
      <c r="I33" s="94" t="str">
        <f t="shared" si="1"/>
        <v/>
      </c>
      <c r="L33" s="94" t="str">
        <f t="shared" si="2"/>
        <v/>
      </c>
      <c r="O33" s="94" t="str">
        <f t="shared" si="3"/>
        <v/>
      </c>
      <c r="R33" s="94" t="str">
        <f t="shared" si="5"/>
        <v/>
      </c>
    </row>
    <row r="34" spans="1:19" ht="12.95" customHeight="1">
      <c r="A34" s="63" t="s">
        <v>329</v>
      </c>
      <c r="B34" s="65">
        <f>SUM(B35+B41+B51+B53)</f>
        <v>13568</v>
      </c>
      <c r="C34" s="94">
        <f t="shared" si="4"/>
        <v>33.588315385567519</v>
      </c>
      <c r="E34" s="93">
        <f>SUM(E35+E41+E51+E53)</f>
        <v>4724</v>
      </c>
      <c r="F34" s="94">
        <f t="shared" si="0"/>
        <v>34.817216981132077</v>
      </c>
      <c r="H34" s="93">
        <f>SUM(H35+H41+H51+H53)</f>
        <v>4275</v>
      </c>
      <c r="I34" s="94">
        <f t="shared" si="1"/>
        <v>31.507959905660378</v>
      </c>
      <c r="K34" s="93">
        <f>SUM(K35+K41+K51+K53)</f>
        <v>4163</v>
      </c>
      <c r="L34" s="94">
        <f t="shared" si="2"/>
        <v>30.68248820754717</v>
      </c>
      <c r="N34" s="93">
        <f>SUM(N35+N41+N51+N53)</f>
        <v>393</v>
      </c>
      <c r="O34" s="94">
        <f t="shared" si="3"/>
        <v>2.8965212264150946</v>
      </c>
      <c r="Q34" s="93">
        <f>SUM(Q35+Q41+Q51+Q53)</f>
        <v>13</v>
      </c>
      <c r="R34" s="94">
        <f t="shared" si="5"/>
        <v>9.5813679245283015E-2</v>
      </c>
    </row>
    <row r="35" spans="1:19" ht="12.95" customHeight="1">
      <c r="A35" s="434" t="s">
        <v>36</v>
      </c>
      <c r="B35" s="65">
        <f>SUM(E35+H35+K35+N35+Q35)</f>
        <v>4953</v>
      </c>
      <c r="C35" s="94">
        <f t="shared" si="4"/>
        <v>12.261418492387671</v>
      </c>
      <c r="E35" s="93">
        <f>SUM(E36:E39)</f>
        <v>1888</v>
      </c>
      <c r="F35" s="94">
        <f t="shared" si="0"/>
        <v>38.118312134060169</v>
      </c>
      <c r="G35" s="42" t="s">
        <v>253</v>
      </c>
      <c r="H35" s="93">
        <f>SUM(H36:H39)</f>
        <v>1623</v>
      </c>
      <c r="I35" s="94">
        <f t="shared" si="1"/>
        <v>32.768019382192612</v>
      </c>
      <c r="J35" s="42" t="s">
        <v>253</v>
      </c>
      <c r="K35" s="93">
        <f>SUM(K36:K39)</f>
        <v>1385</v>
      </c>
      <c r="L35" s="94">
        <f t="shared" si="2"/>
        <v>27.962850797496468</v>
      </c>
      <c r="M35" s="42" t="s">
        <v>253</v>
      </c>
      <c r="N35" s="93">
        <f>SUM(N36:N39)</f>
        <v>54</v>
      </c>
      <c r="O35" s="94">
        <f t="shared" si="3"/>
        <v>1.0902483343428226</v>
      </c>
      <c r="P35" s="42" t="s">
        <v>253</v>
      </c>
      <c r="Q35" s="93">
        <f>SUM(Q36:Q39)</f>
        <v>3</v>
      </c>
      <c r="R35" s="94">
        <f t="shared" si="5"/>
        <v>6.0569351907934582E-2</v>
      </c>
    </row>
    <row r="36" spans="1:19" ht="12.95" customHeight="1">
      <c r="A36" s="434" t="s">
        <v>37</v>
      </c>
      <c r="B36" s="65">
        <f>SUM(E36+H36+K36+N36+Q36)</f>
        <v>2884</v>
      </c>
      <c r="C36" s="94">
        <f t="shared" si="4"/>
        <v>7.1394974625572472</v>
      </c>
      <c r="E36" s="252">
        <v>1127</v>
      </c>
      <c r="F36" s="94">
        <f t="shared" si="0"/>
        <v>39.077669902912618</v>
      </c>
      <c r="G36" s="252"/>
      <c r="H36" s="253">
        <v>865</v>
      </c>
      <c r="I36" s="94">
        <f t="shared" si="1"/>
        <v>29.993065187239942</v>
      </c>
      <c r="J36" s="253"/>
      <c r="K36" s="253">
        <v>875</v>
      </c>
      <c r="L36" s="94">
        <f t="shared" si="2"/>
        <v>30.339805825242717</v>
      </c>
      <c r="M36" s="253"/>
      <c r="N36" s="253">
        <v>14</v>
      </c>
      <c r="O36" s="94">
        <f t="shared" si="3"/>
        <v>0.48543689320388345</v>
      </c>
      <c r="P36" s="253"/>
      <c r="Q36" s="253">
        <v>3</v>
      </c>
      <c r="R36" s="94">
        <f t="shared" si="5"/>
        <v>0.10402219140083217</v>
      </c>
      <c r="S36" s="42" t="s">
        <v>253</v>
      </c>
    </row>
    <row r="37" spans="1:19" ht="12.95" customHeight="1">
      <c r="A37" s="434" t="s">
        <v>38</v>
      </c>
      <c r="B37" s="65">
        <f>SUM(E37+H37+K37+N37+Q37)</f>
        <v>1133</v>
      </c>
      <c r="C37" s="94">
        <f t="shared" si="4"/>
        <v>2.8048025745760614</v>
      </c>
      <c r="E37" s="252">
        <v>481</v>
      </c>
      <c r="F37" s="94">
        <f t="shared" si="0"/>
        <v>42.453662842012356</v>
      </c>
      <c r="G37" s="252"/>
      <c r="H37" s="253">
        <v>335</v>
      </c>
      <c r="I37" s="94">
        <f t="shared" si="1"/>
        <v>29.567519858781992</v>
      </c>
      <c r="J37" s="253"/>
      <c r="K37" s="253">
        <v>296</v>
      </c>
      <c r="L37" s="94">
        <f t="shared" si="2"/>
        <v>26.12533097969991</v>
      </c>
      <c r="M37" s="253"/>
      <c r="N37" s="253">
        <v>21</v>
      </c>
      <c r="O37" s="94">
        <f t="shared" si="3"/>
        <v>1.8534863195057367</v>
      </c>
      <c r="P37" s="253"/>
      <c r="Q37" s="253">
        <v>0</v>
      </c>
      <c r="R37" s="94">
        <f t="shared" si="5"/>
        <v>0</v>
      </c>
    </row>
    <row r="38" spans="1:19" ht="12.95" customHeight="1">
      <c r="A38" s="434" t="s">
        <v>39</v>
      </c>
      <c r="B38" s="65">
        <f>SUM(E38+H38+K38+N38+Q38)</f>
        <v>511</v>
      </c>
      <c r="C38" s="94">
        <f t="shared" si="4"/>
        <v>1.2650080455501918</v>
      </c>
      <c r="E38" s="252">
        <v>161</v>
      </c>
      <c r="F38" s="94">
        <f t="shared" si="0"/>
        <v>31.506849315068493</v>
      </c>
      <c r="G38" s="252"/>
      <c r="H38" s="253">
        <v>184</v>
      </c>
      <c r="I38" s="94">
        <f t="shared" si="1"/>
        <v>36.007827788649706</v>
      </c>
      <c r="J38" s="253"/>
      <c r="K38" s="253">
        <v>149</v>
      </c>
      <c r="L38" s="94">
        <f t="shared" si="2"/>
        <v>29.158512720156555</v>
      </c>
      <c r="M38" s="253"/>
      <c r="N38" s="253">
        <v>17</v>
      </c>
      <c r="O38" s="94">
        <f t="shared" si="3"/>
        <v>3.3268101761252442</v>
      </c>
      <c r="P38" s="253"/>
      <c r="Q38" s="253">
        <v>0</v>
      </c>
      <c r="R38" s="94">
        <f t="shared" si="5"/>
        <v>0</v>
      </c>
    </row>
    <row r="39" spans="1:19" ht="12.95" customHeight="1">
      <c r="A39" s="434" t="s">
        <v>40</v>
      </c>
      <c r="B39" s="65">
        <f>SUM(E39+H39+K39+N39+Q39)</f>
        <v>425</v>
      </c>
      <c r="C39" s="94">
        <f t="shared" si="4"/>
        <v>1.0521104097041714</v>
      </c>
      <c r="E39" s="252">
        <v>119</v>
      </c>
      <c r="F39" s="94">
        <f t="shared" si="0"/>
        <v>28.000000000000004</v>
      </c>
      <c r="G39" s="252"/>
      <c r="H39" s="253">
        <v>239</v>
      </c>
      <c r="I39" s="94">
        <f t="shared" si="1"/>
        <v>56.235294117647058</v>
      </c>
      <c r="J39" s="253"/>
      <c r="K39" s="253">
        <v>65</v>
      </c>
      <c r="L39" s="94">
        <f t="shared" si="2"/>
        <v>15.294117647058824</v>
      </c>
      <c r="M39" s="253"/>
      <c r="N39" s="253">
        <v>2</v>
      </c>
      <c r="O39" s="94">
        <f t="shared" si="3"/>
        <v>0.47058823529411759</v>
      </c>
      <c r="P39" s="253"/>
      <c r="Q39" s="253">
        <v>0</v>
      </c>
      <c r="R39" s="94">
        <f t="shared" si="5"/>
        <v>0</v>
      </c>
    </row>
    <row r="40" spans="1:19" ht="8.25" customHeight="1">
      <c r="C40" s="94" t="str">
        <f t="shared" si="4"/>
        <v/>
      </c>
      <c r="F40" s="94" t="str">
        <f t="shared" si="0"/>
        <v/>
      </c>
      <c r="I40" s="94" t="str">
        <f t="shared" si="1"/>
        <v/>
      </c>
      <c r="L40" s="94" t="str">
        <f t="shared" si="2"/>
        <v/>
      </c>
      <c r="O40" s="94" t="str">
        <f t="shared" si="3"/>
        <v/>
      </c>
      <c r="R40" s="94" t="str">
        <f t="shared" si="5"/>
        <v/>
      </c>
    </row>
    <row r="41" spans="1:19" ht="12.95" customHeight="1">
      <c r="A41" s="434" t="s">
        <v>41</v>
      </c>
      <c r="B41" s="65">
        <f t="shared" ref="B41:B49" si="8">SUM(E41+H41+K41+N41+Q41)</f>
        <v>3954</v>
      </c>
      <c r="C41" s="94">
        <f t="shared" si="4"/>
        <v>9.7883401411065734</v>
      </c>
      <c r="E41" s="93">
        <f>SUM(E42:E49)</f>
        <v>1278</v>
      </c>
      <c r="F41" s="94">
        <f t="shared" si="0"/>
        <v>32.32169954476479</v>
      </c>
      <c r="G41" s="42" t="s">
        <v>253</v>
      </c>
      <c r="H41" s="93">
        <f>SUM(H42:H49)</f>
        <v>1369</v>
      </c>
      <c r="I41" s="94">
        <f t="shared" si="1"/>
        <v>34.62316641375822</v>
      </c>
      <c r="J41" s="42" t="s">
        <v>253</v>
      </c>
      <c r="K41" s="93">
        <f>SUM(K42:K49)</f>
        <v>1240</v>
      </c>
      <c r="L41" s="94">
        <f t="shared" si="2"/>
        <v>31.360647445624686</v>
      </c>
      <c r="M41" s="42" t="s">
        <v>253</v>
      </c>
      <c r="N41" s="93">
        <f>SUM(N42:N49)</f>
        <v>64</v>
      </c>
      <c r="O41" s="94">
        <f t="shared" si="3"/>
        <v>1.6186140617096612</v>
      </c>
      <c r="P41" s="42" t="s">
        <v>253</v>
      </c>
      <c r="Q41" s="93">
        <f>SUM(Q42:Q49)</f>
        <v>3</v>
      </c>
      <c r="R41" s="94">
        <f t="shared" si="5"/>
        <v>7.5872534142640363E-2</v>
      </c>
    </row>
    <row r="42" spans="1:19" ht="12.95" customHeight="1">
      <c r="A42" s="434" t="s">
        <v>330</v>
      </c>
      <c r="B42" s="65">
        <f t="shared" si="8"/>
        <v>461</v>
      </c>
      <c r="C42" s="94">
        <f t="shared" si="4"/>
        <v>1.1412303502908776</v>
      </c>
      <c r="E42" s="252">
        <v>144</v>
      </c>
      <c r="F42" s="94">
        <f t="shared" si="0"/>
        <v>31.23644251626898</v>
      </c>
      <c r="G42" s="252"/>
      <c r="H42" s="253">
        <v>225</v>
      </c>
      <c r="I42" s="94">
        <f t="shared" si="1"/>
        <v>48.806941431670282</v>
      </c>
      <c r="J42" s="253"/>
      <c r="K42" s="253">
        <v>85</v>
      </c>
      <c r="L42" s="94">
        <f t="shared" si="2"/>
        <v>18.43817787418655</v>
      </c>
      <c r="M42" s="253"/>
      <c r="N42" s="253">
        <v>6</v>
      </c>
      <c r="O42" s="94">
        <f t="shared" si="3"/>
        <v>1.3015184381778742</v>
      </c>
      <c r="P42" s="253"/>
      <c r="Q42" s="253">
        <v>1</v>
      </c>
      <c r="R42" s="94">
        <f t="shared" si="5"/>
        <v>0.21691973969631237</v>
      </c>
    </row>
    <row r="43" spans="1:19" ht="12.95" customHeight="1">
      <c r="A43" s="434" t="s">
        <v>42</v>
      </c>
      <c r="B43" s="65">
        <f t="shared" si="8"/>
        <v>420</v>
      </c>
      <c r="C43" s="94">
        <f t="shared" si="4"/>
        <v>1.0397326401782399</v>
      </c>
      <c r="E43" s="252">
        <v>136</v>
      </c>
      <c r="F43" s="94">
        <f t="shared" si="0"/>
        <v>32.38095238095238</v>
      </c>
      <c r="G43" s="252"/>
      <c r="H43" s="253">
        <v>182</v>
      </c>
      <c r="I43" s="94">
        <f t="shared" si="1"/>
        <v>43.333333333333336</v>
      </c>
      <c r="J43" s="253"/>
      <c r="K43" s="253">
        <v>96</v>
      </c>
      <c r="L43" s="94">
        <f t="shared" si="2"/>
        <v>22.857142857142858</v>
      </c>
      <c r="M43" s="253"/>
      <c r="N43" s="253">
        <v>6</v>
      </c>
      <c r="O43" s="94">
        <f t="shared" si="3"/>
        <v>1.4285714285714286</v>
      </c>
      <c r="P43" s="253"/>
      <c r="Q43" s="253">
        <v>0</v>
      </c>
    </row>
    <row r="44" spans="1:19" ht="12.95" customHeight="1">
      <c r="A44" s="434" t="s">
        <v>43</v>
      </c>
      <c r="B44" s="65">
        <f t="shared" si="8"/>
        <v>491</v>
      </c>
      <c r="C44" s="94">
        <f t="shared" si="4"/>
        <v>1.2154969674464662</v>
      </c>
      <c r="E44" s="252">
        <v>175</v>
      </c>
      <c r="F44" s="94">
        <f t="shared" si="0"/>
        <v>35.641547861507128</v>
      </c>
      <c r="G44" s="252"/>
      <c r="H44" s="253">
        <v>87</v>
      </c>
      <c r="I44" s="94">
        <f t="shared" si="1"/>
        <v>17.718940936863543</v>
      </c>
      <c r="J44" s="253"/>
      <c r="K44" s="253">
        <v>211</v>
      </c>
      <c r="L44" s="94">
        <f t="shared" si="2"/>
        <v>42.973523421588595</v>
      </c>
      <c r="M44" s="253"/>
      <c r="N44" s="253">
        <v>18</v>
      </c>
      <c r="O44" s="94">
        <f t="shared" si="3"/>
        <v>3.6659877800407332</v>
      </c>
      <c r="P44" s="253"/>
      <c r="Q44" s="253">
        <v>0</v>
      </c>
      <c r="R44" s="94">
        <f t="shared" si="5"/>
        <v>0</v>
      </c>
    </row>
    <row r="45" spans="1:19" ht="12.95" customHeight="1">
      <c r="A45" s="434" t="s">
        <v>44</v>
      </c>
      <c r="B45" s="65">
        <f t="shared" si="8"/>
        <v>544</v>
      </c>
      <c r="C45" s="94">
        <f t="shared" si="4"/>
        <v>1.3467013244213393</v>
      </c>
      <c r="E45" s="252">
        <v>162</v>
      </c>
      <c r="F45" s="94">
        <f t="shared" si="0"/>
        <v>29.77941176470588</v>
      </c>
      <c r="G45" s="252"/>
      <c r="H45" s="253">
        <v>187</v>
      </c>
      <c r="I45" s="94">
        <f t="shared" si="1"/>
        <v>34.375</v>
      </c>
      <c r="J45" s="253"/>
      <c r="K45" s="253">
        <v>179</v>
      </c>
      <c r="L45" s="94">
        <f t="shared" si="2"/>
        <v>32.904411764705884</v>
      </c>
      <c r="M45" s="253"/>
      <c r="N45" s="253">
        <v>16</v>
      </c>
      <c r="O45" s="94">
        <f t="shared" si="3"/>
        <v>2.9411764705882351</v>
      </c>
      <c r="P45" s="253"/>
      <c r="Q45" s="253">
        <v>0</v>
      </c>
      <c r="R45" s="94">
        <f t="shared" si="5"/>
        <v>0</v>
      </c>
    </row>
    <row r="46" spans="1:19" ht="12.95" customHeight="1">
      <c r="A46" s="434" t="s">
        <v>331</v>
      </c>
      <c r="B46" s="65">
        <f t="shared" si="8"/>
        <v>685</v>
      </c>
      <c r="C46" s="94">
        <f t="shared" si="4"/>
        <v>1.6957544250526055</v>
      </c>
      <c r="E46" s="252">
        <v>244</v>
      </c>
      <c r="F46" s="94">
        <f t="shared" si="0"/>
        <v>35.620437956204384</v>
      </c>
      <c r="G46" s="252"/>
      <c r="H46" s="253">
        <v>265</v>
      </c>
      <c r="I46" s="94">
        <f t="shared" si="1"/>
        <v>38.686131386861319</v>
      </c>
      <c r="J46" s="253"/>
      <c r="K46" s="253">
        <v>170</v>
      </c>
      <c r="L46" s="94">
        <f t="shared" si="2"/>
        <v>24.817518248175183</v>
      </c>
      <c r="M46" s="253"/>
      <c r="N46" s="253">
        <v>5</v>
      </c>
      <c r="O46" s="94">
        <f t="shared" si="3"/>
        <v>0.72992700729927007</v>
      </c>
      <c r="P46" s="253"/>
      <c r="Q46" s="253">
        <v>1</v>
      </c>
      <c r="R46" s="94">
        <f t="shared" si="5"/>
        <v>0.145985401459854</v>
      </c>
    </row>
    <row r="47" spans="1:19" ht="12.95" customHeight="1">
      <c r="A47" s="434" t="s">
        <v>48</v>
      </c>
      <c r="B47" s="65">
        <f t="shared" si="8"/>
        <v>292</v>
      </c>
      <c r="C47" s="94">
        <f t="shared" si="4"/>
        <v>0.72286174031439532</v>
      </c>
      <c r="E47" s="252">
        <v>70</v>
      </c>
      <c r="F47" s="94">
        <f t="shared" si="0"/>
        <v>23.972602739726025</v>
      </c>
      <c r="G47" s="252"/>
      <c r="H47" s="253">
        <v>126</v>
      </c>
      <c r="I47" s="94">
        <f t="shared" si="1"/>
        <v>43.150684931506852</v>
      </c>
      <c r="J47" s="253"/>
      <c r="K47" s="253">
        <v>94</v>
      </c>
      <c r="L47" s="94">
        <f t="shared" si="2"/>
        <v>32.19178082191781</v>
      </c>
      <c r="M47" s="253"/>
      <c r="N47" s="253">
        <v>2</v>
      </c>
      <c r="O47" s="94">
        <f t="shared" si="3"/>
        <v>0.68493150684931503</v>
      </c>
      <c r="P47" s="253"/>
      <c r="Q47" s="253">
        <v>0</v>
      </c>
      <c r="R47" s="94">
        <f t="shared" si="5"/>
        <v>0</v>
      </c>
    </row>
    <row r="48" spans="1:19" ht="12.95" customHeight="1">
      <c r="A48" s="434" t="s">
        <v>47</v>
      </c>
      <c r="B48" s="65">
        <f t="shared" si="8"/>
        <v>583</v>
      </c>
      <c r="C48" s="94">
        <f t="shared" si="4"/>
        <v>1.4432479267236045</v>
      </c>
      <c r="E48" s="252">
        <v>208</v>
      </c>
      <c r="F48" s="94">
        <f t="shared" si="0"/>
        <v>35.677530017152662</v>
      </c>
      <c r="G48" s="252"/>
      <c r="H48" s="253">
        <v>120</v>
      </c>
      <c r="I48" s="94">
        <f t="shared" si="1"/>
        <v>20.583190394511149</v>
      </c>
      <c r="J48" s="253"/>
      <c r="K48" s="253">
        <v>245</v>
      </c>
      <c r="L48" s="94">
        <f t="shared" si="2"/>
        <v>42.024013722126931</v>
      </c>
      <c r="M48" s="253"/>
      <c r="N48" s="253">
        <v>9</v>
      </c>
      <c r="O48" s="94">
        <f t="shared" si="3"/>
        <v>1.5437392795883362</v>
      </c>
      <c r="P48" s="253"/>
      <c r="Q48" s="253">
        <v>1</v>
      </c>
      <c r="R48" s="94">
        <f t="shared" si="5"/>
        <v>0.17152658662092624</v>
      </c>
    </row>
    <row r="49" spans="1:19" ht="12.95" customHeight="1">
      <c r="A49" s="434" t="s">
        <v>46</v>
      </c>
      <c r="B49" s="65">
        <f t="shared" si="8"/>
        <v>478</v>
      </c>
      <c r="C49" s="94">
        <f t="shared" si="4"/>
        <v>1.1833147666790444</v>
      </c>
      <c r="E49" s="252">
        <v>139</v>
      </c>
      <c r="F49" s="94">
        <f t="shared" si="0"/>
        <v>29.079497907949794</v>
      </c>
      <c r="G49" s="252"/>
      <c r="H49" s="253">
        <v>177</v>
      </c>
      <c r="I49" s="94">
        <f t="shared" si="1"/>
        <v>37.029288702928866</v>
      </c>
      <c r="J49" s="253"/>
      <c r="K49" s="253">
        <v>160</v>
      </c>
      <c r="L49" s="94">
        <f t="shared" si="2"/>
        <v>33.472803347280333</v>
      </c>
      <c r="M49" s="253"/>
      <c r="N49" s="253">
        <v>2</v>
      </c>
      <c r="O49" s="94">
        <f t="shared" si="3"/>
        <v>0.41841004184100417</v>
      </c>
      <c r="P49" s="253"/>
      <c r="Q49" s="253">
        <v>0</v>
      </c>
      <c r="R49" s="94">
        <f t="shared" si="5"/>
        <v>0</v>
      </c>
    </row>
    <row r="50" spans="1:19" ht="8.25" customHeight="1">
      <c r="C50" s="94" t="str">
        <f t="shared" si="4"/>
        <v/>
      </c>
      <c r="E50" s="254"/>
      <c r="F50" s="94" t="str">
        <f t="shared" si="0"/>
        <v/>
      </c>
      <c r="G50" s="254"/>
      <c r="H50" s="254"/>
      <c r="I50" s="94" t="str">
        <f t="shared" si="1"/>
        <v/>
      </c>
      <c r="J50" s="254"/>
      <c r="K50" s="254"/>
      <c r="L50" s="94" t="str">
        <f t="shared" si="2"/>
        <v/>
      </c>
      <c r="M50" s="254"/>
      <c r="N50" s="254"/>
      <c r="O50" s="94" t="str">
        <f t="shared" si="3"/>
        <v/>
      </c>
      <c r="P50" s="254"/>
      <c r="Q50" s="254"/>
      <c r="R50" s="94" t="str">
        <f t="shared" si="5"/>
        <v/>
      </c>
    </row>
    <row r="51" spans="1:19" ht="12.95" customHeight="1">
      <c r="A51" s="434" t="s">
        <v>50</v>
      </c>
      <c r="B51" s="65">
        <f>SUM(E51+H51+K51+N51+Q51)</f>
        <v>1406</v>
      </c>
      <c r="C51" s="94">
        <f t="shared" si="4"/>
        <v>3.4806287906919171</v>
      </c>
      <c r="E51" s="252">
        <v>489</v>
      </c>
      <c r="F51" s="94">
        <f t="shared" si="0"/>
        <v>34.779516358463724</v>
      </c>
      <c r="G51" s="252"/>
      <c r="H51" s="253">
        <v>212</v>
      </c>
      <c r="I51" s="94">
        <f t="shared" si="1"/>
        <v>15.078236130867708</v>
      </c>
      <c r="J51" s="253"/>
      <c r="K51" s="253">
        <v>490</v>
      </c>
      <c r="L51" s="94">
        <f t="shared" si="2"/>
        <v>34.850640113798008</v>
      </c>
      <c r="M51" s="253"/>
      <c r="N51" s="253">
        <v>212</v>
      </c>
      <c r="O51" s="94">
        <f t="shared" si="3"/>
        <v>15.078236130867708</v>
      </c>
      <c r="P51" s="253"/>
      <c r="Q51" s="253">
        <v>3</v>
      </c>
      <c r="R51" s="94">
        <f t="shared" si="5"/>
        <v>0.21337126600284498</v>
      </c>
    </row>
    <row r="52" spans="1:19" ht="8.25" customHeight="1">
      <c r="C52" s="94" t="str">
        <f t="shared" si="4"/>
        <v/>
      </c>
      <c r="F52" s="94" t="str">
        <f t="shared" si="0"/>
        <v/>
      </c>
      <c r="I52" s="94" t="str">
        <f t="shared" si="1"/>
        <v/>
      </c>
      <c r="L52" s="94" t="str">
        <f t="shared" si="2"/>
        <v/>
      </c>
      <c r="O52" s="94" t="str">
        <f t="shared" si="3"/>
        <v/>
      </c>
      <c r="R52" s="94" t="str">
        <f t="shared" si="5"/>
        <v/>
      </c>
    </row>
    <row r="53" spans="1:19" ht="12.95" customHeight="1">
      <c r="A53" s="434" t="s">
        <v>51</v>
      </c>
      <c r="B53" s="65">
        <f t="shared" ref="B53:B58" si="9">SUM(E53+H53+K53+N53+Q53)</f>
        <v>3255</v>
      </c>
      <c r="C53" s="94">
        <f t="shared" si="4"/>
        <v>8.0579279613813579</v>
      </c>
      <c r="E53" s="93">
        <f>SUM(E54:E58)</f>
        <v>1069</v>
      </c>
      <c r="F53" s="94">
        <f t="shared" si="0"/>
        <v>32.841781874039938</v>
      </c>
      <c r="G53" s="42" t="s">
        <v>253</v>
      </c>
      <c r="H53" s="93">
        <f>SUM(H54:H58)</f>
        <v>1071</v>
      </c>
      <c r="I53" s="94">
        <f t="shared" si="1"/>
        <v>32.903225806451616</v>
      </c>
      <c r="J53" s="42" t="s">
        <v>253</v>
      </c>
      <c r="K53" s="93">
        <f>SUM(K54:K58)</f>
        <v>1048</v>
      </c>
      <c r="L53" s="94">
        <f t="shared" si="2"/>
        <v>32.196620583717355</v>
      </c>
      <c r="M53" s="42" t="s">
        <v>253</v>
      </c>
      <c r="N53" s="93">
        <f>SUM(N54:N58)</f>
        <v>63</v>
      </c>
      <c r="O53" s="94">
        <f t="shared" si="3"/>
        <v>1.935483870967742</v>
      </c>
      <c r="P53" s="42" t="s">
        <v>253</v>
      </c>
      <c r="Q53" s="93">
        <f>SUM(Q54:Q58)</f>
        <v>4</v>
      </c>
      <c r="R53" s="94">
        <f t="shared" si="5"/>
        <v>0.12288786482334869</v>
      </c>
    </row>
    <row r="54" spans="1:19" ht="12.95" customHeight="1">
      <c r="A54" s="434" t="s">
        <v>52</v>
      </c>
      <c r="B54" s="65">
        <f t="shared" si="9"/>
        <v>124</v>
      </c>
      <c r="C54" s="94">
        <f t="shared" si="4"/>
        <v>0.30696868424309937</v>
      </c>
      <c r="E54" s="252">
        <v>88</v>
      </c>
      <c r="F54" s="94">
        <f t="shared" si="0"/>
        <v>70.967741935483872</v>
      </c>
      <c r="G54" s="252"/>
      <c r="H54" s="253">
        <v>28</v>
      </c>
      <c r="I54" s="94">
        <f t="shared" si="1"/>
        <v>22.58064516129032</v>
      </c>
      <c r="J54" s="253"/>
      <c r="K54" s="253">
        <v>8</v>
      </c>
      <c r="L54" s="94">
        <f t="shared" si="2"/>
        <v>6.4516129032258061</v>
      </c>
      <c r="M54" s="253"/>
      <c r="N54" s="253">
        <v>0</v>
      </c>
      <c r="O54" s="94">
        <f t="shared" si="3"/>
        <v>0</v>
      </c>
      <c r="P54" s="253"/>
      <c r="Q54" s="253">
        <v>0</v>
      </c>
      <c r="R54" s="94">
        <f t="shared" si="5"/>
        <v>0</v>
      </c>
    </row>
    <row r="55" spans="1:19" ht="12.95" customHeight="1">
      <c r="A55" s="434" t="s">
        <v>53</v>
      </c>
      <c r="B55" s="65">
        <f t="shared" si="9"/>
        <v>2017</v>
      </c>
      <c r="C55" s="94">
        <f t="shared" si="4"/>
        <v>4.9931922267607378</v>
      </c>
      <c r="E55" s="252">
        <v>682</v>
      </c>
      <c r="F55" s="94">
        <f t="shared" si="0"/>
        <v>33.812592959841346</v>
      </c>
      <c r="G55" s="252"/>
      <c r="H55" s="253">
        <v>689</v>
      </c>
      <c r="I55" s="94">
        <f t="shared" si="1"/>
        <v>34.159643034209218</v>
      </c>
      <c r="J55" s="253"/>
      <c r="K55" s="253">
        <v>599</v>
      </c>
      <c r="L55" s="94">
        <f t="shared" si="2"/>
        <v>29.697570649479427</v>
      </c>
      <c r="M55" s="253"/>
      <c r="N55" s="253">
        <v>43</v>
      </c>
      <c r="O55" s="94">
        <f t="shared" si="3"/>
        <v>2.1318790282597919</v>
      </c>
      <c r="P55" s="253"/>
      <c r="Q55" s="253">
        <v>4</v>
      </c>
      <c r="R55" s="94">
        <f t="shared" si="5"/>
        <v>0.19831432821021316</v>
      </c>
    </row>
    <row r="56" spans="1:19" ht="12.95" customHeight="1">
      <c r="A56" s="434" t="s">
        <v>54</v>
      </c>
      <c r="B56" s="65">
        <f t="shared" si="9"/>
        <v>380</v>
      </c>
      <c r="C56" s="94">
        <f t="shared" si="4"/>
        <v>0.94071048397078838</v>
      </c>
      <c r="E56" s="252">
        <v>92</v>
      </c>
      <c r="F56" s="94">
        <f t="shared" si="0"/>
        <v>24.210526315789473</v>
      </c>
      <c r="G56" s="252"/>
      <c r="H56" s="253">
        <v>102</v>
      </c>
      <c r="I56" s="94">
        <f t="shared" si="1"/>
        <v>26.842105263157894</v>
      </c>
      <c r="J56" s="253"/>
      <c r="K56" s="253">
        <v>178</v>
      </c>
      <c r="L56" s="94">
        <f t="shared" si="2"/>
        <v>46.842105263157897</v>
      </c>
      <c r="M56" s="253"/>
      <c r="N56" s="253">
        <v>8</v>
      </c>
      <c r="O56" s="94">
        <f t="shared" si="3"/>
        <v>2.1052631578947367</v>
      </c>
      <c r="P56" s="253"/>
      <c r="Q56" s="253">
        <v>0</v>
      </c>
      <c r="R56" s="94">
        <f t="shared" si="5"/>
        <v>0</v>
      </c>
    </row>
    <row r="57" spans="1:19" ht="12.95" customHeight="1">
      <c r="A57" s="434" t="s">
        <v>332</v>
      </c>
      <c r="B57" s="65">
        <f t="shared" si="9"/>
        <v>472</v>
      </c>
      <c r="C57" s="94">
        <f t="shared" si="4"/>
        <v>1.1684614432479268</v>
      </c>
      <c r="E57" s="252">
        <v>137</v>
      </c>
      <c r="F57" s="94">
        <f t="shared" si="0"/>
        <v>29.025423728813561</v>
      </c>
      <c r="G57" s="252"/>
      <c r="H57" s="253">
        <v>187</v>
      </c>
      <c r="I57" s="94">
        <f t="shared" si="1"/>
        <v>39.618644067796609</v>
      </c>
      <c r="J57" s="253"/>
      <c r="K57" s="253">
        <v>141</v>
      </c>
      <c r="L57" s="94">
        <f t="shared" si="2"/>
        <v>29.872881355932201</v>
      </c>
      <c r="M57" s="253"/>
      <c r="N57" s="253">
        <v>7</v>
      </c>
      <c r="O57" s="94">
        <f t="shared" si="3"/>
        <v>1.4830508474576272</v>
      </c>
      <c r="P57" s="253"/>
      <c r="Q57" s="253">
        <v>0</v>
      </c>
      <c r="R57" s="94">
        <f t="shared" si="5"/>
        <v>0</v>
      </c>
    </row>
    <row r="58" spans="1:19" ht="12.95" customHeight="1">
      <c r="A58" s="434" t="s">
        <v>56</v>
      </c>
      <c r="B58" s="65">
        <f t="shared" si="9"/>
        <v>262</v>
      </c>
      <c r="C58" s="94">
        <f t="shared" si="4"/>
        <v>0.64859512315880674</v>
      </c>
      <c r="E58" s="252">
        <v>70</v>
      </c>
      <c r="F58" s="94">
        <f t="shared" si="0"/>
        <v>26.717557251908396</v>
      </c>
      <c r="G58" s="252"/>
      <c r="H58" s="253">
        <v>65</v>
      </c>
      <c r="I58" s="94">
        <f t="shared" si="1"/>
        <v>24.809160305343511</v>
      </c>
      <c r="J58" s="253"/>
      <c r="K58" s="253">
        <v>122</v>
      </c>
      <c r="L58" s="94">
        <f t="shared" si="2"/>
        <v>46.564885496183209</v>
      </c>
      <c r="M58" s="253"/>
      <c r="N58" s="253">
        <v>5</v>
      </c>
      <c r="O58" s="94">
        <f t="shared" si="3"/>
        <v>1.9083969465648856</v>
      </c>
      <c r="P58" s="253"/>
      <c r="Q58" s="253">
        <v>0</v>
      </c>
      <c r="R58" s="94">
        <f t="shared" si="5"/>
        <v>0</v>
      </c>
    </row>
    <row r="59" spans="1:19" ht="8.25" customHeight="1">
      <c r="C59" s="94" t="str">
        <f t="shared" si="4"/>
        <v/>
      </c>
      <c r="F59" s="94" t="str">
        <f t="shared" si="0"/>
        <v/>
      </c>
      <c r="I59" s="94" t="str">
        <f t="shared" si="1"/>
        <v/>
      </c>
      <c r="L59" s="94" t="str">
        <f t="shared" si="2"/>
        <v/>
      </c>
      <c r="O59" s="94" t="str">
        <f t="shared" si="3"/>
        <v/>
      </c>
      <c r="R59" s="94" t="str">
        <f t="shared" si="5"/>
        <v/>
      </c>
    </row>
    <row r="60" spans="1:19" ht="12.95" customHeight="1">
      <c r="A60" s="63" t="s">
        <v>333</v>
      </c>
      <c r="B60" s="65">
        <f>SUM(B61+B63+B70+B72)</f>
        <v>3902</v>
      </c>
      <c r="C60" s="94">
        <f t="shared" si="4"/>
        <v>9.6596113380368855</v>
      </c>
      <c r="E60" s="93">
        <f>SUM(E61+E63+E70+E72)</f>
        <v>936</v>
      </c>
      <c r="F60" s="94">
        <f t="shared" si="0"/>
        <v>23.98769861609431</v>
      </c>
      <c r="H60" s="93">
        <f>SUM(H61+H63+H70+H72)</f>
        <v>1127</v>
      </c>
      <c r="I60" s="94">
        <f t="shared" si="1"/>
        <v>28.88262429523321</v>
      </c>
      <c r="K60" s="93">
        <f>SUM(K61+K63+K70+K72)</f>
        <v>1527</v>
      </c>
      <c r="L60" s="94">
        <f t="shared" si="2"/>
        <v>39.133777549974376</v>
      </c>
      <c r="N60" s="93">
        <f>SUM(N61+N63+N70+N72)</f>
        <v>263</v>
      </c>
      <c r="O60" s="94">
        <f t="shared" si="3"/>
        <v>6.7401332649923109</v>
      </c>
      <c r="Q60" s="93">
        <f>SUM(Q61+Q63+Q70+Q72)</f>
        <v>49</v>
      </c>
      <c r="R60" s="94">
        <f t="shared" si="5"/>
        <v>1.255766273705792</v>
      </c>
    </row>
    <row r="61" spans="1:19" ht="12.95" customHeight="1">
      <c r="A61" s="434" t="s">
        <v>334</v>
      </c>
      <c r="B61" s="65">
        <f>SUM(E61+H61+K61+N61+Q61)</f>
        <v>550</v>
      </c>
      <c r="C61" s="94">
        <f t="shared" si="4"/>
        <v>1.3615546478524569</v>
      </c>
      <c r="E61" s="252">
        <v>94</v>
      </c>
      <c r="F61" s="94">
        <f t="shared" si="0"/>
        <v>17.09090909090909</v>
      </c>
      <c r="G61" s="252"/>
      <c r="H61" s="253">
        <v>155</v>
      </c>
      <c r="I61" s="94">
        <f t="shared" si="1"/>
        <v>28.18181818181818</v>
      </c>
      <c r="J61" s="253"/>
      <c r="K61" s="253">
        <v>252</v>
      </c>
      <c r="L61" s="94">
        <f t="shared" si="2"/>
        <v>45.81818181818182</v>
      </c>
      <c r="M61" s="253"/>
      <c r="N61" s="253">
        <v>49</v>
      </c>
      <c r="O61" s="94">
        <f t="shared" si="3"/>
        <v>8.9090909090909101</v>
      </c>
      <c r="P61" s="253"/>
      <c r="Q61" s="253">
        <v>0</v>
      </c>
      <c r="R61" s="94">
        <f t="shared" si="5"/>
        <v>0</v>
      </c>
    </row>
    <row r="62" spans="1:19" ht="8.25" customHeight="1">
      <c r="C62" s="94" t="str">
        <f t="shared" si="4"/>
        <v/>
      </c>
      <c r="F62" s="94" t="str">
        <f t="shared" si="0"/>
        <v/>
      </c>
      <c r="I62" s="94" t="str">
        <f t="shared" si="1"/>
        <v/>
      </c>
      <c r="L62" s="94" t="str">
        <f t="shared" si="2"/>
        <v/>
      </c>
      <c r="O62" s="94" t="str">
        <f t="shared" si="3"/>
        <v/>
      </c>
      <c r="R62" s="94" t="str">
        <f t="shared" si="5"/>
        <v/>
      </c>
    </row>
    <row r="63" spans="1:19" ht="12.95" customHeight="1">
      <c r="A63" s="434" t="s">
        <v>60</v>
      </c>
      <c r="B63" s="65">
        <f t="shared" ref="B63:B68" si="10">SUM(E63+H63+K63+N63+Q63)</f>
        <v>2266</v>
      </c>
      <c r="C63" s="94">
        <f t="shared" si="4"/>
        <v>5.6096051491521228</v>
      </c>
      <c r="E63" s="93">
        <f>SUM(E64:E68)</f>
        <v>611</v>
      </c>
      <c r="F63" s="94">
        <f t="shared" si="0"/>
        <v>26.963812886142986</v>
      </c>
      <c r="G63" s="42" t="s">
        <v>253</v>
      </c>
      <c r="H63" s="93">
        <f>SUM(H64:H68)</f>
        <v>701</v>
      </c>
      <c r="I63" s="94">
        <f t="shared" si="1"/>
        <v>30.935569285083847</v>
      </c>
      <c r="J63" s="42" t="s">
        <v>253</v>
      </c>
      <c r="K63" s="93">
        <f>SUM(K64:K68)</f>
        <v>851</v>
      </c>
      <c r="L63" s="94">
        <f t="shared" si="2"/>
        <v>37.55516328331862</v>
      </c>
      <c r="M63" s="42" t="s">
        <v>253</v>
      </c>
      <c r="N63" s="93">
        <f>SUM(N64:N68)</f>
        <v>101</v>
      </c>
      <c r="O63" s="94">
        <f t="shared" si="3"/>
        <v>4.4571932921447486</v>
      </c>
      <c r="P63" s="42" t="s">
        <v>253</v>
      </c>
      <c r="Q63" s="93">
        <f>SUM(Q64:Q68)</f>
        <v>2</v>
      </c>
      <c r="R63" s="94">
        <f t="shared" si="5"/>
        <v>8.8261253309797005E-2</v>
      </c>
    </row>
    <row r="64" spans="1:19" ht="12.95" customHeight="1">
      <c r="A64" s="434" t="s">
        <v>61</v>
      </c>
      <c r="B64" s="65">
        <f t="shared" si="10"/>
        <v>680</v>
      </c>
      <c r="C64" s="94">
        <f t="shared" si="4"/>
        <v>1.6833766555266743</v>
      </c>
      <c r="E64" s="252">
        <v>132</v>
      </c>
      <c r="F64" s="94">
        <f t="shared" si="0"/>
        <v>19.411764705882355</v>
      </c>
      <c r="G64" s="252"/>
      <c r="H64" s="253">
        <v>228</v>
      </c>
      <c r="I64" s="94">
        <f t="shared" si="1"/>
        <v>33.529411764705877</v>
      </c>
      <c r="J64" s="253"/>
      <c r="K64" s="253">
        <v>250</v>
      </c>
      <c r="L64" s="94">
        <f t="shared" si="2"/>
        <v>36.764705882352942</v>
      </c>
      <c r="M64" s="253"/>
      <c r="N64" s="253">
        <v>69</v>
      </c>
      <c r="O64" s="94">
        <f t="shared" si="3"/>
        <v>10.147058823529411</v>
      </c>
      <c r="P64" s="253"/>
      <c r="Q64" s="253">
        <v>1</v>
      </c>
      <c r="R64" s="94">
        <f t="shared" si="5"/>
        <v>0.14705882352941177</v>
      </c>
      <c r="S64" s="42" t="s">
        <v>253</v>
      </c>
    </row>
    <row r="65" spans="1:18" ht="12.95" customHeight="1">
      <c r="A65" s="434" t="s">
        <v>62</v>
      </c>
      <c r="B65" s="65">
        <f t="shared" si="10"/>
        <v>370</v>
      </c>
      <c r="C65" s="94">
        <f t="shared" si="4"/>
        <v>0.9159549449189256</v>
      </c>
      <c r="E65" s="252">
        <v>117</v>
      </c>
      <c r="F65" s="94">
        <f t="shared" si="0"/>
        <v>31.621621621621621</v>
      </c>
      <c r="G65" s="252"/>
      <c r="H65" s="253">
        <v>138</v>
      </c>
      <c r="I65" s="94">
        <f t="shared" si="1"/>
        <v>37.297297297297298</v>
      </c>
      <c r="J65" s="253"/>
      <c r="K65" s="253">
        <v>110</v>
      </c>
      <c r="L65" s="94">
        <f t="shared" si="2"/>
        <v>29.72972972972973</v>
      </c>
      <c r="M65" s="253"/>
      <c r="N65" s="253">
        <v>5</v>
      </c>
      <c r="O65" s="94">
        <f t="shared" si="3"/>
        <v>1.3513513513513513</v>
      </c>
      <c r="P65" s="253"/>
      <c r="Q65" s="253">
        <v>0</v>
      </c>
      <c r="R65" s="94">
        <f t="shared" si="5"/>
        <v>0</v>
      </c>
    </row>
    <row r="66" spans="1:18" ht="12.95" customHeight="1">
      <c r="A66" s="434" t="s">
        <v>65</v>
      </c>
      <c r="B66" s="65">
        <f t="shared" si="10"/>
        <v>781</v>
      </c>
      <c r="C66" s="94">
        <f t="shared" si="4"/>
        <v>1.9334075999504887</v>
      </c>
      <c r="E66" s="252">
        <v>200</v>
      </c>
      <c r="F66" s="94">
        <f t="shared" si="0"/>
        <v>25.608194622279129</v>
      </c>
      <c r="G66" s="252"/>
      <c r="H66" s="253">
        <v>189</v>
      </c>
      <c r="I66" s="94">
        <f t="shared" si="1"/>
        <v>24.199743918053777</v>
      </c>
      <c r="J66" s="253"/>
      <c r="K66" s="253">
        <v>368</v>
      </c>
      <c r="L66" s="94">
        <f t="shared" si="2"/>
        <v>47.119078104993598</v>
      </c>
      <c r="M66" s="253"/>
      <c r="N66" s="253">
        <v>23</v>
      </c>
      <c r="O66" s="94">
        <f t="shared" si="3"/>
        <v>2.9449423815620999</v>
      </c>
      <c r="P66" s="253"/>
      <c r="Q66" s="253">
        <v>1</v>
      </c>
      <c r="R66" s="94">
        <f t="shared" si="5"/>
        <v>0.12804097311139565</v>
      </c>
    </row>
    <row r="67" spans="1:18" ht="12.95" customHeight="1">
      <c r="A67" s="434" t="s">
        <v>63</v>
      </c>
      <c r="B67" s="65">
        <f t="shared" si="10"/>
        <v>141</v>
      </c>
      <c r="C67" s="94">
        <f t="shared" si="4"/>
        <v>0.34905310063126627</v>
      </c>
      <c r="E67" s="252">
        <v>67</v>
      </c>
      <c r="F67" s="94">
        <f t="shared" si="0"/>
        <v>47.5177304964539</v>
      </c>
      <c r="G67" s="252"/>
      <c r="H67" s="253">
        <v>65</v>
      </c>
      <c r="I67" s="94">
        <f t="shared" si="1"/>
        <v>46.099290780141843</v>
      </c>
      <c r="J67" s="253"/>
      <c r="K67" s="253">
        <v>9</v>
      </c>
      <c r="L67" s="94">
        <f t="shared" si="2"/>
        <v>6.3829787234042552</v>
      </c>
      <c r="M67" s="253"/>
      <c r="N67" s="253">
        <v>0</v>
      </c>
      <c r="O67" s="94">
        <f t="shared" si="3"/>
        <v>0</v>
      </c>
      <c r="P67" s="253"/>
      <c r="Q67" s="253">
        <v>0</v>
      </c>
      <c r="R67" s="94">
        <f t="shared" si="5"/>
        <v>0</v>
      </c>
    </row>
    <row r="68" spans="1:18" ht="12.95" customHeight="1">
      <c r="A68" s="434" t="s">
        <v>64</v>
      </c>
      <c r="B68" s="65">
        <f t="shared" si="10"/>
        <v>294</v>
      </c>
      <c r="C68" s="94">
        <f t="shared" si="4"/>
        <v>0.72781284812476787</v>
      </c>
      <c r="E68" s="252">
        <v>95</v>
      </c>
      <c r="F68" s="94">
        <f t="shared" si="0"/>
        <v>32.312925170068027</v>
      </c>
      <c r="G68" s="252"/>
      <c r="H68" s="253">
        <v>81</v>
      </c>
      <c r="I68" s="94">
        <f t="shared" si="1"/>
        <v>27.551020408163261</v>
      </c>
      <c r="J68" s="253"/>
      <c r="K68" s="253">
        <v>114</v>
      </c>
      <c r="L68" s="94">
        <f t="shared" si="2"/>
        <v>38.775510204081634</v>
      </c>
      <c r="M68" s="253"/>
      <c r="N68" s="253">
        <v>4</v>
      </c>
      <c r="O68" s="94">
        <f t="shared" si="3"/>
        <v>1.3605442176870748</v>
      </c>
      <c r="P68" s="253"/>
      <c r="Q68" s="253">
        <v>0</v>
      </c>
      <c r="R68" s="94">
        <f t="shared" si="5"/>
        <v>0</v>
      </c>
    </row>
    <row r="69" spans="1:18" ht="8.25" customHeight="1">
      <c r="C69" s="94" t="str">
        <f t="shared" si="4"/>
        <v/>
      </c>
      <c r="E69" s="254"/>
      <c r="F69" s="94" t="str">
        <f t="shared" si="0"/>
        <v/>
      </c>
      <c r="G69" s="254"/>
      <c r="H69" s="254"/>
      <c r="I69" s="94" t="str">
        <f t="shared" si="1"/>
        <v/>
      </c>
      <c r="J69" s="254"/>
      <c r="K69" s="254"/>
      <c r="L69" s="94" t="str">
        <f t="shared" si="2"/>
        <v/>
      </c>
      <c r="M69" s="254"/>
      <c r="N69" s="254"/>
      <c r="O69" s="94" t="str">
        <f t="shared" si="3"/>
        <v/>
      </c>
      <c r="P69" s="254"/>
      <c r="Q69" s="254"/>
      <c r="R69" s="94" t="str">
        <f t="shared" si="5"/>
        <v/>
      </c>
    </row>
    <row r="70" spans="1:18" ht="12.95" customHeight="1">
      <c r="A70" s="434" t="s">
        <v>66</v>
      </c>
      <c r="B70" s="65">
        <f>SUM(E70+H70+K70+N70+Q70)</f>
        <v>472</v>
      </c>
      <c r="C70" s="94">
        <f t="shared" si="4"/>
        <v>1.1684614432479268</v>
      </c>
      <c r="E70" s="252">
        <v>127</v>
      </c>
      <c r="F70" s="94">
        <f t="shared" si="0"/>
        <v>26.906779661016948</v>
      </c>
      <c r="G70" s="252"/>
      <c r="H70" s="253">
        <v>107</v>
      </c>
      <c r="I70" s="94">
        <f t="shared" si="1"/>
        <v>22.66949152542373</v>
      </c>
      <c r="J70" s="253"/>
      <c r="K70" s="253">
        <v>204</v>
      </c>
      <c r="L70" s="94">
        <f t="shared" si="2"/>
        <v>43.220338983050851</v>
      </c>
      <c r="M70" s="253"/>
      <c r="N70" s="253">
        <v>32</v>
      </c>
      <c r="O70" s="94">
        <f t="shared" si="3"/>
        <v>6.7796610169491522</v>
      </c>
      <c r="P70" s="253"/>
      <c r="Q70" s="253">
        <v>2</v>
      </c>
      <c r="R70" s="94">
        <f t="shared" si="5"/>
        <v>0.42372881355932202</v>
      </c>
    </row>
    <row r="71" spans="1:18" ht="8.25" customHeight="1">
      <c r="C71" s="94" t="str">
        <f t="shared" si="4"/>
        <v/>
      </c>
      <c r="E71" s="254"/>
      <c r="F71" s="94" t="str">
        <f t="shared" si="0"/>
        <v/>
      </c>
      <c r="G71" s="254"/>
      <c r="H71" s="254"/>
      <c r="I71" s="94" t="str">
        <f t="shared" si="1"/>
        <v/>
      </c>
      <c r="J71" s="254"/>
      <c r="K71" s="254"/>
      <c r="L71" s="94" t="str">
        <f t="shared" si="2"/>
        <v/>
      </c>
      <c r="M71" s="254"/>
      <c r="N71" s="254"/>
      <c r="O71" s="94" t="str">
        <f t="shared" si="3"/>
        <v/>
      </c>
      <c r="P71" s="254"/>
      <c r="Q71" s="254"/>
      <c r="R71" s="94" t="str">
        <f t="shared" si="5"/>
        <v/>
      </c>
    </row>
    <row r="72" spans="1:18" ht="12.95" customHeight="1">
      <c r="A72" s="434" t="s">
        <v>67</v>
      </c>
      <c r="B72" s="65">
        <f>SUM(E72+H72+K72+N72+Q72)</f>
        <v>614</v>
      </c>
      <c r="C72" s="94">
        <f t="shared" si="4"/>
        <v>1.5199900977843792</v>
      </c>
      <c r="E72" s="252">
        <v>104</v>
      </c>
      <c r="F72" s="94">
        <f t="shared" si="0"/>
        <v>16.938110749185668</v>
      </c>
      <c r="G72" s="252"/>
      <c r="H72" s="253">
        <v>164</v>
      </c>
      <c r="I72" s="94">
        <f t="shared" si="1"/>
        <v>26.710097719869708</v>
      </c>
      <c r="J72" s="253"/>
      <c r="K72" s="253">
        <v>220</v>
      </c>
      <c r="L72" s="94">
        <f t="shared" si="2"/>
        <v>35.830618892508141</v>
      </c>
      <c r="M72" s="253"/>
      <c r="N72" s="253">
        <v>81</v>
      </c>
      <c r="O72" s="94">
        <f t="shared" si="3"/>
        <v>13.192182410423452</v>
      </c>
      <c r="P72" s="253"/>
      <c r="Q72" s="253">
        <v>45</v>
      </c>
      <c r="R72" s="94">
        <f t="shared" si="5"/>
        <v>7.3289902280130299</v>
      </c>
    </row>
    <row r="73" spans="1:18" ht="8.25" customHeight="1">
      <c r="C73" s="94" t="str">
        <f t="shared" si="4"/>
        <v/>
      </c>
      <c r="F73" s="94" t="str">
        <f t="shared" si="0"/>
        <v/>
      </c>
      <c r="I73" s="94" t="str">
        <f t="shared" si="1"/>
        <v/>
      </c>
      <c r="L73" s="94" t="str">
        <f t="shared" si="2"/>
        <v/>
      </c>
      <c r="O73" s="94" t="str">
        <f t="shared" si="3"/>
        <v/>
      </c>
      <c r="R73" s="94" t="str">
        <f t="shared" si="5"/>
        <v/>
      </c>
    </row>
    <row r="74" spans="1:18" ht="12.95" customHeight="1">
      <c r="A74" s="63" t="s">
        <v>336</v>
      </c>
      <c r="B74" s="65">
        <f t="shared" ref="B74:B79" si="11">SUM(E74+H74+K74+N74+Q74)</f>
        <v>1332</v>
      </c>
      <c r="C74" s="94">
        <f t="shared" si="4"/>
        <v>3.2974378017081323</v>
      </c>
      <c r="E74" s="93">
        <f>SUM(E75)</f>
        <v>362</v>
      </c>
      <c r="F74" s="94">
        <f t="shared" si="0"/>
        <v>27.177177177177175</v>
      </c>
      <c r="H74" s="93">
        <f>SUM(H75)</f>
        <v>547</v>
      </c>
      <c r="I74" s="94">
        <f t="shared" si="1"/>
        <v>41.066066066066064</v>
      </c>
      <c r="K74" s="93">
        <f>SUM(K75)</f>
        <v>409</v>
      </c>
      <c r="L74" s="94">
        <f t="shared" si="2"/>
        <v>30.705705705705704</v>
      </c>
      <c r="N74" s="93">
        <f>SUM(N75)</f>
        <v>13</v>
      </c>
      <c r="O74" s="94">
        <f t="shared" si="3"/>
        <v>0.97597597597597596</v>
      </c>
      <c r="Q74" s="93">
        <f>SUM(Q75)</f>
        <v>1</v>
      </c>
      <c r="R74" s="94">
        <f t="shared" si="5"/>
        <v>7.5075075075075076E-2</v>
      </c>
    </row>
    <row r="75" spans="1:18" ht="12.95" customHeight="1">
      <c r="A75" s="434" t="s">
        <v>69</v>
      </c>
      <c r="B75" s="65">
        <f t="shared" si="11"/>
        <v>1332</v>
      </c>
      <c r="C75" s="94">
        <f t="shared" si="4"/>
        <v>3.2974378017081323</v>
      </c>
      <c r="E75" s="93">
        <f>SUM(E76:E79)</f>
        <v>362</v>
      </c>
      <c r="F75" s="94">
        <f t="shared" ref="F75:F105" si="12">IF($A75&lt;&gt;"",E75/$B75*100,"")</f>
        <v>27.177177177177175</v>
      </c>
      <c r="G75" s="42" t="s">
        <v>253</v>
      </c>
      <c r="H75" s="93">
        <f>SUM(H76:H79)</f>
        <v>547</v>
      </c>
      <c r="I75" s="94">
        <f t="shared" ref="I75:I105" si="13">IF($A75&lt;&gt;"",H75/$B75*100,"")</f>
        <v>41.066066066066064</v>
      </c>
      <c r="J75" s="42" t="s">
        <v>253</v>
      </c>
      <c r="K75" s="93">
        <f>SUM(K76:K79)</f>
        <v>409</v>
      </c>
      <c r="L75" s="94">
        <f t="shared" ref="L75:L105" si="14">IF($A75&lt;&gt;"",K75/$B75*100,"")</f>
        <v>30.705705705705704</v>
      </c>
      <c r="M75" s="42" t="s">
        <v>253</v>
      </c>
      <c r="N75" s="93">
        <f>SUM(N76:N79)</f>
        <v>13</v>
      </c>
      <c r="O75" s="94">
        <f t="shared" ref="O75:O105" si="15">IF($A75&lt;&gt;"",N75/$B75*100,"")</f>
        <v>0.97597597597597596</v>
      </c>
      <c r="P75" s="42" t="s">
        <v>253</v>
      </c>
      <c r="Q75" s="93">
        <f>SUM(Q76:Q79)</f>
        <v>1</v>
      </c>
      <c r="R75" s="94">
        <f t="shared" si="5"/>
        <v>7.5075075075075076E-2</v>
      </c>
    </row>
    <row r="76" spans="1:18" ht="12.95" customHeight="1">
      <c r="A76" s="434" t="s">
        <v>70</v>
      </c>
      <c r="B76" s="65">
        <f t="shared" si="11"/>
        <v>323</v>
      </c>
      <c r="C76" s="94">
        <f t="shared" si="4"/>
        <v>0.79960391137517028</v>
      </c>
      <c r="E76" s="252">
        <v>77</v>
      </c>
      <c r="F76" s="94">
        <f t="shared" si="12"/>
        <v>23.839009287925698</v>
      </c>
      <c r="G76" s="252"/>
      <c r="H76" s="253">
        <v>111</v>
      </c>
      <c r="I76" s="94">
        <f t="shared" si="13"/>
        <v>34.365325077399383</v>
      </c>
      <c r="J76" s="253"/>
      <c r="K76" s="253">
        <v>131</v>
      </c>
      <c r="L76" s="94">
        <f t="shared" si="14"/>
        <v>40.557275541795669</v>
      </c>
      <c r="M76" s="253"/>
      <c r="N76" s="253">
        <v>3</v>
      </c>
      <c r="O76" s="94">
        <f t="shared" si="15"/>
        <v>0.92879256965944268</v>
      </c>
      <c r="P76" s="253"/>
      <c r="Q76" s="253">
        <v>1</v>
      </c>
      <c r="R76" s="94">
        <f t="shared" si="5"/>
        <v>0.30959752321981426</v>
      </c>
    </row>
    <row r="77" spans="1:18" ht="12.95" customHeight="1">
      <c r="A77" s="434" t="s">
        <v>71</v>
      </c>
      <c r="B77" s="65">
        <f t="shared" si="11"/>
        <v>449</v>
      </c>
      <c r="C77" s="94">
        <f t="shared" ref="C77:C105" si="16">IF(A77&lt;&gt;0,B77/$B$11*100,"")</f>
        <v>1.111523703428642</v>
      </c>
      <c r="E77" s="252">
        <v>126</v>
      </c>
      <c r="F77" s="94">
        <f t="shared" si="12"/>
        <v>28.06236080178174</v>
      </c>
      <c r="G77" s="252"/>
      <c r="H77" s="253">
        <v>217</v>
      </c>
      <c r="I77" s="94">
        <f t="shared" si="13"/>
        <v>48.329621380846326</v>
      </c>
      <c r="J77" s="253"/>
      <c r="K77" s="253">
        <v>101</v>
      </c>
      <c r="L77" s="94">
        <f t="shared" si="14"/>
        <v>22.494432071269486</v>
      </c>
      <c r="M77" s="253"/>
      <c r="N77" s="253">
        <v>5</v>
      </c>
      <c r="O77" s="94">
        <f t="shared" si="15"/>
        <v>1.1135857461024499</v>
      </c>
      <c r="P77" s="253"/>
      <c r="Q77" s="253">
        <v>0</v>
      </c>
      <c r="R77" s="94">
        <f t="shared" ref="R77:R105" si="17">IF($A77&lt;&gt;"",Q77/$B77*100,"")</f>
        <v>0</v>
      </c>
    </row>
    <row r="78" spans="1:18" ht="12.95" customHeight="1">
      <c r="A78" s="434" t="s">
        <v>72</v>
      </c>
      <c r="B78" s="65">
        <f t="shared" si="11"/>
        <v>330</v>
      </c>
      <c r="C78" s="94">
        <f t="shared" si="16"/>
        <v>0.81693278871147412</v>
      </c>
      <c r="E78" s="252">
        <v>95</v>
      </c>
      <c r="F78" s="94">
        <f t="shared" si="12"/>
        <v>28.787878787878789</v>
      </c>
      <c r="G78" s="252"/>
      <c r="H78" s="253">
        <v>159</v>
      </c>
      <c r="I78" s="94">
        <f t="shared" si="13"/>
        <v>48.18181818181818</v>
      </c>
      <c r="J78" s="253"/>
      <c r="K78" s="253">
        <v>75</v>
      </c>
      <c r="L78" s="94">
        <f t="shared" si="14"/>
        <v>22.727272727272727</v>
      </c>
      <c r="M78" s="253"/>
      <c r="N78" s="253">
        <v>1</v>
      </c>
      <c r="O78" s="94">
        <f t="shared" si="15"/>
        <v>0.30303030303030304</v>
      </c>
      <c r="P78" s="253"/>
      <c r="Q78" s="253">
        <v>0</v>
      </c>
      <c r="R78" s="94">
        <f t="shared" si="17"/>
        <v>0</v>
      </c>
    </row>
    <row r="79" spans="1:18" ht="12.95" customHeight="1">
      <c r="A79" s="434" t="s">
        <v>73</v>
      </c>
      <c r="B79" s="65">
        <f t="shared" si="11"/>
        <v>230</v>
      </c>
      <c r="C79" s="94">
        <f t="shared" si="16"/>
        <v>0.56937739819284561</v>
      </c>
      <c r="E79" s="252">
        <v>64</v>
      </c>
      <c r="F79" s="94">
        <f t="shared" si="12"/>
        <v>27.826086956521738</v>
      </c>
      <c r="G79" s="252"/>
      <c r="H79" s="253">
        <v>60</v>
      </c>
      <c r="I79" s="94">
        <f t="shared" si="13"/>
        <v>26.086956521739129</v>
      </c>
      <c r="J79" s="253"/>
      <c r="K79" s="253">
        <v>102</v>
      </c>
      <c r="L79" s="94">
        <f t="shared" si="14"/>
        <v>44.347826086956523</v>
      </c>
      <c r="M79" s="253"/>
      <c r="N79" s="253">
        <v>4</v>
      </c>
      <c r="O79" s="94">
        <f t="shared" si="15"/>
        <v>1.7391304347826086</v>
      </c>
      <c r="P79" s="253"/>
      <c r="Q79" s="253">
        <v>0</v>
      </c>
      <c r="R79" s="94">
        <f t="shared" si="17"/>
        <v>0</v>
      </c>
    </row>
    <row r="80" spans="1:18" ht="8.25" customHeight="1">
      <c r="C80" s="94" t="str">
        <f t="shared" si="16"/>
        <v/>
      </c>
      <c r="F80" s="94" t="str">
        <f t="shared" si="12"/>
        <v/>
      </c>
      <c r="I80" s="94" t="str">
        <f t="shared" si="13"/>
        <v/>
      </c>
      <c r="L80" s="94" t="str">
        <f t="shared" si="14"/>
        <v/>
      </c>
      <c r="O80" s="94" t="str">
        <f t="shared" si="15"/>
        <v/>
      </c>
      <c r="R80" s="94" t="str">
        <f t="shared" si="17"/>
        <v/>
      </c>
    </row>
    <row r="81" spans="1:18" ht="12.95" customHeight="1">
      <c r="A81" s="63" t="s">
        <v>396</v>
      </c>
      <c r="B81" s="65">
        <f t="shared" ref="B81:B91" si="18">SUM(E81+H81+K81+N81+Q81)</f>
        <v>5981</v>
      </c>
      <c r="C81" s="94">
        <f t="shared" si="16"/>
        <v>14.806287906919174</v>
      </c>
      <c r="E81" s="93">
        <f>SUM(E82)</f>
        <v>1682</v>
      </c>
      <c r="F81" s="94">
        <f t="shared" si="12"/>
        <v>28.12238756060859</v>
      </c>
      <c r="H81" s="93">
        <f>SUM(H82)</f>
        <v>2013</v>
      </c>
      <c r="I81" s="94">
        <f t="shared" si="13"/>
        <v>33.656579167363319</v>
      </c>
      <c r="K81" s="93">
        <f>SUM(K82)</f>
        <v>2217</v>
      </c>
      <c r="L81" s="94">
        <f t="shared" si="14"/>
        <v>37.067380036783149</v>
      </c>
      <c r="N81" s="93">
        <f>SUM(N82)</f>
        <v>60</v>
      </c>
      <c r="O81" s="94">
        <f t="shared" si="15"/>
        <v>1.0031767262999498</v>
      </c>
      <c r="Q81" s="93">
        <f>SUM(Q82)</f>
        <v>9</v>
      </c>
      <c r="R81" s="94">
        <f t="shared" si="17"/>
        <v>0.15047650894499248</v>
      </c>
    </row>
    <row r="82" spans="1:18" ht="12.95" customHeight="1">
      <c r="A82" s="434" t="s">
        <v>75</v>
      </c>
      <c r="B82" s="65">
        <f t="shared" si="18"/>
        <v>5981</v>
      </c>
      <c r="C82" s="94">
        <f t="shared" si="16"/>
        <v>14.806287906919174</v>
      </c>
      <c r="E82" s="93">
        <f>SUM(E83:E91)</f>
        <v>1682</v>
      </c>
      <c r="F82" s="94">
        <f t="shared" si="12"/>
        <v>28.12238756060859</v>
      </c>
      <c r="G82" s="42" t="s">
        <v>253</v>
      </c>
      <c r="H82" s="93">
        <f>SUM(H83:H91)</f>
        <v>2013</v>
      </c>
      <c r="I82" s="94">
        <f t="shared" si="13"/>
        <v>33.656579167363319</v>
      </c>
      <c r="J82" s="42" t="s">
        <v>253</v>
      </c>
      <c r="K82" s="93">
        <f>SUM(K83:K91)</f>
        <v>2217</v>
      </c>
      <c r="L82" s="94">
        <f t="shared" si="14"/>
        <v>37.067380036783149</v>
      </c>
      <c r="M82" s="42" t="s">
        <v>253</v>
      </c>
      <c r="N82" s="93">
        <f>SUM(N83:N91)</f>
        <v>60</v>
      </c>
      <c r="O82" s="94">
        <f t="shared" si="15"/>
        <v>1.0031767262999498</v>
      </c>
      <c r="P82" s="42" t="s">
        <v>253</v>
      </c>
      <c r="Q82" s="93">
        <f>SUM(Q83:Q91)</f>
        <v>9</v>
      </c>
      <c r="R82" s="94">
        <f t="shared" si="17"/>
        <v>0.15047650894499248</v>
      </c>
    </row>
    <row r="83" spans="1:18" ht="12.95" customHeight="1">
      <c r="A83" s="434" t="s">
        <v>338</v>
      </c>
      <c r="B83" s="65">
        <f t="shared" si="18"/>
        <v>436</v>
      </c>
      <c r="C83" s="94">
        <f t="shared" si="16"/>
        <v>1.0793415026612205</v>
      </c>
      <c r="E83" s="252">
        <v>95</v>
      </c>
      <c r="F83" s="94">
        <f t="shared" si="12"/>
        <v>21.788990825688074</v>
      </c>
      <c r="G83" s="252"/>
      <c r="H83" s="253">
        <v>183</v>
      </c>
      <c r="I83" s="94">
        <f t="shared" si="13"/>
        <v>41.972477064220179</v>
      </c>
      <c r="J83" s="253"/>
      <c r="K83" s="253">
        <v>152</v>
      </c>
      <c r="L83" s="94">
        <f t="shared" si="14"/>
        <v>34.862385321100916</v>
      </c>
      <c r="M83" s="253"/>
      <c r="N83" s="253">
        <v>5</v>
      </c>
      <c r="O83" s="94">
        <f t="shared" si="15"/>
        <v>1.1467889908256881</v>
      </c>
      <c r="P83" s="253"/>
      <c r="Q83" s="253">
        <v>1</v>
      </c>
      <c r="R83" s="94">
        <f t="shared" si="17"/>
        <v>0.22935779816513763</v>
      </c>
    </row>
    <row r="84" spans="1:18" ht="12.95" customHeight="1">
      <c r="A84" s="434" t="s">
        <v>76</v>
      </c>
      <c r="B84" s="65">
        <f t="shared" si="18"/>
        <v>866</v>
      </c>
      <c r="C84" s="94">
        <f t="shared" si="16"/>
        <v>2.1438296818913232</v>
      </c>
      <c r="E84" s="252">
        <v>189</v>
      </c>
      <c r="F84" s="94">
        <f t="shared" si="12"/>
        <v>21.824480369515012</v>
      </c>
      <c r="G84" s="252"/>
      <c r="H84" s="253">
        <v>284</v>
      </c>
      <c r="I84" s="94">
        <f t="shared" si="13"/>
        <v>32.79445727482679</v>
      </c>
      <c r="J84" s="253"/>
      <c r="K84" s="253">
        <v>379</v>
      </c>
      <c r="L84" s="94">
        <f t="shared" si="14"/>
        <v>43.764434180138565</v>
      </c>
      <c r="M84" s="253"/>
      <c r="N84" s="253">
        <v>14</v>
      </c>
      <c r="O84" s="94">
        <f t="shared" si="15"/>
        <v>1.6166281755196306</v>
      </c>
      <c r="P84" s="253"/>
      <c r="Q84" s="253">
        <v>0</v>
      </c>
      <c r="R84" s="94">
        <f t="shared" si="17"/>
        <v>0</v>
      </c>
    </row>
    <row r="85" spans="1:18" ht="12.95" customHeight="1">
      <c r="A85" s="434" t="s">
        <v>78</v>
      </c>
      <c r="B85" s="65">
        <f t="shared" si="18"/>
        <v>1077</v>
      </c>
      <c r="C85" s="94">
        <f t="shared" si="16"/>
        <v>2.6661715558856294</v>
      </c>
      <c r="E85" s="252">
        <v>331</v>
      </c>
      <c r="F85" s="94">
        <f t="shared" si="12"/>
        <v>30.733519034354689</v>
      </c>
      <c r="G85" s="252"/>
      <c r="H85" s="253">
        <v>351</v>
      </c>
      <c r="I85" s="94">
        <f t="shared" si="13"/>
        <v>32.590529247910865</v>
      </c>
      <c r="J85" s="253"/>
      <c r="K85" s="253">
        <v>384</v>
      </c>
      <c r="L85" s="94">
        <f t="shared" si="14"/>
        <v>35.654596100278553</v>
      </c>
      <c r="M85" s="253"/>
      <c r="N85" s="253">
        <v>10</v>
      </c>
      <c r="O85" s="94">
        <f t="shared" si="15"/>
        <v>0.92850510677808717</v>
      </c>
      <c r="P85" s="253"/>
      <c r="Q85" s="253">
        <v>1</v>
      </c>
      <c r="R85" s="94">
        <f t="shared" si="17"/>
        <v>9.2850510677808723E-2</v>
      </c>
    </row>
    <row r="86" spans="1:18" ht="12.95" customHeight="1">
      <c r="A86" s="434" t="s">
        <v>80</v>
      </c>
      <c r="B86" s="65">
        <f t="shared" si="18"/>
        <v>519</v>
      </c>
      <c r="C86" s="94">
        <f t="shared" si="16"/>
        <v>1.2848124767916822</v>
      </c>
      <c r="E86" s="252">
        <v>131</v>
      </c>
      <c r="F86" s="94">
        <f t="shared" si="12"/>
        <v>25.240847784200387</v>
      </c>
      <c r="G86" s="252"/>
      <c r="H86" s="253">
        <v>107</v>
      </c>
      <c r="I86" s="94">
        <f t="shared" si="13"/>
        <v>20.616570327552985</v>
      </c>
      <c r="J86" s="253"/>
      <c r="K86" s="253">
        <v>271</v>
      </c>
      <c r="L86" s="94">
        <f t="shared" si="14"/>
        <v>52.215799614643544</v>
      </c>
      <c r="M86" s="253"/>
      <c r="N86" s="253">
        <v>9</v>
      </c>
      <c r="O86" s="94">
        <f t="shared" si="15"/>
        <v>1.7341040462427744</v>
      </c>
      <c r="P86" s="253"/>
      <c r="Q86" s="253">
        <v>1</v>
      </c>
      <c r="R86" s="94">
        <f t="shared" si="17"/>
        <v>0.19267822736030829</v>
      </c>
    </row>
    <row r="87" spans="1:18" ht="12.95" customHeight="1">
      <c r="A87" s="434" t="s">
        <v>79</v>
      </c>
      <c r="B87" s="65">
        <f t="shared" si="18"/>
        <v>531</v>
      </c>
      <c r="C87" s="94">
        <f t="shared" si="16"/>
        <v>1.3145191236539175</v>
      </c>
      <c r="E87" s="252">
        <v>141</v>
      </c>
      <c r="F87" s="94">
        <f t="shared" si="12"/>
        <v>26.55367231638418</v>
      </c>
      <c r="G87" s="252"/>
      <c r="H87" s="253">
        <v>176</v>
      </c>
      <c r="I87" s="94">
        <f t="shared" si="13"/>
        <v>33.145009416195862</v>
      </c>
      <c r="J87" s="253"/>
      <c r="K87" s="253">
        <v>205</v>
      </c>
      <c r="L87" s="94">
        <f t="shared" si="14"/>
        <v>38.606403013182671</v>
      </c>
      <c r="M87" s="253"/>
      <c r="N87" s="253">
        <v>6</v>
      </c>
      <c r="O87" s="94">
        <f t="shared" si="15"/>
        <v>1.1299435028248588</v>
      </c>
      <c r="P87" s="253"/>
      <c r="Q87" s="253">
        <v>3</v>
      </c>
      <c r="R87" s="94">
        <f t="shared" si="17"/>
        <v>0.56497175141242939</v>
      </c>
    </row>
    <row r="88" spans="1:18" ht="12.95" customHeight="1">
      <c r="A88" s="434" t="s">
        <v>77</v>
      </c>
      <c r="B88" s="65">
        <f t="shared" si="18"/>
        <v>758</v>
      </c>
      <c r="C88" s="94">
        <f t="shared" si="16"/>
        <v>1.8764698601312044</v>
      </c>
      <c r="E88" s="252">
        <v>199</v>
      </c>
      <c r="F88" s="94">
        <f t="shared" si="12"/>
        <v>26.253298153034301</v>
      </c>
      <c r="G88" s="252"/>
      <c r="H88" s="253">
        <v>234</v>
      </c>
      <c r="I88" s="94">
        <f t="shared" si="13"/>
        <v>30.87071240105541</v>
      </c>
      <c r="J88" s="253"/>
      <c r="K88" s="253">
        <v>315</v>
      </c>
      <c r="L88" s="94">
        <f t="shared" si="14"/>
        <v>41.556728232189968</v>
      </c>
      <c r="M88" s="253"/>
      <c r="N88" s="253">
        <v>8</v>
      </c>
      <c r="O88" s="94">
        <f t="shared" si="15"/>
        <v>1.0554089709762533</v>
      </c>
      <c r="P88" s="253"/>
      <c r="Q88" s="253">
        <v>2</v>
      </c>
      <c r="R88" s="94">
        <f t="shared" si="17"/>
        <v>0.26385224274406333</v>
      </c>
    </row>
    <row r="89" spans="1:18" ht="12.95" customHeight="1">
      <c r="A89" s="434" t="s">
        <v>81</v>
      </c>
      <c r="B89" s="65">
        <f t="shared" si="18"/>
        <v>728</v>
      </c>
      <c r="C89" s="94">
        <f t="shared" si="16"/>
        <v>1.8022032429756158</v>
      </c>
      <c r="E89" s="252">
        <v>258</v>
      </c>
      <c r="F89" s="94">
        <f t="shared" si="12"/>
        <v>35.439560439560438</v>
      </c>
      <c r="G89" s="252"/>
      <c r="H89" s="253">
        <v>255</v>
      </c>
      <c r="I89" s="94">
        <f t="shared" si="13"/>
        <v>35.027472527472526</v>
      </c>
      <c r="J89" s="253"/>
      <c r="K89" s="253">
        <v>210</v>
      </c>
      <c r="L89" s="94">
        <f t="shared" si="14"/>
        <v>28.846153846153843</v>
      </c>
      <c r="M89" s="253"/>
      <c r="N89" s="253">
        <v>4</v>
      </c>
      <c r="O89" s="94">
        <f t="shared" si="15"/>
        <v>0.5494505494505495</v>
      </c>
      <c r="P89" s="253"/>
      <c r="Q89" s="253">
        <v>1</v>
      </c>
      <c r="R89" s="94">
        <f t="shared" si="17"/>
        <v>0.13736263736263737</v>
      </c>
    </row>
    <row r="90" spans="1:18" ht="12.95" customHeight="1">
      <c r="A90" s="434" t="s">
        <v>84</v>
      </c>
      <c r="B90" s="65">
        <f t="shared" si="18"/>
        <v>384</v>
      </c>
      <c r="C90" s="94">
        <f t="shared" si="16"/>
        <v>0.95061269959153361</v>
      </c>
      <c r="E90" s="252">
        <v>106</v>
      </c>
      <c r="F90" s="94">
        <f t="shared" si="12"/>
        <v>27.604166666666668</v>
      </c>
      <c r="G90" s="252"/>
      <c r="H90" s="253">
        <v>130</v>
      </c>
      <c r="I90" s="94">
        <f t="shared" si="13"/>
        <v>33.854166666666671</v>
      </c>
      <c r="J90" s="253"/>
      <c r="K90" s="253">
        <v>147</v>
      </c>
      <c r="L90" s="94">
        <f t="shared" si="14"/>
        <v>38.28125</v>
      </c>
      <c r="M90" s="253"/>
      <c r="N90" s="253">
        <v>1</v>
      </c>
      <c r="O90" s="94">
        <f t="shared" si="15"/>
        <v>0.26041666666666663</v>
      </c>
      <c r="P90" s="253"/>
      <c r="Q90" s="253">
        <v>0</v>
      </c>
      <c r="R90" s="94">
        <f t="shared" si="17"/>
        <v>0</v>
      </c>
    </row>
    <row r="91" spans="1:18" ht="12.95" customHeight="1">
      <c r="A91" s="434" t="s">
        <v>83</v>
      </c>
      <c r="B91" s="65">
        <f t="shared" si="18"/>
        <v>682</v>
      </c>
      <c r="C91" s="94">
        <f t="shared" si="16"/>
        <v>1.6883277633370466</v>
      </c>
      <c r="E91" s="252">
        <v>232</v>
      </c>
      <c r="F91" s="94">
        <f t="shared" si="12"/>
        <v>34.017595307917887</v>
      </c>
      <c r="G91" s="252"/>
      <c r="H91" s="253">
        <v>293</v>
      </c>
      <c r="I91" s="94">
        <f t="shared" si="13"/>
        <v>42.961876832844574</v>
      </c>
      <c r="J91" s="253"/>
      <c r="K91" s="253">
        <v>154</v>
      </c>
      <c r="L91" s="94">
        <f t="shared" si="14"/>
        <v>22.58064516129032</v>
      </c>
      <c r="M91" s="253"/>
      <c r="N91" s="253">
        <v>3</v>
      </c>
      <c r="O91" s="94">
        <f t="shared" si="15"/>
        <v>0.43988269794721413</v>
      </c>
      <c r="P91" s="253"/>
      <c r="Q91" s="253">
        <v>0</v>
      </c>
      <c r="R91" s="94">
        <f t="shared" si="17"/>
        <v>0</v>
      </c>
    </row>
    <row r="92" spans="1:18" ht="8.25" customHeight="1">
      <c r="C92" s="94" t="str">
        <f t="shared" si="16"/>
        <v/>
      </c>
      <c r="E92" s="834"/>
      <c r="F92" s="94" t="str">
        <f t="shared" si="12"/>
        <v/>
      </c>
      <c r="G92" s="834"/>
      <c r="H92" s="834"/>
      <c r="I92" s="94" t="str">
        <f t="shared" si="13"/>
        <v/>
      </c>
      <c r="J92" s="834"/>
      <c r="K92" s="834"/>
      <c r="L92" s="94" t="str">
        <f t="shared" si="14"/>
        <v/>
      </c>
      <c r="M92" s="834"/>
      <c r="N92" s="834"/>
      <c r="O92" s="94" t="str">
        <f t="shared" si="15"/>
        <v/>
      </c>
      <c r="P92" s="834"/>
      <c r="Q92" s="834"/>
      <c r="R92" s="94" t="str">
        <f t="shared" si="17"/>
        <v/>
      </c>
    </row>
    <row r="93" spans="1:18" ht="12.95" customHeight="1">
      <c r="A93" s="434" t="s">
        <v>442</v>
      </c>
      <c r="B93" s="65">
        <f t="shared" ref="B93:B103" si="19">SUM(E93+H93+K93+N93+Q93)</f>
        <v>47</v>
      </c>
      <c r="C93" s="94">
        <f t="shared" si="16"/>
        <v>0.11635103354375542</v>
      </c>
      <c r="E93" s="254">
        <v>44</v>
      </c>
      <c r="F93" s="94">
        <f t="shared" si="12"/>
        <v>93.61702127659575</v>
      </c>
      <c r="G93" s="254"/>
      <c r="H93" s="254">
        <v>3</v>
      </c>
      <c r="I93" s="94">
        <f t="shared" si="13"/>
        <v>6.3829787234042552</v>
      </c>
      <c r="J93" s="254"/>
      <c r="K93" s="254"/>
      <c r="L93" s="94">
        <f t="shared" si="14"/>
        <v>0</v>
      </c>
      <c r="M93" s="254"/>
      <c r="N93" s="254"/>
      <c r="O93" s="94">
        <f t="shared" si="15"/>
        <v>0</v>
      </c>
      <c r="P93" s="254"/>
      <c r="Q93" s="254"/>
      <c r="R93" s="94">
        <f t="shared" si="17"/>
        <v>0</v>
      </c>
    </row>
    <row r="94" spans="1:18" ht="8.25" customHeight="1">
      <c r="C94" s="94" t="str">
        <f t="shared" si="16"/>
        <v/>
      </c>
      <c r="E94" s="44"/>
      <c r="F94" s="94" t="str">
        <f t="shared" si="12"/>
        <v/>
      </c>
      <c r="G94" s="44"/>
      <c r="H94" s="44"/>
      <c r="I94" s="94" t="str">
        <f t="shared" si="13"/>
        <v/>
      </c>
      <c r="J94" s="44"/>
      <c r="K94" s="44"/>
      <c r="L94" s="94" t="str">
        <f t="shared" si="14"/>
        <v/>
      </c>
      <c r="M94" s="44"/>
      <c r="N94" s="44"/>
      <c r="O94" s="94" t="str">
        <f t="shared" si="15"/>
        <v/>
      </c>
      <c r="P94" s="44"/>
      <c r="Q94" s="44"/>
      <c r="R94" s="94" t="str">
        <f t="shared" si="17"/>
        <v/>
      </c>
    </row>
    <row r="95" spans="1:18" ht="12.95" customHeight="1">
      <c r="A95" s="434" t="s">
        <v>443</v>
      </c>
      <c r="B95" s="65">
        <f t="shared" si="19"/>
        <v>291</v>
      </c>
      <c r="C95" s="94">
        <f t="shared" si="16"/>
        <v>0.72038618640920904</v>
      </c>
      <c r="E95" s="252">
        <v>47</v>
      </c>
      <c r="F95" s="94">
        <f t="shared" si="12"/>
        <v>16.151202749140893</v>
      </c>
      <c r="G95" s="252"/>
      <c r="H95" s="252">
        <v>143</v>
      </c>
      <c r="I95" s="94">
        <f t="shared" si="13"/>
        <v>49.140893470790374</v>
      </c>
      <c r="J95" s="252"/>
      <c r="K95" s="252">
        <v>99</v>
      </c>
      <c r="L95" s="94">
        <f t="shared" si="14"/>
        <v>34.020618556701031</v>
      </c>
      <c r="M95" s="252"/>
      <c r="N95" s="252">
        <v>2</v>
      </c>
      <c r="O95" s="94">
        <f t="shared" si="15"/>
        <v>0.6872852233676976</v>
      </c>
      <c r="P95" s="252"/>
      <c r="Q95" s="252">
        <v>0</v>
      </c>
      <c r="R95" s="94">
        <f t="shared" si="17"/>
        <v>0</v>
      </c>
    </row>
    <row r="96" spans="1:18" ht="12.95" customHeight="1">
      <c r="A96" s="434" t="s">
        <v>807</v>
      </c>
      <c r="B96" s="65">
        <f t="shared" si="19"/>
        <v>684</v>
      </c>
      <c r="C96" s="94">
        <f t="shared" si="16"/>
        <v>1.6932788711474194</v>
      </c>
      <c r="E96" s="252">
        <v>167</v>
      </c>
      <c r="F96" s="94">
        <f t="shared" si="12"/>
        <v>24.415204678362574</v>
      </c>
      <c r="G96" s="252"/>
      <c r="H96" s="252">
        <v>231</v>
      </c>
      <c r="I96" s="94">
        <f t="shared" si="13"/>
        <v>33.771929824561404</v>
      </c>
      <c r="J96" s="252"/>
      <c r="K96" s="252">
        <v>270</v>
      </c>
      <c r="L96" s="94">
        <f t="shared" si="14"/>
        <v>39.473684210526315</v>
      </c>
      <c r="M96" s="252"/>
      <c r="N96" s="252">
        <v>16</v>
      </c>
      <c r="O96" s="94">
        <f t="shared" si="15"/>
        <v>2.3391812865497075</v>
      </c>
      <c r="P96" s="252"/>
      <c r="Q96" s="252">
        <v>0</v>
      </c>
    </row>
    <row r="97" spans="1:20" ht="8.25" customHeight="1">
      <c r="C97" s="94" t="str">
        <f t="shared" si="16"/>
        <v/>
      </c>
      <c r="F97" s="94" t="str">
        <f t="shared" si="12"/>
        <v/>
      </c>
      <c r="I97" s="94" t="str">
        <f t="shared" si="13"/>
        <v/>
      </c>
      <c r="L97" s="94" t="str">
        <f t="shared" si="14"/>
        <v/>
      </c>
      <c r="O97" s="94" t="str">
        <f t="shared" si="15"/>
        <v/>
      </c>
      <c r="R97" s="94" t="str">
        <f t="shared" si="17"/>
        <v/>
      </c>
    </row>
    <row r="98" spans="1:20" ht="12.95" customHeight="1">
      <c r="A98" s="63" t="s">
        <v>346</v>
      </c>
      <c r="B98" s="65">
        <f t="shared" si="19"/>
        <v>9473</v>
      </c>
      <c r="C98" s="94">
        <f t="shared" si="16"/>
        <v>23.450922143829679</v>
      </c>
      <c r="E98" s="93">
        <f>SUM(E99:E103)</f>
        <v>2196</v>
      </c>
      <c r="F98" s="94">
        <f t="shared" si="12"/>
        <v>23.18167423202787</v>
      </c>
      <c r="G98" s="42" t="s">
        <v>253</v>
      </c>
      <c r="H98" s="93">
        <f>SUM(H99:H103)</f>
        <v>3752</v>
      </c>
      <c r="I98" s="94">
        <f t="shared" si="13"/>
        <v>39.607304972025759</v>
      </c>
      <c r="J98" s="42" t="s">
        <v>253</v>
      </c>
      <c r="K98" s="93">
        <f>SUM(K99:K103)</f>
        <v>3367</v>
      </c>
      <c r="L98" s="94">
        <f t="shared" si="14"/>
        <v>35.543122558851472</v>
      </c>
      <c r="M98" s="42" t="s">
        <v>253</v>
      </c>
      <c r="N98" s="93">
        <f>SUM(N99:N103)</f>
        <v>150</v>
      </c>
      <c r="O98" s="94">
        <f t="shared" si="15"/>
        <v>1.5834476934445265</v>
      </c>
      <c r="Q98" s="93">
        <f>SUM(Q99:Q103)</f>
        <v>8</v>
      </c>
      <c r="R98" s="94">
        <f t="shared" si="17"/>
        <v>8.4450543650374743E-2</v>
      </c>
    </row>
    <row r="99" spans="1:20" ht="12.95" customHeight="1">
      <c r="A99" s="434" t="s">
        <v>347</v>
      </c>
      <c r="B99" s="65">
        <f t="shared" si="19"/>
        <v>3120</v>
      </c>
      <c r="C99" s="94">
        <f t="shared" si="16"/>
        <v>7.7237281841812111</v>
      </c>
      <c r="E99" s="252">
        <v>821</v>
      </c>
      <c r="F99" s="94">
        <f t="shared" si="12"/>
        <v>26.314102564102566</v>
      </c>
      <c r="G99" s="252"/>
      <c r="H99" s="252">
        <v>1138</v>
      </c>
      <c r="I99" s="94">
        <f t="shared" si="13"/>
        <v>36.474358974358971</v>
      </c>
      <c r="J99" s="252"/>
      <c r="K99" s="252">
        <v>1092</v>
      </c>
      <c r="L99" s="94">
        <f t="shared" si="14"/>
        <v>35</v>
      </c>
      <c r="M99" s="252"/>
      <c r="N99" s="252">
        <v>67</v>
      </c>
      <c r="O99" s="94">
        <f t="shared" si="15"/>
        <v>2.1474358974358974</v>
      </c>
      <c r="P99" s="252"/>
      <c r="Q99" s="252">
        <v>2</v>
      </c>
      <c r="R99" s="94">
        <f t="shared" si="17"/>
        <v>6.4102564102564097E-2</v>
      </c>
      <c r="T99" s="39"/>
    </row>
    <row r="100" spans="1:20" ht="12.95" customHeight="1">
      <c r="A100" s="434" t="s">
        <v>348</v>
      </c>
      <c r="B100" s="65">
        <f t="shared" si="19"/>
        <v>1864</v>
      </c>
      <c r="C100" s="94">
        <f t="shared" si="16"/>
        <v>4.6144324792672355</v>
      </c>
      <c r="E100" s="252">
        <v>354</v>
      </c>
      <c r="F100" s="94">
        <f t="shared" si="12"/>
        <v>18.991416309012877</v>
      </c>
      <c r="G100" s="252"/>
      <c r="H100" s="252">
        <v>784</v>
      </c>
      <c r="I100" s="94">
        <f t="shared" si="13"/>
        <v>42.06008583690987</v>
      </c>
      <c r="J100" s="252"/>
      <c r="K100" s="252">
        <v>703</v>
      </c>
      <c r="L100" s="94">
        <f t="shared" si="14"/>
        <v>37.714592274678111</v>
      </c>
      <c r="M100" s="252"/>
      <c r="N100" s="252">
        <v>22</v>
      </c>
      <c r="O100" s="94">
        <f t="shared" si="15"/>
        <v>1.1802575107296138</v>
      </c>
      <c r="P100" s="252"/>
      <c r="Q100" s="252">
        <v>1</v>
      </c>
      <c r="R100" s="94">
        <f t="shared" si="17"/>
        <v>5.3648068669527899E-2</v>
      </c>
      <c r="T100" s="39"/>
    </row>
    <row r="101" spans="1:20" ht="12.95" customHeight="1">
      <c r="A101" s="434" t="s">
        <v>349</v>
      </c>
      <c r="B101" s="65">
        <f t="shared" si="19"/>
        <v>1974</v>
      </c>
      <c r="C101" s="94">
        <f t="shared" si="16"/>
        <v>4.8867434088377273</v>
      </c>
      <c r="E101" s="252">
        <v>448</v>
      </c>
      <c r="F101" s="94">
        <f t="shared" si="12"/>
        <v>22.695035460992909</v>
      </c>
      <c r="G101" s="252"/>
      <c r="H101" s="252">
        <v>770</v>
      </c>
      <c r="I101" s="94">
        <f t="shared" si="13"/>
        <v>39.00709219858156</v>
      </c>
      <c r="J101" s="252"/>
      <c r="K101" s="252">
        <v>717</v>
      </c>
      <c r="L101" s="94">
        <f t="shared" si="14"/>
        <v>36.322188449848028</v>
      </c>
      <c r="M101" s="252"/>
      <c r="N101" s="252">
        <v>36</v>
      </c>
      <c r="O101" s="94">
        <f t="shared" si="15"/>
        <v>1.8237082066869299</v>
      </c>
      <c r="P101" s="252"/>
      <c r="Q101" s="252">
        <v>3</v>
      </c>
      <c r="R101" s="94">
        <f t="shared" si="17"/>
        <v>0.1519756838905775</v>
      </c>
      <c r="T101" s="39"/>
    </row>
    <row r="102" spans="1:20" ht="12.95" customHeight="1">
      <c r="A102" s="42" t="s">
        <v>378</v>
      </c>
      <c r="B102" s="65">
        <f t="shared" si="19"/>
        <v>1356</v>
      </c>
      <c r="C102" s="94">
        <f t="shared" si="16"/>
        <v>3.356851095432603</v>
      </c>
      <c r="E102" s="252">
        <v>334</v>
      </c>
      <c r="F102" s="94">
        <f t="shared" si="12"/>
        <v>24.631268436578171</v>
      </c>
      <c r="G102" s="252"/>
      <c r="H102" s="252">
        <v>558</v>
      </c>
      <c r="I102" s="94">
        <f t="shared" si="13"/>
        <v>41.150442477876105</v>
      </c>
      <c r="J102" s="252"/>
      <c r="K102" s="252">
        <v>452</v>
      </c>
      <c r="L102" s="94">
        <f t="shared" si="14"/>
        <v>33.333333333333329</v>
      </c>
      <c r="M102" s="252"/>
      <c r="N102" s="252">
        <v>10</v>
      </c>
      <c r="O102" s="94">
        <f t="shared" si="15"/>
        <v>0.73746312684365778</v>
      </c>
      <c r="P102" s="252"/>
      <c r="Q102" s="252">
        <v>2</v>
      </c>
      <c r="R102" s="94">
        <f t="shared" si="17"/>
        <v>0.14749262536873156</v>
      </c>
      <c r="T102" s="39"/>
    </row>
    <row r="103" spans="1:20" ht="12.95" customHeight="1">
      <c r="A103" s="434" t="s">
        <v>808</v>
      </c>
      <c r="B103" s="65">
        <f t="shared" si="19"/>
        <v>1159</v>
      </c>
      <c r="C103" s="94">
        <f t="shared" si="16"/>
        <v>2.8691669761109049</v>
      </c>
      <c r="E103" s="252">
        <v>239</v>
      </c>
      <c r="F103" s="94">
        <f t="shared" si="12"/>
        <v>20.621225194132872</v>
      </c>
      <c r="G103" s="252"/>
      <c r="H103" s="252">
        <v>502</v>
      </c>
      <c r="I103" s="94">
        <f t="shared" si="13"/>
        <v>43.313201035375329</v>
      </c>
      <c r="J103" s="252"/>
      <c r="K103" s="252">
        <v>403</v>
      </c>
      <c r="L103" s="94">
        <f t="shared" si="14"/>
        <v>34.771354616048313</v>
      </c>
      <c r="M103" s="252"/>
      <c r="N103" s="252">
        <v>15</v>
      </c>
      <c r="O103" s="94">
        <f t="shared" si="15"/>
        <v>1.2942191544434858</v>
      </c>
      <c r="P103" s="252"/>
      <c r="Q103" s="252">
        <v>0</v>
      </c>
      <c r="R103" s="94">
        <f t="shared" si="17"/>
        <v>0</v>
      </c>
      <c r="T103" s="39"/>
    </row>
    <row r="104" spans="1:20" ht="8.25" customHeight="1">
      <c r="C104" s="94" t="str">
        <f t="shared" si="16"/>
        <v/>
      </c>
      <c r="E104" s="44"/>
      <c r="F104" s="94" t="str">
        <f t="shared" si="12"/>
        <v/>
      </c>
      <c r="G104" s="44"/>
      <c r="H104" s="44"/>
      <c r="I104" s="94" t="str">
        <f t="shared" si="13"/>
        <v/>
      </c>
      <c r="J104" s="44"/>
      <c r="K104" s="44"/>
      <c r="L104" s="94" t="str">
        <f t="shared" si="14"/>
        <v/>
      </c>
      <c r="M104" s="44"/>
      <c r="N104" s="44"/>
      <c r="O104" s="94" t="str">
        <f t="shared" si="15"/>
        <v/>
      </c>
      <c r="P104" s="44"/>
      <c r="Q104" s="44"/>
      <c r="R104" s="94" t="str">
        <f t="shared" si="17"/>
        <v/>
      </c>
    </row>
    <row r="105" spans="1:20" ht="12.95" customHeight="1">
      <c r="A105" s="434" t="s">
        <v>809</v>
      </c>
      <c r="B105" s="65">
        <f>SUM(E105+H105+K105+N105+Q105)</f>
        <v>82</v>
      </c>
      <c r="C105" s="94">
        <f t="shared" si="16"/>
        <v>0.20299542022527542</v>
      </c>
      <c r="E105" s="835">
        <v>69</v>
      </c>
      <c r="F105" s="94">
        <f t="shared" si="12"/>
        <v>84.146341463414629</v>
      </c>
      <c r="G105" s="835"/>
      <c r="H105" s="835">
        <v>13</v>
      </c>
      <c r="I105" s="94">
        <f t="shared" si="13"/>
        <v>15.853658536585366</v>
      </c>
      <c r="J105" s="835"/>
      <c r="K105" s="835">
        <v>0</v>
      </c>
      <c r="L105" s="94">
        <f t="shared" si="14"/>
        <v>0</v>
      </c>
      <c r="M105" s="835"/>
      <c r="N105" s="835">
        <v>0</v>
      </c>
      <c r="O105" s="94">
        <f t="shared" si="15"/>
        <v>0</v>
      </c>
      <c r="P105" s="835"/>
      <c r="Q105" s="835">
        <v>0</v>
      </c>
      <c r="R105" s="94">
        <f t="shared" si="17"/>
        <v>0</v>
      </c>
    </row>
    <row r="106" spans="1:20" ht="4.5" customHeight="1" thickBot="1">
      <c r="A106" s="445"/>
      <c r="B106" s="247"/>
      <c r="C106" s="248"/>
      <c r="D106" s="249"/>
      <c r="E106" s="250"/>
      <c r="F106" s="248"/>
      <c r="G106" s="249"/>
      <c r="H106" s="250"/>
      <c r="I106" s="248"/>
      <c r="J106" s="249"/>
      <c r="K106" s="250"/>
      <c r="L106" s="248"/>
      <c r="M106" s="249"/>
      <c r="N106" s="250"/>
      <c r="O106" s="248"/>
      <c r="P106" s="249"/>
      <c r="Q106" s="250"/>
      <c r="R106" s="248"/>
      <c r="S106" s="248"/>
    </row>
    <row r="107" spans="1:20" ht="9.75" customHeight="1"/>
    <row r="108" spans="1:20" ht="15" customHeight="1">
      <c r="A108" s="256" t="s">
        <v>2121</v>
      </c>
    </row>
    <row r="109" spans="1:20" ht="8.25" customHeight="1">
      <c r="A109" s="434" t="s">
        <v>253</v>
      </c>
    </row>
    <row r="110" spans="1:20" ht="15" customHeight="1">
      <c r="A110" s="4" t="s">
        <v>811</v>
      </c>
      <c r="C110" s="257"/>
      <c r="D110" s="4"/>
      <c r="E110" s="65"/>
      <c r="F110" s="257"/>
      <c r="G110" s="4"/>
    </row>
    <row r="111" spans="1:20" ht="15" customHeight="1">
      <c r="A111" s="455" t="s">
        <v>365</v>
      </c>
      <c r="C111" s="257"/>
      <c r="D111" s="167"/>
    </row>
    <row r="112" spans="1:20" ht="15" customHeight="1">
      <c r="A112" s="455"/>
      <c r="C112" s="257"/>
    </row>
    <row r="113" ht="15" customHeight="1"/>
  </sheetData>
  <mergeCells count="5">
    <mergeCell ref="E7:F7"/>
    <mergeCell ref="H7:I7"/>
    <mergeCell ref="K7:L7"/>
    <mergeCell ref="N7:O7"/>
    <mergeCell ref="Q7:R7"/>
  </mergeCells>
  <printOptions horizontalCentered="1" verticalCentered="1"/>
  <pageMargins left="0" right="0" top="0" bottom="0" header="0.31496062992125984" footer="0.31496062992125984"/>
  <pageSetup paperSize="9" scale="60" orientation="portrait" r:id="rId1"/>
  <drawing r:id="rId2"/>
</worksheet>
</file>

<file path=xl/worksheets/sheet41.xml><?xml version="1.0" encoding="utf-8"?>
<worksheet xmlns="http://schemas.openxmlformats.org/spreadsheetml/2006/main" xmlns:r="http://schemas.openxmlformats.org/officeDocument/2006/relationships">
  <dimension ref="A1:S105"/>
  <sheetViews>
    <sheetView topLeftCell="A55" workbookViewId="0">
      <selection activeCell="A4" sqref="A4"/>
    </sheetView>
  </sheetViews>
  <sheetFormatPr baseColWidth="10" defaultColWidth="8.85546875" defaultRowHeight="12.75"/>
  <cols>
    <col min="1" max="1" width="35.7109375" style="434" customWidth="1"/>
    <col min="2" max="2" width="6.85546875" style="435" customWidth="1"/>
    <col min="3" max="3" width="6.85546875" style="436" customWidth="1"/>
    <col min="4" max="4" width="2.7109375" style="434" customWidth="1"/>
    <col min="5" max="5" width="7.140625" style="435" customWidth="1"/>
    <col min="6" max="6" width="7.140625" style="436" customWidth="1"/>
    <col min="7" max="7" width="3.28515625" style="434" customWidth="1"/>
    <col min="8" max="8" width="6.85546875" style="435" customWidth="1"/>
    <col min="9" max="9" width="6.85546875" style="436" customWidth="1"/>
    <col min="10" max="10" width="2.7109375" style="434" customWidth="1"/>
    <col min="11" max="11" width="6.7109375" style="435" customWidth="1"/>
    <col min="12" max="12" width="6.7109375" style="436" customWidth="1"/>
    <col min="13" max="13" width="2.7109375" style="434" customWidth="1"/>
    <col min="14" max="14" width="6" style="435" customWidth="1"/>
    <col min="15" max="15" width="6" style="436" customWidth="1"/>
    <col min="16" max="16" width="2.7109375" style="434" customWidth="1"/>
    <col min="17" max="17" width="8.28515625" style="435" hidden="1" customWidth="1"/>
    <col min="18" max="18" width="8.28515625" style="436" hidden="1" customWidth="1"/>
    <col min="19" max="19" width="2.7109375" style="434" hidden="1" customWidth="1"/>
    <col min="20" max="20" width="4.7109375" style="434" customWidth="1"/>
    <col min="21" max="256" width="8.85546875" style="434"/>
    <col min="257" max="257" width="35.7109375" style="434" customWidth="1"/>
    <col min="258" max="259" width="8.28515625" style="434" customWidth="1"/>
    <col min="260" max="260" width="2.7109375" style="434" customWidth="1"/>
    <col min="261" max="261" width="8.42578125" style="434" customWidth="1"/>
    <col min="262" max="262" width="8.28515625" style="434" customWidth="1"/>
    <col min="263" max="263" width="3.28515625" style="434" customWidth="1"/>
    <col min="264" max="265" width="8.28515625" style="434" customWidth="1"/>
    <col min="266" max="266" width="2.7109375" style="434" customWidth="1"/>
    <col min="267" max="267" width="8.28515625" style="434" customWidth="1"/>
    <col min="268" max="268" width="8.42578125" style="434" customWidth="1"/>
    <col min="269" max="269" width="2.7109375" style="434" customWidth="1"/>
    <col min="270" max="271" width="8.28515625" style="434" customWidth="1"/>
    <col min="272" max="272" width="2.7109375" style="434" customWidth="1"/>
    <col min="273" max="275" width="0" style="434" hidden="1" customWidth="1"/>
    <col min="276" max="276" width="4.7109375" style="434" customWidth="1"/>
    <col min="277" max="512" width="8.85546875" style="434"/>
    <col min="513" max="513" width="35.7109375" style="434" customWidth="1"/>
    <col min="514" max="515" width="8.28515625" style="434" customWidth="1"/>
    <col min="516" max="516" width="2.7109375" style="434" customWidth="1"/>
    <col min="517" max="517" width="8.42578125" style="434" customWidth="1"/>
    <col min="518" max="518" width="8.28515625" style="434" customWidth="1"/>
    <col min="519" max="519" width="3.28515625" style="434" customWidth="1"/>
    <col min="520" max="521" width="8.28515625" style="434" customWidth="1"/>
    <col min="522" max="522" width="2.7109375" style="434" customWidth="1"/>
    <col min="523" max="523" width="8.28515625" style="434" customWidth="1"/>
    <col min="524" max="524" width="8.42578125" style="434" customWidth="1"/>
    <col min="525" max="525" width="2.7109375" style="434" customWidth="1"/>
    <col min="526" max="527" width="8.28515625" style="434" customWidth="1"/>
    <col min="528" max="528" width="2.7109375" style="434" customWidth="1"/>
    <col min="529" max="531" width="0" style="434" hidden="1" customWidth="1"/>
    <col min="532" max="532" width="4.7109375" style="434" customWidth="1"/>
    <col min="533" max="768" width="8.85546875" style="434"/>
    <col min="769" max="769" width="35.7109375" style="434" customWidth="1"/>
    <col min="770" max="771" width="8.28515625" style="434" customWidth="1"/>
    <col min="772" max="772" width="2.7109375" style="434" customWidth="1"/>
    <col min="773" max="773" width="8.42578125" style="434" customWidth="1"/>
    <col min="774" max="774" width="8.28515625" style="434" customWidth="1"/>
    <col min="775" max="775" width="3.28515625" style="434" customWidth="1"/>
    <col min="776" max="777" width="8.28515625" style="434" customWidth="1"/>
    <col min="778" max="778" width="2.7109375" style="434" customWidth="1"/>
    <col min="779" max="779" width="8.28515625" style="434" customWidth="1"/>
    <col min="780" max="780" width="8.42578125" style="434" customWidth="1"/>
    <col min="781" max="781" width="2.7109375" style="434" customWidth="1"/>
    <col min="782" max="783" width="8.28515625" style="434" customWidth="1"/>
    <col min="784" max="784" width="2.7109375" style="434" customWidth="1"/>
    <col min="785" max="787" width="0" style="434" hidden="1" customWidth="1"/>
    <col min="788" max="788" width="4.7109375" style="434" customWidth="1"/>
    <col min="789" max="1024" width="8.85546875" style="434"/>
    <col min="1025" max="1025" width="35.7109375" style="434" customWidth="1"/>
    <col min="1026" max="1027" width="8.28515625" style="434" customWidth="1"/>
    <col min="1028" max="1028" width="2.7109375" style="434" customWidth="1"/>
    <col min="1029" max="1029" width="8.42578125" style="434" customWidth="1"/>
    <col min="1030" max="1030" width="8.28515625" style="434" customWidth="1"/>
    <col min="1031" max="1031" width="3.28515625" style="434" customWidth="1"/>
    <col min="1032" max="1033" width="8.28515625" style="434" customWidth="1"/>
    <col min="1034" max="1034" width="2.7109375" style="434" customWidth="1"/>
    <col min="1035" max="1035" width="8.28515625" style="434" customWidth="1"/>
    <col min="1036" max="1036" width="8.42578125" style="434" customWidth="1"/>
    <col min="1037" max="1037" width="2.7109375" style="434" customWidth="1"/>
    <col min="1038" max="1039" width="8.28515625" style="434" customWidth="1"/>
    <col min="1040" max="1040" width="2.7109375" style="434" customWidth="1"/>
    <col min="1041" max="1043" width="0" style="434" hidden="1" customWidth="1"/>
    <col min="1044" max="1044" width="4.7109375" style="434" customWidth="1"/>
    <col min="1045" max="1280" width="8.85546875" style="434"/>
    <col min="1281" max="1281" width="35.7109375" style="434" customWidth="1"/>
    <col min="1282" max="1283" width="8.28515625" style="434" customWidth="1"/>
    <col min="1284" max="1284" width="2.7109375" style="434" customWidth="1"/>
    <col min="1285" max="1285" width="8.42578125" style="434" customWidth="1"/>
    <col min="1286" max="1286" width="8.28515625" style="434" customWidth="1"/>
    <col min="1287" max="1287" width="3.28515625" style="434" customWidth="1"/>
    <col min="1288" max="1289" width="8.28515625" style="434" customWidth="1"/>
    <col min="1290" max="1290" width="2.7109375" style="434" customWidth="1"/>
    <col min="1291" max="1291" width="8.28515625" style="434" customWidth="1"/>
    <col min="1292" max="1292" width="8.42578125" style="434" customWidth="1"/>
    <col min="1293" max="1293" width="2.7109375" style="434" customWidth="1"/>
    <col min="1294" max="1295" width="8.28515625" style="434" customWidth="1"/>
    <col min="1296" max="1296" width="2.7109375" style="434" customWidth="1"/>
    <col min="1297" max="1299" width="0" style="434" hidden="1" customWidth="1"/>
    <col min="1300" max="1300" width="4.7109375" style="434" customWidth="1"/>
    <col min="1301" max="1536" width="8.85546875" style="434"/>
    <col min="1537" max="1537" width="35.7109375" style="434" customWidth="1"/>
    <col min="1538" max="1539" width="8.28515625" style="434" customWidth="1"/>
    <col min="1540" max="1540" width="2.7109375" style="434" customWidth="1"/>
    <col min="1541" max="1541" width="8.42578125" style="434" customWidth="1"/>
    <col min="1542" max="1542" width="8.28515625" style="434" customWidth="1"/>
    <col min="1543" max="1543" width="3.28515625" style="434" customWidth="1"/>
    <col min="1544" max="1545" width="8.28515625" style="434" customWidth="1"/>
    <col min="1546" max="1546" width="2.7109375" style="434" customWidth="1"/>
    <col min="1547" max="1547" width="8.28515625" style="434" customWidth="1"/>
    <col min="1548" max="1548" width="8.42578125" style="434" customWidth="1"/>
    <col min="1549" max="1549" width="2.7109375" style="434" customWidth="1"/>
    <col min="1550" max="1551" width="8.28515625" style="434" customWidth="1"/>
    <col min="1552" max="1552" width="2.7109375" style="434" customWidth="1"/>
    <col min="1553" max="1555" width="0" style="434" hidden="1" customWidth="1"/>
    <col min="1556" max="1556" width="4.7109375" style="434" customWidth="1"/>
    <col min="1557" max="1792" width="8.85546875" style="434"/>
    <col min="1793" max="1793" width="35.7109375" style="434" customWidth="1"/>
    <col min="1794" max="1795" width="8.28515625" style="434" customWidth="1"/>
    <col min="1796" max="1796" width="2.7109375" style="434" customWidth="1"/>
    <col min="1797" max="1797" width="8.42578125" style="434" customWidth="1"/>
    <col min="1798" max="1798" width="8.28515625" style="434" customWidth="1"/>
    <col min="1799" max="1799" width="3.28515625" style="434" customWidth="1"/>
    <col min="1800" max="1801" width="8.28515625" style="434" customWidth="1"/>
    <col min="1802" max="1802" width="2.7109375" style="434" customWidth="1"/>
    <col min="1803" max="1803" width="8.28515625" style="434" customWidth="1"/>
    <col min="1804" max="1804" width="8.42578125" style="434" customWidth="1"/>
    <col min="1805" max="1805" width="2.7109375" style="434" customWidth="1"/>
    <col min="1806" max="1807" width="8.28515625" style="434" customWidth="1"/>
    <col min="1808" max="1808" width="2.7109375" style="434" customWidth="1"/>
    <col min="1809" max="1811" width="0" style="434" hidden="1" customWidth="1"/>
    <col min="1812" max="1812" width="4.7109375" style="434" customWidth="1"/>
    <col min="1813" max="2048" width="8.85546875" style="434"/>
    <col min="2049" max="2049" width="35.7109375" style="434" customWidth="1"/>
    <col min="2050" max="2051" width="8.28515625" style="434" customWidth="1"/>
    <col min="2052" max="2052" width="2.7109375" style="434" customWidth="1"/>
    <col min="2053" max="2053" width="8.42578125" style="434" customWidth="1"/>
    <col min="2054" max="2054" width="8.28515625" style="434" customWidth="1"/>
    <col min="2055" max="2055" width="3.28515625" style="434" customWidth="1"/>
    <col min="2056" max="2057" width="8.28515625" style="434" customWidth="1"/>
    <col min="2058" max="2058" width="2.7109375" style="434" customWidth="1"/>
    <col min="2059" max="2059" width="8.28515625" style="434" customWidth="1"/>
    <col min="2060" max="2060" width="8.42578125" style="434" customWidth="1"/>
    <col min="2061" max="2061" width="2.7109375" style="434" customWidth="1"/>
    <col min="2062" max="2063" width="8.28515625" style="434" customWidth="1"/>
    <col min="2064" max="2064" width="2.7109375" style="434" customWidth="1"/>
    <col min="2065" max="2067" width="0" style="434" hidden="1" customWidth="1"/>
    <col min="2068" max="2068" width="4.7109375" style="434" customWidth="1"/>
    <col min="2069" max="2304" width="8.85546875" style="434"/>
    <col min="2305" max="2305" width="35.7109375" style="434" customWidth="1"/>
    <col min="2306" max="2307" width="8.28515625" style="434" customWidth="1"/>
    <col min="2308" max="2308" width="2.7109375" style="434" customWidth="1"/>
    <col min="2309" max="2309" width="8.42578125" style="434" customWidth="1"/>
    <col min="2310" max="2310" width="8.28515625" style="434" customWidth="1"/>
    <col min="2311" max="2311" width="3.28515625" style="434" customWidth="1"/>
    <col min="2312" max="2313" width="8.28515625" style="434" customWidth="1"/>
    <col min="2314" max="2314" width="2.7109375" style="434" customWidth="1"/>
    <col min="2315" max="2315" width="8.28515625" style="434" customWidth="1"/>
    <col min="2316" max="2316" width="8.42578125" style="434" customWidth="1"/>
    <col min="2317" max="2317" width="2.7109375" style="434" customWidth="1"/>
    <col min="2318" max="2319" width="8.28515625" style="434" customWidth="1"/>
    <col min="2320" max="2320" width="2.7109375" style="434" customWidth="1"/>
    <col min="2321" max="2323" width="0" style="434" hidden="1" customWidth="1"/>
    <col min="2324" max="2324" width="4.7109375" style="434" customWidth="1"/>
    <col min="2325" max="2560" width="8.85546875" style="434"/>
    <col min="2561" max="2561" width="35.7109375" style="434" customWidth="1"/>
    <col min="2562" max="2563" width="8.28515625" style="434" customWidth="1"/>
    <col min="2564" max="2564" width="2.7109375" style="434" customWidth="1"/>
    <col min="2565" max="2565" width="8.42578125" style="434" customWidth="1"/>
    <col min="2566" max="2566" width="8.28515625" style="434" customWidth="1"/>
    <col min="2567" max="2567" width="3.28515625" style="434" customWidth="1"/>
    <col min="2568" max="2569" width="8.28515625" style="434" customWidth="1"/>
    <col min="2570" max="2570" width="2.7109375" style="434" customWidth="1"/>
    <col min="2571" max="2571" width="8.28515625" style="434" customWidth="1"/>
    <col min="2572" max="2572" width="8.42578125" style="434" customWidth="1"/>
    <col min="2573" max="2573" width="2.7109375" style="434" customWidth="1"/>
    <col min="2574" max="2575" width="8.28515625" style="434" customWidth="1"/>
    <col min="2576" max="2576" width="2.7109375" style="434" customWidth="1"/>
    <col min="2577" max="2579" width="0" style="434" hidden="1" customWidth="1"/>
    <col min="2580" max="2580" width="4.7109375" style="434" customWidth="1"/>
    <col min="2581" max="2816" width="8.85546875" style="434"/>
    <col min="2817" max="2817" width="35.7109375" style="434" customWidth="1"/>
    <col min="2818" max="2819" width="8.28515625" style="434" customWidth="1"/>
    <col min="2820" max="2820" width="2.7109375" style="434" customWidth="1"/>
    <col min="2821" max="2821" width="8.42578125" style="434" customWidth="1"/>
    <col min="2822" max="2822" width="8.28515625" style="434" customWidth="1"/>
    <col min="2823" max="2823" width="3.28515625" style="434" customWidth="1"/>
    <col min="2824" max="2825" width="8.28515625" style="434" customWidth="1"/>
    <col min="2826" max="2826" width="2.7109375" style="434" customWidth="1"/>
    <col min="2827" max="2827" width="8.28515625" style="434" customWidth="1"/>
    <col min="2828" max="2828" width="8.42578125" style="434" customWidth="1"/>
    <col min="2829" max="2829" width="2.7109375" style="434" customWidth="1"/>
    <col min="2830" max="2831" width="8.28515625" style="434" customWidth="1"/>
    <col min="2832" max="2832" width="2.7109375" style="434" customWidth="1"/>
    <col min="2833" max="2835" width="0" style="434" hidden="1" customWidth="1"/>
    <col min="2836" max="2836" width="4.7109375" style="434" customWidth="1"/>
    <col min="2837" max="3072" width="8.85546875" style="434"/>
    <col min="3073" max="3073" width="35.7109375" style="434" customWidth="1"/>
    <col min="3074" max="3075" width="8.28515625" style="434" customWidth="1"/>
    <col min="3076" max="3076" width="2.7109375" style="434" customWidth="1"/>
    <col min="3077" max="3077" width="8.42578125" style="434" customWidth="1"/>
    <col min="3078" max="3078" width="8.28515625" style="434" customWidth="1"/>
    <col min="3079" max="3079" width="3.28515625" style="434" customWidth="1"/>
    <col min="3080" max="3081" width="8.28515625" style="434" customWidth="1"/>
    <col min="3082" max="3082" width="2.7109375" style="434" customWidth="1"/>
    <col min="3083" max="3083" width="8.28515625" style="434" customWidth="1"/>
    <col min="3084" max="3084" width="8.42578125" style="434" customWidth="1"/>
    <col min="3085" max="3085" width="2.7109375" style="434" customWidth="1"/>
    <col min="3086" max="3087" width="8.28515625" style="434" customWidth="1"/>
    <col min="3088" max="3088" width="2.7109375" style="434" customWidth="1"/>
    <col min="3089" max="3091" width="0" style="434" hidden="1" customWidth="1"/>
    <col min="3092" max="3092" width="4.7109375" style="434" customWidth="1"/>
    <col min="3093" max="3328" width="8.85546875" style="434"/>
    <col min="3329" max="3329" width="35.7109375" style="434" customWidth="1"/>
    <col min="3330" max="3331" width="8.28515625" style="434" customWidth="1"/>
    <col min="3332" max="3332" width="2.7109375" style="434" customWidth="1"/>
    <col min="3333" max="3333" width="8.42578125" style="434" customWidth="1"/>
    <col min="3334" max="3334" width="8.28515625" style="434" customWidth="1"/>
    <col min="3335" max="3335" width="3.28515625" style="434" customWidth="1"/>
    <col min="3336" max="3337" width="8.28515625" style="434" customWidth="1"/>
    <col min="3338" max="3338" width="2.7109375" style="434" customWidth="1"/>
    <col min="3339" max="3339" width="8.28515625" style="434" customWidth="1"/>
    <col min="3340" max="3340" width="8.42578125" style="434" customWidth="1"/>
    <col min="3341" max="3341" width="2.7109375" style="434" customWidth="1"/>
    <col min="3342" max="3343" width="8.28515625" style="434" customWidth="1"/>
    <col min="3344" max="3344" width="2.7109375" style="434" customWidth="1"/>
    <col min="3345" max="3347" width="0" style="434" hidden="1" customWidth="1"/>
    <col min="3348" max="3348" width="4.7109375" style="434" customWidth="1"/>
    <col min="3349" max="3584" width="8.85546875" style="434"/>
    <col min="3585" max="3585" width="35.7109375" style="434" customWidth="1"/>
    <col min="3586" max="3587" width="8.28515625" style="434" customWidth="1"/>
    <col min="3588" max="3588" width="2.7109375" style="434" customWidth="1"/>
    <col min="3589" max="3589" width="8.42578125" style="434" customWidth="1"/>
    <col min="3590" max="3590" width="8.28515625" style="434" customWidth="1"/>
    <col min="3591" max="3591" width="3.28515625" style="434" customWidth="1"/>
    <col min="3592" max="3593" width="8.28515625" style="434" customWidth="1"/>
    <col min="3594" max="3594" width="2.7109375" style="434" customWidth="1"/>
    <col min="3595" max="3595" width="8.28515625" style="434" customWidth="1"/>
    <col min="3596" max="3596" width="8.42578125" style="434" customWidth="1"/>
    <col min="3597" max="3597" width="2.7109375" style="434" customWidth="1"/>
    <col min="3598" max="3599" width="8.28515625" style="434" customWidth="1"/>
    <col min="3600" max="3600" width="2.7109375" style="434" customWidth="1"/>
    <col min="3601" max="3603" width="0" style="434" hidden="1" customWidth="1"/>
    <col min="3604" max="3604" width="4.7109375" style="434" customWidth="1"/>
    <col min="3605" max="3840" width="8.85546875" style="434"/>
    <col min="3841" max="3841" width="35.7109375" style="434" customWidth="1"/>
    <col min="3842" max="3843" width="8.28515625" style="434" customWidth="1"/>
    <col min="3844" max="3844" width="2.7109375" style="434" customWidth="1"/>
    <col min="3845" max="3845" width="8.42578125" style="434" customWidth="1"/>
    <col min="3846" max="3846" width="8.28515625" style="434" customWidth="1"/>
    <col min="3847" max="3847" width="3.28515625" style="434" customWidth="1"/>
    <col min="3848" max="3849" width="8.28515625" style="434" customWidth="1"/>
    <col min="3850" max="3850" width="2.7109375" style="434" customWidth="1"/>
    <col min="3851" max="3851" width="8.28515625" style="434" customWidth="1"/>
    <col min="3852" max="3852" width="8.42578125" style="434" customWidth="1"/>
    <col min="3853" max="3853" width="2.7109375" style="434" customWidth="1"/>
    <col min="3854" max="3855" width="8.28515625" style="434" customWidth="1"/>
    <col min="3856" max="3856" width="2.7109375" style="434" customWidth="1"/>
    <col min="3857" max="3859" width="0" style="434" hidden="1" customWidth="1"/>
    <col min="3860" max="3860" width="4.7109375" style="434" customWidth="1"/>
    <col min="3861" max="4096" width="8.85546875" style="434"/>
    <col min="4097" max="4097" width="35.7109375" style="434" customWidth="1"/>
    <col min="4098" max="4099" width="8.28515625" style="434" customWidth="1"/>
    <col min="4100" max="4100" width="2.7109375" style="434" customWidth="1"/>
    <col min="4101" max="4101" width="8.42578125" style="434" customWidth="1"/>
    <col min="4102" max="4102" width="8.28515625" style="434" customWidth="1"/>
    <col min="4103" max="4103" width="3.28515625" style="434" customWidth="1"/>
    <col min="4104" max="4105" width="8.28515625" style="434" customWidth="1"/>
    <col min="4106" max="4106" width="2.7109375" style="434" customWidth="1"/>
    <col min="4107" max="4107" width="8.28515625" style="434" customWidth="1"/>
    <col min="4108" max="4108" width="8.42578125" style="434" customWidth="1"/>
    <col min="4109" max="4109" width="2.7109375" style="434" customWidth="1"/>
    <col min="4110" max="4111" width="8.28515625" style="434" customWidth="1"/>
    <col min="4112" max="4112" width="2.7109375" style="434" customWidth="1"/>
    <col min="4113" max="4115" width="0" style="434" hidden="1" customWidth="1"/>
    <col min="4116" max="4116" width="4.7109375" style="434" customWidth="1"/>
    <col min="4117" max="4352" width="8.85546875" style="434"/>
    <col min="4353" max="4353" width="35.7109375" style="434" customWidth="1"/>
    <col min="4354" max="4355" width="8.28515625" style="434" customWidth="1"/>
    <col min="4356" max="4356" width="2.7109375" style="434" customWidth="1"/>
    <col min="4357" max="4357" width="8.42578125" style="434" customWidth="1"/>
    <col min="4358" max="4358" width="8.28515625" style="434" customWidth="1"/>
    <col min="4359" max="4359" width="3.28515625" style="434" customWidth="1"/>
    <col min="4360" max="4361" width="8.28515625" style="434" customWidth="1"/>
    <col min="4362" max="4362" width="2.7109375" style="434" customWidth="1"/>
    <col min="4363" max="4363" width="8.28515625" style="434" customWidth="1"/>
    <col min="4364" max="4364" width="8.42578125" style="434" customWidth="1"/>
    <col min="4365" max="4365" width="2.7109375" style="434" customWidth="1"/>
    <col min="4366" max="4367" width="8.28515625" style="434" customWidth="1"/>
    <col min="4368" max="4368" width="2.7109375" style="434" customWidth="1"/>
    <col min="4369" max="4371" width="0" style="434" hidden="1" customWidth="1"/>
    <col min="4372" max="4372" width="4.7109375" style="434" customWidth="1"/>
    <col min="4373" max="4608" width="8.85546875" style="434"/>
    <col min="4609" max="4609" width="35.7109375" style="434" customWidth="1"/>
    <col min="4610" max="4611" width="8.28515625" style="434" customWidth="1"/>
    <col min="4612" max="4612" width="2.7109375" style="434" customWidth="1"/>
    <col min="4613" max="4613" width="8.42578125" style="434" customWidth="1"/>
    <col min="4614" max="4614" width="8.28515625" style="434" customWidth="1"/>
    <col min="4615" max="4615" width="3.28515625" style="434" customWidth="1"/>
    <col min="4616" max="4617" width="8.28515625" style="434" customWidth="1"/>
    <col min="4618" max="4618" width="2.7109375" style="434" customWidth="1"/>
    <col min="4619" max="4619" width="8.28515625" style="434" customWidth="1"/>
    <col min="4620" max="4620" width="8.42578125" style="434" customWidth="1"/>
    <col min="4621" max="4621" width="2.7109375" style="434" customWidth="1"/>
    <col min="4622" max="4623" width="8.28515625" style="434" customWidth="1"/>
    <col min="4624" max="4624" width="2.7109375" style="434" customWidth="1"/>
    <col min="4625" max="4627" width="0" style="434" hidden="1" customWidth="1"/>
    <col min="4628" max="4628" width="4.7109375" style="434" customWidth="1"/>
    <col min="4629" max="4864" width="8.85546875" style="434"/>
    <col min="4865" max="4865" width="35.7109375" style="434" customWidth="1"/>
    <col min="4866" max="4867" width="8.28515625" style="434" customWidth="1"/>
    <col min="4868" max="4868" width="2.7109375" style="434" customWidth="1"/>
    <col min="4869" max="4869" width="8.42578125" style="434" customWidth="1"/>
    <col min="4870" max="4870" width="8.28515625" style="434" customWidth="1"/>
    <col min="4871" max="4871" width="3.28515625" style="434" customWidth="1"/>
    <col min="4872" max="4873" width="8.28515625" style="434" customWidth="1"/>
    <col min="4874" max="4874" width="2.7109375" style="434" customWidth="1"/>
    <col min="4875" max="4875" width="8.28515625" style="434" customWidth="1"/>
    <col min="4876" max="4876" width="8.42578125" style="434" customWidth="1"/>
    <col min="4877" max="4877" width="2.7109375" style="434" customWidth="1"/>
    <col min="4878" max="4879" width="8.28515625" style="434" customWidth="1"/>
    <col min="4880" max="4880" width="2.7109375" style="434" customWidth="1"/>
    <col min="4881" max="4883" width="0" style="434" hidden="1" customWidth="1"/>
    <col min="4884" max="4884" width="4.7109375" style="434" customWidth="1"/>
    <col min="4885" max="5120" width="8.85546875" style="434"/>
    <col min="5121" max="5121" width="35.7109375" style="434" customWidth="1"/>
    <col min="5122" max="5123" width="8.28515625" style="434" customWidth="1"/>
    <col min="5124" max="5124" width="2.7109375" style="434" customWidth="1"/>
    <col min="5125" max="5125" width="8.42578125" style="434" customWidth="1"/>
    <col min="5126" max="5126" width="8.28515625" style="434" customWidth="1"/>
    <col min="5127" max="5127" width="3.28515625" style="434" customWidth="1"/>
    <col min="5128" max="5129" width="8.28515625" style="434" customWidth="1"/>
    <col min="5130" max="5130" width="2.7109375" style="434" customWidth="1"/>
    <col min="5131" max="5131" width="8.28515625" style="434" customWidth="1"/>
    <col min="5132" max="5132" width="8.42578125" style="434" customWidth="1"/>
    <col min="5133" max="5133" width="2.7109375" style="434" customWidth="1"/>
    <col min="5134" max="5135" width="8.28515625" style="434" customWidth="1"/>
    <col min="5136" max="5136" width="2.7109375" style="434" customWidth="1"/>
    <col min="5137" max="5139" width="0" style="434" hidden="1" customWidth="1"/>
    <col min="5140" max="5140" width="4.7109375" style="434" customWidth="1"/>
    <col min="5141" max="5376" width="8.85546875" style="434"/>
    <col min="5377" max="5377" width="35.7109375" style="434" customWidth="1"/>
    <col min="5378" max="5379" width="8.28515625" style="434" customWidth="1"/>
    <col min="5380" max="5380" width="2.7109375" style="434" customWidth="1"/>
    <col min="5381" max="5381" width="8.42578125" style="434" customWidth="1"/>
    <col min="5382" max="5382" width="8.28515625" style="434" customWidth="1"/>
    <col min="5383" max="5383" width="3.28515625" style="434" customWidth="1"/>
    <col min="5384" max="5385" width="8.28515625" style="434" customWidth="1"/>
    <col min="5386" max="5386" width="2.7109375" style="434" customWidth="1"/>
    <col min="5387" max="5387" width="8.28515625" style="434" customWidth="1"/>
    <col min="5388" max="5388" width="8.42578125" style="434" customWidth="1"/>
    <col min="5389" max="5389" width="2.7109375" style="434" customWidth="1"/>
    <col min="5390" max="5391" width="8.28515625" style="434" customWidth="1"/>
    <col min="5392" max="5392" width="2.7109375" style="434" customWidth="1"/>
    <col min="5393" max="5395" width="0" style="434" hidden="1" customWidth="1"/>
    <col min="5396" max="5396" width="4.7109375" style="434" customWidth="1"/>
    <col min="5397" max="5632" width="8.85546875" style="434"/>
    <col min="5633" max="5633" width="35.7109375" style="434" customWidth="1"/>
    <col min="5634" max="5635" width="8.28515625" style="434" customWidth="1"/>
    <col min="5636" max="5636" width="2.7109375" style="434" customWidth="1"/>
    <col min="5637" max="5637" width="8.42578125" style="434" customWidth="1"/>
    <col min="5638" max="5638" width="8.28515625" style="434" customWidth="1"/>
    <col min="5639" max="5639" width="3.28515625" style="434" customWidth="1"/>
    <col min="5640" max="5641" width="8.28515625" style="434" customWidth="1"/>
    <col min="5642" max="5642" width="2.7109375" style="434" customWidth="1"/>
    <col min="5643" max="5643" width="8.28515625" style="434" customWidth="1"/>
    <col min="5644" max="5644" width="8.42578125" style="434" customWidth="1"/>
    <col min="5645" max="5645" width="2.7109375" style="434" customWidth="1"/>
    <col min="5646" max="5647" width="8.28515625" style="434" customWidth="1"/>
    <col min="5648" max="5648" width="2.7109375" style="434" customWidth="1"/>
    <col min="5649" max="5651" width="0" style="434" hidden="1" customWidth="1"/>
    <col min="5652" max="5652" width="4.7109375" style="434" customWidth="1"/>
    <col min="5653" max="5888" width="8.85546875" style="434"/>
    <col min="5889" max="5889" width="35.7109375" style="434" customWidth="1"/>
    <col min="5890" max="5891" width="8.28515625" style="434" customWidth="1"/>
    <col min="5892" max="5892" width="2.7109375" style="434" customWidth="1"/>
    <col min="5893" max="5893" width="8.42578125" style="434" customWidth="1"/>
    <col min="5894" max="5894" width="8.28515625" style="434" customWidth="1"/>
    <col min="5895" max="5895" width="3.28515625" style="434" customWidth="1"/>
    <col min="5896" max="5897" width="8.28515625" style="434" customWidth="1"/>
    <col min="5898" max="5898" width="2.7109375" style="434" customWidth="1"/>
    <col min="5899" max="5899" width="8.28515625" style="434" customWidth="1"/>
    <col min="5900" max="5900" width="8.42578125" style="434" customWidth="1"/>
    <col min="5901" max="5901" width="2.7109375" style="434" customWidth="1"/>
    <col min="5902" max="5903" width="8.28515625" style="434" customWidth="1"/>
    <col min="5904" max="5904" width="2.7109375" style="434" customWidth="1"/>
    <col min="5905" max="5907" width="0" style="434" hidden="1" customWidth="1"/>
    <col min="5908" max="5908" width="4.7109375" style="434" customWidth="1"/>
    <col min="5909" max="6144" width="8.85546875" style="434"/>
    <col min="6145" max="6145" width="35.7109375" style="434" customWidth="1"/>
    <col min="6146" max="6147" width="8.28515625" style="434" customWidth="1"/>
    <col min="6148" max="6148" width="2.7109375" style="434" customWidth="1"/>
    <col min="6149" max="6149" width="8.42578125" style="434" customWidth="1"/>
    <col min="6150" max="6150" width="8.28515625" style="434" customWidth="1"/>
    <col min="6151" max="6151" width="3.28515625" style="434" customWidth="1"/>
    <col min="6152" max="6153" width="8.28515625" style="434" customWidth="1"/>
    <col min="6154" max="6154" width="2.7109375" style="434" customWidth="1"/>
    <col min="6155" max="6155" width="8.28515625" style="434" customWidth="1"/>
    <col min="6156" max="6156" width="8.42578125" style="434" customWidth="1"/>
    <col min="6157" max="6157" width="2.7109375" style="434" customWidth="1"/>
    <col min="6158" max="6159" width="8.28515625" style="434" customWidth="1"/>
    <col min="6160" max="6160" width="2.7109375" style="434" customWidth="1"/>
    <col min="6161" max="6163" width="0" style="434" hidden="1" customWidth="1"/>
    <col min="6164" max="6164" width="4.7109375" style="434" customWidth="1"/>
    <col min="6165" max="6400" width="8.85546875" style="434"/>
    <col min="6401" max="6401" width="35.7109375" style="434" customWidth="1"/>
    <col min="6402" max="6403" width="8.28515625" style="434" customWidth="1"/>
    <col min="6404" max="6404" width="2.7109375" style="434" customWidth="1"/>
    <col min="6405" max="6405" width="8.42578125" style="434" customWidth="1"/>
    <col min="6406" max="6406" width="8.28515625" style="434" customWidth="1"/>
    <col min="6407" max="6407" width="3.28515625" style="434" customWidth="1"/>
    <col min="6408" max="6409" width="8.28515625" style="434" customWidth="1"/>
    <col min="6410" max="6410" width="2.7109375" style="434" customWidth="1"/>
    <col min="6411" max="6411" width="8.28515625" style="434" customWidth="1"/>
    <col min="6412" max="6412" width="8.42578125" style="434" customWidth="1"/>
    <col min="6413" max="6413" width="2.7109375" style="434" customWidth="1"/>
    <col min="6414" max="6415" width="8.28515625" style="434" customWidth="1"/>
    <col min="6416" max="6416" width="2.7109375" style="434" customWidth="1"/>
    <col min="6417" max="6419" width="0" style="434" hidden="1" customWidth="1"/>
    <col min="6420" max="6420" width="4.7109375" style="434" customWidth="1"/>
    <col min="6421" max="6656" width="8.85546875" style="434"/>
    <col min="6657" max="6657" width="35.7109375" style="434" customWidth="1"/>
    <col min="6658" max="6659" width="8.28515625" style="434" customWidth="1"/>
    <col min="6660" max="6660" width="2.7109375" style="434" customWidth="1"/>
    <col min="6661" max="6661" width="8.42578125" style="434" customWidth="1"/>
    <col min="6662" max="6662" width="8.28515625" style="434" customWidth="1"/>
    <col min="6663" max="6663" width="3.28515625" style="434" customWidth="1"/>
    <col min="6664" max="6665" width="8.28515625" style="434" customWidth="1"/>
    <col min="6666" max="6666" width="2.7109375" style="434" customWidth="1"/>
    <col min="6667" max="6667" width="8.28515625" style="434" customWidth="1"/>
    <col min="6668" max="6668" width="8.42578125" style="434" customWidth="1"/>
    <col min="6669" max="6669" width="2.7109375" style="434" customWidth="1"/>
    <col min="6670" max="6671" width="8.28515625" style="434" customWidth="1"/>
    <col min="6672" max="6672" width="2.7109375" style="434" customWidth="1"/>
    <col min="6673" max="6675" width="0" style="434" hidden="1" customWidth="1"/>
    <col min="6676" max="6676" width="4.7109375" style="434" customWidth="1"/>
    <col min="6677" max="6912" width="8.85546875" style="434"/>
    <col min="6913" max="6913" width="35.7109375" style="434" customWidth="1"/>
    <col min="6914" max="6915" width="8.28515625" style="434" customWidth="1"/>
    <col min="6916" max="6916" width="2.7109375" style="434" customWidth="1"/>
    <col min="6917" max="6917" width="8.42578125" style="434" customWidth="1"/>
    <col min="6918" max="6918" width="8.28515625" style="434" customWidth="1"/>
    <col min="6919" max="6919" width="3.28515625" style="434" customWidth="1"/>
    <col min="6920" max="6921" width="8.28515625" style="434" customWidth="1"/>
    <col min="6922" max="6922" width="2.7109375" style="434" customWidth="1"/>
    <col min="6923" max="6923" width="8.28515625" style="434" customWidth="1"/>
    <col min="6924" max="6924" width="8.42578125" style="434" customWidth="1"/>
    <col min="6925" max="6925" width="2.7109375" style="434" customWidth="1"/>
    <col min="6926" max="6927" width="8.28515625" style="434" customWidth="1"/>
    <col min="6928" max="6928" width="2.7109375" style="434" customWidth="1"/>
    <col min="6929" max="6931" width="0" style="434" hidden="1" customWidth="1"/>
    <col min="6932" max="6932" width="4.7109375" style="434" customWidth="1"/>
    <col min="6933" max="7168" width="8.85546875" style="434"/>
    <col min="7169" max="7169" width="35.7109375" style="434" customWidth="1"/>
    <col min="7170" max="7171" width="8.28515625" style="434" customWidth="1"/>
    <col min="7172" max="7172" width="2.7109375" style="434" customWidth="1"/>
    <col min="7173" max="7173" width="8.42578125" style="434" customWidth="1"/>
    <col min="7174" max="7174" width="8.28515625" style="434" customWidth="1"/>
    <col min="7175" max="7175" width="3.28515625" style="434" customWidth="1"/>
    <col min="7176" max="7177" width="8.28515625" style="434" customWidth="1"/>
    <col min="7178" max="7178" width="2.7109375" style="434" customWidth="1"/>
    <col min="7179" max="7179" width="8.28515625" style="434" customWidth="1"/>
    <col min="7180" max="7180" width="8.42578125" style="434" customWidth="1"/>
    <col min="7181" max="7181" width="2.7109375" style="434" customWidth="1"/>
    <col min="7182" max="7183" width="8.28515625" style="434" customWidth="1"/>
    <col min="7184" max="7184" width="2.7109375" style="434" customWidth="1"/>
    <col min="7185" max="7187" width="0" style="434" hidden="1" customWidth="1"/>
    <col min="7188" max="7188" width="4.7109375" style="434" customWidth="1"/>
    <col min="7189" max="7424" width="8.85546875" style="434"/>
    <col min="7425" max="7425" width="35.7109375" style="434" customWidth="1"/>
    <col min="7426" max="7427" width="8.28515625" style="434" customWidth="1"/>
    <col min="7428" max="7428" width="2.7109375" style="434" customWidth="1"/>
    <col min="7429" max="7429" width="8.42578125" style="434" customWidth="1"/>
    <col min="7430" max="7430" width="8.28515625" style="434" customWidth="1"/>
    <col min="7431" max="7431" width="3.28515625" style="434" customWidth="1"/>
    <col min="7432" max="7433" width="8.28515625" style="434" customWidth="1"/>
    <col min="7434" max="7434" width="2.7109375" style="434" customWidth="1"/>
    <col min="7435" max="7435" width="8.28515625" style="434" customWidth="1"/>
    <col min="7436" max="7436" width="8.42578125" style="434" customWidth="1"/>
    <col min="7437" max="7437" width="2.7109375" style="434" customWidth="1"/>
    <col min="7438" max="7439" width="8.28515625" style="434" customWidth="1"/>
    <col min="7440" max="7440" width="2.7109375" style="434" customWidth="1"/>
    <col min="7441" max="7443" width="0" style="434" hidden="1" customWidth="1"/>
    <col min="7444" max="7444" width="4.7109375" style="434" customWidth="1"/>
    <col min="7445" max="7680" width="8.85546875" style="434"/>
    <col min="7681" max="7681" width="35.7109375" style="434" customWidth="1"/>
    <col min="7682" max="7683" width="8.28515625" style="434" customWidth="1"/>
    <col min="7684" max="7684" width="2.7109375" style="434" customWidth="1"/>
    <col min="7685" max="7685" width="8.42578125" style="434" customWidth="1"/>
    <col min="7686" max="7686" width="8.28515625" style="434" customWidth="1"/>
    <col min="7687" max="7687" width="3.28515625" style="434" customWidth="1"/>
    <col min="7688" max="7689" width="8.28515625" style="434" customWidth="1"/>
    <col min="7690" max="7690" width="2.7109375" style="434" customWidth="1"/>
    <col min="7691" max="7691" width="8.28515625" style="434" customWidth="1"/>
    <col min="7692" max="7692" width="8.42578125" style="434" customWidth="1"/>
    <col min="7693" max="7693" width="2.7109375" style="434" customWidth="1"/>
    <col min="7694" max="7695" width="8.28515625" style="434" customWidth="1"/>
    <col min="7696" max="7696" width="2.7109375" style="434" customWidth="1"/>
    <col min="7697" max="7699" width="0" style="434" hidden="1" customWidth="1"/>
    <col min="7700" max="7700" width="4.7109375" style="434" customWidth="1"/>
    <col min="7701" max="7936" width="8.85546875" style="434"/>
    <col min="7937" max="7937" width="35.7109375" style="434" customWidth="1"/>
    <col min="7938" max="7939" width="8.28515625" style="434" customWidth="1"/>
    <col min="7940" max="7940" width="2.7109375" style="434" customWidth="1"/>
    <col min="7941" max="7941" width="8.42578125" style="434" customWidth="1"/>
    <col min="7942" max="7942" width="8.28515625" style="434" customWidth="1"/>
    <col min="7943" max="7943" width="3.28515625" style="434" customWidth="1"/>
    <col min="7944" max="7945" width="8.28515625" style="434" customWidth="1"/>
    <col min="7946" max="7946" width="2.7109375" style="434" customWidth="1"/>
    <col min="7947" max="7947" width="8.28515625" style="434" customWidth="1"/>
    <col min="7948" max="7948" width="8.42578125" style="434" customWidth="1"/>
    <col min="7949" max="7949" width="2.7109375" style="434" customWidth="1"/>
    <col min="7950" max="7951" width="8.28515625" style="434" customWidth="1"/>
    <col min="7952" max="7952" width="2.7109375" style="434" customWidth="1"/>
    <col min="7953" max="7955" width="0" style="434" hidden="1" customWidth="1"/>
    <col min="7956" max="7956" width="4.7109375" style="434" customWidth="1"/>
    <col min="7957" max="8192" width="8.85546875" style="434"/>
    <col min="8193" max="8193" width="35.7109375" style="434" customWidth="1"/>
    <col min="8194" max="8195" width="8.28515625" style="434" customWidth="1"/>
    <col min="8196" max="8196" width="2.7109375" style="434" customWidth="1"/>
    <col min="8197" max="8197" width="8.42578125" style="434" customWidth="1"/>
    <col min="8198" max="8198" width="8.28515625" style="434" customWidth="1"/>
    <col min="8199" max="8199" width="3.28515625" style="434" customWidth="1"/>
    <col min="8200" max="8201" width="8.28515625" style="434" customWidth="1"/>
    <col min="8202" max="8202" width="2.7109375" style="434" customWidth="1"/>
    <col min="8203" max="8203" width="8.28515625" style="434" customWidth="1"/>
    <col min="8204" max="8204" width="8.42578125" style="434" customWidth="1"/>
    <col min="8205" max="8205" width="2.7109375" style="434" customWidth="1"/>
    <col min="8206" max="8207" width="8.28515625" style="434" customWidth="1"/>
    <col min="8208" max="8208" width="2.7109375" style="434" customWidth="1"/>
    <col min="8209" max="8211" width="0" style="434" hidden="1" customWidth="1"/>
    <col min="8212" max="8212" width="4.7109375" style="434" customWidth="1"/>
    <col min="8213" max="8448" width="8.85546875" style="434"/>
    <col min="8449" max="8449" width="35.7109375" style="434" customWidth="1"/>
    <col min="8450" max="8451" width="8.28515625" style="434" customWidth="1"/>
    <col min="8452" max="8452" width="2.7109375" style="434" customWidth="1"/>
    <col min="8453" max="8453" width="8.42578125" style="434" customWidth="1"/>
    <col min="8454" max="8454" width="8.28515625" style="434" customWidth="1"/>
    <col min="8455" max="8455" width="3.28515625" style="434" customWidth="1"/>
    <col min="8456" max="8457" width="8.28515625" style="434" customWidth="1"/>
    <col min="8458" max="8458" width="2.7109375" style="434" customWidth="1"/>
    <col min="8459" max="8459" width="8.28515625" style="434" customWidth="1"/>
    <col min="8460" max="8460" width="8.42578125" style="434" customWidth="1"/>
    <col min="8461" max="8461" width="2.7109375" style="434" customWidth="1"/>
    <col min="8462" max="8463" width="8.28515625" style="434" customWidth="1"/>
    <col min="8464" max="8464" width="2.7109375" style="434" customWidth="1"/>
    <col min="8465" max="8467" width="0" style="434" hidden="1" customWidth="1"/>
    <col min="8468" max="8468" width="4.7109375" style="434" customWidth="1"/>
    <col min="8469" max="8704" width="8.85546875" style="434"/>
    <col min="8705" max="8705" width="35.7109375" style="434" customWidth="1"/>
    <col min="8706" max="8707" width="8.28515625" style="434" customWidth="1"/>
    <col min="8708" max="8708" width="2.7109375" style="434" customWidth="1"/>
    <col min="8709" max="8709" width="8.42578125" style="434" customWidth="1"/>
    <col min="8710" max="8710" width="8.28515625" style="434" customWidth="1"/>
    <col min="8711" max="8711" width="3.28515625" style="434" customWidth="1"/>
    <col min="8712" max="8713" width="8.28515625" style="434" customWidth="1"/>
    <col min="8714" max="8714" width="2.7109375" style="434" customWidth="1"/>
    <col min="8715" max="8715" width="8.28515625" style="434" customWidth="1"/>
    <col min="8716" max="8716" width="8.42578125" style="434" customWidth="1"/>
    <col min="8717" max="8717" width="2.7109375" style="434" customWidth="1"/>
    <col min="8718" max="8719" width="8.28515625" style="434" customWidth="1"/>
    <col min="8720" max="8720" width="2.7109375" style="434" customWidth="1"/>
    <col min="8721" max="8723" width="0" style="434" hidden="1" customWidth="1"/>
    <col min="8724" max="8724" width="4.7109375" style="434" customWidth="1"/>
    <col min="8725" max="8960" width="8.85546875" style="434"/>
    <col min="8961" max="8961" width="35.7109375" style="434" customWidth="1"/>
    <col min="8962" max="8963" width="8.28515625" style="434" customWidth="1"/>
    <col min="8964" max="8964" width="2.7109375" style="434" customWidth="1"/>
    <col min="8965" max="8965" width="8.42578125" style="434" customWidth="1"/>
    <col min="8966" max="8966" width="8.28515625" style="434" customWidth="1"/>
    <col min="8967" max="8967" width="3.28515625" style="434" customWidth="1"/>
    <col min="8968" max="8969" width="8.28515625" style="434" customWidth="1"/>
    <col min="8970" max="8970" width="2.7109375" style="434" customWidth="1"/>
    <col min="8971" max="8971" width="8.28515625" style="434" customWidth="1"/>
    <col min="8972" max="8972" width="8.42578125" style="434" customWidth="1"/>
    <col min="8973" max="8973" width="2.7109375" style="434" customWidth="1"/>
    <col min="8974" max="8975" width="8.28515625" style="434" customWidth="1"/>
    <col min="8976" max="8976" width="2.7109375" style="434" customWidth="1"/>
    <col min="8977" max="8979" width="0" style="434" hidden="1" customWidth="1"/>
    <col min="8980" max="8980" width="4.7109375" style="434" customWidth="1"/>
    <col min="8981" max="9216" width="8.85546875" style="434"/>
    <col min="9217" max="9217" width="35.7109375" style="434" customWidth="1"/>
    <col min="9218" max="9219" width="8.28515625" style="434" customWidth="1"/>
    <col min="9220" max="9220" width="2.7109375" style="434" customWidth="1"/>
    <col min="9221" max="9221" width="8.42578125" style="434" customWidth="1"/>
    <col min="9222" max="9222" width="8.28515625" style="434" customWidth="1"/>
    <col min="9223" max="9223" width="3.28515625" style="434" customWidth="1"/>
    <col min="9224" max="9225" width="8.28515625" style="434" customWidth="1"/>
    <col min="9226" max="9226" width="2.7109375" style="434" customWidth="1"/>
    <col min="9227" max="9227" width="8.28515625" style="434" customWidth="1"/>
    <col min="9228" max="9228" width="8.42578125" style="434" customWidth="1"/>
    <col min="9229" max="9229" width="2.7109375" style="434" customWidth="1"/>
    <col min="9230" max="9231" width="8.28515625" style="434" customWidth="1"/>
    <col min="9232" max="9232" width="2.7109375" style="434" customWidth="1"/>
    <col min="9233" max="9235" width="0" style="434" hidden="1" customWidth="1"/>
    <col min="9236" max="9236" width="4.7109375" style="434" customWidth="1"/>
    <col min="9237" max="9472" width="8.85546875" style="434"/>
    <col min="9473" max="9473" width="35.7109375" style="434" customWidth="1"/>
    <col min="9474" max="9475" width="8.28515625" style="434" customWidth="1"/>
    <col min="9476" max="9476" width="2.7109375" style="434" customWidth="1"/>
    <col min="9477" max="9477" width="8.42578125" style="434" customWidth="1"/>
    <col min="9478" max="9478" width="8.28515625" style="434" customWidth="1"/>
    <col min="9479" max="9479" width="3.28515625" style="434" customWidth="1"/>
    <col min="9480" max="9481" width="8.28515625" style="434" customWidth="1"/>
    <col min="9482" max="9482" width="2.7109375" style="434" customWidth="1"/>
    <col min="9483" max="9483" width="8.28515625" style="434" customWidth="1"/>
    <col min="9484" max="9484" width="8.42578125" style="434" customWidth="1"/>
    <col min="9485" max="9485" width="2.7109375" style="434" customWidth="1"/>
    <col min="9486" max="9487" width="8.28515625" style="434" customWidth="1"/>
    <col min="9488" max="9488" width="2.7109375" style="434" customWidth="1"/>
    <col min="9489" max="9491" width="0" style="434" hidden="1" customWidth="1"/>
    <col min="9492" max="9492" width="4.7109375" style="434" customWidth="1"/>
    <col min="9493" max="9728" width="8.85546875" style="434"/>
    <col min="9729" max="9729" width="35.7109375" style="434" customWidth="1"/>
    <col min="9730" max="9731" width="8.28515625" style="434" customWidth="1"/>
    <col min="9732" max="9732" width="2.7109375" style="434" customWidth="1"/>
    <col min="9733" max="9733" width="8.42578125" style="434" customWidth="1"/>
    <col min="9734" max="9734" width="8.28515625" style="434" customWidth="1"/>
    <col min="9735" max="9735" width="3.28515625" style="434" customWidth="1"/>
    <col min="9736" max="9737" width="8.28515625" style="434" customWidth="1"/>
    <col min="9738" max="9738" width="2.7109375" style="434" customWidth="1"/>
    <col min="9739" max="9739" width="8.28515625" style="434" customWidth="1"/>
    <col min="9740" max="9740" width="8.42578125" style="434" customWidth="1"/>
    <col min="9741" max="9741" width="2.7109375" style="434" customWidth="1"/>
    <col min="9742" max="9743" width="8.28515625" style="434" customWidth="1"/>
    <col min="9744" max="9744" width="2.7109375" style="434" customWidth="1"/>
    <col min="9745" max="9747" width="0" style="434" hidden="1" customWidth="1"/>
    <col min="9748" max="9748" width="4.7109375" style="434" customWidth="1"/>
    <col min="9749" max="9984" width="8.85546875" style="434"/>
    <col min="9985" max="9985" width="35.7109375" style="434" customWidth="1"/>
    <col min="9986" max="9987" width="8.28515625" style="434" customWidth="1"/>
    <col min="9988" max="9988" width="2.7109375" style="434" customWidth="1"/>
    <col min="9989" max="9989" width="8.42578125" style="434" customWidth="1"/>
    <col min="9990" max="9990" width="8.28515625" style="434" customWidth="1"/>
    <col min="9991" max="9991" width="3.28515625" style="434" customWidth="1"/>
    <col min="9992" max="9993" width="8.28515625" style="434" customWidth="1"/>
    <col min="9994" max="9994" width="2.7109375" style="434" customWidth="1"/>
    <col min="9995" max="9995" width="8.28515625" style="434" customWidth="1"/>
    <col min="9996" max="9996" width="8.42578125" style="434" customWidth="1"/>
    <col min="9997" max="9997" width="2.7109375" style="434" customWidth="1"/>
    <col min="9998" max="9999" width="8.28515625" style="434" customWidth="1"/>
    <col min="10000" max="10000" width="2.7109375" style="434" customWidth="1"/>
    <col min="10001" max="10003" width="0" style="434" hidden="1" customWidth="1"/>
    <col min="10004" max="10004" width="4.7109375" style="434" customWidth="1"/>
    <col min="10005" max="10240" width="8.85546875" style="434"/>
    <col min="10241" max="10241" width="35.7109375" style="434" customWidth="1"/>
    <col min="10242" max="10243" width="8.28515625" style="434" customWidth="1"/>
    <col min="10244" max="10244" width="2.7109375" style="434" customWidth="1"/>
    <col min="10245" max="10245" width="8.42578125" style="434" customWidth="1"/>
    <col min="10246" max="10246" width="8.28515625" style="434" customWidth="1"/>
    <col min="10247" max="10247" width="3.28515625" style="434" customWidth="1"/>
    <col min="10248" max="10249" width="8.28515625" style="434" customWidth="1"/>
    <col min="10250" max="10250" width="2.7109375" style="434" customWidth="1"/>
    <col min="10251" max="10251" width="8.28515625" style="434" customWidth="1"/>
    <col min="10252" max="10252" width="8.42578125" style="434" customWidth="1"/>
    <col min="10253" max="10253" width="2.7109375" style="434" customWidth="1"/>
    <col min="10254" max="10255" width="8.28515625" style="434" customWidth="1"/>
    <col min="10256" max="10256" width="2.7109375" style="434" customWidth="1"/>
    <col min="10257" max="10259" width="0" style="434" hidden="1" customWidth="1"/>
    <col min="10260" max="10260" width="4.7109375" style="434" customWidth="1"/>
    <col min="10261" max="10496" width="8.85546875" style="434"/>
    <col min="10497" max="10497" width="35.7109375" style="434" customWidth="1"/>
    <col min="10498" max="10499" width="8.28515625" style="434" customWidth="1"/>
    <col min="10500" max="10500" width="2.7109375" style="434" customWidth="1"/>
    <col min="10501" max="10501" width="8.42578125" style="434" customWidth="1"/>
    <col min="10502" max="10502" width="8.28515625" style="434" customWidth="1"/>
    <col min="10503" max="10503" width="3.28515625" style="434" customWidth="1"/>
    <col min="10504" max="10505" width="8.28515625" style="434" customWidth="1"/>
    <col min="10506" max="10506" width="2.7109375" style="434" customWidth="1"/>
    <col min="10507" max="10507" width="8.28515625" style="434" customWidth="1"/>
    <col min="10508" max="10508" width="8.42578125" style="434" customWidth="1"/>
    <col min="10509" max="10509" width="2.7109375" style="434" customWidth="1"/>
    <col min="10510" max="10511" width="8.28515625" style="434" customWidth="1"/>
    <col min="10512" max="10512" width="2.7109375" style="434" customWidth="1"/>
    <col min="10513" max="10515" width="0" style="434" hidden="1" customWidth="1"/>
    <col min="10516" max="10516" width="4.7109375" style="434" customWidth="1"/>
    <col min="10517" max="10752" width="8.85546875" style="434"/>
    <col min="10753" max="10753" width="35.7109375" style="434" customWidth="1"/>
    <col min="10754" max="10755" width="8.28515625" style="434" customWidth="1"/>
    <col min="10756" max="10756" width="2.7109375" style="434" customWidth="1"/>
    <col min="10757" max="10757" width="8.42578125" style="434" customWidth="1"/>
    <col min="10758" max="10758" width="8.28515625" style="434" customWidth="1"/>
    <col min="10759" max="10759" width="3.28515625" style="434" customWidth="1"/>
    <col min="10760" max="10761" width="8.28515625" style="434" customWidth="1"/>
    <col min="10762" max="10762" width="2.7109375" style="434" customWidth="1"/>
    <col min="10763" max="10763" width="8.28515625" style="434" customWidth="1"/>
    <col min="10764" max="10764" width="8.42578125" style="434" customWidth="1"/>
    <col min="10765" max="10765" width="2.7109375" style="434" customWidth="1"/>
    <col min="10766" max="10767" width="8.28515625" style="434" customWidth="1"/>
    <col min="10768" max="10768" width="2.7109375" style="434" customWidth="1"/>
    <col min="10769" max="10771" width="0" style="434" hidden="1" customWidth="1"/>
    <col min="10772" max="10772" width="4.7109375" style="434" customWidth="1"/>
    <col min="10773" max="11008" width="8.85546875" style="434"/>
    <col min="11009" max="11009" width="35.7109375" style="434" customWidth="1"/>
    <col min="11010" max="11011" width="8.28515625" style="434" customWidth="1"/>
    <col min="11012" max="11012" width="2.7109375" style="434" customWidth="1"/>
    <col min="11013" max="11013" width="8.42578125" style="434" customWidth="1"/>
    <col min="11014" max="11014" width="8.28515625" style="434" customWidth="1"/>
    <col min="11015" max="11015" width="3.28515625" style="434" customWidth="1"/>
    <col min="11016" max="11017" width="8.28515625" style="434" customWidth="1"/>
    <col min="11018" max="11018" width="2.7109375" style="434" customWidth="1"/>
    <col min="11019" max="11019" width="8.28515625" style="434" customWidth="1"/>
    <col min="11020" max="11020" width="8.42578125" style="434" customWidth="1"/>
    <col min="11021" max="11021" width="2.7109375" style="434" customWidth="1"/>
    <col min="11022" max="11023" width="8.28515625" style="434" customWidth="1"/>
    <col min="11024" max="11024" width="2.7109375" style="434" customWidth="1"/>
    <col min="11025" max="11027" width="0" style="434" hidden="1" customWidth="1"/>
    <col min="11028" max="11028" width="4.7109375" style="434" customWidth="1"/>
    <col min="11029" max="11264" width="8.85546875" style="434"/>
    <col min="11265" max="11265" width="35.7109375" style="434" customWidth="1"/>
    <col min="11266" max="11267" width="8.28515625" style="434" customWidth="1"/>
    <col min="11268" max="11268" width="2.7109375" style="434" customWidth="1"/>
    <col min="11269" max="11269" width="8.42578125" style="434" customWidth="1"/>
    <col min="11270" max="11270" width="8.28515625" style="434" customWidth="1"/>
    <col min="11271" max="11271" width="3.28515625" style="434" customWidth="1"/>
    <col min="11272" max="11273" width="8.28515625" style="434" customWidth="1"/>
    <col min="11274" max="11274" width="2.7109375" style="434" customWidth="1"/>
    <col min="11275" max="11275" width="8.28515625" style="434" customWidth="1"/>
    <col min="11276" max="11276" width="8.42578125" style="434" customWidth="1"/>
    <col min="11277" max="11277" width="2.7109375" style="434" customWidth="1"/>
    <col min="11278" max="11279" width="8.28515625" style="434" customWidth="1"/>
    <col min="11280" max="11280" width="2.7109375" style="434" customWidth="1"/>
    <col min="11281" max="11283" width="0" style="434" hidden="1" customWidth="1"/>
    <col min="11284" max="11284" width="4.7109375" style="434" customWidth="1"/>
    <col min="11285" max="11520" width="8.85546875" style="434"/>
    <col min="11521" max="11521" width="35.7109375" style="434" customWidth="1"/>
    <col min="11522" max="11523" width="8.28515625" style="434" customWidth="1"/>
    <col min="11524" max="11524" width="2.7109375" style="434" customWidth="1"/>
    <col min="11525" max="11525" width="8.42578125" style="434" customWidth="1"/>
    <col min="11526" max="11526" width="8.28515625" style="434" customWidth="1"/>
    <col min="11527" max="11527" width="3.28515625" style="434" customWidth="1"/>
    <col min="11528" max="11529" width="8.28515625" style="434" customWidth="1"/>
    <col min="11530" max="11530" width="2.7109375" style="434" customWidth="1"/>
    <col min="11531" max="11531" width="8.28515625" style="434" customWidth="1"/>
    <col min="11532" max="11532" width="8.42578125" style="434" customWidth="1"/>
    <col min="11533" max="11533" width="2.7109375" style="434" customWidth="1"/>
    <col min="11534" max="11535" width="8.28515625" style="434" customWidth="1"/>
    <col min="11536" max="11536" width="2.7109375" style="434" customWidth="1"/>
    <col min="11537" max="11539" width="0" style="434" hidden="1" customWidth="1"/>
    <col min="11540" max="11540" width="4.7109375" style="434" customWidth="1"/>
    <col min="11541" max="11776" width="8.85546875" style="434"/>
    <col min="11777" max="11777" width="35.7109375" style="434" customWidth="1"/>
    <col min="11778" max="11779" width="8.28515625" style="434" customWidth="1"/>
    <col min="11780" max="11780" width="2.7109375" style="434" customWidth="1"/>
    <col min="11781" max="11781" width="8.42578125" style="434" customWidth="1"/>
    <col min="11782" max="11782" width="8.28515625" style="434" customWidth="1"/>
    <col min="11783" max="11783" width="3.28515625" style="434" customWidth="1"/>
    <col min="11784" max="11785" width="8.28515625" style="434" customWidth="1"/>
    <col min="11786" max="11786" width="2.7109375" style="434" customWidth="1"/>
    <col min="11787" max="11787" width="8.28515625" style="434" customWidth="1"/>
    <col min="11788" max="11788" width="8.42578125" style="434" customWidth="1"/>
    <col min="11789" max="11789" width="2.7109375" style="434" customWidth="1"/>
    <col min="11790" max="11791" width="8.28515625" style="434" customWidth="1"/>
    <col min="11792" max="11792" width="2.7109375" style="434" customWidth="1"/>
    <col min="11793" max="11795" width="0" style="434" hidden="1" customWidth="1"/>
    <col min="11796" max="11796" width="4.7109375" style="434" customWidth="1"/>
    <col min="11797" max="12032" width="8.85546875" style="434"/>
    <col min="12033" max="12033" width="35.7109375" style="434" customWidth="1"/>
    <col min="12034" max="12035" width="8.28515625" style="434" customWidth="1"/>
    <col min="12036" max="12036" width="2.7109375" style="434" customWidth="1"/>
    <col min="12037" max="12037" width="8.42578125" style="434" customWidth="1"/>
    <col min="12038" max="12038" width="8.28515625" style="434" customWidth="1"/>
    <col min="12039" max="12039" width="3.28515625" style="434" customWidth="1"/>
    <col min="12040" max="12041" width="8.28515625" style="434" customWidth="1"/>
    <col min="12042" max="12042" width="2.7109375" style="434" customWidth="1"/>
    <col min="12043" max="12043" width="8.28515625" style="434" customWidth="1"/>
    <col min="12044" max="12044" width="8.42578125" style="434" customWidth="1"/>
    <col min="12045" max="12045" width="2.7109375" style="434" customWidth="1"/>
    <col min="12046" max="12047" width="8.28515625" style="434" customWidth="1"/>
    <col min="12048" max="12048" width="2.7109375" style="434" customWidth="1"/>
    <col min="12049" max="12051" width="0" style="434" hidden="1" customWidth="1"/>
    <col min="12052" max="12052" width="4.7109375" style="434" customWidth="1"/>
    <col min="12053" max="12288" width="8.85546875" style="434"/>
    <col min="12289" max="12289" width="35.7109375" style="434" customWidth="1"/>
    <col min="12290" max="12291" width="8.28515625" style="434" customWidth="1"/>
    <col min="12292" max="12292" width="2.7109375" style="434" customWidth="1"/>
    <col min="12293" max="12293" width="8.42578125" style="434" customWidth="1"/>
    <col min="12294" max="12294" width="8.28515625" style="434" customWidth="1"/>
    <col min="12295" max="12295" width="3.28515625" style="434" customWidth="1"/>
    <col min="12296" max="12297" width="8.28515625" style="434" customWidth="1"/>
    <col min="12298" max="12298" width="2.7109375" style="434" customWidth="1"/>
    <col min="12299" max="12299" width="8.28515625" style="434" customWidth="1"/>
    <col min="12300" max="12300" width="8.42578125" style="434" customWidth="1"/>
    <col min="12301" max="12301" width="2.7109375" style="434" customWidth="1"/>
    <col min="12302" max="12303" width="8.28515625" style="434" customWidth="1"/>
    <col min="12304" max="12304" width="2.7109375" style="434" customWidth="1"/>
    <col min="12305" max="12307" width="0" style="434" hidden="1" customWidth="1"/>
    <col min="12308" max="12308" width="4.7109375" style="434" customWidth="1"/>
    <col min="12309" max="12544" width="8.85546875" style="434"/>
    <col min="12545" max="12545" width="35.7109375" style="434" customWidth="1"/>
    <col min="12546" max="12547" width="8.28515625" style="434" customWidth="1"/>
    <col min="12548" max="12548" width="2.7109375" style="434" customWidth="1"/>
    <col min="12549" max="12549" width="8.42578125" style="434" customWidth="1"/>
    <col min="12550" max="12550" width="8.28515625" style="434" customWidth="1"/>
    <col min="12551" max="12551" width="3.28515625" style="434" customWidth="1"/>
    <col min="12552" max="12553" width="8.28515625" style="434" customWidth="1"/>
    <col min="12554" max="12554" width="2.7109375" style="434" customWidth="1"/>
    <col min="12555" max="12555" width="8.28515625" style="434" customWidth="1"/>
    <col min="12556" max="12556" width="8.42578125" style="434" customWidth="1"/>
    <col min="12557" max="12557" width="2.7109375" style="434" customWidth="1"/>
    <col min="12558" max="12559" width="8.28515625" style="434" customWidth="1"/>
    <col min="12560" max="12560" width="2.7109375" style="434" customWidth="1"/>
    <col min="12561" max="12563" width="0" style="434" hidden="1" customWidth="1"/>
    <col min="12564" max="12564" width="4.7109375" style="434" customWidth="1"/>
    <col min="12565" max="12800" width="8.85546875" style="434"/>
    <col min="12801" max="12801" width="35.7109375" style="434" customWidth="1"/>
    <col min="12802" max="12803" width="8.28515625" style="434" customWidth="1"/>
    <col min="12804" max="12804" width="2.7109375" style="434" customWidth="1"/>
    <col min="12805" max="12805" width="8.42578125" style="434" customWidth="1"/>
    <col min="12806" max="12806" width="8.28515625" style="434" customWidth="1"/>
    <col min="12807" max="12807" width="3.28515625" style="434" customWidth="1"/>
    <col min="12808" max="12809" width="8.28515625" style="434" customWidth="1"/>
    <col min="12810" max="12810" width="2.7109375" style="434" customWidth="1"/>
    <col min="12811" max="12811" width="8.28515625" style="434" customWidth="1"/>
    <col min="12812" max="12812" width="8.42578125" style="434" customWidth="1"/>
    <col min="12813" max="12813" width="2.7109375" style="434" customWidth="1"/>
    <col min="12814" max="12815" width="8.28515625" style="434" customWidth="1"/>
    <col min="12816" max="12816" width="2.7109375" style="434" customWidth="1"/>
    <col min="12817" max="12819" width="0" style="434" hidden="1" customWidth="1"/>
    <col min="12820" max="12820" width="4.7109375" style="434" customWidth="1"/>
    <col min="12821" max="13056" width="8.85546875" style="434"/>
    <col min="13057" max="13057" width="35.7109375" style="434" customWidth="1"/>
    <col min="13058" max="13059" width="8.28515625" style="434" customWidth="1"/>
    <col min="13060" max="13060" width="2.7109375" style="434" customWidth="1"/>
    <col min="13061" max="13061" width="8.42578125" style="434" customWidth="1"/>
    <col min="13062" max="13062" width="8.28515625" style="434" customWidth="1"/>
    <col min="13063" max="13063" width="3.28515625" style="434" customWidth="1"/>
    <col min="13064" max="13065" width="8.28515625" style="434" customWidth="1"/>
    <col min="13066" max="13066" width="2.7109375" style="434" customWidth="1"/>
    <col min="13067" max="13067" width="8.28515625" style="434" customWidth="1"/>
    <col min="13068" max="13068" width="8.42578125" style="434" customWidth="1"/>
    <col min="13069" max="13069" width="2.7109375" style="434" customWidth="1"/>
    <col min="13070" max="13071" width="8.28515625" style="434" customWidth="1"/>
    <col min="13072" max="13072" width="2.7109375" style="434" customWidth="1"/>
    <col min="13073" max="13075" width="0" style="434" hidden="1" customWidth="1"/>
    <col min="13076" max="13076" width="4.7109375" style="434" customWidth="1"/>
    <col min="13077" max="13312" width="8.85546875" style="434"/>
    <col min="13313" max="13313" width="35.7109375" style="434" customWidth="1"/>
    <col min="13314" max="13315" width="8.28515625" style="434" customWidth="1"/>
    <col min="13316" max="13316" width="2.7109375" style="434" customWidth="1"/>
    <col min="13317" max="13317" width="8.42578125" style="434" customWidth="1"/>
    <col min="13318" max="13318" width="8.28515625" style="434" customWidth="1"/>
    <col min="13319" max="13319" width="3.28515625" style="434" customWidth="1"/>
    <col min="13320" max="13321" width="8.28515625" style="434" customWidth="1"/>
    <col min="13322" max="13322" width="2.7109375" style="434" customWidth="1"/>
    <col min="13323" max="13323" width="8.28515625" style="434" customWidth="1"/>
    <col min="13324" max="13324" width="8.42578125" style="434" customWidth="1"/>
    <col min="13325" max="13325" width="2.7109375" style="434" customWidth="1"/>
    <col min="13326" max="13327" width="8.28515625" style="434" customWidth="1"/>
    <col min="13328" max="13328" width="2.7109375" style="434" customWidth="1"/>
    <col min="13329" max="13331" width="0" style="434" hidden="1" customWidth="1"/>
    <col min="13332" max="13332" width="4.7109375" style="434" customWidth="1"/>
    <col min="13333" max="13568" width="8.85546875" style="434"/>
    <col min="13569" max="13569" width="35.7109375" style="434" customWidth="1"/>
    <col min="13570" max="13571" width="8.28515625" style="434" customWidth="1"/>
    <col min="13572" max="13572" width="2.7109375" style="434" customWidth="1"/>
    <col min="13573" max="13573" width="8.42578125" style="434" customWidth="1"/>
    <col min="13574" max="13574" width="8.28515625" style="434" customWidth="1"/>
    <col min="13575" max="13575" width="3.28515625" style="434" customWidth="1"/>
    <col min="13576" max="13577" width="8.28515625" style="434" customWidth="1"/>
    <col min="13578" max="13578" width="2.7109375" style="434" customWidth="1"/>
    <col min="13579" max="13579" width="8.28515625" style="434" customWidth="1"/>
    <col min="13580" max="13580" width="8.42578125" style="434" customWidth="1"/>
    <col min="13581" max="13581" width="2.7109375" style="434" customWidth="1"/>
    <col min="13582" max="13583" width="8.28515625" style="434" customWidth="1"/>
    <col min="13584" max="13584" width="2.7109375" style="434" customWidth="1"/>
    <col min="13585" max="13587" width="0" style="434" hidden="1" customWidth="1"/>
    <col min="13588" max="13588" width="4.7109375" style="434" customWidth="1"/>
    <col min="13589" max="13824" width="8.85546875" style="434"/>
    <col min="13825" max="13825" width="35.7109375" style="434" customWidth="1"/>
    <col min="13826" max="13827" width="8.28515625" style="434" customWidth="1"/>
    <col min="13828" max="13828" width="2.7109375" style="434" customWidth="1"/>
    <col min="13829" max="13829" width="8.42578125" style="434" customWidth="1"/>
    <col min="13830" max="13830" width="8.28515625" style="434" customWidth="1"/>
    <col min="13831" max="13831" width="3.28515625" style="434" customWidth="1"/>
    <col min="13832" max="13833" width="8.28515625" style="434" customWidth="1"/>
    <col min="13834" max="13834" width="2.7109375" style="434" customWidth="1"/>
    <col min="13835" max="13835" width="8.28515625" style="434" customWidth="1"/>
    <col min="13836" max="13836" width="8.42578125" style="434" customWidth="1"/>
    <col min="13837" max="13837" width="2.7109375" style="434" customWidth="1"/>
    <col min="13838" max="13839" width="8.28515625" style="434" customWidth="1"/>
    <col min="13840" max="13840" width="2.7109375" style="434" customWidth="1"/>
    <col min="13841" max="13843" width="0" style="434" hidden="1" customWidth="1"/>
    <col min="13844" max="13844" width="4.7109375" style="434" customWidth="1"/>
    <col min="13845" max="14080" width="8.85546875" style="434"/>
    <col min="14081" max="14081" width="35.7109375" style="434" customWidth="1"/>
    <col min="14082" max="14083" width="8.28515625" style="434" customWidth="1"/>
    <col min="14084" max="14084" width="2.7109375" style="434" customWidth="1"/>
    <col min="14085" max="14085" width="8.42578125" style="434" customWidth="1"/>
    <col min="14086" max="14086" width="8.28515625" style="434" customWidth="1"/>
    <col min="14087" max="14087" width="3.28515625" style="434" customWidth="1"/>
    <col min="14088" max="14089" width="8.28515625" style="434" customWidth="1"/>
    <col min="14090" max="14090" width="2.7109375" style="434" customWidth="1"/>
    <col min="14091" max="14091" width="8.28515625" style="434" customWidth="1"/>
    <col min="14092" max="14092" width="8.42578125" style="434" customWidth="1"/>
    <col min="14093" max="14093" width="2.7109375" style="434" customWidth="1"/>
    <col min="14094" max="14095" width="8.28515625" style="434" customWidth="1"/>
    <col min="14096" max="14096" width="2.7109375" style="434" customWidth="1"/>
    <col min="14097" max="14099" width="0" style="434" hidden="1" customWidth="1"/>
    <col min="14100" max="14100" width="4.7109375" style="434" customWidth="1"/>
    <col min="14101" max="14336" width="8.85546875" style="434"/>
    <col min="14337" max="14337" width="35.7109375" style="434" customWidth="1"/>
    <col min="14338" max="14339" width="8.28515625" style="434" customWidth="1"/>
    <col min="14340" max="14340" width="2.7109375" style="434" customWidth="1"/>
    <col min="14341" max="14341" width="8.42578125" style="434" customWidth="1"/>
    <col min="14342" max="14342" width="8.28515625" style="434" customWidth="1"/>
    <col min="14343" max="14343" width="3.28515625" style="434" customWidth="1"/>
    <col min="14344" max="14345" width="8.28515625" style="434" customWidth="1"/>
    <col min="14346" max="14346" width="2.7109375" style="434" customWidth="1"/>
    <col min="14347" max="14347" width="8.28515625" style="434" customWidth="1"/>
    <col min="14348" max="14348" width="8.42578125" style="434" customWidth="1"/>
    <col min="14349" max="14349" width="2.7109375" style="434" customWidth="1"/>
    <col min="14350" max="14351" width="8.28515625" style="434" customWidth="1"/>
    <col min="14352" max="14352" width="2.7109375" style="434" customWidth="1"/>
    <col min="14353" max="14355" width="0" style="434" hidden="1" customWidth="1"/>
    <col min="14356" max="14356" width="4.7109375" style="434" customWidth="1"/>
    <col min="14357" max="14592" width="8.85546875" style="434"/>
    <col min="14593" max="14593" width="35.7109375" style="434" customWidth="1"/>
    <col min="14594" max="14595" width="8.28515625" style="434" customWidth="1"/>
    <col min="14596" max="14596" width="2.7109375" style="434" customWidth="1"/>
    <col min="14597" max="14597" width="8.42578125" style="434" customWidth="1"/>
    <col min="14598" max="14598" width="8.28515625" style="434" customWidth="1"/>
    <col min="14599" max="14599" width="3.28515625" style="434" customWidth="1"/>
    <col min="14600" max="14601" width="8.28515625" style="434" customWidth="1"/>
    <col min="14602" max="14602" width="2.7109375" style="434" customWidth="1"/>
    <col min="14603" max="14603" width="8.28515625" style="434" customWidth="1"/>
    <col min="14604" max="14604" width="8.42578125" style="434" customWidth="1"/>
    <col min="14605" max="14605" width="2.7109375" style="434" customWidth="1"/>
    <col min="14606" max="14607" width="8.28515625" style="434" customWidth="1"/>
    <col min="14608" max="14608" width="2.7109375" style="434" customWidth="1"/>
    <col min="14609" max="14611" width="0" style="434" hidden="1" customWidth="1"/>
    <col min="14612" max="14612" width="4.7109375" style="434" customWidth="1"/>
    <col min="14613" max="14848" width="8.85546875" style="434"/>
    <col min="14849" max="14849" width="35.7109375" style="434" customWidth="1"/>
    <col min="14850" max="14851" width="8.28515625" style="434" customWidth="1"/>
    <col min="14852" max="14852" width="2.7109375" style="434" customWidth="1"/>
    <col min="14853" max="14853" width="8.42578125" style="434" customWidth="1"/>
    <col min="14854" max="14854" width="8.28515625" style="434" customWidth="1"/>
    <col min="14855" max="14855" width="3.28515625" style="434" customWidth="1"/>
    <col min="14856" max="14857" width="8.28515625" style="434" customWidth="1"/>
    <col min="14858" max="14858" width="2.7109375" style="434" customWidth="1"/>
    <col min="14859" max="14859" width="8.28515625" style="434" customWidth="1"/>
    <col min="14860" max="14860" width="8.42578125" style="434" customWidth="1"/>
    <col min="14861" max="14861" width="2.7109375" style="434" customWidth="1"/>
    <col min="14862" max="14863" width="8.28515625" style="434" customWidth="1"/>
    <col min="14864" max="14864" width="2.7109375" style="434" customWidth="1"/>
    <col min="14865" max="14867" width="0" style="434" hidden="1" customWidth="1"/>
    <col min="14868" max="14868" width="4.7109375" style="434" customWidth="1"/>
    <col min="14869" max="15104" width="8.85546875" style="434"/>
    <col min="15105" max="15105" width="35.7109375" style="434" customWidth="1"/>
    <col min="15106" max="15107" width="8.28515625" style="434" customWidth="1"/>
    <col min="15108" max="15108" width="2.7109375" style="434" customWidth="1"/>
    <col min="15109" max="15109" width="8.42578125" style="434" customWidth="1"/>
    <col min="15110" max="15110" width="8.28515625" style="434" customWidth="1"/>
    <col min="15111" max="15111" width="3.28515625" style="434" customWidth="1"/>
    <col min="15112" max="15113" width="8.28515625" style="434" customWidth="1"/>
    <col min="15114" max="15114" width="2.7109375" style="434" customWidth="1"/>
    <col min="15115" max="15115" width="8.28515625" style="434" customWidth="1"/>
    <col min="15116" max="15116" width="8.42578125" style="434" customWidth="1"/>
    <col min="15117" max="15117" width="2.7109375" style="434" customWidth="1"/>
    <col min="15118" max="15119" width="8.28515625" style="434" customWidth="1"/>
    <col min="15120" max="15120" width="2.7109375" style="434" customWidth="1"/>
    <col min="15121" max="15123" width="0" style="434" hidden="1" customWidth="1"/>
    <col min="15124" max="15124" width="4.7109375" style="434" customWidth="1"/>
    <col min="15125" max="15360" width="8.85546875" style="434"/>
    <col min="15361" max="15361" width="35.7109375" style="434" customWidth="1"/>
    <col min="15362" max="15363" width="8.28515625" style="434" customWidth="1"/>
    <col min="15364" max="15364" width="2.7109375" style="434" customWidth="1"/>
    <col min="15365" max="15365" width="8.42578125" style="434" customWidth="1"/>
    <col min="15366" max="15366" width="8.28515625" style="434" customWidth="1"/>
    <col min="15367" max="15367" width="3.28515625" style="434" customWidth="1"/>
    <col min="15368" max="15369" width="8.28515625" style="434" customWidth="1"/>
    <col min="15370" max="15370" width="2.7109375" style="434" customWidth="1"/>
    <col min="15371" max="15371" width="8.28515625" style="434" customWidth="1"/>
    <col min="15372" max="15372" width="8.42578125" style="434" customWidth="1"/>
    <col min="15373" max="15373" width="2.7109375" style="434" customWidth="1"/>
    <col min="15374" max="15375" width="8.28515625" style="434" customWidth="1"/>
    <col min="15376" max="15376" width="2.7109375" style="434" customWidth="1"/>
    <col min="15377" max="15379" width="0" style="434" hidden="1" customWidth="1"/>
    <col min="15380" max="15380" width="4.7109375" style="434" customWidth="1"/>
    <col min="15381" max="15616" width="8.85546875" style="434"/>
    <col min="15617" max="15617" width="35.7109375" style="434" customWidth="1"/>
    <col min="15618" max="15619" width="8.28515625" style="434" customWidth="1"/>
    <col min="15620" max="15620" width="2.7109375" style="434" customWidth="1"/>
    <col min="15621" max="15621" width="8.42578125" style="434" customWidth="1"/>
    <col min="15622" max="15622" width="8.28515625" style="434" customWidth="1"/>
    <col min="15623" max="15623" width="3.28515625" style="434" customWidth="1"/>
    <col min="15624" max="15625" width="8.28515625" style="434" customWidth="1"/>
    <col min="15626" max="15626" width="2.7109375" style="434" customWidth="1"/>
    <col min="15627" max="15627" width="8.28515625" style="434" customWidth="1"/>
    <col min="15628" max="15628" width="8.42578125" style="434" customWidth="1"/>
    <col min="15629" max="15629" width="2.7109375" style="434" customWidth="1"/>
    <col min="15630" max="15631" width="8.28515625" style="434" customWidth="1"/>
    <col min="15632" max="15632" width="2.7109375" style="434" customWidth="1"/>
    <col min="15633" max="15635" width="0" style="434" hidden="1" customWidth="1"/>
    <col min="15636" max="15636" width="4.7109375" style="434" customWidth="1"/>
    <col min="15637" max="15872" width="8.85546875" style="434"/>
    <col min="15873" max="15873" width="35.7109375" style="434" customWidth="1"/>
    <col min="15874" max="15875" width="8.28515625" style="434" customWidth="1"/>
    <col min="15876" max="15876" width="2.7109375" style="434" customWidth="1"/>
    <col min="15877" max="15877" width="8.42578125" style="434" customWidth="1"/>
    <col min="15878" max="15878" width="8.28515625" style="434" customWidth="1"/>
    <col min="15879" max="15879" width="3.28515625" style="434" customWidth="1"/>
    <col min="15880" max="15881" width="8.28515625" style="434" customWidth="1"/>
    <col min="15882" max="15882" width="2.7109375" style="434" customWidth="1"/>
    <col min="15883" max="15883" width="8.28515625" style="434" customWidth="1"/>
    <col min="15884" max="15884" width="8.42578125" style="434" customWidth="1"/>
    <col min="15885" max="15885" width="2.7109375" style="434" customWidth="1"/>
    <col min="15886" max="15887" width="8.28515625" style="434" customWidth="1"/>
    <col min="15888" max="15888" width="2.7109375" style="434" customWidth="1"/>
    <col min="15889" max="15891" width="0" style="434" hidden="1" customWidth="1"/>
    <col min="15892" max="15892" width="4.7109375" style="434" customWidth="1"/>
    <col min="15893" max="16128" width="8.85546875" style="434"/>
    <col min="16129" max="16129" width="35.7109375" style="434" customWidth="1"/>
    <col min="16130" max="16131" width="8.28515625" style="434" customWidth="1"/>
    <col min="16132" max="16132" width="2.7109375" style="434" customWidth="1"/>
    <col min="16133" max="16133" width="8.42578125" style="434" customWidth="1"/>
    <col min="16134" max="16134" width="8.28515625" style="434" customWidth="1"/>
    <col min="16135" max="16135" width="3.28515625" style="434" customWidth="1"/>
    <col min="16136" max="16137" width="8.28515625" style="434" customWidth="1"/>
    <col min="16138" max="16138" width="2.7109375" style="434" customWidth="1"/>
    <col min="16139" max="16139" width="8.28515625" style="434" customWidth="1"/>
    <col min="16140" max="16140" width="8.42578125" style="434" customWidth="1"/>
    <col min="16141" max="16141" width="2.7109375" style="434" customWidth="1"/>
    <col min="16142" max="16143" width="8.28515625" style="434" customWidth="1"/>
    <col min="16144" max="16144" width="2.7109375" style="434" customWidth="1"/>
    <col min="16145" max="16147" width="0" style="434" hidden="1" customWidth="1"/>
    <col min="16148" max="16148" width="4.7109375" style="434" customWidth="1"/>
    <col min="16149" max="16384" width="8.85546875" style="434"/>
  </cols>
  <sheetData>
    <row r="1" spans="1:19">
      <c r="A1" s="434" t="s">
        <v>0</v>
      </c>
      <c r="F1" s="434"/>
      <c r="H1" s="434"/>
    </row>
    <row r="2" spans="1:19">
      <c r="A2" s="434" t="s">
        <v>1</v>
      </c>
    </row>
    <row r="3" spans="1:19" ht="9.9499999999999993" customHeight="1"/>
    <row r="4" spans="1:19">
      <c r="A4" s="42" t="s">
        <v>813</v>
      </c>
    </row>
    <row r="5" spans="1:19" ht="9.9499999999999993" customHeight="1" thickBot="1">
      <c r="S5" s="436"/>
    </row>
    <row r="6" spans="1:19">
      <c r="A6" s="437"/>
      <c r="B6" s="438"/>
      <c r="C6" s="439"/>
      <c r="D6" s="437"/>
      <c r="E6" s="438"/>
      <c r="F6" s="439"/>
      <c r="G6" s="437"/>
      <c r="H6" s="438"/>
      <c r="I6" s="439"/>
      <c r="J6" s="437"/>
      <c r="K6" s="438"/>
      <c r="L6" s="439"/>
      <c r="M6" s="437"/>
      <c r="N6" s="438"/>
      <c r="O6" s="439"/>
      <c r="P6" s="437"/>
      <c r="Q6" s="438"/>
      <c r="R6" s="439"/>
      <c r="S6" s="439"/>
    </row>
    <row r="7" spans="1:19" ht="14.25">
      <c r="A7" s="440" t="s">
        <v>814</v>
      </c>
      <c r="B7" s="441" t="s">
        <v>371</v>
      </c>
      <c r="C7" s="442"/>
      <c r="D7" s="440"/>
      <c r="E7" s="1266" t="s">
        <v>962</v>
      </c>
      <c r="F7" s="1266"/>
      <c r="G7" s="440"/>
      <c r="H7" s="441" t="s">
        <v>1084</v>
      </c>
      <c r="I7" s="442"/>
      <c r="J7" s="440"/>
      <c r="K7" s="1266" t="s">
        <v>803</v>
      </c>
      <c r="L7" s="1266"/>
      <c r="M7" s="440"/>
      <c r="N7" s="1266" t="s">
        <v>804</v>
      </c>
      <c r="O7" s="1266"/>
      <c r="P7" s="440"/>
      <c r="Q7" s="441" t="s">
        <v>817</v>
      </c>
      <c r="R7" s="442"/>
    </row>
    <row r="8" spans="1:19">
      <c r="A8" s="440" t="s">
        <v>818</v>
      </c>
      <c r="B8" s="443" t="s">
        <v>323</v>
      </c>
      <c r="C8" s="444" t="s">
        <v>324</v>
      </c>
      <c r="D8" s="440"/>
      <c r="E8" s="443" t="s">
        <v>323</v>
      </c>
      <c r="F8" s="444" t="s">
        <v>324</v>
      </c>
      <c r="G8" s="440"/>
      <c r="H8" s="443" t="s">
        <v>323</v>
      </c>
      <c r="I8" s="444" t="s">
        <v>324</v>
      </c>
      <c r="J8" s="440"/>
      <c r="K8" s="443" t="s">
        <v>323</v>
      </c>
      <c r="L8" s="444" t="s">
        <v>324</v>
      </c>
      <c r="M8" s="440"/>
      <c r="N8" s="443" t="s">
        <v>323</v>
      </c>
      <c r="O8" s="444" t="s">
        <v>324</v>
      </c>
      <c r="P8" s="440"/>
      <c r="Q8" s="443" t="s">
        <v>323</v>
      </c>
      <c r="R8" s="444" t="s">
        <v>324</v>
      </c>
      <c r="S8" s="440"/>
    </row>
    <row r="9" spans="1:19" ht="13.5" thickBot="1">
      <c r="A9" s="445"/>
      <c r="B9" s="446"/>
      <c r="C9" s="447"/>
      <c r="D9" s="445"/>
      <c r="E9" s="446"/>
      <c r="F9" s="447"/>
      <c r="G9" s="445"/>
      <c r="H9" s="446"/>
      <c r="I9" s="447"/>
      <c r="J9" s="445"/>
      <c r="K9" s="446"/>
      <c r="L9" s="447"/>
      <c r="M9" s="445"/>
      <c r="N9" s="446"/>
      <c r="O9" s="447"/>
      <c r="P9" s="445"/>
      <c r="Q9" s="446"/>
      <c r="R9" s="447"/>
      <c r="S9" s="447"/>
    </row>
    <row r="10" spans="1:19" ht="9.9499999999999993" customHeight="1">
      <c r="A10" s="440"/>
      <c r="B10" s="441"/>
      <c r="C10" s="442"/>
      <c r="D10" s="440"/>
      <c r="E10" s="441"/>
      <c r="F10" s="442"/>
      <c r="G10" s="440"/>
      <c r="H10" s="441"/>
      <c r="I10" s="442"/>
      <c r="J10" s="440"/>
      <c r="K10" s="441"/>
      <c r="L10" s="442"/>
      <c r="M10" s="440"/>
      <c r="N10" s="441"/>
      <c r="O10" s="442"/>
      <c r="P10" s="440"/>
      <c r="Q10" s="441"/>
      <c r="R10" s="442"/>
      <c r="S10" s="442"/>
    </row>
    <row r="11" spans="1:19" ht="13.15" customHeight="1">
      <c r="A11" s="63" t="s">
        <v>149</v>
      </c>
      <c r="B11" s="836">
        <f t="shared" ref="B11:B74" si="0">IF($A11&lt;&gt;0,E11+H11+K11+N11+Q11,"")</f>
        <v>2654</v>
      </c>
      <c r="C11" s="837">
        <f>C15+C21+C80+C85</f>
        <v>100</v>
      </c>
      <c r="D11" s="838" t="s">
        <v>253</v>
      </c>
      <c r="E11" s="836">
        <f>IF($A11&lt;&gt;0,E13+E85,"")</f>
        <v>2084</v>
      </c>
      <c r="F11" s="837">
        <f>IF($A11&lt;&gt;0,E11/$B11*100,"")</f>
        <v>78.522984174830441</v>
      </c>
      <c r="G11" s="838"/>
      <c r="H11" s="836">
        <f>IF($A11&lt;&gt;0,H13+H85,"")</f>
        <v>496</v>
      </c>
      <c r="I11" s="837">
        <f>IF($A11&lt;&gt;0,H11/$B11*100,"")</f>
        <v>18.688771665410702</v>
      </c>
      <c r="J11" s="838"/>
      <c r="K11" s="836">
        <f>IF($A11&lt;&gt;0,K13+K85,"")</f>
        <v>64</v>
      </c>
      <c r="L11" s="837">
        <f>IF($A11&lt;&gt;0,K11/$B11*100,"")</f>
        <v>2.4114544084400906</v>
      </c>
      <c r="M11" s="838"/>
      <c r="N11" s="836">
        <f>IF($A11&lt;&gt;0,N13+N85,"")</f>
        <v>10</v>
      </c>
      <c r="O11" s="837">
        <f>IF($A11&lt;&gt;0,N11/$B11*100,"")</f>
        <v>0.37678975131876413</v>
      </c>
      <c r="P11" s="838"/>
      <c r="Q11" s="836">
        <f>IF($A11&lt;&gt;0,Q21+Q80+Q15,"")</f>
        <v>0</v>
      </c>
      <c r="R11" s="837">
        <f t="shared" ref="R11:R74" si="1">IF($A11&lt;&gt;0,Q11/$B11*100,"")</f>
        <v>0</v>
      </c>
    </row>
    <row r="12" spans="1:19" ht="9.9499999999999993" customHeight="1">
      <c r="A12" s="63"/>
      <c r="B12" s="836" t="str">
        <f t="shared" si="0"/>
        <v/>
      </c>
      <c r="C12" s="837" t="str">
        <f t="shared" ref="C12:C75" si="2">IF(A12&lt;&gt;0,B12/$B$11*100,"")</f>
        <v/>
      </c>
      <c r="D12" s="838"/>
      <c r="E12" s="836"/>
      <c r="F12" s="837"/>
      <c r="G12" s="838"/>
      <c r="H12" s="836"/>
      <c r="I12" s="837"/>
      <c r="J12" s="838"/>
      <c r="K12" s="836"/>
      <c r="L12" s="837"/>
      <c r="M12" s="838"/>
      <c r="N12" s="836"/>
      <c r="O12" s="837"/>
      <c r="P12" s="838"/>
      <c r="Q12" s="836"/>
      <c r="R12" s="837" t="str">
        <f t="shared" si="1"/>
        <v/>
      </c>
    </row>
    <row r="13" spans="1:19" ht="13.15" customHeight="1">
      <c r="A13" s="63" t="s">
        <v>326</v>
      </c>
      <c r="B13" s="836">
        <f t="shared" si="0"/>
        <v>2489</v>
      </c>
      <c r="C13" s="837">
        <f t="shared" si="2"/>
        <v>93.78296910324039</v>
      </c>
      <c r="D13" s="838"/>
      <c r="E13" s="836">
        <f>E15+E21+E80</f>
        <v>1956</v>
      </c>
      <c r="F13" s="837">
        <f t="shared" ref="F13:F76" si="3">IF($A13&lt;&gt;0,E13/$B13*100,"")</f>
        <v>78.585777420650857</v>
      </c>
      <c r="G13" s="838"/>
      <c r="H13" s="836">
        <f>H15+H21+H80</f>
        <v>460</v>
      </c>
      <c r="I13" s="837">
        <f t="shared" ref="I13:I76" si="4">IF($A13&lt;&gt;0,H13/$B13*100,"")</f>
        <v>18.481317798312574</v>
      </c>
      <c r="J13" s="838"/>
      <c r="K13" s="836">
        <f>K15+K21+K80</f>
        <v>63</v>
      </c>
      <c r="L13" s="837">
        <f t="shared" ref="L13:L76" si="5">IF($A13&lt;&gt;0,K13/$B13*100,"")</f>
        <v>2.5311370028123745</v>
      </c>
      <c r="M13" s="838"/>
      <c r="N13" s="836">
        <f>N15+N21+N80</f>
        <v>10</v>
      </c>
      <c r="O13" s="837">
        <f t="shared" ref="O13:O76" si="6">IF($A13&lt;&gt;0,N13/$B13*100,"")</f>
        <v>0.40176777822418641</v>
      </c>
      <c r="P13" s="838"/>
      <c r="Q13" s="836">
        <f>Q15+Q21+Q80</f>
        <v>0</v>
      </c>
      <c r="R13" s="837">
        <f t="shared" si="1"/>
        <v>0</v>
      </c>
    </row>
    <row r="14" spans="1:19" ht="9.9499999999999993" customHeight="1">
      <c r="B14" s="836" t="str">
        <f t="shared" si="0"/>
        <v/>
      </c>
      <c r="C14" s="837" t="str">
        <f t="shared" si="2"/>
        <v/>
      </c>
      <c r="D14" s="838"/>
      <c r="E14" s="836"/>
      <c r="F14" s="837" t="str">
        <f t="shared" si="3"/>
        <v/>
      </c>
      <c r="G14" s="838"/>
      <c r="H14" s="836"/>
      <c r="I14" s="837" t="str">
        <f t="shared" si="4"/>
        <v/>
      </c>
      <c r="J14" s="838"/>
      <c r="K14" s="836"/>
      <c r="L14" s="837" t="str">
        <f t="shared" si="5"/>
        <v/>
      </c>
      <c r="M14" s="838"/>
      <c r="N14" s="836"/>
      <c r="O14" s="837" t="str">
        <f t="shared" si="6"/>
        <v/>
      </c>
      <c r="P14" s="838"/>
      <c r="Q14" s="836"/>
      <c r="R14" s="837" t="str">
        <f t="shared" si="1"/>
        <v/>
      </c>
    </row>
    <row r="15" spans="1:19" ht="12.75" customHeight="1">
      <c r="A15" s="63" t="s">
        <v>819</v>
      </c>
      <c r="B15" s="836">
        <f t="shared" si="0"/>
        <v>76</v>
      </c>
      <c r="C15" s="837">
        <f t="shared" si="2"/>
        <v>2.8636021100226077</v>
      </c>
      <c r="D15" s="838"/>
      <c r="E15" s="836">
        <f>SUM(E16:E19)</f>
        <v>69</v>
      </c>
      <c r="F15" s="837">
        <f t="shared" si="3"/>
        <v>90.789473684210535</v>
      </c>
      <c r="G15" s="838"/>
      <c r="H15" s="836">
        <f>SUM(H16:H19)</f>
        <v>7</v>
      </c>
      <c r="I15" s="837">
        <f t="shared" si="4"/>
        <v>9.2105263157894726</v>
      </c>
      <c r="J15" s="838"/>
      <c r="K15" s="836">
        <f>SUM(K16:K19)</f>
        <v>0</v>
      </c>
      <c r="L15" s="837">
        <f t="shared" si="5"/>
        <v>0</v>
      </c>
      <c r="M15" s="838"/>
      <c r="N15" s="836">
        <f>SUM(N16:N19)</f>
        <v>0</v>
      </c>
      <c r="O15" s="837">
        <f t="shared" si="6"/>
        <v>0</v>
      </c>
      <c r="P15" s="838"/>
      <c r="Q15" s="836">
        <f>SUM(Q16:Q19)</f>
        <v>0</v>
      </c>
      <c r="R15" s="837">
        <f t="shared" si="1"/>
        <v>0</v>
      </c>
    </row>
    <row r="16" spans="1:19" ht="13.15" customHeight="1">
      <c r="A16" s="434" t="s">
        <v>820</v>
      </c>
      <c r="B16" s="836">
        <f t="shared" si="0"/>
        <v>20</v>
      </c>
      <c r="C16" s="837">
        <f t="shared" si="2"/>
        <v>0.75357950263752826</v>
      </c>
      <c r="D16" s="838"/>
      <c r="E16" s="260">
        <v>20</v>
      </c>
      <c r="F16" s="837">
        <f t="shared" si="3"/>
        <v>100</v>
      </c>
      <c r="G16" s="260"/>
      <c r="H16" s="261">
        <v>0</v>
      </c>
      <c r="I16" s="837">
        <f t="shared" si="4"/>
        <v>0</v>
      </c>
      <c r="J16" s="261"/>
      <c r="K16" s="261">
        <v>0</v>
      </c>
      <c r="L16" s="837">
        <f t="shared" si="5"/>
        <v>0</v>
      </c>
      <c r="M16" s="261"/>
      <c r="N16" s="261">
        <v>0</v>
      </c>
      <c r="O16" s="837">
        <f t="shared" si="6"/>
        <v>0</v>
      </c>
      <c r="P16" s="262"/>
      <c r="Q16" s="262">
        <v>0</v>
      </c>
      <c r="R16" s="837">
        <f t="shared" si="1"/>
        <v>0</v>
      </c>
    </row>
    <row r="17" spans="1:18" ht="13.15" customHeight="1">
      <c r="A17" s="434" t="s">
        <v>821</v>
      </c>
      <c r="B17" s="836">
        <f t="shared" si="0"/>
        <v>11</v>
      </c>
      <c r="C17" s="837">
        <f t="shared" si="2"/>
        <v>0.41446872645064059</v>
      </c>
      <c r="D17" s="838"/>
      <c r="E17" s="260">
        <v>4</v>
      </c>
      <c r="F17" s="837">
        <f t="shared" si="3"/>
        <v>36.363636363636367</v>
      </c>
      <c r="G17" s="260"/>
      <c r="H17" s="261">
        <v>7</v>
      </c>
      <c r="I17" s="837">
        <f t="shared" si="4"/>
        <v>63.636363636363633</v>
      </c>
      <c r="J17" s="261"/>
      <c r="K17" s="261">
        <v>0</v>
      </c>
      <c r="L17" s="837">
        <f t="shared" si="5"/>
        <v>0</v>
      </c>
      <c r="M17" s="261"/>
      <c r="N17" s="261">
        <v>0</v>
      </c>
      <c r="O17" s="837">
        <f t="shared" si="6"/>
        <v>0</v>
      </c>
      <c r="P17" s="262"/>
      <c r="Q17" s="262">
        <v>0</v>
      </c>
      <c r="R17" s="837">
        <f t="shared" si="1"/>
        <v>0</v>
      </c>
    </row>
    <row r="18" spans="1:18" ht="13.15" customHeight="1">
      <c r="A18" s="434" t="s">
        <v>822</v>
      </c>
      <c r="B18" s="836">
        <f t="shared" si="0"/>
        <v>38</v>
      </c>
      <c r="C18" s="837">
        <f t="shared" si="2"/>
        <v>1.4318010550113038</v>
      </c>
      <c r="D18" s="838"/>
      <c r="E18" s="260">
        <v>38</v>
      </c>
      <c r="F18" s="837">
        <f t="shared" si="3"/>
        <v>100</v>
      </c>
      <c r="G18" s="260"/>
      <c r="H18" s="261">
        <v>0</v>
      </c>
      <c r="I18" s="837">
        <f t="shared" si="4"/>
        <v>0</v>
      </c>
      <c r="J18" s="261"/>
      <c r="K18" s="261">
        <v>0</v>
      </c>
      <c r="L18" s="837">
        <f t="shared" si="5"/>
        <v>0</v>
      </c>
      <c r="M18" s="261"/>
      <c r="N18" s="261">
        <v>0</v>
      </c>
      <c r="O18" s="837">
        <f t="shared" si="6"/>
        <v>0</v>
      </c>
      <c r="P18" s="262"/>
      <c r="Q18" s="262">
        <v>0</v>
      </c>
      <c r="R18" s="837">
        <f t="shared" si="1"/>
        <v>0</v>
      </c>
    </row>
    <row r="19" spans="1:18" ht="13.15" customHeight="1">
      <c r="A19" s="42" t="s">
        <v>823</v>
      </c>
      <c r="B19" s="836">
        <f t="shared" si="0"/>
        <v>7</v>
      </c>
      <c r="C19" s="837">
        <f t="shared" si="2"/>
        <v>0.26375282592313487</v>
      </c>
      <c r="D19" s="838"/>
      <c r="E19" s="260">
        <v>7</v>
      </c>
      <c r="F19" s="837">
        <f t="shared" si="3"/>
        <v>100</v>
      </c>
      <c r="G19" s="260"/>
      <c r="H19" s="261">
        <v>0</v>
      </c>
      <c r="I19" s="837">
        <f t="shared" si="4"/>
        <v>0</v>
      </c>
      <c r="J19" s="261"/>
      <c r="K19" s="261">
        <v>0</v>
      </c>
      <c r="L19" s="837">
        <f t="shared" si="5"/>
        <v>0</v>
      </c>
      <c r="M19" s="261"/>
      <c r="N19" s="261">
        <v>0</v>
      </c>
      <c r="O19" s="837">
        <f t="shared" si="6"/>
        <v>0</v>
      </c>
      <c r="P19" s="263"/>
      <c r="Q19" s="434"/>
      <c r="R19" s="837"/>
    </row>
    <row r="20" spans="1:18" ht="9.9499999999999993" customHeight="1">
      <c r="B20" s="836" t="str">
        <f t="shared" si="0"/>
        <v/>
      </c>
      <c r="C20" s="837" t="str">
        <f t="shared" si="2"/>
        <v/>
      </c>
      <c r="D20" s="838"/>
      <c r="E20" s="836"/>
      <c r="F20" s="837" t="str">
        <f t="shared" si="3"/>
        <v/>
      </c>
      <c r="G20" s="838"/>
      <c r="H20" s="836"/>
      <c r="I20" s="837" t="str">
        <f t="shared" si="4"/>
        <v/>
      </c>
      <c r="J20" s="838"/>
      <c r="K20" s="836"/>
      <c r="L20" s="837" t="str">
        <f t="shared" si="5"/>
        <v/>
      </c>
      <c r="M20" s="838"/>
      <c r="N20" s="836"/>
      <c r="O20" s="837" t="str">
        <f t="shared" si="6"/>
        <v/>
      </c>
      <c r="P20" s="838"/>
      <c r="Q20" s="836"/>
      <c r="R20" s="837" t="str">
        <f t="shared" si="1"/>
        <v/>
      </c>
    </row>
    <row r="21" spans="1:18" ht="13.15" customHeight="1">
      <c r="A21" s="63" t="s">
        <v>824</v>
      </c>
      <c r="B21" s="836">
        <f t="shared" si="0"/>
        <v>2059</v>
      </c>
      <c r="C21" s="837">
        <f t="shared" si="2"/>
        <v>77.581009796533522</v>
      </c>
      <c r="D21" s="838"/>
      <c r="E21" s="264">
        <f>SUM(E22:E78)</f>
        <v>1604</v>
      </c>
      <c r="F21" s="837">
        <f t="shared" si="3"/>
        <v>77.901894123360861</v>
      </c>
      <c r="G21" s="264"/>
      <c r="H21" s="264">
        <f>SUM(H22:H78)</f>
        <v>391</v>
      </c>
      <c r="I21" s="837">
        <f t="shared" si="4"/>
        <v>18.989800874210783</v>
      </c>
      <c r="J21" s="262"/>
      <c r="K21" s="264">
        <f>SUM(K22:K78)</f>
        <v>55</v>
      </c>
      <c r="L21" s="837">
        <f t="shared" si="5"/>
        <v>2.6711996114618746</v>
      </c>
      <c r="M21" s="262"/>
      <c r="N21" s="264">
        <f>SUM(N22:N78)</f>
        <v>9</v>
      </c>
      <c r="O21" s="837">
        <f t="shared" si="6"/>
        <v>0.43710539096648859</v>
      </c>
      <c r="P21" s="262"/>
      <c r="Q21" s="264">
        <f>SUM(Q22:Q78)</f>
        <v>0</v>
      </c>
      <c r="R21" s="837">
        <f t="shared" si="1"/>
        <v>0</v>
      </c>
    </row>
    <row r="22" spans="1:18" ht="13.15" customHeight="1">
      <c r="A22" s="434" t="s">
        <v>825</v>
      </c>
      <c r="B22" s="836">
        <f t="shared" si="0"/>
        <v>83</v>
      </c>
      <c r="C22" s="837">
        <f t="shared" si="2"/>
        <v>3.1273549359457418</v>
      </c>
      <c r="D22" s="838"/>
      <c r="E22" s="260">
        <v>62</v>
      </c>
      <c r="F22" s="837">
        <f t="shared" si="3"/>
        <v>74.698795180722882</v>
      </c>
      <c r="G22" s="260"/>
      <c r="H22" s="261">
        <v>21</v>
      </c>
      <c r="I22" s="837">
        <f t="shared" si="4"/>
        <v>25.301204819277107</v>
      </c>
      <c r="J22" s="261"/>
      <c r="K22" s="261">
        <v>0</v>
      </c>
      <c r="L22" s="837">
        <f t="shared" si="5"/>
        <v>0</v>
      </c>
      <c r="M22" s="261"/>
      <c r="N22" s="261">
        <v>0</v>
      </c>
      <c r="O22" s="837">
        <f t="shared" si="6"/>
        <v>0</v>
      </c>
      <c r="P22" s="262"/>
      <c r="Q22" s="262">
        <v>0</v>
      </c>
      <c r="R22" s="837">
        <f t="shared" si="1"/>
        <v>0</v>
      </c>
    </row>
    <row r="23" spans="1:18" ht="13.15" customHeight="1">
      <c r="A23" s="434" t="s">
        <v>826</v>
      </c>
      <c r="B23" s="836">
        <f t="shared" si="0"/>
        <v>10</v>
      </c>
      <c r="C23" s="837">
        <f t="shared" si="2"/>
        <v>0.37678975131876413</v>
      </c>
      <c r="D23" s="838"/>
      <c r="E23" s="260">
        <v>10</v>
      </c>
      <c r="F23" s="837">
        <f t="shared" si="3"/>
        <v>100</v>
      </c>
      <c r="G23" s="260"/>
      <c r="H23" s="261">
        <v>0</v>
      </c>
      <c r="I23" s="837">
        <f t="shared" si="4"/>
        <v>0</v>
      </c>
      <c r="J23" s="261"/>
      <c r="K23" s="261">
        <v>0</v>
      </c>
      <c r="L23" s="837">
        <f t="shared" si="5"/>
        <v>0</v>
      </c>
      <c r="M23" s="261"/>
      <c r="N23" s="261">
        <v>0</v>
      </c>
      <c r="O23" s="837">
        <f t="shared" si="6"/>
        <v>0</v>
      </c>
      <c r="P23" s="262"/>
      <c r="Q23" s="262">
        <v>0</v>
      </c>
      <c r="R23" s="837">
        <f t="shared" si="1"/>
        <v>0</v>
      </c>
    </row>
    <row r="24" spans="1:18" ht="13.15" customHeight="1">
      <c r="A24" s="434" t="s">
        <v>827</v>
      </c>
      <c r="B24" s="836">
        <f t="shared" si="0"/>
        <v>132</v>
      </c>
      <c r="C24" s="837">
        <f t="shared" si="2"/>
        <v>4.9736247174076871</v>
      </c>
      <c r="D24" s="838"/>
      <c r="E24" s="260">
        <v>131</v>
      </c>
      <c r="F24" s="837">
        <f t="shared" si="3"/>
        <v>99.242424242424249</v>
      </c>
      <c r="G24" s="260"/>
      <c r="H24" s="261">
        <v>1</v>
      </c>
      <c r="I24" s="837">
        <f t="shared" si="4"/>
        <v>0.75757575757575757</v>
      </c>
      <c r="J24" s="261"/>
      <c r="K24" s="261">
        <v>0</v>
      </c>
      <c r="L24" s="837">
        <f t="shared" si="5"/>
        <v>0</v>
      </c>
      <c r="M24" s="261"/>
      <c r="N24" s="261">
        <v>0</v>
      </c>
      <c r="O24" s="837">
        <f t="shared" si="6"/>
        <v>0</v>
      </c>
      <c r="P24" s="262"/>
      <c r="Q24" s="262">
        <v>0</v>
      </c>
      <c r="R24" s="837">
        <f t="shared" si="1"/>
        <v>0</v>
      </c>
    </row>
    <row r="25" spans="1:18" ht="13.15" customHeight="1">
      <c r="A25" s="434" t="s">
        <v>828</v>
      </c>
      <c r="B25" s="836">
        <f t="shared" si="0"/>
        <v>18</v>
      </c>
      <c r="C25" s="837">
        <f t="shared" si="2"/>
        <v>0.67822155237377535</v>
      </c>
      <c r="D25" s="838"/>
      <c r="E25" s="260">
        <v>14</v>
      </c>
      <c r="F25" s="837">
        <f t="shared" si="3"/>
        <v>77.777777777777786</v>
      </c>
      <c r="G25" s="260"/>
      <c r="H25" s="261">
        <v>2</v>
      </c>
      <c r="I25" s="837">
        <f t="shared" si="4"/>
        <v>11.111111111111111</v>
      </c>
      <c r="J25" s="261"/>
      <c r="K25" s="261">
        <v>2</v>
      </c>
      <c r="L25" s="837">
        <f t="shared" si="5"/>
        <v>11.111111111111111</v>
      </c>
      <c r="M25" s="261"/>
      <c r="N25" s="261">
        <v>0</v>
      </c>
      <c r="O25" s="837">
        <f t="shared" si="6"/>
        <v>0</v>
      </c>
      <c r="P25" s="262"/>
      <c r="Q25" s="262">
        <v>0</v>
      </c>
      <c r="R25" s="837">
        <f t="shared" si="1"/>
        <v>0</v>
      </c>
    </row>
    <row r="26" spans="1:18" ht="13.15" customHeight="1">
      <c r="A26" s="434" t="s">
        <v>829</v>
      </c>
      <c r="B26" s="836">
        <f t="shared" si="0"/>
        <v>40</v>
      </c>
      <c r="C26" s="837">
        <f t="shared" si="2"/>
        <v>1.5071590052750565</v>
      </c>
      <c r="D26" s="838"/>
      <c r="E26" s="260">
        <v>33</v>
      </c>
      <c r="F26" s="837">
        <f t="shared" si="3"/>
        <v>82.5</v>
      </c>
      <c r="G26" s="260"/>
      <c r="H26" s="261">
        <v>7</v>
      </c>
      <c r="I26" s="837">
        <f t="shared" si="4"/>
        <v>17.5</v>
      </c>
      <c r="J26" s="261"/>
      <c r="K26" s="261">
        <v>0</v>
      </c>
      <c r="L26" s="837">
        <f t="shared" si="5"/>
        <v>0</v>
      </c>
      <c r="M26" s="261"/>
      <c r="N26" s="261">
        <v>0</v>
      </c>
      <c r="O26" s="837">
        <f t="shared" si="6"/>
        <v>0</v>
      </c>
      <c r="P26" s="262"/>
      <c r="Q26" s="262">
        <v>0</v>
      </c>
      <c r="R26" s="837">
        <f t="shared" si="1"/>
        <v>0</v>
      </c>
    </row>
    <row r="27" spans="1:18" ht="13.15" customHeight="1">
      <c r="A27" s="434" t="s">
        <v>830</v>
      </c>
      <c r="B27" s="836">
        <f t="shared" si="0"/>
        <v>35</v>
      </c>
      <c r="C27" s="837">
        <f t="shared" si="2"/>
        <v>1.3187641296156745</v>
      </c>
      <c r="D27" s="838"/>
      <c r="E27" s="260">
        <v>23</v>
      </c>
      <c r="F27" s="837">
        <f t="shared" si="3"/>
        <v>65.714285714285708</v>
      </c>
      <c r="G27" s="260"/>
      <c r="H27" s="261">
        <v>12</v>
      </c>
      <c r="I27" s="837">
        <f t="shared" si="4"/>
        <v>34.285714285714285</v>
      </c>
      <c r="J27" s="261"/>
      <c r="K27" s="261">
        <v>0</v>
      </c>
      <c r="L27" s="837">
        <f t="shared" si="5"/>
        <v>0</v>
      </c>
      <c r="M27" s="261"/>
      <c r="N27" s="261">
        <v>0</v>
      </c>
      <c r="O27" s="837">
        <f t="shared" si="6"/>
        <v>0</v>
      </c>
      <c r="P27" s="262"/>
      <c r="Q27" s="262">
        <v>0</v>
      </c>
      <c r="R27" s="837">
        <f t="shared" si="1"/>
        <v>0</v>
      </c>
    </row>
    <row r="28" spans="1:18" ht="13.15" customHeight="1">
      <c r="A28" s="434" t="s">
        <v>831</v>
      </c>
      <c r="B28" s="836">
        <f t="shared" si="0"/>
        <v>12</v>
      </c>
      <c r="C28" s="837">
        <f t="shared" si="2"/>
        <v>0.45214770158251694</v>
      </c>
      <c r="D28" s="838"/>
      <c r="E28" s="260">
        <v>3</v>
      </c>
      <c r="F28" s="837">
        <f t="shared" si="3"/>
        <v>25</v>
      </c>
      <c r="G28" s="260"/>
      <c r="H28" s="261">
        <v>9</v>
      </c>
      <c r="I28" s="837">
        <f t="shared" si="4"/>
        <v>75</v>
      </c>
      <c r="J28" s="261"/>
      <c r="K28" s="261">
        <v>0</v>
      </c>
      <c r="L28" s="837">
        <f t="shared" si="5"/>
        <v>0</v>
      </c>
      <c r="M28" s="261"/>
      <c r="N28" s="261">
        <v>0</v>
      </c>
      <c r="O28" s="837">
        <f t="shared" si="6"/>
        <v>0</v>
      </c>
      <c r="P28" s="262"/>
      <c r="Q28" s="262">
        <v>0</v>
      </c>
      <c r="R28" s="837">
        <f t="shared" si="1"/>
        <v>0</v>
      </c>
    </row>
    <row r="29" spans="1:18" ht="13.15" customHeight="1">
      <c r="A29" s="434" t="s">
        <v>832</v>
      </c>
      <c r="B29" s="836">
        <f t="shared" si="0"/>
        <v>57</v>
      </c>
      <c r="C29" s="837">
        <f t="shared" si="2"/>
        <v>2.1477015825169556</v>
      </c>
      <c r="D29" s="838"/>
      <c r="E29" s="260">
        <v>35</v>
      </c>
      <c r="F29" s="837">
        <f t="shared" si="3"/>
        <v>61.403508771929829</v>
      </c>
      <c r="G29" s="260"/>
      <c r="H29" s="261">
        <v>16</v>
      </c>
      <c r="I29" s="837">
        <f t="shared" si="4"/>
        <v>28.07017543859649</v>
      </c>
      <c r="J29" s="261"/>
      <c r="K29" s="261">
        <v>5</v>
      </c>
      <c r="L29" s="837">
        <f t="shared" si="5"/>
        <v>8.7719298245614024</v>
      </c>
      <c r="M29" s="261"/>
      <c r="N29" s="261">
        <v>1</v>
      </c>
      <c r="O29" s="837">
        <f t="shared" si="6"/>
        <v>1.7543859649122806</v>
      </c>
      <c r="P29" s="262"/>
      <c r="Q29" s="262">
        <v>0</v>
      </c>
      <c r="R29" s="837">
        <f t="shared" si="1"/>
        <v>0</v>
      </c>
    </row>
    <row r="30" spans="1:18" ht="13.15" customHeight="1">
      <c r="A30" s="434" t="s">
        <v>833</v>
      </c>
      <c r="B30" s="836">
        <f t="shared" si="0"/>
        <v>24</v>
      </c>
      <c r="C30" s="837">
        <f t="shared" si="2"/>
        <v>0.90429540316503387</v>
      </c>
      <c r="D30" s="838"/>
      <c r="E30" s="260">
        <v>22</v>
      </c>
      <c r="F30" s="837">
        <f t="shared" si="3"/>
        <v>91.666666666666657</v>
      </c>
      <c r="G30" s="260"/>
      <c r="H30" s="261">
        <v>2</v>
      </c>
      <c r="I30" s="837">
        <f t="shared" si="4"/>
        <v>8.3333333333333321</v>
      </c>
      <c r="J30" s="261"/>
      <c r="K30" s="261">
        <v>0</v>
      </c>
      <c r="L30" s="837">
        <f t="shared" si="5"/>
        <v>0</v>
      </c>
      <c r="M30" s="261"/>
      <c r="N30" s="261">
        <v>0</v>
      </c>
      <c r="O30" s="837">
        <f t="shared" si="6"/>
        <v>0</v>
      </c>
      <c r="P30" s="262"/>
      <c r="Q30" s="262">
        <v>0</v>
      </c>
      <c r="R30" s="837">
        <f t="shared" si="1"/>
        <v>0</v>
      </c>
    </row>
    <row r="31" spans="1:18" ht="13.15" customHeight="1">
      <c r="A31" s="434" t="s">
        <v>834</v>
      </c>
      <c r="B31" s="836">
        <f t="shared" si="0"/>
        <v>56</v>
      </c>
      <c r="C31" s="837">
        <f t="shared" si="2"/>
        <v>2.110022607385079</v>
      </c>
      <c r="D31" s="838"/>
      <c r="E31" s="260">
        <v>34</v>
      </c>
      <c r="F31" s="837">
        <f t="shared" si="3"/>
        <v>60.714285714285708</v>
      </c>
      <c r="G31" s="260"/>
      <c r="H31" s="261">
        <v>21</v>
      </c>
      <c r="I31" s="837">
        <f t="shared" si="4"/>
        <v>37.5</v>
      </c>
      <c r="J31" s="261"/>
      <c r="K31" s="261">
        <v>0</v>
      </c>
      <c r="L31" s="837">
        <f t="shared" si="5"/>
        <v>0</v>
      </c>
      <c r="M31" s="261"/>
      <c r="N31" s="261">
        <v>1</v>
      </c>
      <c r="O31" s="837">
        <f t="shared" si="6"/>
        <v>1.7857142857142856</v>
      </c>
      <c r="P31" s="262"/>
      <c r="Q31" s="262">
        <v>0</v>
      </c>
      <c r="R31" s="837">
        <f t="shared" si="1"/>
        <v>0</v>
      </c>
    </row>
    <row r="32" spans="1:18" ht="13.15" customHeight="1">
      <c r="A32" s="434" t="s">
        <v>835</v>
      </c>
      <c r="B32" s="836">
        <f t="shared" si="0"/>
        <v>33</v>
      </c>
      <c r="C32" s="837">
        <f t="shared" si="2"/>
        <v>1.2434061793519218</v>
      </c>
      <c r="D32" s="838"/>
      <c r="E32" s="260">
        <v>28</v>
      </c>
      <c r="F32" s="837">
        <f t="shared" si="3"/>
        <v>84.848484848484844</v>
      </c>
      <c r="G32" s="260"/>
      <c r="H32" s="261">
        <v>4</v>
      </c>
      <c r="I32" s="837">
        <f t="shared" si="4"/>
        <v>12.121212121212121</v>
      </c>
      <c r="J32" s="261"/>
      <c r="K32" s="261">
        <v>1</v>
      </c>
      <c r="L32" s="837">
        <f t="shared" si="5"/>
        <v>3.0303030303030303</v>
      </c>
      <c r="M32" s="261"/>
      <c r="N32" s="261">
        <v>0</v>
      </c>
      <c r="O32" s="837">
        <f t="shared" si="6"/>
        <v>0</v>
      </c>
      <c r="P32" s="262"/>
      <c r="Q32" s="262">
        <v>0</v>
      </c>
      <c r="R32" s="837">
        <f t="shared" si="1"/>
        <v>0</v>
      </c>
    </row>
    <row r="33" spans="1:19" ht="13.15" customHeight="1">
      <c r="A33" s="839" t="s">
        <v>836</v>
      </c>
      <c r="B33" s="836">
        <f t="shared" si="0"/>
        <v>20</v>
      </c>
      <c r="C33" s="837">
        <f t="shared" si="2"/>
        <v>0.75357950263752826</v>
      </c>
      <c r="D33" s="838"/>
      <c r="E33" s="260">
        <v>3</v>
      </c>
      <c r="F33" s="837">
        <f t="shared" si="3"/>
        <v>15</v>
      </c>
      <c r="G33" s="260"/>
      <c r="H33" s="261">
        <v>8</v>
      </c>
      <c r="I33" s="837">
        <f t="shared" si="4"/>
        <v>40</v>
      </c>
      <c r="J33" s="261"/>
      <c r="K33" s="261">
        <v>9</v>
      </c>
      <c r="L33" s="837">
        <f t="shared" si="5"/>
        <v>45</v>
      </c>
      <c r="M33" s="261"/>
      <c r="N33" s="261">
        <v>0</v>
      </c>
      <c r="O33" s="837">
        <f t="shared" si="6"/>
        <v>0</v>
      </c>
      <c r="P33" s="262"/>
      <c r="Q33" s="262">
        <v>0</v>
      </c>
      <c r="R33" s="837">
        <f t="shared" si="1"/>
        <v>0</v>
      </c>
    </row>
    <row r="34" spans="1:19" ht="13.15" customHeight="1">
      <c r="A34" s="839" t="s">
        <v>837</v>
      </c>
      <c r="B34" s="836">
        <f t="shared" si="0"/>
        <v>27</v>
      </c>
      <c r="C34" s="837">
        <f t="shared" si="2"/>
        <v>1.0173323285606632</v>
      </c>
      <c r="D34" s="838"/>
      <c r="E34" s="260">
        <v>19</v>
      </c>
      <c r="F34" s="837">
        <f t="shared" si="3"/>
        <v>70.370370370370367</v>
      </c>
      <c r="G34" s="260"/>
      <c r="H34" s="261">
        <v>6</v>
      </c>
      <c r="I34" s="837">
        <f t="shared" si="4"/>
        <v>22.222222222222221</v>
      </c>
      <c r="J34" s="261"/>
      <c r="K34" s="261">
        <v>2</v>
      </c>
      <c r="L34" s="837">
        <f t="shared" si="5"/>
        <v>7.4074074074074066</v>
      </c>
      <c r="M34" s="261"/>
      <c r="N34" s="261">
        <v>0</v>
      </c>
      <c r="O34" s="837">
        <f t="shared" si="6"/>
        <v>0</v>
      </c>
      <c r="P34" s="262"/>
      <c r="Q34" s="262">
        <v>0</v>
      </c>
      <c r="R34" s="837">
        <f t="shared" si="1"/>
        <v>0</v>
      </c>
    </row>
    <row r="35" spans="1:19" ht="13.15" customHeight="1">
      <c r="A35" s="839" t="s">
        <v>838</v>
      </c>
      <c r="B35" s="836">
        <f t="shared" si="0"/>
        <v>29</v>
      </c>
      <c r="C35" s="837">
        <f t="shared" si="2"/>
        <v>1.0926902788244159</v>
      </c>
      <c r="D35" s="838"/>
      <c r="E35" s="260">
        <v>13</v>
      </c>
      <c r="F35" s="837">
        <f t="shared" si="3"/>
        <v>44.827586206896555</v>
      </c>
      <c r="G35" s="260"/>
      <c r="H35" s="261">
        <v>16</v>
      </c>
      <c r="I35" s="837">
        <f t="shared" si="4"/>
        <v>55.172413793103445</v>
      </c>
      <c r="J35" s="261"/>
      <c r="K35" s="261">
        <v>0</v>
      </c>
      <c r="L35" s="837">
        <f t="shared" si="5"/>
        <v>0</v>
      </c>
      <c r="M35" s="261"/>
      <c r="N35" s="261">
        <v>0</v>
      </c>
      <c r="O35" s="837">
        <f t="shared" si="6"/>
        <v>0</v>
      </c>
      <c r="P35" s="262"/>
      <c r="Q35" s="262">
        <v>0</v>
      </c>
      <c r="R35" s="837">
        <f t="shared" si="1"/>
        <v>0</v>
      </c>
    </row>
    <row r="36" spans="1:19" ht="13.15" customHeight="1">
      <c r="A36" s="434" t="s">
        <v>839</v>
      </c>
      <c r="B36" s="836">
        <f t="shared" si="0"/>
        <v>7</v>
      </c>
      <c r="C36" s="837">
        <f t="shared" si="2"/>
        <v>0.26375282592313487</v>
      </c>
      <c r="D36" s="838"/>
      <c r="E36" s="260">
        <v>2</v>
      </c>
      <c r="F36" s="837">
        <f t="shared" si="3"/>
        <v>28.571428571428569</v>
      </c>
      <c r="G36" s="260"/>
      <c r="H36" s="261">
        <v>2</v>
      </c>
      <c r="I36" s="837">
        <f t="shared" si="4"/>
        <v>28.571428571428569</v>
      </c>
      <c r="J36" s="261"/>
      <c r="K36" s="261">
        <v>3</v>
      </c>
      <c r="L36" s="837">
        <f t="shared" si="5"/>
        <v>42.857142857142854</v>
      </c>
      <c r="M36" s="261"/>
      <c r="N36" s="261">
        <v>0</v>
      </c>
      <c r="O36" s="837">
        <f t="shared" si="6"/>
        <v>0</v>
      </c>
      <c r="P36" s="262"/>
      <c r="Q36" s="262">
        <v>0</v>
      </c>
      <c r="R36" s="837">
        <f t="shared" si="1"/>
        <v>0</v>
      </c>
    </row>
    <row r="37" spans="1:19" ht="13.15" customHeight="1">
      <c r="A37" s="434" t="s">
        <v>840</v>
      </c>
      <c r="B37" s="836">
        <f t="shared" si="0"/>
        <v>93</v>
      </c>
      <c r="C37" s="837">
        <f t="shared" si="2"/>
        <v>3.5041446872645063</v>
      </c>
      <c r="D37" s="838"/>
      <c r="E37" s="260">
        <v>65</v>
      </c>
      <c r="F37" s="837">
        <f t="shared" si="3"/>
        <v>69.892473118279568</v>
      </c>
      <c r="G37" s="260"/>
      <c r="H37" s="261">
        <v>26</v>
      </c>
      <c r="I37" s="837">
        <f t="shared" si="4"/>
        <v>27.956989247311824</v>
      </c>
      <c r="J37" s="261"/>
      <c r="K37" s="261">
        <v>1</v>
      </c>
      <c r="L37" s="837">
        <f t="shared" si="5"/>
        <v>1.0752688172043012</v>
      </c>
      <c r="M37" s="261"/>
      <c r="N37" s="261">
        <v>1</v>
      </c>
      <c r="O37" s="837">
        <f t="shared" si="6"/>
        <v>1.0752688172043012</v>
      </c>
      <c r="P37" s="262"/>
      <c r="Q37" s="262">
        <v>0</v>
      </c>
      <c r="R37" s="837">
        <f t="shared" si="1"/>
        <v>0</v>
      </c>
    </row>
    <row r="38" spans="1:19" ht="13.15" customHeight="1">
      <c r="A38" s="434" t="s">
        <v>841</v>
      </c>
      <c r="B38" s="836">
        <f t="shared" si="0"/>
        <v>57</v>
      </c>
      <c r="C38" s="837">
        <f t="shared" si="2"/>
        <v>2.1477015825169556</v>
      </c>
      <c r="D38" s="838"/>
      <c r="E38" s="260">
        <v>50</v>
      </c>
      <c r="F38" s="837">
        <f t="shared" si="3"/>
        <v>87.719298245614027</v>
      </c>
      <c r="G38" s="260"/>
      <c r="H38" s="261">
        <v>7</v>
      </c>
      <c r="I38" s="837">
        <f t="shared" si="4"/>
        <v>12.280701754385964</v>
      </c>
      <c r="J38" s="261"/>
      <c r="K38" s="261">
        <v>0</v>
      </c>
      <c r="L38" s="837">
        <f t="shared" si="5"/>
        <v>0</v>
      </c>
      <c r="M38" s="261"/>
      <c r="N38" s="261">
        <v>0</v>
      </c>
      <c r="O38" s="837">
        <f t="shared" si="6"/>
        <v>0</v>
      </c>
      <c r="P38" s="262"/>
      <c r="Q38" s="262">
        <v>0</v>
      </c>
      <c r="R38" s="837">
        <f t="shared" si="1"/>
        <v>0</v>
      </c>
    </row>
    <row r="39" spans="1:19" ht="13.15" customHeight="1">
      <c r="A39" s="434" t="s">
        <v>842</v>
      </c>
      <c r="B39" s="836">
        <f t="shared" si="0"/>
        <v>35</v>
      </c>
      <c r="C39" s="837">
        <f t="shared" si="2"/>
        <v>1.3187641296156745</v>
      </c>
      <c r="D39" s="838"/>
      <c r="E39" s="260">
        <v>30</v>
      </c>
      <c r="F39" s="837">
        <f t="shared" si="3"/>
        <v>85.714285714285708</v>
      </c>
      <c r="G39" s="260"/>
      <c r="H39" s="261">
        <v>5</v>
      </c>
      <c r="I39" s="837">
        <f t="shared" si="4"/>
        <v>14.285714285714285</v>
      </c>
      <c r="J39" s="261"/>
      <c r="K39" s="261">
        <v>0</v>
      </c>
      <c r="L39" s="837">
        <f t="shared" si="5"/>
        <v>0</v>
      </c>
      <c r="M39" s="261"/>
      <c r="N39" s="261">
        <v>0</v>
      </c>
      <c r="O39" s="837">
        <f t="shared" si="6"/>
        <v>0</v>
      </c>
      <c r="P39" s="262"/>
      <c r="Q39" s="262">
        <v>0</v>
      </c>
      <c r="R39" s="837">
        <f t="shared" si="1"/>
        <v>0</v>
      </c>
    </row>
    <row r="40" spans="1:19" ht="13.15" customHeight="1">
      <c r="A40" s="434" t="s">
        <v>843</v>
      </c>
      <c r="B40" s="836">
        <f t="shared" si="0"/>
        <v>32</v>
      </c>
      <c r="C40" s="837">
        <f t="shared" si="2"/>
        <v>1.2057272042200453</v>
      </c>
      <c r="D40" s="838"/>
      <c r="E40" s="260">
        <v>30</v>
      </c>
      <c r="F40" s="837">
        <f t="shared" si="3"/>
        <v>93.75</v>
      </c>
      <c r="G40" s="260"/>
      <c r="H40" s="261">
        <v>2</v>
      </c>
      <c r="I40" s="837">
        <f t="shared" si="4"/>
        <v>6.25</v>
      </c>
      <c r="J40" s="261"/>
      <c r="K40" s="261">
        <v>0</v>
      </c>
      <c r="L40" s="837">
        <f t="shared" si="5"/>
        <v>0</v>
      </c>
      <c r="M40" s="261"/>
      <c r="N40" s="261">
        <v>0</v>
      </c>
      <c r="O40" s="837">
        <f t="shared" si="6"/>
        <v>0</v>
      </c>
      <c r="P40" s="262"/>
      <c r="Q40" s="262">
        <v>0</v>
      </c>
      <c r="R40" s="837">
        <f t="shared" si="1"/>
        <v>0</v>
      </c>
    </row>
    <row r="41" spans="1:19" ht="13.15" customHeight="1">
      <c r="A41" s="434" t="s">
        <v>844</v>
      </c>
      <c r="B41" s="836">
        <f t="shared" si="0"/>
        <v>25</v>
      </c>
      <c r="C41" s="837">
        <f t="shared" si="2"/>
        <v>0.94197437829691044</v>
      </c>
      <c r="D41" s="838"/>
      <c r="E41" s="260">
        <v>24</v>
      </c>
      <c r="F41" s="837">
        <f t="shared" si="3"/>
        <v>96</v>
      </c>
      <c r="G41" s="260"/>
      <c r="H41" s="261">
        <v>1</v>
      </c>
      <c r="I41" s="837">
        <f t="shared" si="4"/>
        <v>4</v>
      </c>
      <c r="J41" s="261"/>
      <c r="K41" s="261">
        <v>0</v>
      </c>
      <c r="L41" s="837">
        <f t="shared" si="5"/>
        <v>0</v>
      </c>
      <c r="M41" s="261"/>
      <c r="N41" s="261">
        <v>0</v>
      </c>
      <c r="O41" s="837">
        <f t="shared" si="6"/>
        <v>0</v>
      </c>
      <c r="P41" s="262"/>
      <c r="Q41" s="262">
        <v>0</v>
      </c>
      <c r="R41" s="837">
        <f t="shared" si="1"/>
        <v>0</v>
      </c>
    </row>
    <row r="42" spans="1:19" ht="13.15" customHeight="1">
      <c r="A42" s="434" t="s">
        <v>845</v>
      </c>
      <c r="B42" s="836">
        <f t="shared" si="0"/>
        <v>34</v>
      </c>
      <c r="C42" s="837">
        <f t="shared" si="2"/>
        <v>1.281085154483798</v>
      </c>
      <c r="D42" s="838"/>
      <c r="E42" s="260">
        <v>31</v>
      </c>
      <c r="F42" s="837">
        <f t="shared" si="3"/>
        <v>91.17647058823529</v>
      </c>
      <c r="G42" s="260"/>
      <c r="H42" s="261">
        <v>3</v>
      </c>
      <c r="I42" s="837">
        <f t="shared" si="4"/>
        <v>8.8235294117647065</v>
      </c>
      <c r="J42" s="261"/>
      <c r="K42" s="261">
        <v>0</v>
      </c>
      <c r="L42" s="837">
        <f t="shared" si="5"/>
        <v>0</v>
      </c>
      <c r="M42" s="261"/>
      <c r="N42" s="261">
        <v>0</v>
      </c>
      <c r="O42" s="837">
        <f t="shared" si="6"/>
        <v>0</v>
      </c>
      <c r="P42" s="262"/>
      <c r="Q42" s="262">
        <v>0</v>
      </c>
      <c r="R42" s="837">
        <f t="shared" si="1"/>
        <v>0</v>
      </c>
    </row>
    <row r="43" spans="1:19" ht="13.15" customHeight="1">
      <c r="A43" s="434" t="s">
        <v>846</v>
      </c>
      <c r="B43" s="836">
        <f t="shared" si="0"/>
        <v>146</v>
      </c>
      <c r="C43" s="837">
        <f t="shared" si="2"/>
        <v>5.5011303692539562</v>
      </c>
      <c r="D43" s="838"/>
      <c r="E43" s="260">
        <v>96</v>
      </c>
      <c r="F43" s="837">
        <f t="shared" si="3"/>
        <v>65.753424657534239</v>
      </c>
      <c r="G43" s="260"/>
      <c r="H43" s="261">
        <v>50</v>
      </c>
      <c r="I43" s="837">
        <f t="shared" si="4"/>
        <v>34.246575342465754</v>
      </c>
      <c r="J43" s="261"/>
      <c r="K43" s="261">
        <v>0</v>
      </c>
      <c r="L43" s="837">
        <f t="shared" si="5"/>
        <v>0</v>
      </c>
      <c r="M43" s="261"/>
      <c r="N43" s="261">
        <v>0</v>
      </c>
      <c r="O43" s="837">
        <f t="shared" si="6"/>
        <v>0</v>
      </c>
      <c r="P43" s="262"/>
      <c r="Q43" s="262">
        <v>0</v>
      </c>
      <c r="R43" s="837">
        <f t="shared" si="1"/>
        <v>0</v>
      </c>
      <c r="S43" s="434" t="s">
        <v>253</v>
      </c>
    </row>
    <row r="44" spans="1:19" ht="13.15" customHeight="1">
      <c r="A44" s="434" t="s">
        <v>847</v>
      </c>
      <c r="B44" s="836">
        <f t="shared" si="0"/>
        <v>39</v>
      </c>
      <c r="C44" s="837">
        <f t="shared" si="2"/>
        <v>1.4694800301431801</v>
      </c>
      <c r="D44" s="838"/>
      <c r="E44" s="260">
        <v>34</v>
      </c>
      <c r="F44" s="837">
        <f t="shared" si="3"/>
        <v>87.179487179487182</v>
      </c>
      <c r="G44" s="260"/>
      <c r="H44" s="261">
        <v>5</v>
      </c>
      <c r="I44" s="837">
        <f t="shared" si="4"/>
        <v>12.820512820512819</v>
      </c>
      <c r="J44" s="261"/>
      <c r="K44" s="261">
        <v>0</v>
      </c>
      <c r="L44" s="837">
        <f t="shared" si="5"/>
        <v>0</v>
      </c>
      <c r="M44" s="261"/>
      <c r="N44" s="261">
        <v>0</v>
      </c>
      <c r="O44" s="837">
        <f t="shared" si="6"/>
        <v>0</v>
      </c>
      <c r="P44" s="262"/>
      <c r="Q44" s="262">
        <v>0</v>
      </c>
      <c r="R44" s="837">
        <f t="shared" si="1"/>
        <v>0</v>
      </c>
    </row>
    <row r="45" spans="1:19" ht="13.15" customHeight="1">
      <c r="A45" s="434" t="s">
        <v>848</v>
      </c>
      <c r="B45" s="836">
        <f t="shared" si="0"/>
        <v>15</v>
      </c>
      <c r="C45" s="837">
        <f t="shared" si="2"/>
        <v>0.5651846269781462</v>
      </c>
      <c r="D45" s="838"/>
      <c r="E45" s="260">
        <v>14</v>
      </c>
      <c r="F45" s="837">
        <f t="shared" si="3"/>
        <v>93.333333333333329</v>
      </c>
      <c r="G45" s="260"/>
      <c r="H45" s="261">
        <v>1</v>
      </c>
      <c r="I45" s="837">
        <f t="shared" si="4"/>
        <v>6.666666666666667</v>
      </c>
      <c r="J45" s="261"/>
      <c r="K45" s="261">
        <v>0</v>
      </c>
      <c r="L45" s="837">
        <f t="shared" si="5"/>
        <v>0</v>
      </c>
      <c r="M45" s="261"/>
      <c r="N45" s="261">
        <v>0</v>
      </c>
      <c r="O45" s="837">
        <f t="shared" si="6"/>
        <v>0</v>
      </c>
      <c r="P45" s="262"/>
      <c r="Q45" s="262">
        <v>0</v>
      </c>
      <c r="R45" s="837">
        <f t="shared" si="1"/>
        <v>0</v>
      </c>
    </row>
    <row r="46" spans="1:19" ht="13.15" customHeight="1">
      <c r="A46" s="434" t="s">
        <v>849</v>
      </c>
      <c r="B46" s="836">
        <f t="shared" si="0"/>
        <v>83</v>
      </c>
      <c r="C46" s="837">
        <f t="shared" si="2"/>
        <v>3.1273549359457418</v>
      </c>
      <c r="D46" s="838"/>
      <c r="E46" s="260">
        <v>81</v>
      </c>
      <c r="F46" s="837">
        <f t="shared" si="3"/>
        <v>97.590361445783131</v>
      </c>
      <c r="G46" s="260"/>
      <c r="H46" s="261">
        <v>2</v>
      </c>
      <c r="I46" s="837">
        <f t="shared" si="4"/>
        <v>2.4096385542168677</v>
      </c>
      <c r="J46" s="261"/>
      <c r="K46" s="261">
        <v>0</v>
      </c>
      <c r="L46" s="837">
        <f t="shared" si="5"/>
        <v>0</v>
      </c>
      <c r="M46" s="261"/>
      <c r="N46" s="261">
        <v>0</v>
      </c>
      <c r="O46" s="837">
        <f t="shared" si="6"/>
        <v>0</v>
      </c>
      <c r="P46" s="262"/>
      <c r="Q46" s="262">
        <v>0</v>
      </c>
      <c r="R46" s="837">
        <f t="shared" si="1"/>
        <v>0</v>
      </c>
    </row>
    <row r="47" spans="1:19" ht="13.15" customHeight="1">
      <c r="A47" s="434" t="s">
        <v>850</v>
      </c>
      <c r="B47" s="836">
        <f t="shared" si="0"/>
        <v>10</v>
      </c>
      <c r="C47" s="837">
        <f t="shared" si="2"/>
        <v>0.37678975131876413</v>
      </c>
      <c r="D47" s="838"/>
      <c r="E47" s="260">
        <v>3</v>
      </c>
      <c r="F47" s="837">
        <f t="shared" si="3"/>
        <v>30</v>
      </c>
      <c r="G47" s="260"/>
      <c r="H47" s="261">
        <v>6</v>
      </c>
      <c r="I47" s="837">
        <f t="shared" si="4"/>
        <v>60</v>
      </c>
      <c r="J47" s="261"/>
      <c r="K47" s="261">
        <v>1</v>
      </c>
      <c r="L47" s="837">
        <f t="shared" si="5"/>
        <v>10</v>
      </c>
      <c r="M47" s="261"/>
      <c r="N47" s="261">
        <v>0</v>
      </c>
      <c r="O47" s="837">
        <f t="shared" si="6"/>
        <v>0</v>
      </c>
      <c r="P47" s="262"/>
      <c r="Q47" s="262">
        <v>0</v>
      </c>
      <c r="R47" s="837">
        <f t="shared" si="1"/>
        <v>0</v>
      </c>
    </row>
    <row r="48" spans="1:19" ht="13.15" customHeight="1">
      <c r="A48" s="434" t="s">
        <v>851</v>
      </c>
      <c r="B48" s="836">
        <f t="shared" si="0"/>
        <v>2</v>
      </c>
      <c r="C48" s="837">
        <f t="shared" si="2"/>
        <v>7.5357950263752832E-2</v>
      </c>
      <c r="D48" s="838"/>
      <c r="E48" s="260">
        <v>2</v>
      </c>
      <c r="F48" s="837">
        <f t="shared" si="3"/>
        <v>100</v>
      </c>
      <c r="G48" s="260"/>
      <c r="H48" s="261">
        <v>0</v>
      </c>
      <c r="I48" s="837">
        <f t="shared" si="4"/>
        <v>0</v>
      </c>
      <c r="J48" s="261"/>
      <c r="K48" s="261">
        <v>0</v>
      </c>
      <c r="L48" s="837">
        <f t="shared" si="5"/>
        <v>0</v>
      </c>
      <c r="M48" s="261"/>
      <c r="N48" s="261">
        <v>0</v>
      </c>
      <c r="O48" s="837">
        <f t="shared" si="6"/>
        <v>0</v>
      </c>
      <c r="P48" s="783"/>
      <c r="Q48" s="783"/>
      <c r="R48" s="837">
        <f t="shared" si="1"/>
        <v>0</v>
      </c>
    </row>
    <row r="49" spans="1:18" ht="13.15" customHeight="1">
      <c r="A49" s="434" t="s">
        <v>852</v>
      </c>
      <c r="B49" s="836">
        <f t="shared" si="0"/>
        <v>42</v>
      </c>
      <c r="C49" s="837">
        <f t="shared" si="2"/>
        <v>1.5825169555388092</v>
      </c>
      <c r="D49" s="838"/>
      <c r="E49" s="265">
        <v>40</v>
      </c>
      <c r="F49" s="837">
        <f t="shared" si="3"/>
        <v>95.238095238095227</v>
      </c>
      <c r="G49" s="265"/>
      <c r="H49" s="266">
        <v>2</v>
      </c>
      <c r="I49" s="837">
        <f t="shared" si="4"/>
        <v>4.7619047619047619</v>
      </c>
      <c r="J49" s="266"/>
      <c r="K49" s="266">
        <v>0</v>
      </c>
      <c r="L49" s="837">
        <f t="shared" si="5"/>
        <v>0</v>
      </c>
      <c r="M49" s="266"/>
      <c r="N49" s="266">
        <v>0</v>
      </c>
      <c r="O49" s="837">
        <f t="shared" si="6"/>
        <v>0</v>
      </c>
      <c r="P49" s="267"/>
      <c r="Q49" s="267">
        <v>0</v>
      </c>
      <c r="R49" s="837">
        <f t="shared" si="1"/>
        <v>0</v>
      </c>
    </row>
    <row r="50" spans="1:18" ht="13.15" customHeight="1">
      <c r="A50" s="434" t="s">
        <v>853</v>
      </c>
      <c r="B50" s="836">
        <f t="shared" si="0"/>
        <v>38</v>
      </c>
      <c r="C50" s="837">
        <f t="shared" si="2"/>
        <v>1.4318010550113038</v>
      </c>
      <c r="D50" s="838"/>
      <c r="E50" s="260">
        <v>22</v>
      </c>
      <c r="F50" s="837">
        <f t="shared" si="3"/>
        <v>57.894736842105267</v>
      </c>
      <c r="G50" s="260"/>
      <c r="H50" s="261">
        <v>16</v>
      </c>
      <c r="I50" s="837">
        <f t="shared" si="4"/>
        <v>42.105263157894733</v>
      </c>
      <c r="J50" s="261"/>
      <c r="K50" s="261">
        <v>0</v>
      </c>
      <c r="L50" s="837">
        <f t="shared" si="5"/>
        <v>0</v>
      </c>
      <c r="M50" s="261"/>
      <c r="N50" s="261">
        <v>0</v>
      </c>
      <c r="O50" s="837">
        <f t="shared" si="6"/>
        <v>0</v>
      </c>
      <c r="P50" s="262"/>
      <c r="Q50" s="262">
        <v>0</v>
      </c>
      <c r="R50" s="837">
        <f t="shared" si="1"/>
        <v>0</v>
      </c>
    </row>
    <row r="51" spans="1:18" ht="13.15" customHeight="1">
      <c r="A51" s="434" t="s">
        <v>854</v>
      </c>
      <c r="B51" s="836">
        <f t="shared" si="0"/>
        <v>23</v>
      </c>
      <c r="C51" s="837">
        <f t="shared" si="2"/>
        <v>0.86661642803315742</v>
      </c>
      <c r="D51" s="838"/>
      <c r="E51" s="260">
        <v>11</v>
      </c>
      <c r="F51" s="837">
        <f t="shared" si="3"/>
        <v>47.826086956521742</v>
      </c>
      <c r="G51" s="260"/>
      <c r="H51" s="261">
        <v>12</v>
      </c>
      <c r="I51" s="837">
        <f t="shared" si="4"/>
        <v>52.173913043478258</v>
      </c>
      <c r="J51" s="261"/>
      <c r="K51" s="261">
        <v>0</v>
      </c>
      <c r="L51" s="837">
        <f t="shared" si="5"/>
        <v>0</v>
      </c>
      <c r="M51" s="261"/>
      <c r="N51" s="261">
        <v>0</v>
      </c>
      <c r="O51" s="837">
        <f t="shared" si="6"/>
        <v>0</v>
      </c>
      <c r="P51" s="262"/>
      <c r="Q51" s="262">
        <v>0</v>
      </c>
      <c r="R51" s="837">
        <f t="shared" si="1"/>
        <v>0</v>
      </c>
    </row>
    <row r="52" spans="1:18" ht="13.15" customHeight="1">
      <c r="A52" s="434" t="s">
        <v>855</v>
      </c>
      <c r="B52" s="836">
        <f t="shared" si="0"/>
        <v>33</v>
      </c>
      <c r="C52" s="837">
        <f t="shared" si="2"/>
        <v>1.2434061793519218</v>
      </c>
      <c r="D52" s="838"/>
      <c r="E52" s="260">
        <v>25</v>
      </c>
      <c r="F52" s="837">
        <f t="shared" si="3"/>
        <v>75.757575757575751</v>
      </c>
      <c r="G52" s="260"/>
      <c r="H52" s="261">
        <v>5</v>
      </c>
      <c r="I52" s="837">
        <f t="shared" si="4"/>
        <v>15.151515151515152</v>
      </c>
      <c r="J52" s="261"/>
      <c r="K52" s="261">
        <v>1</v>
      </c>
      <c r="L52" s="837">
        <f t="shared" si="5"/>
        <v>3.0303030303030303</v>
      </c>
      <c r="M52" s="261"/>
      <c r="N52" s="261">
        <v>2</v>
      </c>
      <c r="O52" s="837">
        <f t="shared" si="6"/>
        <v>6.0606060606060606</v>
      </c>
      <c r="P52" s="262"/>
      <c r="Q52" s="262">
        <v>0</v>
      </c>
      <c r="R52" s="837">
        <f t="shared" si="1"/>
        <v>0</v>
      </c>
    </row>
    <row r="53" spans="1:18" ht="13.15" customHeight="1">
      <c r="A53" s="434" t="s">
        <v>856</v>
      </c>
      <c r="B53" s="836">
        <f t="shared" si="0"/>
        <v>18</v>
      </c>
      <c r="C53" s="837">
        <f t="shared" si="2"/>
        <v>0.67822155237377535</v>
      </c>
      <c r="D53" s="838"/>
      <c r="E53" s="260">
        <v>10</v>
      </c>
      <c r="F53" s="837">
        <f t="shared" si="3"/>
        <v>55.555555555555557</v>
      </c>
      <c r="G53" s="260"/>
      <c r="H53" s="261">
        <v>7</v>
      </c>
      <c r="I53" s="837">
        <f t="shared" si="4"/>
        <v>38.888888888888893</v>
      </c>
      <c r="J53" s="261"/>
      <c r="K53" s="261">
        <v>1</v>
      </c>
      <c r="L53" s="837">
        <f t="shared" si="5"/>
        <v>5.5555555555555554</v>
      </c>
      <c r="M53" s="261"/>
      <c r="N53" s="261">
        <v>0</v>
      </c>
      <c r="O53" s="837">
        <f t="shared" si="6"/>
        <v>0</v>
      </c>
      <c r="P53" s="262"/>
      <c r="Q53" s="262">
        <v>0</v>
      </c>
      <c r="R53" s="837">
        <f t="shared" si="1"/>
        <v>0</v>
      </c>
    </row>
    <row r="54" spans="1:18" ht="13.15" customHeight="1">
      <c r="A54" s="434" t="s">
        <v>857</v>
      </c>
      <c r="B54" s="836">
        <f t="shared" si="0"/>
        <v>12</v>
      </c>
      <c r="C54" s="837">
        <f t="shared" si="2"/>
        <v>0.45214770158251694</v>
      </c>
      <c r="D54" s="838"/>
      <c r="E54" s="260">
        <v>9</v>
      </c>
      <c r="F54" s="837">
        <f t="shared" si="3"/>
        <v>75</v>
      </c>
      <c r="G54" s="260"/>
      <c r="H54" s="261">
        <v>1</v>
      </c>
      <c r="I54" s="837">
        <f t="shared" si="4"/>
        <v>8.3333333333333321</v>
      </c>
      <c r="J54" s="261"/>
      <c r="K54" s="261">
        <v>2</v>
      </c>
      <c r="L54" s="837">
        <f t="shared" si="5"/>
        <v>16.666666666666664</v>
      </c>
      <c r="M54" s="261"/>
      <c r="N54" s="261">
        <v>0</v>
      </c>
      <c r="O54" s="837">
        <f t="shared" si="6"/>
        <v>0</v>
      </c>
      <c r="P54" s="262"/>
      <c r="Q54" s="262">
        <v>0</v>
      </c>
      <c r="R54" s="837">
        <f t="shared" si="1"/>
        <v>0</v>
      </c>
    </row>
    <row r="55" spans="1:18" ht="13.15" customHeight="1">
      <c r="A55" s="434" t="s">
        <v>858</v>
      </c>
      <c r="B55" s="836">
        <f t="shared" si="0"/>
        <v>16</v>
      </c>
      <c r="C55" s="837">
        <f t="shared" si="2"/>
        <v>0.60286360211002266</v>
      </c>
      <c r="D55" s="838"/>
      <c r="E55" s="260">
        <v>12</v>
      </c>
      <c r="F55" s="837">
        <f t="shared" si="3"/>
        <v>75</v>
      </c>
      <c r="G55" s="260"/>
      <c r="H55" s="261">
        <v>3</v>
      </c>
      <c r="I55" s="837">
        <f t="shared" si="4"/>
        <v>18.75</v>
      </c>
      <c r="J55" s="261"/>
      <c r="K55" s="261">
        <v>1</v>
      </c>
      <c r="L55" s="837">
        <f t="shared" si="5"/>
        <v>6.25</v>
      </c>
      <c r="M55" s="261"/>
      <c r="N55" s="261">
        <v>0</v>
      </c>
      <c r="O55" s="837">
        <f t="shared" si="6"/>
        <v>0</v>
      </c>
      <c r="P55" s="262"/>
      <c r="Q55" s="262">
        <v>0</v>
      </c>
      <c r="R55" s="837">
        <f t="shared" si="1"/>
        <v>0</v>
      </c>
    </row>
    <row r="56" spans="1:18" ht="13.15" customHeight="1">
      <c r="A56" s="434" t="s">
        <v>859</v>
      </c>
      <c r="B56" s="836">
        <f t="shared" si="0"/>
        <v>64</v>
      </c>
      <c r="C56" s="837">
        <f t="shared" si="2"/>
        <v>2.4114544084400906</v>
      </c>
      <c r="D56" s="838"/>
      <c r="E56" s="260">
        <v>57</v>
      </c>
      <c r="F56" s="837">
        <f t="shared" si="3"/>
        <v>89.0625</v>
      </c>
      <c r="G56" s="260"/>
      <c r="H56" s="261">
        <v>6</v>
      </c>
      <c r="I56" s="837">
        <f t="shared" si="4"/>
        <v>9.375</v>
      </c>
      <c r="J56" s="261"/>
      <c r="K56" s="261">
        <v>1</v>
      </c>
      <c r="L56" s="837">
        <f t="shared" si="5"/>
        <v>1.5625</v>
      </c>
      <c r="M56" s="261"/>
      <c r="N56" s="261">
        <v>0</v>
      </c>
      <c r="O56" s="837">
        <f t="shared" si="6"/>
        <v>0</v>
      </c>
      <c r="P56" s="262"/>
      <c r="Q56" s="262">
        <v>0</v>
      </c>
      <c r="R56" s="837">
        <f t="shared" si="1"/>
        <v>0</v>
      </c>
    </row>
    <row r="57" spans="1:18" ht="13.15" customHeight="1">
      <c r="A57" s="434" t="s">
        <v>860</v>
      </c>
      <c r="B57" s="836">
        <f t="shared" si="0"/>
        <v>16</v>
      </c>
      <c r="C57" s="837">
        <f t="shared" si="2"/>
        <v>0.60286360211002266</v>
      </c>
      <c r="D57" s="838"/>
      <c r="E57" s="260">
        <v>6</v>
      </c>
      <c r="F57" s="837">
        <f t="shared" si="3"/>
        <v>37.5</v>
      </c>
      <c r="G57" s="260"/>
      <c r="H57" s="261">
        <v>10</v>
      </c>
      <c r="I57" s="837">
        <f t="shared" si="4"/>
        <v>62.5</v>
      </c>
      <c r="J57" s="261"/>
      <c r="K57" s="261">
        <v>0</v>
      </c>
      <c r="L57" s="837">
        <f t="shared" si="5"/>
        <v>0</v>
      </c>
      <c r="M57" s="261"/>
      <c r="N57" s="261">
        <v>0</v>
      </c>
      <c r="O57" s="837">
        <f t="shared" si="6"/>
        <v>0</v>
      </c>
      <c r="P57" s="262"/>
      <c r="Q57" s="262">
        <v>0</v>
      </c>
      <c r="R57" s="837">
        <f t="shared" si="1"/>
        <v>0</v>
      </c>
    </row>
    <row r="58" spans="1:18" ht="13.15" customHeight="1">
      <c r="A58" s="434" t="s">
        <v>861</v>
      </c>
      <c r="B58" s="836">
        <f t="shared" si="0"/>
        <v>9</v>
      </c>
      <c r="C58" s="837">
        <f t="shared" si="2"/>
        <v>0.33911077618688767</v>
      </c>
      <c r="D58" s="838"/>
      <c r="E58" s="260">
        <v>8</v>
      </c>
      <c r="F58" s="837">
        <f t="shared" si="3"/>
        <v>88.888888888888886</v>
      </c>
      <c r="G58" s="260"/>
      <c r="H58" s="261">
        <v>1</v>
      </c>
      <c r="I58" s="837">
        <f t="shared" si="4"/>
        <v>11.111111111111111</v>
      </c>
      <c r="J58" s="261"/>
      <c r="K58" s="261">
        <v>0</v>
      </c>
      <c r="L58" s="837">
        <f t="shared" si="5"/>
        <v>0</v>
      </c>
      <c r="M58" s="261"/>
      <c r="N58" s="261">
        <v>0</v>
      </c>
      <c r="O58" s="837">
        <f t="shared" si="6"/>
        <v>0</v>
      </c>
      <c r="P58" s="262"/>
      <c r="Q58" s="262">
        <v>0</v>
      </c>
      <c r="R58" s="837">
        <f t="shared" si="1"/>
        <v>0</v>
      </c>
    </row>
    <row r="59" spans="1:18" ht="13.15" customHeight="1">
      <c r="A59" s="455" t="s">
        <v>862</v>
      </c>
      <c r="B59" s="836">
        <f t="shared" si="0"/>
        <v>1</v>
      </c>
      <c r="C59" s="837">
        <f t="shared" si="2"/>
        <v>3.7678975131876416E-2</v>
      </c>
      <c r="D59" s="838"/>
      <c r="E59" s="260">
        <v>1</v>
      </c>
      <c r="F59" s="837">
        <f t="shared" si="3"/>
        <v>100</v>
      </c>
      <c r="G59" s="260"/>
      <c r="H59" s="261">
        <v>0</v>
      </c>
      <c r="I59" s="837">
        <f t="shared" si="4"/>
        <v>0</v>
      </c>
      <c r="J59" s="261"/>
      <c r="K59" s="261">
        <v>0</v>
      </c>
      <c r="L59" s="837">
        <f t="shared" si="5"/>
        <v>0</v>
      </c>
      <c r="M59" s="261"/>
      <c r="N59" s="261">
        <v>0</v>
      </c>
      <c r="O59" s="837">
        <f t="shared" si="6"/>
        <v>0</v>
      </c>
      <c r="P59" s="262"/>
      <c r="Q59" s="262">
        <v>0</v>
      </c>
      <c r="R59" s="837">
        <f t="shared" si="1"/>
        <v>0</v>
      </c>
    </row>
    <row r="60" spans="1:18" ht="13.15" customHeight="1">
      <c r="A60" s="840" t="s">
        <v>863</v>
      </c>
      <c r="B60" s="836">
        <f t="shared" si="0"/>
        <v>28</v>
      </c>
      <c r="C60" s="837">
        <f t="shared" si="2"/>
        <v>1.0550113036925395</v>
      </c>
      <c r="D60" s="838"/>
      <c r="E60" s="260">
        <v>28</v>
      </c>
      <c r="F60" s="837">
        <f t="shared" si="3"/>
        <v>100</v>
      </c>
      <c r="G60" s="260"/>
      <c r="H60" s="261">
        <v>0</v>
      </c>
      <c r="I60" s="837">
        <f t="shared" si="4"/>
        <v>0</v>
      </c>
      <c r="J60" s="261"/>
      <c r="K60" s="261">
        <v>0</v>
      </c>
      <c r="L60" s="837">
        <f t="shared" si="5"/>
        <v>0</v>
      </c>
      <c r="M60" s="261"/>
      <c r="N60" s="261">
        <v>0</v>
      </c>
      <c r="O60" s="837">
        <f t="shared" si="6"/>
        <v>0</v>
      </c>
      <c r="P60" s="262"/>
      <c r="Q60" s="262">
        <v>0</v>
      </c>
      <c r="R60" s="837">
        <f t="shared" si="1"/>
        <v>0</v>
      </c>
    </row>
    <row r="61" spans="1:18" ht="13.15" customHeight="1">
      <c r="A61" s="434" t="s">
        <v>864</v>
      </c>
      <c r="B61" s="836">
        <f t="shared" si="0"/>
        <v>66</v>
      </c>
      <c r="C61" s="837">
        <f t="shared" si="2"/>
        <v>2.4868123587038435</v>
      </c>
      <c r="D61" s="838"/>
      <c r="E61" s="260">
        <v>57</v>
      </c>
      <c r="F61" s="837">
        <f t="shared" si="3"/>
        <v>86.36363636363636</v>
      </c>
      <c r="G61" s="260"/>
      <c r="H61" s="261">
        <v>9</v>
      </c>
      <c r="I61" s="837">
        <f t="shared" si="4"/>
        <v>13.636363636363635</v>
      </c>
      <c r="J61" s="261"/>
      <c r="K61" s="261">
        <v>0</v>
      </c>
      <c r="L61" s="837">
        <f t="shared" si="5"/>
        <v>0</v>
      </c>
      <c r="M61" s="261"/>
      <c r="N61" s="261">
        <v>0</v>
      </c>
      <c r="O61" s="837">
        <f t="shared" si="6"/>
        <v>0</v>
      </c>
      <c r="P61" s="262"/>
      <c r="Q61" s="262">
        <v>0</v>
      </c>
      <c r="R61" s="837">
        <f t="shared" si="1"/>
        <v>0</v>
      </c>
    </row>
    <row r="62" spans="1:18" ht="13.15" customHeight="1">
      <c r="A62" s="434" t="s">
        <v>865</v>
      </c>
      <c r="B62" s="836">
        <f t="shared" si="0"/>
        <v>86</v>
      </c>
      <c r="C62" s="837">
        <f t="shared" si="2"/>
        <v>3.2403918613413714</v>
      </c>
      <c r="D62" s="838"/>
      <c r="E62" s="260">
        <v>69</v>
      </c>
      <c r="F62" s="837">
        <f t="shared" si="3"/>
        <v>80.232558139534888</v>
      </c>
      <c r="G62" s="260"/>
      <c r="H62" s="261">
        <v>17</v>
      </c>
      <c r="I62" s="837">
        <f t="shared" si="4"/>
        <v>19.767441860465116</v>
      </c>
      <c r="J62" s="261"/>
      <c r="K62" s="261">
        <v>0</v>
      </c>
      <c r="L62" s="837">
        <f t="shared" si="5"/>
        <v>0</v>
      </c>
      <c r="M62" s="261"/>
      <c r="N62" s="261">
        <v>0</v>
      </c>
      <c r="O62" s="837">
        <f t="shared" si="6"/>
        <v>0</v>
      </c>
      <c r="P62" s="262"/>
      <c r="Q62" s="262">
        <v>0</v>
      </c>
      <c r="R62" s="837">
        <f t="shared" si="1"/>
        <v>0</v>
      </c>
    </row>
    <row r="63" spans="1:18" ht="13.15" customHeight="1">
      <c r="A63" s="434" t="s">
        <v>866</v>
      </c>
      <c r="B63" s="836">
        <f t="shared" si="0"/>
        <v>6</v>
      </c>
      <c r="C63" s="837">
        <f t="shared" si="2"/>
        <v>0.22607385079125847</v>
      </c>
      <c r="D63" s="838"/>
      <c r="E63" s="260">
        <v>4</v>
      </c>
      <c r="F63" s="837">
        <f t="shared" si="3"/>
        <v>66.666666666666657</v>
      </c>
      <c r="G63" s="260"/>
      <c r="H63" s="261">
        <v>2</v>
      </c>
      <c r="I63" s="837">
        <f t="shared" si="4"/>
        <v>33.333333333333329</v>
      </c>
      <c r="J63" s="261"/>
      <c r="K63" s="261">
        <v>0</v>
      </c>
      <c r="L63" s="837">
        <f t="shared" si="5"/>
        <v>0</v>
      </c>
      <c r="M63" s="261"/>
      <c r="N63" s="261">
        <v>0</v>
      </c>
      <c r="O63" s="837">
        <f t="shared" si="6"/>
        <v>0</v>
      </c>
      <c r="P63" s="262"/>
      <c r="Q63" s="262">
        <v>0</v>
      </c>
      <c r="R63" s="837">
        <f t="shared" si="1"/>
        <v>0</v>
      </c>
    </row>
    <row r="64" spans="1:18" ht="13.15" customHeight="1">
      <c r="A64" s="434" t="s">
        <v>867</v>
      </c>
      <c r="B64" s="836">
        <f t="shared" si="0"/>
        <v>52</v>
      </c>
      <c r="C64" s="837">
        <f t="shared" si="2"/>
        <v>1.9593067068575734</v>
      </c>
      <c r="D64" s="838"/>
      <c r="E64" s="260">
        <v>52</v>
      </c>
      <c r="F64" s="837">
        <f t="shared" si="3"/>
        <v>100</v>
      </c>
      <c r="G64" s="260"/>
      <c r="H64" s="261">
        <v>0</v>
      </c>
      <c r="I64" s="837">
        <f t="shared" si="4"/>
        <v>0</v>
      </c>
      <c r="J64" s="261"/>
      <c r="K64" s="261">
        <v>0</v>
      </c>
      <c r="L64" s="837">
        <f t="shared" si="5"/>
        <v>0</v>
      </c>
      <c r="M64" s="261"/>
      <c r="N64" s="261">
        <v>0</v>
      </c>
      <c r="O64" s="837">
        <f t="shared" si="6"/>
        <v>0</v>
      </c>
      <c r="P64" s="262"/>
      <c r="Q64" s="262">
        <v>0</v>
      </c>
      <c r="R64" s="837">
        <f t="shared" si="1"/>
        <v>0</v>
      </c>
    </row>
    <row r="65" spans="1:19" ht="13.15" customHeight="1">
      <c r="A65" s="42" t="s">
        <v>868</v>
      </c>
      <c r="B65" s="836">
        <f t="shared" si="0"/>
        <v>16</v>
      </c>
      <c r="C65" s="837">
        <f t="shared" si="2"/>
        <v>0.60286360211002266</v>
      </c>
      <c r="D65" s="838"/>
      <c r="E65" s="260">
        <v>15</v>
      </c>
      <c r="F65" s="837">
        <f t="shared" si="3"/>
        <v>93.75</v>
      </c>
      <c r="G65" s="260"/>
      <c r="H65" s="261">
        <v>0</v>
      </c>
      <c r="I65" s="837">
        <f t="shared" si="4"/>
        <v>0</v>
      </c>
      <c r="J65" s="261"/>
      <c r="K65" s="261">
        <v>1</v>
      </c>
      <c r="L65" s="837">
        <f t="shared" si="5"/>
        <v>6.25</v>
      </c>
      <c r="M65" s="261"/>
      <c r="N65" s="261">
        <v>0</v>
      </c>
      <c r="O65" s="837">
        <f t="shared" si="6"/>
        <v>0</v>
      </c>
      <c r="P65" s="262"/>
      <c r="Q65" s="262">
        <v>0</v>
      </c>
      <c r="R65" s="837"/>
    </row>
    <row r="66" spans="1:19" ht="13.15" customHeight="1">
      <c r="A66" s="434" t="s">
        <v>869</v>
      </c>
      <c r="B66" s="836">
        <f t="shared" si="0"/>
        <v>9</v>
      </c>
      <c r="C66" s="837">
        <f t="shared" si="2"/>
        <v>0.33911077618688767</v>
      </c>
      <c r="D66" s="838"/>
      <c r="E66" s="260">
        <v>9</v>
      </c>
      <c r="F66" s="837">
        <f t="shared" si="3"/>
        <v>100</v>
      </c>
      <c r="G66" s="260"/>
      <c r="H66" s="261">
        <v>0</v>
      </c>
      <c r="I66" s="837">
        <f t="shared" si="4"/>
        <v>0</v>
      </c>
      <c r="J66" s="261"/>
      <c r="K66" s="261">
        <v>0</v>
      </c>
      <c r="L66" s="837">
        <f t="shared" si="5"/>
        <v>0</v>
      </c>
      <c r="M66" s="261"/>
      <c r="N66" s="261">
        <v>0</v>
      </c>
      <c r="O66" s="837">
        <f t="shared" si="6"/>
        <v>0</v>
      </c>
      <c r="P66" s="262"/>
      <c r="Q66" s="262">
        <v>0</v>
      </c>
      <c r="R66" s="837">
        <f t="shared" si="1"/>
        <v>0</v>
      </c>
    </row>
    <row r="67" spans="1:19" ht="13.15" customHeight="1">
      <c r="A67" s="434" t="s">
        <v>870</v>
      </c>
      <c r="B67" s="836">
        <f t="shared" si="0"/>
        <v>32</v>
      </c>
      <c r="C67" s="837">
        <f t="shared" si="2"/>
        <v>1.2057272042200453</v>
      </c>
      <c r="D67" s="838"/>
      <c r="E67" s="260">
        <v>21</v>
      </c>
      <c r="F67" s="837">
        <f t="shared" si="3"/>
        <v>65.625</v>
      </c>
      <c r="G67" s="260"/>
      <c r="H67" s="261">
        <v>8</v>
      </c>
      <c r="I67" s="837">
        <f t="shared" si="4"/>
        <v>25</v>
      </c>
      <c r="J67" s="261"/>
      <c r="K67" s="261">
        <v>3</v>
      </c>
      <c r="L67" s="837">
        <f t="shared" si="5"/>
        <v>9.375</v>
      </c>
      <c r="M67" s="261"/>
      <c r="N67" s="261">
        <v>0</v>
      </c>
      <c r="O67" s="837">
        <f t="shared" si="6"/>
        <v>0</v>
      </c>
      <c r="P67" s="262"/>
      <c r="Q67" s="262">
        <v>0</v>
      </c>
      <c r="R67" s="837">
        <f t="shared" si="1"/>
        <v>0</v>
      </c>
    </row>
    <row r="68" spans="1:19" ht="13.15" customHeight="1">
      <c r="A68" s="434" t="s">
        <v>871</v>
      </c>
      <c r="B68" s="836">
        <f t="shared" si="0"/>
        <v>88</v>
      </c>
      <c r="C68" s="837">
        <f t="shared" si="2"/>
        <v>3.3157498116051247</v>
      </c>
      <c r="D68" s="838"/>
      <c r="E68" s="260">
        <v>75</v>
      </c>
      <c r="F68" s="837">
        <f t="shared" si="3"/>
        <v>85.227272727272734</v>
      </c>
      <c r="G68" s="260"/>
      <c r="H68" s="261">
        <v>10</v>
      </c>
      <c r="I68" s="837">
        <f t="shared" si="4"/>
        <v>11.363636363636363</v>
      </c>
      <c r="J68" s="261"/>
      <c r="K68" s="261">
        <v>3</v>
      </c>
      <c r="L68" s="837">
        <f t="shared" si="5"/>
        <v>3.4090909090909087</v>
      </c>
      <c r="M68" s="261"/>
      <c r="N68" s="261">
        <v>0</v>
      </c>
      <c r="O68" s="837">
        <f t="shared" si="6"/>
        <v>0</v>
      </c>
      <c r="P68" s="262"/>
      <c r="Q68" s="262">
        <v>0</v>
      </c>
      <c r="R68" s="837">
        <f t="shared" si="1"/>
        <v>0</v>
      </c>
    </row>
    <row r="69" spans="1:19" ht="13.15" customHeight="1">
      <c r="A69" s="434" t="s">
        <v>872</v>
      </c>
      <c r="B69" s="836">
        <f t="shared" si="0"/>
        <v>24</v>
      </c>
      <c r="C69" s="837">
        <f t="shared" si="2"/>
        <v>0.90429540316503387</v>
      </c>
      <c r="D69" s="838"/>
      <c r="E69" s="260">
        <v>22</v>
      </c>
      <c r="F69" s="837">
        <f t="shared" si="3"/>
        <v>91.666666666666657</v>
      </c>
      <c r="G69" s="260"/>
      <c r="H69" s="261">
        <v>0</v>
      </c>
      <c r="I69" s="837">
        <f t="shared" si="4"/>
        <v>0</v>
      </c>
      <c r="J69" s="261"/>
      <c r="K69" s="261">
        <v>2</v>
      </c>
      <c r="L69" s="837">
        <f t="shared" si="5"/>
        <v>8.3333333333333321</v>
      </c>
      <c r="M69" s="261"/>
      <c r="N69" s="261">
        <v>0</v>
      </c>
      <c r="O69" s="837">
        <f t="shared" si="6"/>
        <v>0</v>
      </c>
      <c r="P69" s="262"/>
      <c r="Q69" s="262">
        <v>0</v>
      </c>
      <c r="R69" s="837">
        <f t="shared" si="1"/>
        <v>0</v>
      </c>
    </row>
    <row r="70" spans="1:19" ht="13.15" customHeight="1">
      <c r="A70" s="434" t="s">
        <v>873</v>
      </c>
      <c r="B70" s="836">
        <f t="shared" si="0"/>
        <v>42</v>
      </c>
      <c r="C70" s="837">
        <f t="shared" si="2"/>
        <v>1.5825169555388092</v>
      </c>
      <c r="D70" s="838"/>
      <c r="E70" s="260">
        <v>39</v>
      </c>
      <c r="F70" s="837">
        <f t="shared" si="3"/>
        <v>92.857142857142861</v>
      </c>
      <c r="G70" s="260"/>
      <c r="H70" s="261">
        <v>3</v>
      </c>
      <c r="I70" s="837">
        <f t="shared" si="4"/>
        <v>7.1428571428571423</v>
      </c>
      <c r="J70" s="261"/>
      <c r="K70" s="261">
        <v>0</v>
      </c>
      <c r="L70" s="837">
        <f t="shared" si="5"/>
        <v>0</v>
      </c>
      <c r="M70" s="261"/>
      <c r="N70" s="261">
        <v>0</v>
      </c>
      <c r="O70" s="837">
        <f t="shared" si="6"/>
        <v>0</v>
      </c>
      <c r="P70" s="262"/>
      <c r="Q70" s="262">
        <v>0</v>
      </c>
      <c r="R70" s="837">
        <f t="shared" si="1"/>
        <v>0</v>
      </c>
    </row>
    <row r="71" spans="1:19" ht="13.15" customHeight="1">
      <c r="A71" s="434" t="s">
        <v>874</v>
      </c>
      <c r="B71" s="836">
        <f t="shared" si="0"/>
        <v>9</v>
      </c>
      <c r="C71" s="837">
        <f t="shared" si="2"/>
        <v>0.33911077618688767</v>
      </c>
      <c r="D71" s="838"/>
      <c r="E71" s="260">
        <v>0</v>
      </c>
      <c r="F71" s="837">
        <f t="shared" si="3"/>
        <v>0</v>
      </c>
      <c r="G71" s="260"/>
      <c r="H71" s="261">
        <v>9</v>
      </c>
      <c r="I71" s="837">
        <f t="shared" si="4"/>
        <v>100</v>
      </c>
      <c r="J71" s="261"/>
      <c r="K71" s="261">
        <v>0</v>
      </c>
      <c r="L71" s="837">
        <f t="shared" si="5"/>
        <v>0</v>
      </c>
      <c r="M71" s="261"/>
      <c r="N71" s="261">
        <v>0</v>
      </c>
      <c r="O71" s="837">
        <f t="shared" si="6"/>
        <v>0</v>
      </c>
      <c r="P71" s="262"/>
      <c r="Q71" s="262">
        <v>0</v>
      </c>
      <c r="R71" s="837">
        <f t="shared" si="1"/>
        <v>0</v>
      </c>
    </row>
    <row r="72" spans="1:19" ht="13.15" customHeight="1">
      <c r="A72" s="434" t="s">
        <v>875</v>
      </c>
      <c r="B72" s="836">
        <f t="shared" si="0"/>
        <v>20</v>
      </c>
      <c r="C72" s="837">
        <f t="shared" si="2"/>
        <v>0.75357950263752826</v>
      </c>
      <c r="D72" s="838"/>
      <c r="E72" s="260">
        <v>0</v>
      </c>
      <c r="F72" s="837">
        <f t="shared" si="3"/>
        <v>0</v>
      </c>
      <c r="G72" s="260"/>
      <c r="H72" s="261">
        <v>0</v>
      </c>
      <c r="I72" s="837">
        <f t="shared" si="4"/>
        <v>0</v>
      </c>
      <c r="J72" s="261"/>
      <c r="K72" s="261">
        <v>16</v>
      </c>
      <c r="L72" s="837">
        <f t="shared" si="5"/>
        <v>80</v>
      </c>
      <c r="M72" s="261"/>
      <c r="N72" s="261">
        <v>4</v>
      </c>
      <c r="O72" s="837">
        <f t="shared" si="6"/>
        <v>20</v>
      </c>
      <c r="P72" s="262"/>
      <c r="Q72" s="262"/>
      <c r="R72" s="837">
        <f t="shared" si="1"/>
        <v>0</v>
      </c>
    </row>
    <row r="73" spans="1:19" ht="13.15" customHeight="1">
      <c r="A73" s="434" t="s">
        <v>876</v>
      </c>
      <c r="B73" s="836">
        <f t="shared" si="0"/>
        <v>1</v>
      </c>
      <c r="C73" s="837">
        <f t="shared" si="2"/>
        <v>3.7678975131876416E-2</v>
      </c>
      <c r="D73" s="838"/>
      <c r="E73" s="260">
        <v>1</v>
      </c>
      <c r="F73" s="837">
        <f t="shared" si="3"/>
        <v>100</v>
      </c>
      <c r="G73" s="260"/>
      <c r="H73" s="261">
        <v>0</v>
      </c>
      <c r="I73" s="837">
        <f t="shared" si="4"/>
        <v>0</v>
      </c>
      <c r="J73" s="261"/>
      <c r="K73" s="261">
        <v>0</v>
      </c>
      <c r="L73" s="837">
        <f t="shared" si="5"/>
        <v>0</v>
      </c>
      <c r="M73" s="261"/>
      <c r="N73" s="261">
        <v>0</v>
      </c>
      <c r="O73" s="837">
        <f t="shared" si="6"/>
        <v>0</v>
      </c>
      <c r="P73" s="262"/>
      <c r="Q73" s="262"/>
      <c r="R73" s="837">
        <f t="shared" si="1"/>
        <v>0</v>
      </c>
    </row>
    <row r="74" spans="1:19" ht="13.15" customHeight="1">
      <c r="A74" s="434" t="s">
        <v>877</v>
      </c>
      <c r="B74" s="836">
        <f t="shared" si="0"/>
        <v>78</v>
      </c>
      <c r="C74" s="837">
        <f t="shared" si="2"/>
        <v>2.9389600602863601</v>
      </c>
      <c r="D74" s="838"/>
      <c r="E74" s="260">
        <v>50</v>
      </c>
      <c r="F74" s="837">
        <f t="shared" si="3"/>
        <v>64.102564102564102</v>
      </c>
      <c r="G74" s="260"/>
      <c r="H74" s="261">
        <v>28</v>
      </c>
      <c r="I74" s="837">
        <f t="shared" si="4"/>
        <v>35.897435897435898</v>
      </c>
      <c r="J74" s="261"/>
      <c r="K74" s="261">
        <v>0</v>
      </c>
      <c r="L74" s="837">
        <f t="shared" si="5"/>
        <v>0</v>
      </c>
      <c r="M74" s="261"/>
      <c r="N74" s="261">
        <v>0</v>
      </c>
      <c r="O74" s="837">
        <f t="shared" si="6"/>
        <v>0</v>
      </c>
      <c r="P74" s="262"/>
      <c r="Q74" s="262"/>
      <c r="R74" s="837">
        <f t="shared" si="1"/>
        <v>0</v>
      </c>
    </row>
    <row r="75" spans="1:19" ht="13.15" customHeight="1">
      <c r="A75" s="434" t="s">
        <v>878</v>
      </c>
      <c r="B75" s="836">
        <f t="shared" ref="B75:B99" si="7">IF($A75&lt;&gt;0,E75+H75+K75+N75+Q75,"")</f>
        <v>33</v>
      </c>
      <c r="C75" s="837">
        <f t="shared" si="2"/>
        <v>1.2434061793519218</v>
      </c>
      <c r="D75" s="838"/>
      <c r="E75" s="260">
        <v>27</v>
      </c>
      <c r="F75" s="837">
        <f t="shared" si="3"/>
        <v>81.818181818181827</v>
      </c>
      <c r="G75" s="260"/>
      <c r="H75" s="261">
        <v>6</v>
      </c>
      <c r="I75" s="837">
        <f t="shared" si="4"/>
        <v>18.181818181818183</v>
      </c>
      <c r="J75" s="261"/>
      <c r="K75" s="261">
        <v>0</v>
      </c>
      <c r="L75" s="837">
        <f t="shared" si="5"/>
        <v>0</v>
      </c>
      <c r="M75" s="261"/>
      <c r="N75" s="261">
        <v>0</v>
      </c>
      <c r="O75" s="837">
        <f t="shared" si="6"/>
        <v>0</v>
      </c>
      <c r="P75" s="262"/>
      <c r="Q75" s="262"/>
      <c r="R75" s="837">
        <f t="shared" ref="R75:R96" si="8">IF($A75&lt;&gt;0,Q75/$B75*100,"")</f>
        <v>0</v>
      </c>
    </row>
    <row r="76" spans="1:19" ht="13.15" customHeight="1">
      <c r="A76" s="434" t="s">
        <v>879</v>
      </c>
      <c r="B76" s="836">
        <f t="shared" si="7"/>
        <v>15</v>
      </c>
      <c r="C76" s="837">
        <f t="shared" ref="C76:C99" si="9">IF(A76&lt;&gt;0,B76/$B$11*100,"")</f>
        <v>0.5651846269781462</v>
      </c>
      <c r="D76" s="838"/>
      <c r="E76" s="260">
        <v>15</v>
      </c>
      <c r="F76" s="837">
        <f t="shared" si="3"/>
        <v>100</v>
      </c>
      <c r="G76" s="260"/>
      <c r="H76" s="261">
        <v>0</v>
      </c>
      <c r="I76" s="837">
        <f t="shared" si="4"/>
        <v>0</v>
      </c>
      <c r="J76" s="261"/>
      <c r="K76" s="261">
        <v>0</v>
      </c>
      <c r="L76" s="837">
        <f t="shared" si="5"/>
        <v>0</v>
      </c>
      <c r="M76" s="261"/>
      <c r="N76" s="261">
        <v>0</v>
      </c>
      <c r="O76" s="837">
        <f t="shared" si="6"/>
        <v>0</v>
      </c>
      <c r="P76" s="262"/>
      <c r="Q76" s="262"/>
      <c r="R76" s="837">
        <f t="shared" si="8"/>
        <v>0</v>
      </c>
    </row>
    <row r="77" spans="1:19" ht="13.15" customHeight="1">
      <c r="A77" s="434" t="s">
        <v>880</v>
      </c>
      <c r="B77" s="836">
        <f t="shared" si="7"/>
        <v>26</v>
      </c>
      <c r="C77" s="837">
        <f t="shared" si="9"/>
        <v>0.97965335342878668</v>
      </c>
      <c r="D77" s="838"/>
      <c r="E77" s="260">
        <v>25</v>
      </c>
      <c r="F77" s="837">
        <f t="shared" ref="F77:F99" si="10">IF($A77&lt;&gt;0,E77/$B77*100,"")</f>
        <v>96.15384615384616</v>
      </c>
      <c r="G77" s="260"/>
      <c r="H77" s="261">
        <v>1</v>
      </c>
      <c r="I77" s="837">
        <f t="shared" ref="I77:I99" si="11">IF($A77&lt;&gt;0,H77/$B77*100,"")</f>
        <v>3.8461538461538463</v>
      </c>
      <c r="J77" s="261"/>
      <c r="K77" s="261">
        <v>0</v>
      </c>
      <c r="L77" s="837">
        <f t="shared" ref="L77:L99" si="12">IF($A77&lt;&gt;0,K77/$B77*100,"")</f>
        <v>0</v>
      </c>
      <c r="M77" s="261"/>
      <c r="N77" s="261">
        <v>0</v>
      </c>
      <c r="O77" s="837">
        <f t="shared" ref="O77:O99" si="13">IF($A77&lt;&gt;0,N77/$B77*100,"")</f>
        <v>0</v>
      </c>
      <c r="P77" s="262"/>
      <c r="Q77" s="262"/>
      <c r="R77" s="837">
        <f t="shared" si="8"/>
        <v>0</v>
      </c>
    </row>
    <row r="78" spans="1:19" ht="13.15" customHeight="1">
      <c r="A78" s="434" t="s">
        <v>881</v>
      </c>
      <c r="B78" s="836">
        <f t="shared" si="7"/>
        <v>2</v>
      </c>
      <c r="C78" s="837">
        <f t="shared" si="9"/>
        <v>7.5357950263752832E-2</v>
      </c>
      <c r="D78" s="838"/>
      <c r="E78" s="260">
        <v>2</v>
      </c>
      <c r="F78" s="837">
        <f t="shared" si="10"/>
        <v>100</v>
      </c>
      <c r="G78" s="260"/>
      <c r="H78" s="261">
        <v>0</v>
      </c>
      <c r="I78" s="837">
        <f t="shared" si="11"/>
        <v>0</v>
      </c>
      <c r="J78" s="261"/>
      <c r="K78" s="261">
        <v>0</v>
      </c>
      <c r="L78" s="837">
        <f t="shared" si="12"/>
        <v>0</v>
      </c>
      <c r="M78" s="261"/>
      <c r="N78" s="261">
        <v>0</v>
      </c>
      <c r="O78" s="837">
        <f t="shared" si="13"/>
        <v>0</v>
      </c>
      <c r="P78" s="262"/>
      <c r="Q78" s="262"/>
      <c r="R78" s="837">
        <f t="shared" si="8"/>
        <v>0</v>
      </c>
    </row>
    <row r="79" spans="1:19" ht="9.9499999999999993" customHeight="1">
      <c r="B79" s="836" t="str">
        <f>IF($A79&lt;&gt;0,E79+H79+K79+N79+Q79,"")</f>
        <v/>
      </c>
      <c r="C79" s="837" t="str">
        <f>IF(A79&lt;&gt;0,B79/$B$11*100,"")</f>
        <v/>
      </c>
      <c r="D79" s="838"/>
      <c r="E79" s="836"/>
      <c r="F79" s="837" t="str">
        <f t="shared" si="10"/>
        <v/>
      </c>
      <c r="G79" s="838"/>
      <c r="H79" s="836"/>
      <c r="I79" s="837" t="str">
        <f t="shared" si="11"/>
        <v/>
      </c>
      <c r="J79" s="838"/>
      <c r="K79" s="836"/>
      <c r="L79" s="837" t="str">
        <f t="shared" si="12"/>
        <v/>
      </c>
      <c r="M79" s="838"/>
      <c r="N79" s="836"/>
      <c r="O79" s="837" t="str">
        <f t="shared" si="13"/>
        <v/>
      </c>
      <c r="P79" s="838"/>
      <c r="Q79" s="841"/>
      <c r="R79" s="837" t="str">
        <f t="shared" si="8"/>
        <v/>
      </c>
    </row>
    <row r="80" spans="1:19" ht="13.15" customHeight="1">
      <c r="A80" s="63" t="s">
        <v>882</v>
      </c>
      <c r="B80" s="836">
        <f>IF($A80&lt;&gt;0,E80+H80+K80+N80+Q80,"")</f>
        <v>354</v>
      </c>
      <c r="C80" s="837">
        <f>IF(A80&lt;&gt;0,B80/$B$11*100,"")</f>
        <v>13.33835719668425</v>
      </c>
      <c r="D80" s="838"/>
      <c r="E80" s="836">
        <f>SUM(E81:E83)</f>
        <v>283</v>
      </c>
      <c r="F80" s="837">
        <f t="shared" si="10"/>
        <v>79.943502824858754</v>
      </c>
      <c r="G80" s="838"/>
      <c r="H80" s="836">
        <f>SUM(H81:H83)</f>
        <v>62</v>
      </c>
      <c r="I80" s="837">
        <f t="shared" si="11"/>
        <v>17.514124293785311</v>
      </c>
      <c r="J80" s="838"/>
      <c r="K80" s="836">
        <f>SUM(K81:K83)</f>
        <v>8</v>
      </c>
      <c r="L80" s="837">
        <f t="shared" si="12"/>
        <v>2.2598870056497176</v>
      </c>
      <c r="M80" s="838"/>
      <c r="N80" s="836">
        <f>SUM(N81:N83)</f>
        <v>1</v>
      </c>
      <c r="O80" s="837">
        <f t="shared" si="13"/>
        <v>0.2824858757062147</v>
      </c>
      <c r="P80" s="838"/>
      <c r="Q80" s="841"/>
      <c r="R80" s="837">
        <f t="shared" si="8"/>
        <v>0</v>
      </c>
      <c r="S80" s="434" t="s">
        <v>253</v>
      </c>
    </row>
    <row r="81" spans="1:18" ht="13.15" customHeight="1">
      <c r="A81" s="434" t="s">
        <v>883</v>
      </c>
      <c r="B81" s="836">
        <f t="shared" si="7"/>
        <v>119</v>
      </c>
      <c r="C81" s="837">
        <f t="shared" si="9"/>
        <v>4.4837980406932934</v>
      </c>
      <c r="D81" s="838"/>
      <c r="E81" s="260">
        <v>67</v>
      </c>
      <c r="F81" s="837">
        <f t="shared" si="10"/>
        <v>56.30252100840336</v>
      </c>
      <c r="G81" s="260"/>
      <c r="H81" s="261">
        <v>51</v>
      </c>
      <c r="I81" s="837">
        <f t="shared" si="11"/>
        <v>42.857142857142854</v>
      </c>
      <c r="J81" s="261"/>
      <c r="K81" s="261">
        <v>1</v>
      </c>
      <c r="L81" s="837">
        <f t="shared" si="12"/>
        <v>0.84033613445378152</v>
      </c>
      <c r="M81" s="261"/>
      <c r="N81" s="261">
        <v>0</v>
      </c>
      <c r="O81" s="837">
        <f t="shared" si="13"/>
        <v>0</v>
      </c>
      <c r="P81" s="262"/>
      <c r="Q81" s="262"/>
      <c r="R81" s="837">
        <f t="shared" si="8"/>
        <v>0</v>
      </c>
    </row>
    <row r="82" spans="1:18" ht="13.15" customHeight="1">
      <c r="A82" s="434" t="s">
        <v>884</v>
      </c>
      <c r="B82" s="836">
        <f t="shared" si="7"/>
        <v>213</v>
      </c>
      <c r="C82" s="837">
        <f t="shared" si="9"/>
        <v>8.0256217030896764</v>
      </c>
      <c r="D82" s="838"/>
      <c r="E82" s="260">
        <v>213</v>
      </c>
      <c r="F82" s="837">
        <f t="shared" si="10"/>
        <v>100</v>
      </c>
      <c r="G82" s="260"/>
      <c r="H82" s="261">
        <v>0</v>
      </c>
      <c r="I82" s="837">
        <f t="shared" si="11"/>
        <v>0</v>
      </c>
      <c r="J82" s="261"/>
      <c r="K82" s="261">
        <v>0</v>
      </c>
      <c r="L82" s="837">
        <f t="shared" si="12"/>
        <v>0</v>
      </c>
      <c r="M82" s="261"/>
      <c r="N82" s="261">
        <v>0</v>
      </c>
      <c r="O82" s="837">
        <f t="shared" si="13"/>
        <v>0</v>
      </c>
      <c r="P82" s="262"/>
      <c r="Q82" s="262"/>
      <c r="R82" s="837">
        <f t="shared" si="8"/>
        <v>0</v>
      </c>
    </row>
    <row r="83" spans="1:18" ht="13.15" customHeight="1">
      <c r="A83" s="434" t="s">
        <v>885</v>
      </c>
      <c r="B83" s="836">
        <f t="shared" si="7"/>
        <v>22</v>
      </c>
      <c r="C83" s="837">
        <f t="shared" si="9"/>
        <v>0.82893745290128118</v>
      </c>
      <c r="D83" s="838"/>
      <c r="E83" s="260">
        <v>3</v>
      </c>
      <c r="F83" s="837">
        <f t="shared" si="10"/>
        <v>13.636363636363635</v>
      </c>
      <c r="G83" s="260"/>
      <c r="H83" s="261">
        <v>11</v>
      </c>
      <c r="I83" s="837">
        <f t="shared" si="11"/>
        <v>50</v>
      </c>
      <c r="J83" s="261"/>
      <c r="K83" s="261">
        <v>7</v>
      </c>
      <c r="L83" s="837">
        <f t="shared" si="12"/>
        <v>31.818181818181817</v>
      </c>
      <c r="M83" s="261"/>
      <c r="N83" s="261">
        <v>1</v>
      </c>
      <c r="O83" s="837">
        <f t="shared" si="13"/>
        <v>4.5454545454545459</v>
      </c>
      <c r="P83" s="262"/>
      <c r="Q83" s="262">
        <v>0</v>
      </c>
      <c r="R83" s="837">
        <f t="shared" si="8"/>
        <v>0</v>
      </c>
    </row>
    <row r="84" spans="1:18" ht="9.9499999999999993" customHeight="1">
      <c r="A84" s="440"/>
      <c r="B84" s="836" t="str">
        <f>IF($A84&lt;&gt;0,E84+H84+K84+N84+Q84,"")</f>
        <v/>
      </c>
      <c r="C84" s="837" t="str">
        <f>IF(A84&lt;&gt;0,B84/$B$11*100,"")</f>
        <v/>
      </c>
      <c r="D84" s="838"/>
      <c r="E84" s="836"/>
      <c r="F84" s="837" t="str">
        <f t="shared" si="10"/>
        <v/>
      </c>
      <c r="G84" s="838"/>
      <c r="H84" s="836"/>
      <c r="I84" s="837" t="str">
        <f t="shared" si="11"/>
        <v/>
      </c>
      <c r="J84" s="838"/>
      <c r="K84" s="836"/>
      <c r="L84" s="837" t="str">
        <f t="shared" si="12"/>
        <v/>
      </c>
      <c r="M84" s="838"/>
      <c r="N84" s="836"/>
      <c r="O84" s="837" t="str">
        <f t="shared" si="13"/>
        <v/>
      </c>
      <c r="P84" s="838"/>
      <c r="Q84" s="841"/>
      <c r="R84" s="837" t="str">
        <f t="shared" si="8"/>
        <v/>
      </c>
    </row>
    <row r="85" spans="1:18" ht="13.15" customHeight="1">
      <c r="A85" s="90" t="s">
        <v>346</v>
      </c>
      <c r="B85" s="836">
        <f>IF($A85&lt;&gt;0,E85+H85+K85+N85+Q85,"")</f>
        <v>165</v>
      </c>
      <c r="C85" s="837">
        <f>IF(A85&lt;&gt;0,B85/$B$11*100,"")</f>
        <v>6.2170308967596082</v>
      </c>
      <c r="D85" s="842"/>
      <c r="E85" s="843">
        <f>SUM(E87)</f>
        <v>128</v>
      </c>
      <c r="F85" s="837">
        <f t="shared" si="10"/>
        <v>77.575757575757578</v>
      </c>
      <c r="G85" s="842"/>
      <c r="H85" s="843">
        <f>SUM(H87)</f>
        <v>36</v>
      </c>
      <c r="I85" s="837">
        <f t="shared" si="11"/>
        <v>21.818181818181817</v>
      </c>
      <c r="J85" s="838"/>
      <c r="K85" s="843">
        <f>SUM(K87)</f>
        <v>1</v>
      </c>
      <c r="L85" s="837">
        <f t="shared" si="12"/>
        <v>0.60606060606060608</v>
      </c>
      <c r="M85" s="838"/>
      <c r="N85" s="836"/>
      <c r="O85" s="837">
        <f t="shared" si="13"/>
        <v>0</v>
      </c>
      <c r="P85" s="838"/>
      <c r="Q85" s="841"/>
      <c r="R85" s="837">
        <f t="shared" si="8"/>
        <v>0</v>
      </c>
    </row>
    <row r="86" spans="1:18" ht="9.9499999999999993" customHeight="1">
      <c r="A86" s="90"/>
      <c r="B86" s="836" t="str">
        <f>IF($A86&lt;&gt;0,E86+H86+K86+N86+Q86,"")</f>
        <v/>
      </c>
      <c r="C86" s="837" t="str">
        <f>IF(A86&lt;&gt;0,B86/$B$11*100,"")</f>
        <v/>
      </c>
      <c r="D86" s="842"/>
      <c r="E86" s="843"/>
      <c r="F86" s="837" t="str">
        <f t="shared" si="10"/>
        <v/>
      </c>
      <c r="G86" s="842"/>
      <c r="H86" s="843"/>
      <c r="I86" s="837" t="str">
        <f t="shared" si="11"/>
        <v/>
      </c>
      <c r="J86" s="838"/>
      <c r="K86" s="836"/>
      <c r="L86" s="837" t="str">
        <f t="shared" si="12"/>
        <v/>
      </c>
      <c r="M86" s="838"/>
      <c r="N86" s="836"/>
      <c r="O86" s="837" t="str">
        <f t="shared" si="13"/>
        <v/>
      </c>
      <c r="P86" s="838"/>
      <c r="Q86" s="841"/>
      <c r="R86" s="837" t="str">
        <f t="shared" si="8"/>
        <v/>
      </c>
    </row>
    <row r="87" spans="1:18" ht="13.15" customHeight="1">
      <c r="A87" s="90" t="s">
        <v>824</v>
      </c>
      <c r="B87" s="836">
        <f>IF($A87&lt;&gt;0,E87+H87+K87+N87+Q87,"")</f>
        <v>165</v>
      </c>
      <c r="C87" s="837">
        <f>IF(A87&lt;&gt;0,B87/$B$11*100,"")</f>
        <v>6.2170308967596082</v>
      </c>
      <c r="D87" s="842"/>
      <c r="E87" s="843">
        <f>SUM(E88:E99)</f>
        <v>128</v>
      </c>
      <c r="F87" s="837">
        <f t="shared" si="10"/>
        <v>77.575757575757578</v>
      </c>
      <c r="G87" s="842"/>
      <c r="H87" s="843">
        <f>SUM(H88:H99)</f>
        <v>36</v>
      </c>
      <c r="I87" s="837">
        <f t="shared" si="11"/>
        <v>21.818181818181817</v>
      </c>
      <c r="J87" s="838"/>
      <c r="K87" s="843">
        <f>SUM(K88:K99)</f>
        <v>1</v>
      </c>
      <c r="L87" s="837">
        <f t="shared" si="12"/>
        <v>0.60606060606060608</v>
      </c>
      <c r="M87" s="838"/>
      <c r="N87" s="843"/>
      <c r="O87" s="837">
        <f t="shared" si="13"/>
        <v>0</v>
      </c>
      <c r="P87" s="838"/>
      <c r="Q87" s="841"/>
      <c r="R87" s="837">
        <f t="shared" si="8"/>
        <v>0</v>
      </c>
    </row>
    <row r="88" spans="1:18" ht="13.15" customHeight="1">
      <c r="A88" s="97" t="s">
        <v>38</v>
      </c>
      <c r="B88" s="836">
        <f>IF($A88&lt;&gt;0,E88+H88+K88+N88+Q88,"")</f>
        <v>16</v>
      </c>
      <c r="C88" s="837">
        <f>IF(A88&lt;&gt;0,B88/$B$11*100,"")</f>
        <v>0.60286360211002266</v>
      </c>
      <c r="D88" s="842"/>
      <c r="E88" s="260">
        <v>16</v>
      </c>
      <c r="F88" s="837">
        <f t="shared" si="10"/>
        <v>100</v>
      </c>
      <c r="G88" s="95"/>
      <c r="H88" s="261">
        <v>0</v>
      </c>
      <c r="I88" s="837">
        <f t="shared" si="11"/>
        <v>0</v>
      </c>
      <c r="J88" s="95"/>
      <c r="K88" s="261">
        <v>0</v>
      </c>
      <c r="L88" s="837">
        <f t="shared" si="12"/>
        <v>0</v>
      </c>
      <c r="M88" s="263"/>
      <c r="N88" s="263"/>
      <c r="O88" s="837">
        <f t="shared" si="13"/>
        <v>0</v>
      </c>
      <c r="P88" s="263"/>
      <c r="Q88" s="434"/>
      <c r="R88" s="837"/>
    </row>
    <row r="89" spans="1:18" ht="13.15" customHeight="1">
      <c r="A89" s="42" t="s">
        <v>886</v>
      </c>
      <c r="B89" s="836">
        <f t="shared" si="7"/>
        <v>19</v>
      </c>
      <c r="C89" s="837">
        <f t="shared" si="9"/>
        <v>0.71590052750565192</v>
      </c>
      <c r="D89" s="842"/>
      <c r="E89" s="260">
        <v>17</v>
      </c>
      <c r="F89" s="837">
        <f t="shared" si="10"/>
        <v>89.473684210526315</v>
      </c>
      <c r="G89" s="95"/>
      <c r="H89" s="261">
        <v>2</v>
      </c>
      <c r="I89" s="837">
        <f t="shared" si="11"/>
        <v>10.526315789473683</v>
      </c>
      <c r="J89" s="95"/>
      <c r="K89" s="261">
        <v>0</v>
      </c>
      <c r="L89" s="837">
        <f t="shared" si="12"/>
        <v>0</v>
      </c>
      <c r="M89" s="263"/>
      <c r="N89" s="263"/>
      <c r="O89" s="837">
        <f t="shared" si="13"/>
        <v>0</v>
      </c>
      <c r="P89" s="263"/>
      <c r="Q89" s="434"/>
      <c r="R89" s="837"/>
    </row>
    <row r="90" spans="1:18" ht="13.15" customHeight="1">
      <c r="A90" s="97" t="s">
        <v>887</v>
      </c>
      <c r="B90" s="836">
        <f t="shared" si="7"/>
        <v>11</v>
      </c>
      <c r="C90" s="837">
        <f t="shared" si="9"/>
        <v>0.41446872645064059</v>
      </c>
      <c r="D90" s="842"/>
      <c r="E90" s="260">
        <v>4</v>
      </c>
      <c r="F90" s="837">
        <f t="shared" si="10"/>
        <v>36.363636363636367</v>
      </c>
      <c r="G90" s="95"/>
      <c r="H90" s="261">
        <v>7</v>
      </c>
      <c r="I90" s="837">
        <f t="shared" si="11"/>
        <v>63.636363636363633</v>
      </c>
      <c r="J90" s="95"/>
      <c r="K90" s="261">
        <v>0</v>
      </c>
      <c r="L90" s="837">
        <f t="shared" si="12"/>
        <v>0</v>
      </c>
      <c r="M90" s="263"/>
      <c r="N90" s="263"/>
      <c r="O90" s="837">
        <f t="shared" si="13"/>
        <v>0</v>
      </c>
      <c r="P90" s="263"/>
      <c r="Q90" s="434"/>
      <c r="R90" s="837">
        <f t="shared" si="8"/>
        <v>0</v>
      </c>
    </row>
    <row r="91" spans="1:18" ht="13.15" customHeight="1">
      <c r="A91" s="434" t="s">
        <v>888</v>
      </c>
      <c r="B91" s="836">
        <f t="shared" si="7"/>
        <v>26</v>
      </c>
      <c r="C91" s="837">
        <f t="shared" si="9"/>
        <v>0.97965335342878668</v>
      </c>
      <c r="D91" s="842"/>
      <c r="E91" s="260">
        <v>13</v>
      </c>
      <c r="F91" s="837">
        <f t="shared" si="10"/>
        <v>50</v>
      </c>
      <c r="G91" s="95"/>
      <c r="H91" s="261">
        <v>12</v>
      </c>
      <c r="I91" s="837">
        <f t="shared" si="11"/>
        <v>46.153846153846153</v>
      </c>
      <c r="J91" s="95"/>
      <c r="K91" s="261">
        <v>1</v>
      </c>
      <c r="L91" s="837">
        <f t="shared" si="12"/>
        <v>3.8461538461538463</v>
      </c>
      <c r="M91" s="263"/>
      <c r="N91" s="263"/>
      <c r="O91" s="837">
        <f t="shared" si="13"/>
        <v>0</v>
      </c>
      <c r="P91" s="263"/>
      <c r="Q91" s="434"/>
      <c r="R91" s="837">
        <f t="shared" si="8"/>
        <v>0</v>
      </c>
    </row>
    <row r="92" spans="1:18" ht="13.15" customHeight="1">
      <c r="A92" s="434" t="s">
        <v>889</v>
      </c>
      <c r="B92" s="836">
        <f t="shared" si="7"/>
        <v>20</v>
      </c>
      <c r="C92" s="837">
        <f t="shared" si="9"/>
        <v>0.75357950263752826</v>
      </c>
      <c r="D92" s="842"/>
      <c r="E92" s="260">
        <v>7</v>
      </c>
      <c r="F92" s="837">
        <f t="shared" si="10"/>
        <v>35</v>
      </c>
      <c r="G92" s="95"/>
      <c r="H92" s="261">
        <v>13</v>
      </c>
      <c r="I92" s="837">
        <f t="shared" si="11"/>
        <v>65</v>
      </c>
      <c r="J92" s="95"/>
      <c r="K92" s="261">
        <v>0</v>
      </c>
      <c r="L92" s="837">
        <f t="shared" si="12"/>
        <v>0</v>
      </c>
      <c r="M92" s="263"/>
      <c r="N92" s="263"/>
      <c r="O92" s="837">
        <f t="shared" si="13"/>
        <v>0</v>
      </c>
      <c r="P92" s="263"/>
      <c r="Q92" s="434"/>
      <c r="R92" s="837">
        <f t="shared" si="8"/>
        <v>0</v>
      </c>
    </row>
    <row r="93" spans="1:18" ht="13.15" customHeight="1">
      <c r="A93" s="42" t="s">
        <v>890</v>
      </c>
      <c r="B93" s="836">
        <f t="shared" si="7"/>
        <v>11</v>
      </c>
      <c r="C93" s="837">
        <f t="shared" si="9"/>
        <v>0.41446872645064059</v>
      </c>
      <c r="D93" s="842"/>
      <c r="E93" s="260">
        <v>11</v>
      </c>
      <c r="F93" s="837">
        <f t="shared" si="10"/>
        <v>100</v>
      </c>
      <c r="G93" s="95"/>
      <c r="H93" s="261">
        <v>0</v>
      </c>
      <c r="I93" s="837">
        <f t="shared" si="11"/>
        <v>0</v>
      </c>
      <c r="J93" s="95"/>
      <c r="K93" s="261">
        <v>0</v>
      </c>
      <c r="L93" s="837">
        <f t="shared" si="12"/>
        <v>0</v>
      </c>
      <c r="M93" s="263"/>
      <c r="N93" s="263"/>
      <c r="O93" s="837">
        <f t="shared" si="13"/>
        <v>0</v>
      </c>
      <c r="P93" s="263"/>
      <c r="Q93" s="434"/>
      <c r="R93" s="837"/>
    </row>
    <row r="94" spans="1:18" ht="13.15" customHeight="1">
      <c r="A94" s="42" t="s">
        <v>891</v>
      </c>
      <c r="B94" s="836">
        <f t="shared" si="7"/>
        <v>8</v>
      </c>
      <c r="C94" s="837">
        <f t="shared" si="9"/>
        <v>0.30143180105501133</v>
      </c>
      <c r="D94" s="842"/>
      <c r="E94" s="260">
        <v>8</v>
      </c>
      <c r="F94" s="837">
        <f t="shared" si="10"/>
        <v>100</v>
      </c>
      <c r="G94" s="95"/>
      <c r="H94" s="261">
        <v>0</v>
      </c>
      <c r="I94" s="837">
        <f t="shared" si="11"/>
        <v>0</v>
      </c>
      <c r="J94" s="95"/>
      <c r="K94" s="261">
        <v>0</v>
      </c>
      <c r="L94" s="837">
        <f t="shared" si="12"/>
        <v>0</v>
      </c>
      <c r="M94" s="263"/>
      <c r="N94" s="263"/>
      <c r="O94" s="837">
        <f t="shared" si="13"/>
        <v>0</v>
      </c>
      <c r="P94" s="263"/>
      <c r="Q94" s="434"/>
      <c r="R94" s="837"/>
    </row>
    <row r="95" spans="1:18" ht="13.15" customHeight="1">
      <c r="A95" s="97" t="s">
        <v>26</v>
      </c>
      <c r="B95" s="836">
        <f t="shared" si="7"/>
        <v>7</v>
      </c>
      <c r="C95" s="837">
        <f t="shared" si="9"/>
        <v>0.26375282592313487</v>
      </c>
      <c r="D95" s="842"/>
      <c r="E95" s="265">
        <v>7</v>
      </c>
      <c r="F95" s="837">
        <f t="shared" si="10"/>
        <v>100</v>
      </c>
      <c r="G95" s="95"/>
      <c r="H95" s="266">
        <v>0</v>
      </c>
      <c r="I95" s="837">
        <f t="shared" si="11"/>
        <v>0</v>
      </c>
      <c r="J95" s="95"/>
      <c r="K95" s="266">
        <v>0</v>
      </c>
      <c r="L95" s="837">
        <f t="shared" si="12"/>
        <v>0</v>
      </c>
      <c r="M95" s="271"/>
      <c r="N95" s="271"/>
      <c r="O95" s="837">
        <f t="shared" si="13"/>
        <v>0</v>
      </c>
      <c r="P95" s="271"/>
      <c r="Q95" s="434"/>
      <c r="R95" s="837">
        <f t="shared" si="8"/>
        <v>0</v>
      </c>
    </row>
    <row r="96" spans="1:18" ht="13.15" customHeight="1">
      <c r="A96" s="97" t="s">
        <v>812</v>
      </c>
      <c r="B96" s="836">
        <f>IF($A96&lt;&gt;0,E96+H96+K96+N96+Q96,"")</f>
        <v>26</v>
      </c>
      <c r="C96" s="837">
        <f>IF(A96&lt;&gt;0,B96/$B$11*100,"")</f>
        <v>0.97965335342878668</v>
      </c>
      <c r="D96" s="842"/>
      <c r="E96" s="260">
        <v>26</v>
      </c>
      <c r="F96" s="837">
        <f>IF($A96&lt;&gt;0,E96/$B96*100,"")</f>
        <v>100</v>
      </c>
      <c r="G96" s="95"/>
      <c r="H96" s="261">
        <v>0</v>
      </c>
      <c r="I96" s="837">
        <f>IF($A96&lt;&gt;0,H96/$B96*100,"")</f>
        <v>0</v>
      </c>
      <c r="J96" s="95"/>
      <c r="K96" s="261">
        <v>0</v>
      </c>
      <c r="L96" s="837">
        <f>IF($A96&lt;&gt;0,K96/$B96*100,"")</f>
        <v>0</v>
      </c>
      <c r="M96" s="263"/>
      <c r="N96" s="263"/>
      <c r="O96" s="837">
        <f>IF($A96&lt;&gt;0,N96/$B96*100,"")</f>
        <v>0</v>
      </c>
      <c r="P96" s="263"/>
      <c r="Q96" s="434"/>
      <c r="R96" s="837">
        <f t="shared" si="8"/>
        <v>0</v>
      </c>
    </row>
    <row r="97" spans="1:19" ht="13.15" customHeight="1">
      <c r="A97" s="97" t="s">
        <v>892</v>
      </c>
      <c r="B97" s="836">
        <f>IF($A97&lt;&gt;0,E97+H97+K97+N97+Q97,"")</f>
        <v>13</v>
      </c>
      <c r="C97" s="837">
        <f>IF(A97&lt;&gt;0,B97/$B$11*100,"")</f>
        <v>0.48982667671439334</v>
      </c>
      <c r="D97" s="842"/>
      <c r="E97" s="260">
        <v>11</v>
      </c>
      <c r="F97" s="837">
        <f>IF($A97&lt;&gt;0,E97/$B97*100,"")</f>
        <v>84.615384615384613</v>
      </c>
      <c r="G97" s="95"/>
      <c r="H97" s="261">
        <v>2</v>
      </c>
      <c r="I97" s="837">
        <f>IF($A97&lt;&gt;0,H97/$B97*100,"")</f>
        <v>15.384615384615385</v>
      </c>
      <c r="J97" s="95"/>
      <c r="K97" s="261">
        <v>0</v>
      </c>
      <c r="L97" s="837">
        <f>IF($A97&lt;&gt;0,K97/$B97*100,"")</f>
        <v>0</v>
      </c>
      <c r="M97" s="263"/>
      <c r="N97" s="263"/>
      <c r="O97" s="837">
        <f>IF($A97&lt;&gt;0,N97/$B97*100,"")</f>
        <v>0</v>
      </c>
      <c r="P97" s="263"/>
      <c r="Q97" s="434"/>
      <c r="R97" s="837"/>
    </row>
    <row r="98" spans="1:19" ht="13.15" customHeight="1">
      <c r="A98" s="97" t="s">
        <v>47</v>
      </c>
      <c r="B98" s="836">
        <f t="shared" si="7"/>
        <v>1</v>
      </c>
      <c r="C98" s="837">
        <f t="shared" si="9"/>
        <v>3.7678975131876416E-2</v>
      </c>
      <c r="D98" s="842"/>
      <c r="E98" s="260">
        <v>1</v>
      </c>
      <c r="F98" s="837">
        <f t="shared" si="10"/>
        <v>100</v>
      </c>
      <c r="G98" s="95"/>
      <c r="H98" s="261">
        <v>0</v>
      </c>
      <c r="I98" s="837">
        <f t="shared" si="11"/>
        <v>0</v>
      </c>
      <c r="J98" s="95"/>
      <c r="K98" s="261">
        <v>0</v>
      </c>
      <c r="L98" s="837">
        <f t="shared" si="12"/>
        <v>0</v>
      </c>
      <c r="M98" s="263"/>
      <c r="N98" s="263"/>
      <c r="O98" s="837">
        <f t="shared" si="13"/>
        <v>0</v>
      </c>
      <c r="P98" s="263"/>
      <c r="Q98" s="434"/>
      <c r="R98" s="837"/>
    </row>
    <row r="99" spans="1:19" ht="13.15" customHeight="1">
      <c r="A99" s="97" t="s">
        <v>46</v>
      </c>
      <c r="B99" s="836">
        <f t="shared" si="7"/>
        <v>7</v>
      </c>
      <c r="C99" s="837">
        <f t="shared" si="9"/>
        <v>0.26375282592313487</v>
      </c>
      <c r="D99" s="842"/>
      <c r="E99" s="260">
        <v>7</v>
      </c>
      <c r="F99" s="837">
        <f t="shared" si="10"/>
        <v>100</v>
      </c>
      <c r="G99" s="95"/>
      <c r="H99" s="261">
        <v>0</v>
      </c>
      <c r="I99" s="837">
        <f t="shared" si="11"/>
        <v>0</v>
      </c>
      <c r="J99" s="95"/>
      <c r="K99" s="261">
        <v>0</v>
      </c>
      <c r="L99" s="837">
        <f t="shared" si="12"/>
        <v>0</v>
      </c>
      <c r="M99" s="263"/>
      <c r="N99" s="263"/>
      <c r="O99" s="837">
        <f t="shared" si="13"/>
        <v>0</v>
      </c>
      <c r="P99" s="263"/>
      <c r="Q99" s="434"/>
      <c r="R99" s="837"/>
    </row>
    <row r="100" spans="1:19" ht="5.25" customHeight="1" thickBot="1">
      <c r="A100" s="446"/>
      <c r="B100" s="446"/>
      <c r="C100" s="447"/>
      <c r="D100" s="445"/>
      <c r="E100" s="446"/>
      <c r="F100" s="447"/>
      <c r="G100" s="445"/>
      <c r="H100" s="446"/>
      <c r="I100" s="447"/>
      <c r="J100" s="445"/>
      <c r="K100" s="446"/>
      <c r="L100" s="447"/>
      <c r="M100" s="445"/>
      <c r="N100" s="446"/>
      <c r="O100" s="447"/>
      <c r="P100" s="445"/>
      <c r="Q100" s="446"/>
      <c r="R100" s="447"/>
      <c r="S100" s="447"/>
    </row>
    <row r="101" spans="1:19" ht="8.25" customHeight="1">
      <c r="B101" s="441"/>
      <c r="C101" s="442"/>
      <c r="D101" s="440"/>
      <c r="E101" s="441"/>
      <c r="F101" s="442"/>
      <c r="G101" s="440"/>
      <c r="H101" s="441"/>
      <c r="I101" s="442"/>
      <c r="J101" s="440"/>
      <c r="K101" s="441"/>
      <c r="L101" s="442"/>
      <c r="M101" s="440"/>
      <c r="N101" s="441"/>
      <c r="O101" s="442"/>
      <c r="P101" s="440"/>
      <c r="Q101" s="441"/>
      <c r="R101" s="442"/>
      <c r="S101" s="442"/>
    </row>
    <row r="102" spans="1:19" ht="14.25">
      <c r="A102" s="256" t="s">
        <v>2122</v>
      </c>
      <c r="C102" s="434"/>
      <c r="D102" s="435"/>
      <c r="E102" s="436"/>
      <c r="F102" s="434"/>
      <c r="G102" s="435"/>
      <c r="H102" s="436"/>
      <c r="I102" s="434"/>
      <c r="J102" s="435"/>
      <c r="K102" s="436"/>
      <c r="L102" s="434"/>
      <c r="M102" s="435"/>
      <c r="N102" s="436"/>
      <c r="O102" s="434"/>
      <c r="P102" s="435"/>
      <c r="Q102" s="436"/>
      <c r="R102" s="434"/>
    </row>
    <row r="103" spans="1:19" ht="7.5" customHeight="1"/>
    <row r="104" spans="1:19">
      <c r="A104" s="4" t="s">
        <v>893</v>
      </c>
      <c r="B104" s="449"/>
      <c r="C104" s="454"/>
    </row>
    <row r="105" spans="1:19">
      <c r="A105" s="434" t="s">
        <v>365</v>
      </c>
    </row>
  </sheetData>
  <mergeCells count="3">
    <mergeCell ref="E7:F7"/>
    <mergeCell ref="K7:L7"/>
    <mergeCell ref="N7:O7"/>
  </mergeCells>
  <printOptions horizontalCentered="1" verticalCentered="1"/>
  <pageMargins left="0" right="0" top="0" bottom="0" header="0.31496062992125984" footer="0.31496062992125984"/>
  <pageSetup paperSize="9" scale="60" orientation="portrait" r:id="rId1"/>
  <drawing r:id="rId2"/>
</worksheet>
</file>

<file path=xl/worksheets/sheet42.xml><?xml version="1.0" encoding="utf-8"?>
<worksheet xmlns="http://schemas.openxmlformats.org/spreadsheetml/2006/main" xmlns:r="http://schemas.openxmlformats.org/officeDocument/2006/relationships">
  <dimension ref="A1:T127"/>
  <sheetViews>
    <sheetView topLeftCell="A67" workbookViewId="0">
      <selection activeCell="A108" sqref="A108"/>
    </sheetView>
  </sheetViews>
  <sheetFormatPr baseColWidth="10" defaultColWidth="9.140625" defaultRowHeight="15"/>
  <cols>
    <col min="1" max="1" width="35.7109375" customWidth="1"/>
    <col min="2" max="2" width="7.28515625" style="65" customWidth="1"/>
    <col min="3" max="3" width="7.5703125" style="94" customWidth="1"/>
    <col min="4" max="4" width="2.7109375" style="42" customWidth="1"/>
    <col min="5" max="5" width="7.140625" style="93" customWidth="1"/>
    <col min="6" max="6" width="6.140625" style="94" customWidth="1"/>
    <col min="7" max="7" width="2.7109375" style="42" customWidth="1"/>
    <col min="8" max="8" width="6.85546875" style="93" customWidth="1"/>
    <col min="9" max="9" width="6.140625" style="94" customWidth="1"/>
    <col min="10" max="10" width="2.7109375" style="42" customWidth="1"/>
    <col min="11" max="11" width="6.140625" style="93" customWidth="1"/>
    <col min="12" max="12" width="6.140625" style="94" customWidth="1"/>
    <col min="13" max="13" width="2.7109375" style="42" customWidth="1"/>
    <col min="14" max="14" width="6.140625" style="42" customWidth="1"/>
    <col min="15" max="15" width="6.140625" style="94" customWidth="1"/>
    <col min="16" max="16" width="2.7109375" style="42" customWidth="1"/>
    <col min="17" max="17" width="6.140625" style="42" customWidth="1"/>
    <col min="18" max="18" width="6.140625" style="94" customWidth="1"/>
    <col min="19" max="19" width="2.7109375" style="42" customWidth="1"/>
    <col min="20" max="20" width="5.28515625" customWidth="1"/>
    <col min="21" max="21" width="3.5703125" customWidth="1"/>
    <col min="257" max="257" width="35.7109375" customWidth="1"/>
    <col min="258" max="258" width="8" customWidth="1"/>
    <col min="259" max="259" width="8.28515625" customWidth="1"/>
    <col min="260" max="260" width="2.7109375" customWidth="1"/>
    <col min="261" max="262" width="8.28515625" customWidth="1"/>
    <col min="263" max="263" width="2.7109375" customWidth="1"/>
    <col min="264" max="265" width="8.28515625" customWidth="1"/>
    <col min="266" max="266" width="2.7109375" customWidth="1"/>
    <col min="267" max="268" width="8.28515625" customWidth="1"/>
    <col min="269" max="269" width="2.7109375" customWidth="1"/>
    <col min="270" max="271" width="8.28515625" customWidth="1"/>
    <col min="272" max="272" width="2.7109375" customWidth="1"/>
    <col min="273" max="274" width="8.28515625" customWidth="1"/>
    <col min="275" max="275" width="2.7109375" customWidth="1"/>
    <col min="276" max="276" width="5.28515625" customWidth="1"/>
    <col min="277" max="277" width="3.5703125" customWidth="1"/>
    <col min="513" max="513" width="35.7109375" customWidth="1"/>
    <col min="514" max="514" width="8" customWidth="1"/>
    <col min="515" max="515" width="8.28515625" customWidth="1"/>
    <col min="516" max="516" width="2.7109375" customWidth="1"/>
    <col min="517" max="518" width="8.28515625" customWidth="1"/>
    <col min="519" max="519" width="2.7109375" customWidth="1"/>
    <col min="520" max="521" width="8.28515625" customWidth="1"/>
    <col min="522" max="522" width="2.7109375" customWidth="1"/>
    <col min="523" max="524" width="8.28515625" customWidth="1"/>
    <col min="525" max="525" width="2.7109375" customWidth="1"/>
    <col min="526" max="527" width="8.28515625" customWidth="1"/>
    <col min="528" max="528" width="2.7109375" customWidth="1"/>
    <col min="529" max="530" width="8.28515625" customWidth="1"/>
    <col min="531" max="531" width="2.7109375" customWidth="1"/>
    <col min="532" max="532" width="5.28515625" customWidth="1"/>
    <col min="533" max="533" width="3.5703125" customWidth="1"/>
    <col min="769" max="769" width="35.7109375" customWidth="1"/>
    <col min="770" max="770" width="8" customWidth="1"/>
    <col min="771" max="771" width="8.28515625" customWidth="1"/>
    <col min="772" max="772" width="2.7109375" customWidth="1"/>
    <col min="773" max="774" width="8.28515625" customWidth="1"/>
    <col min="775" max="775" width="2.7109375" customWidth="1"/>
    <col min="776" max="777" width="8.28515625" customWidth="1"/>
    <col min="778" max="778" width="2.7109375" customWidth="1"/>
    <col min="779" max="780" width="8.28515625" customWidth="1"/>
    <col min="781" max="781" width="2.7109375" customWidth="1"/>
    <col min="782" max="783" width="8.28515625" customWidth="1"/>
    <col min="784" max="784" width="2.7109375" customWidth="1"/>
    <col min="785" max="786" width="8.28515625" customWidth="1"/>
    <col min="787" max="787" width="2.7109375" customWidth="1"/>
    <col min="788" max="788" width="5.28515625" customWidth="1"/>
    <col min="789" max="789" width="3.5703125" customWidth="1"/>
    <col min="1025" max="1025" width="35.7109375" customWidth="1"/>
    <col min="1026" max="1026" width="8" customWidth="1"/>
    <col min="1027" max="1027" width="8.28515625" customWidth="1"/>
    <col min="1028" max="1028" width="2.7109375" customWidth="1"/>
    <col min="1029" max="1030" width="8.28515625" customWidth="1"/>
    <col min="1031" max="1031" width="2.7109375" customWidth="1"/>
    <col min="1032" max="1033" width="8.28515625" customWidth="1"/>
    <col min="1034" max="1034" width="2.7109375" customWidth="1"/>
    <col min="1035" max="1036" width="8.28515625" customWidth="1"/>
    <col min="1037" max="1037" width="2.7109375" customWidth="1"/>
    <col min="1038" max="1039" width="8.28515625" customWidth="1"/>
    <col min="1040" max="1040" width="2.7109375" customWidth="1"/>
    <col min="1041" max="1042" width="8.28515625" customWidth="1"/>
    <col min="1043" max="1043" width="2.7109375" customWidth="1"/>
    <col min="1044" max="1044" width="5.28515625" customWidth="1"/>
    <col min="1045" max="1045" width="3.5703125" customWidth="1"/>
    <col min="1281" max="1281" width="35.7109375" customWidth="1"/>
    <col min="1282" max="1282" width="8" customWidth="1"/>
    <col min="1283" max="1283" width="8.28515625" customWidth="1"/>
    <col min="1284" max="1284" width="2.7109375" customWidth="1"/>
    <col min="1285" max="1286" width="8.28515625" customWidth="1"/>
    <col min="1287" max="1287" width="2.7109375" customWidth="1"/>
    <col min="1288" max="1289" width="8.28515625" customWidth="1"/>
    <col min="1290" max="1290" width="2.7109375" customWidth="1"/>
    <col min="1291" max="1292" width="8.28515625" customWidth="1"/>
    <col min="1293" max="1293" width="2.7109375" customWidth="1"/>
    <col min="1294" max="1295" width="8.28515625" customWidth="1"/>
    <col min="1296" max="1296" width="2.7109375" customWidth="1"/>
    <col min="1297" max="1298" width="8.28515625" customWidth="1"/>
    <col min="1299" max="1299" width="2.7109375" customWidth="1"/>
    <col min="1300" max="1300" width="5.28515625" customWidth="1"/>
    <col min="1301" max="1301" width="3.5703125" customWidth="1"/>
    <col min="1537" max="1537" width="35.7109375" customWidth="1"/>
    <col min="1538" max="1538" width="8" customWidth="1"/>
    <col min="1539" max="1539" width="8.28515625" customWidth="1"/>
    <col min="1540" max="1540" width="2.7109375" customWidth="1"/>
    <col min="1541" max="1542" width="8.28515625" customWidth="1"/>
    <col min="1543" max="1543" width="2.7109375" customWidth="1"/>
    <col min="1544" max="1545" width="8.28515625" customWidth="1"/>
    <col min="1546" max="1546" width="2.7109375" customWidth="1"/>
    <col min="1547" max="1548" width="8.28515625" customWidth="1"/>
    <col min="1549" max="1549" width="2.7109375" customWidth="1"/>
    <col min="1550" max="1551" width="8.28515625" customWidth="1"/>
    <col min="1552" max="1552" width="2.7109375" customWidth="1"/>
    <col min="1553" max="1554" width="8.28515625" customWidth="1"/>
    <col min="1555" max="1555" width="2.7109375" customWidth="1"/>
    <col min="1556" max="1556" width="5.28515625" customWidth="1"/>
    <col min="1557" max="1557" width="3.5703125" customWidth="1"/>
    <col min="1793" max="1793" width="35.7109375" customWidth="1"/>
    <col min="1794" max="1794" width="8" customWidth="1"/>
    <col min="1795" max="1795" width="8.28515625" customWidth="1"/>
    <col min="1796" max="1796" width="2.7109375" customWidth="1"/>
    <col min="1797" max="1798" width="8.28515625" customWidth="1"/>
    <col min="1799" max="1799" width="2.7109375" customWidth="1"/>
    <col min="1800" max="1801" width="8.28515625" customWidth="1"/>
    <col min="1802" max="1802" width="2.7109375" customWidth="1"/>
    <col min="1803" max="1804" width="8.28515625" customWidth="1"/>
    <col min="1805" max="1805" width="2.7109375" customWidth="1"/>
    <col min="1806" max="1807" width="8.28515625" customWidth="1"/>
    <col min="1808" max="1808" width="2.7109375" customWidth="1"/>
    <col min="1809" max="1810" width="8.28515625" customWidth="1"/>
    <col min="1811" max="1811" width="2.7109375" customWidth="1"/>
    <col min="1812" max="1812" width="5.28515625" customWidth="1"/>
    <col min="1813" max="1813" width="3.5703125" customWidth="1"/>
    <col min="2049" max="2049" width="35.7109375" customWidth="1"/>
    <col min="2050" max="2050" width="8" customWidth="1"/>
    <col min="2051" max="2051" width="8.28515625" customWidth="1"/>
    <col min="2052" max="2052" width="2.7109375" customWidth="1"/>
    <col min="2053" max="2054" width="8.28515625" customWidth="1"/>
    <col min="2055" max="2055" width="2.7109375" customWidth="1"/>
    <col min="2056" max="2057" width="8.28515625" customWidth="1"/>
    <col min="2058" max="2058" width="2.7109375" customWidth="1"/>
    <col min="2059" max="2060" width="8.28515625" customWidth="1"/>
    <col min="2061" max="2061" width="2.7109375" customWidth="1"/>
    <col min="2062" max="2063" width="8.28515625" customWidth="1"/>
    <col min="2064" max="2064" width="2.7109375" customWidth="1"/>
    <col min="2065" max="2066" width="8.28515625" customWidth="1"/>
    <col min="2067" max="2067" width="2.7109375" customWidth="1"/>
    <col min="2068" max="2068" width="5.28515625" customWidth="1"/>
    <col min="2069" max="2069" width="3.5703125" customWidth="1"/>
    <col min="2305" max="2305" width="35.7109375" customWidth="1"/>
    <col min="2306" max="2306" width="8" customWidth="1"/>
    <col min="2307" max="2307" width="8.28515625" customWidth="1"/>
    <col min="2308" max="2308" width="2.7109375" customWidth="1"/>
    <col min="2309" max="2310" width="8.28515625" customWidth="1"/>
    <col min="2311" max="2311" width="2.7109375" customWidth="1"/>
    <col min="2312" max="2313" width="8.28515625" customWidth="1"/>
    <col min="2314" max="2314" width="2.7109375" customWidth="1"/>
    <col min="2315" max="2316" width="8.28515625" customWidth="1"/>
    <col min="2317" max="2317" width="2.7109375" customWidth="1"/>
    <col min="2318" max="2319" width="8.28515625" customWidth="1"/>
    <col min="2320" max="2320" width="2.7109375" customWidth="1"/>
    <col min="2321" max="2322" width="8.28515625" customWidth="1"/>
    <col min="2323" max="2323" width="2.7109375" customWidth="1"/>
    <col min="2324" max="2324" width="5.28515625" customWidth="1"/>
    <col min="2325" max="2325" width="3.5703125" customWidth="1"/>
    <col min="2561" max="2561" width="35.7109375" customWidth="1"/>
    <col min="2562" max="2562" width="8" customWidth="1"/>
    <col min="2563" max="2563" width="8.28515625" customWidth="1"/>
    <col min="2564" max="2564" width="2.7109375" customWidth="1"/>
    <col min="2565" max="2566" width="8.28515625" customWidth="1"/>
    <col min="2567" max="2567" width="2.7109375" customWidth="1"/>
    <col min="2568" max="2569" width="8.28515625" customWidth="1"/>
    <col min="2570" max="2570" width="2.7109375" customWidth="1"/>
    <col min="2571" max="2572" width="8.28515625" customWidth="1"/>
    <col min="2573" max="2573" width="2.7109375" customWidth="1"/>
    <col min="2574" max="2575" width="8.28515625" customWidth="1"/>
    <col min="2576" max="2576" width="2.7109375" customWidth="1"/>
    <col min="2577" max="2578" width="8.28515625" customWidth="1"/>
    <col min="2579" max="2579" width="2.7109375" customWidth="1"/>
    <col min="2580" max="2580" width="5.28515625" customWidth="1"/>
    <col min="2581" max="2581" width="3.5703125" customWidth="1"/>
    <col min="2817" max="2817" width="35.7109375" customWidth="1"/>
    <col min="2818" max="2818" width="8" customWidth="1"/>
    <col min="2819" max="2819" width="8.28515625" customWidth="1"/>
    <col min="2820" max="2820" width="2.7109375" customWidth="1"/>
    <col min="2821" max="2822" width="8.28515625" customWidth="1"/>
    <col min="2823" max="2823" width="2.7109375" customWidth="1"/>
    <col min="2824" max="2825" width="8.28515625" customWidth="1"/>
    <col min="2826" max="2826" width="2.7109375" customWidth="1"/>
    <col min="2827" max="2828" width="8.28515625" customWidth="1"/>
    <col min="2829" max="2829" width="2.7109375" customWidth="1"/>
    <col min="2830" max="2831" width="8.28515625" customWidth="1"/>
    <col min="2832" max="2832" width="2.7109375" customWidth="1"/>
    <col min="2833" max="2834" width="8.28515625" customWidth="1"/>
    <col min="2835" max="2835" width="2.7109375" customWidth="1"/>
    <col min="2836" max="2836" width="5.28515625" customWidth="1"/>
    <col min="2837" max="2837" width="3.5703125" customWidth="1"/>
    <col min="3073" max="3073" width="35.7109375" customWidth="1"/>
    <col min="3074" max="3074" width="8" customWidth="1"/>
    <col min="3075" max="3075" width="8.28515625" customWidth="1"/>
    <col min="3076" max="3076" width="2.7109375" customWidth="1"/>
    <col min="3077" max="3078" width="8.28515625" customWidth="1"/>
    <col min="3079" max="3079" width="2.7109375" customWidth="1"/>
    <col min="3080" max="3081" width="8.28515625" customWidth="1"/>
    <col min="3082" max="3082" width="2.7109375" customWidth="1"/>
    <col min="3083" max="3084" width="8.28515625" customWidth="1"/>
    <col min="3085" max="3085" width="2.7109375" customWidth="1"/>
    <col min="3086" max="3087" width="8.28515625" customWidth="1"/>
    <col min="3088" max="3088" width="2.7109375" customWidth="1"/>
    <col min="3089" max="3090" width="8.28515625" customWidth="1"/>
    <col min="3091" max="3091" width="2.7109375" customWidth="1"/>
    <col min="3092" max="3092" width="5.28515625" customWidth="1"/>
    <col min="3093" max="3093" width="3.5703125" customWidth="1"/>
    <col min="3329" max="3329" width="35.7109375" customWidth="1"/>
    <col min="3330" max="3330" width="8" customWidth="1"/>
    <col min="3331" max="3331" width="8.28515625" customWidth="1"/>
    <col min="3332" max="3332" width="2.7109375" customWidth="1"/>
    <col min="3333" max="3334" width="8.28515625" customWidth="1"/>
    <col min="3335" max="3335" width="2.7109375" customWidth="1"/>
    <col min="3336" max="3337" width="8.28515625" customWidth="1"/>
    <col min="3338" max="3338" width="2.7109375" customWidth="1"/>
    <col min="3339" max="3340" width="8.28515625" customWidth="1"/>
    <col min="3341" max="3341" width="2.7109375" customWidth="1"/>
    <col min="3342" max="3343" width="8.28515625" customWidth="1"/>
    <col min="3344" max="3344" width="2.7109375" customWidth="1"/>
    <col min="3345" max="3346" width="8.28515625" customWidth="1"/>
    <col min="3347" max="3347" width="2.7109375" customWidth="1"/>
    <col min="3348" max="3348" width="5.28515625" customWidth="1"/>
    <col min="3349" max="3349" width="3.5703125" customWidth="1"/>
    <col min="3585" max="3585" width="35.7109375" customWidth="1"/>
    <col min="3586" max="3586" width="8" customWidth="1"/>
    <col min="3587" max="3587" width="8.28515625" customWidth="1"/>
    <col min="3588" max="3588" width="2.7109375" customWidth="1"/>
    <col min="3589" max="3590" width="8.28515625" customWidth="1"/>
    <col min="3591" max="3591" width="2.7109375" customWidth="1"/>
    <col min="3592" max="3593" width="8.28515625" customWidth="1"/>
    <col min="3594" max="3594" width="2.7109375" customWidth="1"/>
    <col min="3595" max="3596" width="8.28515625" customWidth="1"/>
    <col min="3597" max="3597" width="2.7109375" customWidth="1"/>
    <col min="3598" max="3599" width="8.28515625" customWidth="1"/>
    <col min="3600" max="3600" width="2.7109375" customWidth="1"/>
    <col min="3601" max="3602" width="8.28515625" customWidth="1"/>
    <col min="3603" max="3603" width="2.7109375" customWidth="1"/>
    <col min="3604" max="3604" width="5.28515625" customWidth="1"/>
    <col min="3605" max="3605" width="3.5703125" customWidth="1"/>
    <col min="3841" max="3841" width="35.7109375" customWidth="1"/>
    <col min="3842" max="3842" width="8" customWidth="1"/>
    <col min="3843" max="3843" width="8.28515625" customWidth="1"/>
    <col min="3844" max="3844" width="2.7109375" customWidth="1"/>
    <col min="3845" max="3846" width="8.28515625" customWidth="1"/>
    <col min="3847" max="3847" width="2.7109375" customWidth="1"/>
    <col min="3848" max="3849" width="8.28515625" customWidth="1"/>
    <col min="3850" max="3850" width="2.7109375" customWidth="1"/>
    <col min="3851" max="3852" width="8.28515625" customWidth="1"/>
    <col min="3853" max="3853" width="2.7109375" customWidth="1"/>
    <col min="3854" max="3855" width="8.28515625" customWidth="1"/>
    <col min="3856" max="3856" width="2.7109375" customWidth="1"/>
    <col min="3857" max="3858" width="8.28515625" customWidth="1"/>
    <col min="3859" max="3859" width="2.7109375" customWidth="1"/>
    <col min="3860" max="3860" width="5.28515625" customWidth="1"/>
    <col min="3861" max="3861" width="3.5703125" customWidth="1"/>
    <col min="4097" max="4097" width="35.7109375" customWidth="1"/>
    <col min="4098" max="4098" width="8" customWidth="1"/>
    <col min="4099" max="4099" width="8.28515625" customWidth="1"/>
    <col min="4100" max="4100" width="2.7109375" customWidth="1"/>
    <col min="4101" max="4102" width="8.28515625" customWidth="1"/>
    <col min="4103" max="4103" width="2.7109375" customWidth="1"/>
    <col min="4104" max="4105" width="8.28515625" customWidth="1"/>
    <col min="4106" max="4106" width="2.7109375" customWidth="1"/>
    <col min="4107" max="4108" width="8.28515625" customWidth="1"/>
    <col min="4109" max="4109" width="2.7109375" customWidth="1"/>
    <col min="4110" max="4111" width="8.28515625" customWidth="1"/>
    <col min="4112" max="4112" width="2.7109375" customWidth="1"/>
    <col min="4113" max="4114" width="8.28515625" customWidth="1"/>
    <col min="4115" max="4115" width="2.7109375" customWidth="1"/>
    <col min="4116" max="4116" width="5.28515625" customWidth="1"/>
    <col min="4117" max="4117" width="3.5703125" customWidth="1"/>
    <col min="4353" max="4353" width="35.7109375" customWidth="1"/>
    <col min="4354" max="4354" width="8" customWidth="1"/>
    <col min="4355" max="4355" width="8.28515625" customWidth="1"/>
    <col min="4356" max="4356" width="2.7109375" customWidth="1"/>
    <col min="4357" max="4358" width="8.28515625" customWidth="1"/>
    <col min="4359" max="4359" width="2.7109375" customWidth="1"/>
    <col min="4360" max="4361" width="8.28515625" customWidth="1"/>
    <col min="4362" max="4362" width="2.7109375" customWidth="1"/>
    <col min="4363" max="4364" width="8.28515625" customWidth="1"/>
    <col min="4365" max="4365" width="2.7109375" customWidth="1"/>
    <col min="4366" max="4367" width="8.28515625" customWidth="1"/>
    <col min="4368" max="4368" width="2.7109375" customWidth="1"/>
    <col min="4369" max="4370" width="8.28515625" customWidth="1"/>
    <col min="4371" max="4371" width="2.7109375" customWidth="1"/>
    <col min="4372" max="4372" width="5.28515625" customWidth="1"/>
    <col min="4373" max="4373" width="3.5703125" customWidth="1"/>
    <col min="4609" max="4609" width="35.7109375" customWidth="1"/>
    <col min="4610" max="4610" width="8" customWidth="1"/>
    <col min="4611" max="4611" width="8.28515625" customWidth="1"/>
    <col min="4612" max="4612" width="2.7109375" customWidth="1"/>
    <col min="4613" max="4614" width="8.28515625" customWidth="1"/>
    <col min="4615" max="4615" width="2.7109375" customWidth="1"/>
    <col min="4616" max="4617" width="8.28515625" customWidth="1"/>
    <col min="4618" max="4618" width="2.7109375" customWidth="1"/>
    <col min="4619" max="4620" width="8.28515625" customWidth="1"/>
    <col min="4621" max="4621" width="2.7109375" customWidth="1"/>
    <col min="4622" max="4623" width="8.28515625" customWidth="1"/>
    <col min="4624" max="4624" width="2.7109375" customWidth="1"/>
    <col min="4625" max="4626" width="8.28515625" customWidth="1"/>
    <col min="4627" max="4627" width="2.7109375" customWidth="1"/>
    <col min="4628" max="4628" width="5.28515625" customWidth="1"/>
    <col min="4629" max="4629" width="3.5703125" customWidth="1"/>
    <col min="4865" max="4865" width="35.7109375" customWidth="1"/>
    <col min="4866" max="4866" width="8" customWidth="1"/>
    <col min="4867" max="4867" width="8.28515625" customWidth="1"/>
    <col min="4868" max="4868" width="2.7109375" customWidth="1"/>
    <col min="4869" max="4870" width="8.28515625" customWidth="1"/>
    <col min="4871" max="4871" width="2.7109375" customWidth="1"/>
    <col min="4872" max="4873" width="8.28515625" customWidth="1"/>
    <col min="4874" max="4874" width="2.7109375" customWidth="1"/>
    <col min="4875" max="4876" width="8.28515625" customWidth="1"/>
    <col min="4877" max="4877" width="2.7109375" customWidth="1"/>
    <col min="4878" max="4879" width="8.28515625" customWidth="1"/>
    <col min="4880" max="4880" width="2.7109375" customWidth="1"/>
    <col min="4881" max="4882" width="8.28515625" customWidth="1"/>
    <col min="4883" max="4883" width="2.7109375" customWidth="1"/>
    <col min="4884" max="4884" width="5.28515625" customWidth="1"/>
    <col min="4885" max="4885" width="3.5703125" customWidth="1"/>
    <col min="5121" max="5121" width="35.7109375" customWidth="1"/>
    <col min="5122" max="5122" width="8" customWidth="1"/>
    <col min="5123" max="5123" width="8.28515625" customWidth="1"/>
    <col min="5124" max="5124" width="2.7109375" customWidth="1"/>
    <col min="5125" max="5126" width="8.28515625" customWidth="1"/>
    <col min="5127" max="5127" width="2.7109375" customWidth="1"/>
    <col min="5128" max="5129" width="8.28515625" customWidth="1"/>
    <col min="5130" max="5130" width="2.7109375" customWidth="1"/>
    <col min="5131" max="5132" width="8.28515625" customWidth="1"/>
    <col min="5133" max="5133" width="2.7109375" customWidth="1"/>
    <col min="5134" max="5135" width="8.28515625" customWidth="1"/>
    <col min="5136" max="5136" width="2.7109375" customWidth="1"/>
    <col min="5137" max="5138" width="8.28515625" customWidth="1"/>
    <col min="5139" max="5139" width="2.7109375" customWidth="1"/>
    <col min="5140" max="5140" width="5.28515625" customWidth="1"/>
    <col min="5141" max="5141" width="3.5703125" customWidth="1"/>
    <col min="5377" max="5377" width="35.7109375" customWidth="1"/>
    <col min="5378" max="5378" width="8" customWidth="1"/>
    <col min="5379" max="5379" width="8.28515625" customWidth="1"/>
    <col min="5380" max="5380" width="2.7109375" customWidth="1"/>
    <col min="5381" max="5382" width="8.28515625" customWidth="1"/>
    <col min="5383" max="5383" width="2.7109375" customWidth="1"/>
    <col min="5384" max="5385" width="8.28515625" customWidth="1"/>
    <col min="5386" max="5386" width="2.7109375" customWidth="1"/>
    <col min="5387" max="5388" width="8.28515625" customWidth="1"/>
    <col min="5389" max="5389" width="2.7109375" customWidth="1"/>
    <col min="5390" max="5391" width="8.28515625" customWidth="1"/>
    <col min="5392" max="5392" width="2.7109375" customWidth="1"/>
    <col min="5393" max="5394" width="8.28515625" customWidth="1"/>
    <col min="5395" max="5395" width="2.7109375" customWidth="1"/>
    <col min="5396" max="5396" width="5.28515625" customWidth="1"/>
    <col min="5397" max="5397" width="3.5703125" customWidth="1"/>
    <col min="5633" max="5633" width="35.7109375" customWidth="1"/>
    <col min="5634" max="5634" width="8" customWidth="1"/>
    <col min="5635" max="5635" width="8.28515625" customWidth="1"/>
    <col min="5636" max="5636" width="2.7109375" customWidth="1"/>
    <col min="5637" max="5638" width="8.28515625" customWidth="1"/>
    <col min="5639" max="5639" width="2.7109375" customWidth="1"/>
    <col min="5640" max="5641" width="8.28515625" customWidth="1"/>
    <col min="5642" max="5642" width="2.7109375" customWidth="1"/>
    <col min="5643" max="5644" width="8.28515625" customWidth="1"/>
    <col min="5645" max="5645" width="2.7109375" customWidth="1"/>
    <col min="5646" max="5647" width="8.28515625" customWidth="1"/>
    <col min="5648" max="5648" width="2.7109375" customWidth="1"/>
    <col min="5649" max="5650" width="8.28515625" customWidth="1"/>
    <col min="5651" max="5651" width="2.7109375" customWidth="1"/>
    <col min="5652" max="5652" width="5.28515625" customWidth="1"/>
    <col min="5653" max="5653" width="3.5703125" customWidth="1"/>
    <col min="5889" max="5889" width="35.7109375" customWidth="1"/>
    <col min="5890" max="5890" width="8" customWidth="1"/>
    <col min="5891" max="5891" width="8.28515625" customWidth="1"/>
    <col min="5892" max="5892" width="2.7109375" customWidth="1"/>
    <col min="5893" max="5894" width="8.28515625" customWidth="1"/>
    <col min="5895" max="5895" width="2.7109375" customWidth="1"/>
    <col min="5896" max="5897" width="8.28515625" customWidth="1"/>
    <col min="5898" max="5898" width="2.7109375" customWidth="1"/>
    <col min="5899" max="5900" width="8.28515625" customWidth="1"/>
    <col min="5901" max="5901" width="2.7109375" customWidth="1"/>
    <col min="5902" max="5903" width="8.28515625" customWidth="1"/>
    <col min="5904" max="5904" width="2.7109375" customWidth="1"/>
    <col min="5905" max="5906" width="8.28515625" customWidth="1"/>
    <col min="5907" max="5907" width="2.7109375" customWidth="1"/>
    <col min="5908" max="5908" width="5.28515625" customWidth="1"/>
    <col min="5909" max="5909" width="3.5703125" customWidth="1"/>
    <col min="6145" max="6145" width="35.7109375" customWidth="1"/>
    <col min="6146" max="6146" width="8" customWidth="1"/>
    <col min="6147" max="6147" width="8.28515625" customWidth="1"/>
    <col min="6148" max="6148" width="2.7109375" customWidth="1"/>
    <col min="6149" max="6150" width="8.28515625" customWidth="1"/>
    <col min="6151" max="6151" width="2.7109375" customWidth="1"/>
    <col min="6152" max="6153" width="8.28515625" customWidth="1"/>
    <col min="6154" max="6154" width="2.7109375" customWidth="1"/>
    <col min="6155" max="6156" width="8.28515625" customWidth="1"/>
    <col min="6157" max="6157" width="2.7109375" customWidth="1"/>
    <col min="6158" max="6159" width="8.28515625" customWidth="1"/>
    <col min="6160" max="6160" width="2.7109375" customWidth="1"/>
    <col min="6161" max="6162" width="8.28515625" customWidth="1"/>
    <col min="6163" max="6163" width="2.7109375" customWidth="1"/>
    <col min="6164" max="6164" width="5.28515625" customWidth="1"/>
    <col min="6165" max="6165" width="3.5703125" customWidth="1"/>
    <col min="6401" max="6401" width="35.7109375" customWidth="1"/>
    <col min="6402" max="6402" width="8" customWidth="1"/>
    <col min="6403" max="6403" width="8.28515625" customWidth="1"/>
    <col min="6404" max="6404" width="2.7109375" customWidth="1"/>
    <col min="6405" max="6406" width="8.28515625" customWidth="1"/>
    <col min="6407" max="6407" width="2.7109375" customWidth="1"/>
    <col min="6408" max="6409" width="8.28515625" customWidth="1"/>
    <col min="6410" max="6410" width="2.7109375" customWidth="1"/>
    <col min="6411" max="6412" width="8.28515625" customWidth="1"/>
    <col min="6413" max="6413" width="2.7109375" customWidth="1"/>
    <col min="6414" max="6415" width="8.28515625" customWidth="1"/>
    <col min="6416" max="6416" width="2.7109375" customWidth="1"/>
    <col min="6417" max="6418" width="8.28515625" customWidth="1"/>
    <col min="6419" max="6419" width="2.7109375" customWidth="1"/>
    <col min="6420" max="6420" width="5.28515625" customWidth="1"/>
    <col min="6421" max="6421" width="3.5703125" customWidth="1"/>
    <col min="6657" max="6657" width="35.7109375" customWidth="1"/>
    <col min="6658" max="6658" width="8" customWidth="1"/>
    <col min="6659" max="6659" width="8.28515625" customWidth="1"/>
    <col min="6660" max="6660" width="2.7109375" customWidth="1"/>
    <col min="6661" max="6662" width="8.28515625" customWidth="1"/>
    <col min="6663" max="6663" width="2.7109375" customWidth="1"/>
    <col min="6664" max="6665" width="8.28515625" customWidth="1"/>
    <col min="6666" max="6666" width="2.7109375" customWidth="1"/>
    <col min="6667" max="6668" width="8.28515625" customWidth="1"/>
    <col min="6669" max="6669" width="2.7109375" customWidth="1"/>
    <col min="6670" max="6671" width="8.28515625" customWidth="1"/>
    <col min="6672" max="6672" width="2.7109375" customWidth="1"/>
    <col min="6673" max="6674" width="8.28515625" customWidth="1"/>
    <col min="6675" max="6675" width="2.7109375" customWidth="1"/>
    <col min="6676" max="6676" width="5.28515625" customWidth="1"/>
    <col min="6677" max="6677" width="3.5703125" customWidth="1"/>
    <col min="6913" max="6913" width="35.7109375" customWidth="1"/>
    <col min="6914" max="6914" width="8" customWidth="1"/>
    <col min="6915" max="6915" width="8.28515625" customWidth="1"/>
    <col min="6916" max="6916" width="2.7109375" customWidth="1"/>
    <col min="6917" max="6918" width="8.28515625" customWidth="1"/>
    <col min="6919" max="6919" width="2.7109375" customWidth="1"/>
    <col min="6920" max="6921" width="8.28515625" customWidth="1"/>
    <col min="6922" max="6922" width="2.7109375" customWidth="1"/>
    <col min="6923" max="6924" width="8.28515625" customWidth="1"/>
    <col min="6925" max="6925" width="2.7109375" customWidth="1"/>
    <col min="6926" max="6927" width="8.28515625" customWidth="1"/>
    <col min="6928" max="6928" width="2.7109375" customWidth="1"/>
    <col min="6929" max="6930" width="8.28515625" customWidth="1"/>
    <col min="6931" max="6931" width="2.7109375" customWidth="1"/>
    <col min="6932" max="6932" width="5.28515625" customWidth="1"/>
    <col min="6933" max="6933" width="3.5703125" customWidth="1"/>
    <col min="7169" max="7169" width="35.7109375" customWidth="1"/>
    <col min="7170" max="7170" width="8" customWidth="1"/>
    <col min="7171" max="7171" width="8.28515625" customWidth="1"/>
    <col min="7172" max="7172" width="2.7109375" customWidth="1"/>
    <col min="7173" max="7174" width="8.28515625" customWidth="1"/>
    <col min="7175" max="7175" width="2.7109375" customWidth="1"/>
    <col min="7176" max="7177" width="8.28515625" customWidth="1"/>
    <col min="7178" max="7178" width="2.7109375" customWidth="1"/>
    <col min="7179" max="7180" width="8.28515625" customWidth="1"/>
    <col min="7181" max="7181" width="2.7109375" customWidth="1"/>
    <col min="7182" max="7183" width="8.28515625" customWidth="1"/>
    <col min="7184" max="7184" width="2.7109375" customWidth="1"/>
    <col min="7185" max="7186" width="8.28515625" customWidth="1"/>
    <col min="7187" max="7187" width="2.7109375" customWidth="1"/>
    <col min="7188" max="7188" width="5.28515625" customWidth="1"/>
    <col min="7189" max="7189" width="3.5703125" customWidth="1"/>
    <col min="7425" max="7425" width="35.7109375" customWidth="1"/>
    <col min="7426" max="7426" width="8" customWidth="1"/>
    <col min="7427" max="7427" width="8.28515625" customWidth="1"/>
    <col min="7428" max="7428" width="2.7109375" customWidth="1"/>
    <col min="7429" max="7430" width="8.28515625" customWidth="1"/>
    <col min="7431" max="7431" width="2.7109375" customWidth="1"/>
    <col min="7432" max="7433" width="8.28515625" customWidth="1"/>
    <col min="7434" max="7434" width="2.7109375" customWidth="1"/>
    <col min="7435" max="7436" width="8.28515625" customWidth="1"/>
    <col min="7437" max="7437" width="2.7109375" customWidth="1"/>
    <col min="7438" max="7439" width="8.28515625" customWidth="1"/>
    <col min="7440" max="7440" width="2.7109375" customWidth="1"/>
    <col min="7441" max="7442" width="8.28515625" customWidth="1"/>
    <col min="7443" max="7443" width="2.7109375" customWidth="1"/>
    <col min="7444" max="7444" width="5.28515625" customWidth="1"/>
    <col min="7445" max="7445" width="3.5703125" customWidth="1"/>
    <col min="7681" max="7681" width="35.7109375" customWidth="1"/>
    <col min="7682" max="7682" width="8" customWidth="1"/>
    <col min="7683" max="7683" width="8.28515625" customWidth="1"/>
    <col min="7684" max="7684" width="2.7109375" customWidth="1"/>
    <col min="7685" max="7686" width="8.28515625" customWidth="1"/>
    <col min="7687" max="7687" width="2.7109375" customWidth="1"/>
    <col min="7688" max="7689" width="8.28515625" customWidth="1"/>
    <col min="7690" max="7690" width="2.7109375" customWidth="1"/>
    <col min="7691" max="7692" width="8.28515625" customWidth="1"/>
    <col min="7693" max="7693" width="2.7109375" customWidth="1"/>
    <col min="7694" max="7695" width="8.28515625" customWidth="1"/>
    <col min="7696" max="7696" width="2.7109375" customWidth="1"/>
    <col min="7697" max="7698" width="8.28515625" customWidth="1"/>
    <col min="7699" max="7699" width="2.7109375" customWidth="1"/>
    <col min="7700" max="7700" width="5.28515625" customWidth="1"/>
    <col min="7701" max="7701" width="3.5703125" customWidth="1"/>
    <col min="7937" max="7937" width="35.7109375" customWidth="1"/>
    <col min="7938" max="7938" width="8" customWidth="1"/>
    <col min="7939" max="7939" width="8.28515625" customWidth="1"/>
    <col min="7940" max="7940" width="2.7109375" customWidth="1"/>
    <col min="7941" max="7942" width="8.28515625" customWidth="1"/>
    <col min="7943" max="7943" width="2.7109375" customWidth="1"/>
    <col min="7944" max="7945" width="8.28515625" customWidth="1"/>
    <col min="7946" max="7946" width="2.7109375" customWidth="1"/>
    <col min="7947" max="7948" width="8.28515625" customWidth="1"/>
    <col min="7949" max="7949" width="2.7109375" customWidth="1"/>
    <col min="7950" max="7951" width="8.28515625" customWidth="1"/>
    <col min="7952" max="7952" width="2.7109375" customWidth="1"/>
    <col min="7953" max="7954" width="8.28515625" customWidth="1"/>
    <col min="7955" max="7955" width="2.7109375" customWidth="1"/>
    <col min="7956" max="7956" width="5.28515625" customWidth="1"/>
    <col min="7957" max="7957" width="3.5703125" customWidth="1"/>
    <col min="8193" max="8193" width="35.7109375" customWidth="1"/>
    <col min="8194" max="8194" width="8" customWidth="1"/>
    <col min="8195" max="8195" width="8.28515625" customWidth="1"/>
    <col min="8196" max="8196" width="2.7109375" customWidth="1"/>
    <col min="8197" max="8198" width="8.28515625" customWidth="1"/>
    <col min="8199" max="8199" width="2.7109375" customWidth="1"/>
    <col min="8200" max="8201" width="8.28515625" customWidth="1"/>
    <col min="8202" max="8202" width="2.7109375" customWidth="1"/>
    <col min="8203" max="8204" width="8.28515625" customWidth="1"/>
    <col min="8205" max="8205" width="2.7109375" customWidth="1"/>
    <col min="8206" max="8207" width="8.28515625" customWidth="1"/>
    <col min="8208" max="8208" width="2.7109375" customWidth="1"/>
    <col min="8209" max="8210" width="8.28515625" customWidth="1"/>
    <col min="8211" max="8211" width="2.7109375" customWidth="1"/>
    <col min="8212" max="8212" width="5.28515625" customWidth="1"/>
    <col min="8213" max="8213" width="3.5703125" customWidth="1"/>
    <col min="8449" max="8449" width="35.7109375" customWidth="1"/>
    <col min="8450" max="8450" width="8" customWidth="1"/>
    <col min="8451" max="8451" width="8.28515625" customWidth="1"/>
    <col min="8452" max="8452" width="2.7109375" customWidth="1"/>
    <col min="8453" max="8454" width="8.28515625" customWidth="1"/>
    <col min="8455" max="8455" width="2.7109375" customWidth="1"/>
    <col min="8456" max="8457" width="8.28515625" customWidth="1"/>
    <col min="8458" max="8458" width="2.7109375" customWidth="1"/>
    <col min="8459" max="8460" width="8.28515625" customWidth="1"/>
    <col min="8461" max="8461" width="2.7109375" customWidth="1"/>
    <col min="8462" max="8463" width="8.28515625" customWidth="1"/>
    <col min="8464" max="8464" width="2.7109375" customWidth="1"/>
    <col min="8465" max="8466" width="8.28515625" customWidth="1"/>
    <col min="8467" max="8467" width="2.7109375" customWidth="1"/>
    <col min="8468" max="8468" width="5.28515625" customWidth="1"/>
    <col min="8469" max="8469" width="3.5703125" customWidth="1"/>
    <col min="8705" max="8705" width="35.7109375" customWidth="1"/>
    <col min="8706" max="8706" width="8" customWidth="1"/>
    <col min="8707" max="8707" width="8.28515625" customWidth="1"/>
    <col min="8708" max="8708" width="2.7109375" customWidth="1"/>
    <col min="8709" max="8710" width="8.28515625" customWidth="1"/>
    <col min="8711" max="8711" width="2.7109375" customWidth="1"/>
    <col min="8712" max="8713" width="8.28515625" customWidth="1"/>
    <col min="8714" max="8714" width="2.7109375" customWidth="1"/>
    <col min="8715" max="8716" width="8.28515625" customWidth="1"/>
    <col min="8717" max="8717" width="2.7109375" customWidth="1"/>
    <col min="8718" max="8719" width="8.28515625" customWidth="1"/>
    <col min="8720" max="8720" width="2.7109375" customWidth="1"/>
    <col min="8721" max="8722" width="8.28515625" customWidth="1"/>
    <col min="8723" max="8723" width="2.7109375" customWidth="1"/>
    <col min="8724" max="8724" width="5.28515625" customWidth="1"/>
    <col min="8725" max="8725" width="3.5703125" customWidth="1"/>
    <col min="8961" max="8961" width="35.7109375" customWidth="1"/>
    <col min="8962" max="8962" width="8" customWidth="1"/>
    <col min="8963" max="8963" width="8.28515625" customWidth="1"/>
    <col min="8964" max="8964" width="2.7109375" customWidth="1"/>
    <col min="8965" max="8966" width="8.28515625" customWidth="1"/>
    <col min="8967" max="8967" width="2.7109375" customWidth="1"/>
    <col min="8968" max="8969" width="8.28515625" customWidth="1"/>
    <col min="8970" max="8970" width="2.7109375" customWidth="1"/>
    <col min="8971" max="8972" width="8.28515625" customWidth="1"/>
    <col min="8973" max="8973" width="2.7109375" customWidth="1"/>
    <col min="8974" max="8975" width="8.28515625" customWidth="1"/>
    <col min="8976" max="8976" width="2.7109375" customWidth="1"/>
    <col min="8977" max="8978" width="8.28515625" customWidth="1"/>
    <col min="8979" max="8979" width="2.7109375" customWidth="1"/>
    <col min="8980" max="8980" width="5.28515625" customWidth="1"/>
    <col min="8981" max="8981" width="3.5703125" customWidth="1"/>
    <col min="9217" max="9217" width="35.7109375" customWidth="1"/>
    <col min="9218" max="9218" width="8" customWidth="1"/>
    <col min="9219" max="9219" width="8.28515625" customWidth="1"/>
    <col min="9220" max="9220" width="2.7109375" customWidth="1"/>
    <col min="9221" max="9222" width="8.28515625" customWidth="1"/>
    <col min="9223" max="9223" width="2.7109375" customWidth="1"/>
    <col min="9224" max="9225" width="8.28515625" customWidth="1"/>
    <col min="9226" max="9226" width="2.7109375" customWidth="1"/>
    <col min="9227" max="9228" width="8.28515625" customWidth="1"/>
    <col min="9229" max="9229" width="2.7109375" customWidth="1"/>
    <col min="9230" max="9231" width="8.28515625" customWidth="1"/>
    <col min="9232" max="9232" width="2.7109375" customWidth="1"/>
    <col min="9233" max="9234" width="8.28515625" customWidth="1"/>
    <col min="9235" max="9235" width="2.7109375" customWidth="1"/>
    <col min="9236" max="9236" width="5.28515625" customWidth="1"/>
    <col min="9237" max="9237" width="3.5703125" customWidth="1"/>
    <col min="9473" max="9473" width="35.7109375" customWidth="1"/>
    <col min="9474" max="9474" width="8" customWidth="1"/>
    <col min="9475" max="9475" width="8.28515625" customWidth="1"/>
    <col min="9476" max="9476" width="2.7109375" customWidth="1"/>
    <col min="9477" max="9478" width="8.28515625" customWidth="1"/>
    <col min="9479" max="9479" width="2.7109375" customWidth="1"/>
    <col min="9480" max="9481" width="8.28515625" customWidth="1"/>
    <col min="9482" max="9482" width="2.7109375" customWidth="1"/>
    <col min="9483" max="9484" width="8.28515625" customWidth="1"/>
    <col min="9485" max="9485" width="2.7109375" customWidth="1"/>
    <col min="9486" max="9487" width="8.28515625" customWidth="1"/>
    <col min="9488" max="9488" width="2.7109375" customWidth="1"/>
    <col min="9489" max="9490" width="8.28515625" customWidth="1"/>
    <col min="9491" max="9491" width="2.7109375" customWidth="1"/>
    <col min="9492" max="9492" width="5.28515625" customWidth="1"/>
    <col min="9493" max="9493" width="3.5703125" customWidth="1"/>
    <col min="9729" max="9729" width="35.7109375" customWidth="1"/>
    <col min="9730" max="9730" width="8" customWidth="1"/>
    <col min="9731" max="9731" width="8.28515625" customWidth="1"/>
    <col min="9732" max="9732" width="2.7109375" customWidth="1"/>
    <col min="9733" max="9734" width="8.28515625" customWidth="1"/>
    <col min="9735" max="9735" width="2.7109375" customWidth="1"/>
    <col min="9736" max="9737" width="8.28515625" customWidth="1"/>
    <col min="9738" max="9738" width="2.7109375" customWidth="1"/>
    <col min="9739" max="9740" width="8.28515625" customWidth="1"/>
    <col min="9741" max="9741" width="2.7109375" customWidth="1"/>
    <col min="9742" max="9743" width="8.28515625" customWidth="1"/>
    <col min="9744" max="9744" width="2.7109375" customWidth="1"/>
    <col min="9745" max="9746" width="8.28515625" customWidth="1"/>
    <col min="9747" max="9747" width="2.7109375" customWidth="1"/>
    <col min="9748" max="9748" width="5.28515625" customWidth="1"/>
    <col min="9749" max="9749" width="3.5703125" customWidth="1"/>
    <col min="9985" max="9985" width="35.7109375" customWidth="1"/>
    <col min="9986" max="9986" width="8" customWidth="1"/>
    <col min="9987" max="9987" width="8.28515625" customWidth="1"/>
    <col min="9988" max="9988" width="2.7109375" customWidth="1"/>
    <col min="9989" max="9990" width="8.28515625" customWidth="1"/>
    <col min="9991" max="9991" width="2.7109375" customWidth="1"/>
    <col min="9992" max="9993" width="8.28515625" customWidth="1"/>
    <col min="9994" max="9994" width="2.7109375" customWidth="1"/>
    <col min="9995" max="9996" width="8.28515625" customWidth="1"/>
    <col min="9997" max="9997" width="2.7109375" customWidth="1"/>
    <col min="9998" max="9999" width="8.28515625" customWidth="1"/>
    <col min="10000" max="10000" width="2.7109375" customWidth="1"/>
    <col min="10001" max="10002" width="8.28515625" customWidth="1"/>
    <col min="10003" max="10003" width="2.7109375" customWidth="1"/>
    <col min="10004" max="10004" width="5.28515625" customWidth="1"/>
    <col min="10005" max="10005" width="3.5703125" customWidth="1"/>
    <col min="10241" max="10241" width="35.7109375" customWidth="1"/>
    <col min="10242" max="10242" width="8" customWidth="1"/>
    <col min="10243" max="10243" width="8.28515625" customWidth="1"/>
    <col min="10244" max="10244" width="2.7109375" customWidth="1"/>
    <col min="10245" max="10246" width="8.28515625" customWidth="1"/>
    <col min="10247" max="10247" width="2.7109375" customWidth="1"/>
    <col min="10248" max="10249" width="8.28515625" customWidth="1"/>
    <col min="10250" max="10250" width="2.7109375" customWidth="1"/>
    <col min="10251" max="10252" width="8.28515625" customWidth="1"/>
    <col min="10253" max="10253" width="2.7109375" customWidth="1"/>
    <col min="10254" max="10255" width="8.28515625" customWidth="1"/>
    <col min="10256" max="10256" width="2.7109375" customWidth="1"/>
    <col min="10257" max="10258" width="8.28515625" customWidth="1"/>
    <col min="10259" max="10259" width="2.7109375" customWidth="1"/>
    <col min="10260" max="10260" width="5.28515625" customWidth="1"/>
    <col min="10261" max="10261" width="3.5703125" customWidth="1"/>
    <col min="10497" max="10497" width="35.7109375" customWidth="1"/>
    <col min="10498" max="10498" width="8" customWidth="1"/>
    <col min="10499" max="10499" width="8.28515625" customWidth="1"/>
    <col min="10500" max="10500" width="2.7109375" customWidth="1"/>
    <col min="10501" max="10502" width="8.28515625" customWidth="1"/>
    <col min="10503" max="10503" width="2.7109375" customWidth="1"/>
    <col min="10504" max="10505" width="8.28515625" customWidth="1"/>
    <col min="10506" max="10506" width="2.7109375" customWidth="1"/>
    <col min="10507" max="10508" width="8.28515625" customWidth="1"/>
    <col min="10509" max="10509" width="2.7109375" customWidth="1"/>
    <col min="10510" max="10511" width="8.28515625" customWidth="1"/>
    <col min="10512" max="10512" width="2.7109375" customWidth="1"/>
    <col min="10513" max="10514" width="8.28515625" customWidth="1"/>
    <col min="10515" max="10515" width="2.7109375" customWidth="1"/>
    <col min="10516" max="10516" width="5.28515625" customWidth="1"/>
    <col min="10517" max="10517" width="3.5703125" customWidth="1"/>
    <col min="10753" max="10753" width="35.7109375" customWidth="1"/>
    <col min="10754" max="10754" width="8" customWidth="1"/>
    <col min="10755" max="10755" width="8.28515625" customWidth="1"/>
    <col min="10756" max="10756" width="2.7109375" customWidth="1"/>
    <col min="10757" max="10758" width="8.28515625" customWidth="1"/>
    <col min="10759" max="10759" width="2.7109375" customWidth="1"/>
    <col min="10760" max="10761" width="8.28515625" customWidth="1"/>
    <col min="10762" max="10762" width="2.7109375" customWidth="1"/>
    <col min="10763" max="10764" width="8.28515625" customWidth="1"/>
    <col min="10765" max="10765" width="2.7109375" customWidth="1"/>
    <col min="10766" max="10767" width="8.28515625" customWidth="1"/>
    <col min="10768" max="10768" width="2.7109375" customWidth="1"/>
    <col min="10769" max="10770" width="8.28515625" customWidth="1"/>
    <col min="10771" max="10771" width="2.7109375" customWidth="1"/>
    <col min="10772" max="10772" width="5.28515625" customWidth="1"/>
    <col min="10773" max="10773" width="3.5703125" customWidth="1"/>
    <col min="11009" max="11009" width="35.7109375" customWidth="1"/>
    <col min="11010" max="11010" width="8" customWidth="1"/>
    <col min="11011" max="11011" width="8.28515625" customWidth="1"/>
    <col min="11012" max="11012" width="2.7109375" customWidth="1"/>
    <col min="11013" max="11014" width="8.28515625" customWidth="1"/>
    <col min="11015" max="11015" width="2.7109375" customWidth="1"/>
    <col min="11016" max="11017" width="8.28515625" customWidth="1"/>
    <col min="11018" max="11018" width="2.7109375" customWidth="1"/>
    <col min="11019" max="11020" width="8.28515625" customWidth="1"/>
    <col min="11021" max="11021" width="2.7109375" customWidth="1"/>
    <col min="11022" max="11023" width="8.28515625" customWidth="1"/>
    <col min="11024" max="11024" width="2.7109375" customWidth="1"/>
    <col min="11025" max="11026" width="8.28515625" customWidth="1"/>
    <col min="11027" max="11027" width="2.7109375" customWidth="1"/>
    <col min="11028" max="11028" width="5.28515625" customWidth="1"/>
    <col min="11029" max="11029" width="3.5703125" customWidth="1"/>
    <col min="11265" max="11265" width="35.7109375" customWidth="1"/>
    <col min="11266" max="11266" width="8" customWidth="1"/>
    <col min="11267" max="11267" width="8.28515625" customWidth="1"/>
    <col min="11268" max="11268" width="2.7109375" customWidth="1"/>
    <col min="11269" max="11270" width="8.28515625" customWidth="1"/>
    <col min="11271" max="11271" width="2.7109375" customWidth="1"/>
    <col min="11272" max="11273" width="8.28515625" customWidth="1"/>
    <col min="11274" max="11274" width="2.7109375" customWidth="1"/>
    <col min="11275" max="11276" width="8.28515625" customWidth="1"/>
    <col min="11277" max="11277" width="2.7109375" customWidth="1"/>
    <col min="11278" max="11279" width="8.28515625" customWidth="1"/>
    <col min="11280" max="11280" width="2.7109375" customWidth="1"/>
    <col min="11281" max="11282" width="8.28515625" customWidth="1"/>
    <col min="11283" max="11283" width="2.7109375" customWidth="1"/>
    <col min="11284" max="11284" width="5.28515625" customWidth="1"/>
    <col min="11285" max="11285" width="3.5703125" customWidth="1"/>
    <col min="11521" max="11521" width="35.7109375" customWidth="1"/>
    <col min="11522" max="11522" width="8" customWidth="1"/>
    <col min="11523" max="11523" width="8.28515625" customWidth="1"/>
    <col min="11524" max="11524" width="2.7109375" customWidth="1"/>
    <col min="11525" max="11526" width="8.28515625" customWidth="1"/>
    <col min="11527" max="11527" width="2.7109375" customWidth="1"/>
    <col min="11528" max="11529" width="8.28515625" customWidth="1"/>
    <col min="11530" max="11530" width="2.7109375" customWidth="1"/>
    <col min="11531" max="11532" width="8.28515625" customWidth="1"/>
    <col min="11533" max="11533" width="2.7109375" customWidth="1"/>
    <col min="11534" max="11535" width="8.28515625" customWidth="1"/>
    <col min="11536" max="11536" width="2.7109375" customWidth="1"/>
    <col min="11537" max="11538" width="8.28515625" customWidth="1"/>
    <col min="11539" max="11539" width="2.7109375" customWidth="1"/>
    <col min="11540" max="11540" width="5.28515625" customWidth="1"/>
    <col min="11541" max="11541" width="3.5703125" customWidth="1"/>
    <col min="11777" max="11777" width="35.7109375" customWidth="1"/>
    <col min="11778" max="11778" width="8" customWidth="1"/>
    <col min="11779" max="11779" width="8.28515625" customWidth="1"/>
    <col min="11780" max="11780" width="2.7109375" customWidth="1"/>
    <col min="11781" max="11782" width="8.28515625" customWidth="1"/>
    <col min="11783" max="11783" width="2.7109375" customWidth="1"/>
    <col min="11784" max="11785" width="8.28515625" customWidth="1"/>
    <col min="11786" max="11786" width="2.7109375" customWidth="1"/>
    <col min="11787" max="11788" width="8.28515625" customWidth="1"/>
    <col min="11789" max="11789" width="2.7109375" customWidth="1"/>
    <col min="11790" max="11791" width="8.28515625" customWidth="1"/>
    <col min="11792" max="11792" width="2.7109375" customWidth="1"/>
    <col min="11793" max="11794" width="8.28515625" customWidth="1"/>
    <col min="11795" max="11795" width="2.7109375" customWidth="1"/>
    <col min="11796" max="11796" width="5.28515625" customWidth="1"/>
    <col min="11797" max="11797" width="3.5703125" customWidth="1"/>
    <col min="12033" max="12033" width="35.7109375" customWidth="1"/>
    <col min="12034" max="12034" width="8" customWidth="1"/>
    <col min="12035" max="12035" width="8.28515625" customWidth="1"/>
    <col min="12036" max="12036" width="2.7109375" customWidth="1"/>
    <col min="12037" max="12038" width="8.28515625" customWidth="1"/>
    <col min="12039" max="12039" width="2.7109375" customWidth="1"/>
    <col min="12040" max="12041" width="8.28515625" customWidth="1"/>
    <col min="12042" max="12042" width="2.7109375" customWidth="1"/>
    <col min="12043" max="12044" width="8.28515625" customWidth="1"/>
    <col min="12045" max="12045" width="2.7109375" customWidth="1"/>
    <col min="12046" max="12047" width="8.28515625" customWidth="1"/>
    <col min="12048" max="12048" width="2.7109375" customWidth="1"/>
    <col min="12049" max="12050" width="8.28515625" customWidth="1"/>
    <col min="12051" max="12051" width="2.7109375" customWidth="1"/>
    <col min="12052" max="12052" width="5.28515625" customWidth="1"/>
    <col min="12053" max="12053" width="3.5703125" customWidth="1"/>
    <col min="12289" max="12289" width="35.7109375" customWidth="1"/>
    <col min="12290" max="12290" width="8" customWidth="1"/>
    <col min="12291" max="12291" width="8.28515625" customWidth="1"/>
    <col min="12292" max="12292" width="2.7109375" customWidth="1"/>
    <col min="12293" max="12294" width="8.28515625" customWidth="1"/>
    <col min="12295" max="12295" width="2.7109375" customWidth="1"/>
    <col min="12296" max="12297" width="8.28515625" customWidth="1"/>
    <col min="12298" max="12298" width="2.7109375" customWidth="1"/>
    <col min="12299" max="12300" width="8.28515625" customWidth="1"/>
    <col min="12301" max="12301" width="2.7109375" customWidth="1"/>
    <col min="12302" max="12303" width="8.28515625" customWidth="1"/>
    <col min="12304" max="12304" width="2.7109375" customWidth="1"/>
    <col min="12305" max="12306" width="8.28515625" customWidth="1"/>
    <col min="12307" max="12307" width="2.7109375" customWidth="1"/>
    <col min="12308" max="12308" width="5.28515625" customWidth="1"/>
    <col min="12309" max="12309" width="3.5703125" customWidth="1"/>
    <col min="12545" max="12545" width="35.7109375" customWidth="1"/>
    <col min="12546" max="12546" width="8" customWidth="1"/>
    <col min="12547" max="12547" width="8.28515625" customWidth="1"/>
    <col min="12548" max="12548" width="2.7109375" customWidth="1"/>
    <col min="12549" max="12550" width="8.28515625" customWidth="1"/>
    <col min="12551" max="12551" width="2.7109375" customWidth="1"/>
    <col min="12552" max="12553" width="8.28515625" customWidth="1"/>
    <col min="12554" max="12554" width="2.7109375" customWidth="1"/>
    <col min="12555" max="12556" width="8.28515625" customWidth="1"/>
    <col min="12557" max="12557" width="2.7109375" customWidth="1"/>
    <col min="12558" max="12559" width="8.28515625" customWidth="1"/>
    <col min="12560" max="12560" width="2.7109375" customWidth="1"/>
    <col min="12561" max="12562" width="8.28515625" customWidth="1"/>
    <col min="12563" max="12563" width="2.7109375" customWidth="1"/>
    <col min="12564" max="12564" width="5.28515625" customWidth="1"/>
    <col min="12565" max="12565" width="3.5703125" customWidth="1"/>
    <col min="12801" max="12801" width="35.7109375" customWidth="1"/>
    <col min="12802" max="12802" width="8" customWidth="1"/>
    <col min="12803" max="12803" width="8.28515625" customWidth="1"/>
    <col min="12804" max="12804" width="2.7109375" customWidth="1"/>
    <col min="12805" max="12806" width="8.28515625" customWidth="1"/>
    <col min="12807" max="12807" width="2.7109375" customWidth="1"/>
    <col min="12808" max="12809" width="8.28515625" customWidth="1"/>
    <col min="12810" max="12810" width="2.7109375" customWidth="1"/>
    <col min="12811" max="12812" width="8.28515625" customWidth="1"/>
    <col min="12813" max="12813" width="2.7109375" customWidth="1"/>
    <col min="12814" max="12815" width="8.28515625" customWidth="1"/>
    <col min="12816" max="12816" width="2.7109375" customWidth="1"/>
    <col min="12817" max="12818" width="8.28515625" customWidth="1"/>
    <col min="12819" max="12819" width="2.7109375" customWidth="1"/>
    <col min="12820" max="12820" width="5.28515625" customWidth="1"/>
    <col min="12821" max="12821" width="3.5703125" customWidth="1"/>
    <col min="13057" max="13057" width="35.7109375" customWidth="1"/>
    <col min="13058" max="13058" width="8" customWidth="1"/>
    <col min="13059" max="13059" width="8.28515625" customWidth="1"/>
    <col min="13060" max="13060" width="2.7109375" customWidth="1"/>
    <col min="13061" max="13062" width="8.28515625" customWidth="1"/>
    <col min="13063" max="13063" width="2.7109375" customWidth="1"/>
    <col min="13064" max="13065" width="8.28515625" customWidth="1"/>
    <col min="13066" max="13066" width="2.7109375" customWidth="1"/>
    <col min="13067" max="13068" width="8.28515625" customWidth="1"/>
    <col min="13069" max="13069" width="2.7109375" customWidth="1"/>
    <col min="13070" max="13071" width="8.28515625" customWidth="1"/>
    <col min="13072" max="13072" width="2.7109375" customWidth="1"/>
    <col min="13073" max="13074" width="8.28515625" customWidth="1"/>
    <col min="13075" max="13075" width="2.7109375" customWidth="1"/>
    <col min="13076" max="13076" width="5.28515625" customWidth="1"/>
    <col min="13077" max="13077" width="3.5703125" customWidth="1"/>
    <col min="13313" max="13313" width="35.7109375" customWidth="1"/>
    <col min="13314" max="13314" width="8" customWidth="1"/>
    <col min="13315" max="13315" width="8.28515625" customWidth="1"/>
    <col min="13316" max="13316" width="2.7109375" customWidth="1"/>
    <col min="13317" max="13318" width="8.28515625" customWidth="1"/>
    <col min="13319" max="13319" width="2.7109375" customWidth="1"/>
    <col min="13320" max="13321" width="8.28515625" customWidth="1"/>
    <col min="13322" max="13322" width="2.7109375" customWidth="1"/>
    <col min="13323" max="13324" width="8.28515625" customWidth="1"/>
    <col min="13325" max="13325" width="2.7109375" customWidth="1"/>
    <col min="13326" max="13327" width="8.28515625" customWidth="1"/>
    <col min="13328" max="13328" width="2.7109375" customWidth="1"/>
    <col min="13329" max="13330" width="8.28515625" customWidth="1"/>
    <col min="13331" max="13331" width="2.7109375" customWidth="1"/>
    <col min="13332" max="13332" width="5.28515625" customWidth="1"/>
    <col min="13333" max="13333" width="3.5703125" customWidth="1"/>
    <col min="13569" max="13569" width="35.7109375" customWidth="1"/>
    <col min="13570" max="13570" width="8" customWidth="1"/>
    <col min="13571" max="13571" width="8.28515625" customWidth="1"/>
    <col min="13572" max="13572" width="2.7109375" customWidth="1"/>
    <col min="13573" max="13574" width="8.28515625" customWidth="1"/>
    <col min="13575" max="13575" width="2.7109375" customWidth="1"/>
    <col min="13576" max="13577" width="8.28515625" customWidth="1"/>
    <col min="13578" max="13578" width="2.7109375" customWidth="1"/>
    <col min="13579" max="13580" width="8.28515625" customWidth="1"/>
    <col min="13581" max="13581" width="2.7109375" customWidth="1"/>
    <col min="13582" max="13583" width="8.28515625" customWidth="1"/>
    <col min="13584" max="13584" width="2.7109375" customWidth="1"/>
    <col min="13585" max="13586" width="8.28515625" customWidth="1"/>
    <col min="13587" max="13587" width="2.7109375" customWidth="1"/>
    <col min="13588" max="13588" width="5.28515625" customWidth="1"/>
    <col min="13589" max="13589" width="3.5703125" customWidth="1"/>
    <col min="13825" max="13825" width="35.7109375" customWidth="1"/>
    <col min="13826" max="13826" width="8" customWidth="1"/>
    <col min="13827" max="13827" width="8.28515625" customWidth="1"/>
    <col min="13828" max="13828" width="2.7109375" customWidth="1"/>
    <col min="13829" max="13830" width="8.28515625" customWidth="1"/>
    <col min="13831" max="13831" width="2.7109375" customWidth="1"/>
    <col min="13832" max="13833" width="8.28515625" customWidth="1"/>
    <col min="13834" max="13834" width="2.7109375" customWidth="1"/>
    <col min="13835" max="13836" width="8.28515625" customWidth="1"/>
    <col min="13837" max="13837" width="2.7109375" customWidth="1"/>
    <col min="13838" max="13839" width="8.28515625" customWidth="1"/>
    <col min="13840" max="13840" width="2.7109375" customWidth="1"/>
    <col min="13841" max="13842" width="8.28515625" customWidth="1"/>
    <col min="13843" max="13843" width="2.7109375" customWidth="1"/>
    <col min="13844" max="13844" width="5.28515625" customWidth="1"/>
    <col min="13845" max="13845" width="3.5703125" customWidth="1"/>
    <col min="14081" max="14081" width="35.7109375" customWidth="1"/>
    <col min="14082" max="14082" width="8" customWidth="1"/>
    <col min="14083" max="14083" width="8.28515625" customWidth="1"/>
    <col min="14084" max="14084" width="2.7109375" customWidth="1"/>
    <col min="14085" max="14086" width="8.28515625" customWidth="1"/>
    <col min="14087" max="14087" width="2.7109375" customWidth="1"/>
    <col min="14088" max="14089" width="8.28515625" customWidth="1"/>
    <col min="14090" max="14090" width="2.7109375" customWidth="1"/>
    <col min="14091" max="14092" width="8.28515625" customWidth="1"/>
    <col min="14093" max="14093" width="2.7109375" customWidth="1"/>
    <col min="14094" max="14095" width="8.28515625" customWidth="1"/>
    <col min="14096" max="14096" width="2.7109375" customWidth="1"/>
    <col min="14097" max="14098" width="8.28515625" customWidth="1"/>
    <col min="14099" max="14099" width="2.7109375" customWidth="1"/>
    <col min="14100" max="14100" width="5.28515625" customWidth="1"/>
    <col min="14101" max="14101" width="3.5703125" customWidth="1"/>
    <col min="14337" max="14337" width="35.7109375" customWidth="1"/>
    <col min="14338" max="14338" width="8" customWidth="1"/>
    <col min="14339" max="14339" width="8.28515625" customWidth="1"/>
    <col min="14340" max="14340" width="2.7109375" customWidth="1"/>
    <col min="14341" max="14342" width="8.28515625" customWidth="1"/>
    <col min="14343" max="14343" width="2.7109375" customWidth="1"/>
    <col min="14344" max="14345" width="8.28515625" customWidth="1"/>
    <col min="14346" max="14346" width="2.7109375" customWidth="1"/>
    <col min="14347" max="14348" width="8.28515625" customWidth="1"/>
    <col min="14349" max="14349" width="2.7109375" customWidth="1"/>
    <col min="14350" max="14351" width="8.28515625" customWidth="1"/>
    <col min="14352" max="14352" width="2.7109375" customWidth="1"/>
    <col min="14353" max="14354" width="8.28515625" customWidth="1"/>
    <col min="14355" max="14355" width="2.7109375" customWidth="1"/>
    <col min="14356" max="14356" width="5.28515625" customWidth="1"/>
    <col min="14357" max="14357" width="3.5703125" customWidth="1"/>
    <col min="14593" max="14593" width="35.7109375" customWidth="1"/>
    <col min="14594" max="14594" width="8" customWidth="1"/>
    <col min="14595" max="14595" width="8.28515625" customWidth="1"/>
    <col min="14596" max="14596" width="2.7109375" customWidth="1"/>
    <col min="14597" max="14598" width="8.28515625" customWidth="1"/>
    <col min="14599" max="14599" width="2.7109375" customWidth="1"/>
    <col min="14600" max="14601" width="8.28515625" customWidth="1"/>
    <col min="14602" max="14602" width="2.7109375" customWidth="1"/>
    <col min="14603" max="14604" width="8.28515625" customWidth="1"/>
    <col min="14605" max="14605" width="2.7109375" customWidth="1"/>
    <col min="14606" max="14607" width="8.28515625" customWidth="1"/>
    <col min="14608" max="14608" width="2.7109375" customWidth="1"/>
    <col min="14609" max="14610" width="8.28515625" customWidth="1"/>
    <col min="14611" max="14611" width="2.7109375" customWidth="1"/>
    <col min="14612" max="14612" width="5.28515625" customWidth="1"/>
    <col min="14613" max="14613" width="3.5703125" customWidth="1"/>
    <col min="14849" max="14849" width="35.7109375" customWidth="1"/>
    <col min="14850" max="14850" width="8" customWidth="1"/>
    <col min="14851" max="14851" width="8.28515625" customWidth="1"/>
    <col min="14852" max="14852" width="2.7109375" customWidth="1"/>
    <col min="14853" max="14854" width="8.28515625" customWidth="1"/>
    <col min="14855" max="14855" width="2.7109375" customWidth="1"/>
    <col min="14856" max="14857" width="8.28515625" customWidth="1"/>
    <col min="14858" max="14858" width="2.7109375" customWidth="1"/>
    <col min="14859" max="14860" width="8.28515625" customWidth="1"/>
    <col min="14861" max="14861" width="2.7109375" customWidth="1"/>
    <col min="14862" max="14863" width="8.28515625" customWidth="1"/>
    <col min="14864" max="14864" width="2.7109375" customWidth="1"/>
    <col min="14865" max="14866" width="8.28515625" customWidth="1"/>
    <col min="14867" max="14867" width="2.7109375" customWidth="1"/>
    <col min="14868" max="14868" width="5.28515625" customWidth="1"/>
    <col min="14869" max="14869" width="3.5703125" customWidth="1"/>
    <col min="15105" max="15105" width="35.7109375" customWidth="1"/>
    <col min="15106" max="15106" width="8" customWidth="1"/>
    <col min="15107" max="15107" width="8.28515625" customWidth="1"/>
    <col min="15108" max="15108" width="2.7109375" customWidth="1"/>
    <col min="15109" max="15110" width="8.28515625" customWidth="1"/>
    <col min="15111" max="15111" width="2.7109375" customWidth="1"/>
    <col min="15112" max="15113" width="8.28515625" customWidth="1"/>
    <col min="15114" max="15114" width="2.7109375" customWidth="1"/>
    <col min="15115" max="15116" width="8.28515625" customWidth="1"/>
    <col min="15117" max="15117" width="2.7109375" customWidth="1"/>
    <col min="15118" max="15119" width="8.28515625" customWidth="1"/>
    <col min="15120" max="15120" width="2.7109375" customWidth="1"/>
    <col min="15121" max="15122" width="8.28515625" customWidth="1"/>
    <col min="15123" max="15123" width="2.7109375" customWidth="1"/>
    <col min="15124" max="15124" width="5.28515625" customWidth="1"/>
    <col min="15125" max="15125" width="3.5703125" customWidth="1"/>
    <col min="15361" max="15361" width="35.7109375" customWidth="1"/>
    <col min="15362" max="15362" width="8" customWidth="1"/>
    <col min="15363" max="15363" width="8.28515625" customWidth="1"/>
    <col min="15364" max="15364" width="2.7109375" customWidth="1"/>
    <col min="15365" max="15366" width="8.28515625" customWidth="1"/>
    <col min="15367" max="15367" width="2.7109375" customWidth="1"/>
    <col min="15368" max="15369" width="8.28515625" customWidth="1"/>
    <col min="15370" max="15370" width="2.7109375" customWidth="1"/>
    <col min="15371" max="15372" width="8.28515625" customWidth="1"/>
    <col min="15373" max="15373" width="2.7109375" customWidth="1"/>
    <col min="15374" max="15375" width="8.28515625" customWidth="1"/>
    <col min="15376" max="15376" width="2.7109375" customWidth="1"/>
    <col min="15377" max="15378" width="8.28515625" customWidth="1"/>
    <col min="15379" max="15379" width="2.7109375" customWidth="1"/>
    <col min="15380" max="15380" width="5.28515625" customWidth="1"/>
    <col min="15381" max="15381" width="3.5703125" customWidth="1"/>
    <col min="15617" max="15617" width="35.7109375" customWidth="1"/>
    <col min="15618" max="15618" width="8" customWidth="1"/>
    <col min="15619" max="15619" width="8.28515625" customWidth="1"/>
    <col min="15620" max="15620" width="2.7109375" customWidth="1"/>
    <col min="15621" max="15622" width="8.28515625" customWidth="1"/>
    <col min="15623" max="15623" width="2.7109375" customWidth="1"/>
    <col min="15624" max="15625" width="8.28515625" customWidth="1"/>
    <col min="15626" max="15626" width="2.7109375" customWidth="1"/>
    <col min="15627" max="15628" width="8.28515625" customWidth="1"/>
    <col min="15629" max="15629" width="2.7109375" customWidth="1"/>
    <col min="15630" max="15631" width="8.28515625" customWidth="1"/>
    <col min="15632" max="15632" width="2.7109375" customWidth="1"/>
    <col min="15633" max="15634" width="8.28515625" customWidth="1"/>
    <col min="15635" max="15635" width="2.7109375" customWidth="1"/>
    <col min="15636" max="15636" width="5.28515625" customWidth="1"/>
    <col min="15637" max="15637" width="3.5703125" customWidth="1"/>
    <col min="15873" max="15873" width="35.7109375" customWidth="1"/>
    <col min="15874" max="15874" width="8" customWidth="1"/>
    <col min="15875" max="15875" width="8.28515625" customWidth="1"/>
    <col min="15876" max="15876" width="2.7109375" customWidth="1"/>
    <col min="15877" max="15878" width="8.28515625" customWidth="1"/>
    <col min="15879" max="15879" width="2.7109375" customWidth="1"/>
    <col min="15880" max="15881" width="8.28515625" customWidth="1"/>
    <col min="15882" max="15882" width="2.7109375" customWidth="1"/>
    <col min="15883" max="15884" width="8.28515625" customWidth="1"/>
    <col min="15885" max="15885" width="2.7109375" customWidth="1"/>
    <col min="15886" max="15887" width="8.28515625" customWidth="1"/>
    <col min="15888" max="15888" width="2.7109375" customWidth="1"/>
    <col min="15889" max="15890" width="8.28515625" customWidth="1"/>
    <col min="15891" max="15891" width="2.7109375" customWidth="1"/>
    <col min="15892" max="15892" width="5.28515625" customWidth="1"/>
    <col min="15893" max="15893" width="3.5703125" customWidth="1"/>
    <col min="16129" max="16129" width="35.7109375" customWidth="1"/>
    <col min="16130" max="16130" width="8" customWidth="1"/>
    <col min="16131" max="16131" width="8.28515625" customWidth="1"/>
    <col min="16132" max="16132" width="2.7109375" customWidth="1"/>
    <col min="16133" max="16134" width="8.28515625" customWidth="1"/>
    <col min="16135" max="16135" width="2.7109375" customWidth="1"/>
    <col min="16136" max="16137" width="8.28515625" customWidth="1"/>
    <col min="16138" max="16138" width="2.7109375" customWidth="1"/>
    <col min="16139" max="16140" width="8.28515625" customWidth="1"/>
    <col min="16141" max="16141" width="2.7109375" customWidth="1"/>
    <col min="16142" max="16143" width="8.28515625" customWidth="1"/>
    <col min="16144" max="16144" width="2.7109375" customWidth="1"/>
    <col min="16145" max="16146" width="8.28515625" customWidth="1"/>
    <col min="16147" max="16147" width="2.7109375" customWidth="1"/>
    <col min="16148" max="16148" width="5.28515625" customWidth="1"/>
    <col min="16149" max="16149" width="3.5703125" customWidth="1"/>
  </cols>
  <sheetData>
    <row r="1" spans="1:19">
      <c r="A1" t="s">
        <v>0</v>
      </c>
    </row>
    <row r="2" spans="1:19">
      <c r="A2" t="s">
        <v>1</v>
      </c>
    </row>
    <row r="3" spans="1:19" ht="9" customHeight="1"/>
    <row r="4" spans="1:19">
      <c r="A4" s="42" t="s">
        <v>894</v>
      </c>
    </row>
    <row r="5" spans="1:19" ht="10.5" customHeight="1" thickBot="1">
      <c r="S5" s="95"/>
    </row>
    <row r="6" spans="1:19" ht="7.5" customHeight="1">
      <c r="A6" s="6"/>
      <c r="B6" s="235"/>
      <c r="C6" s="236"/>
      <c r="D6" s="237"/>
      <c r="E6" s="238"/>
      <c r="F6" s="236"/>
      <c r="G6" s="237"/>
      <c r="H6" s="238"/>
      <c r="I6" s="236"/>
      <c r="J6" s="237"/>
      <c r="K6" s="238"/>
      <c r="L6" s="236"/>
      <c r="M6" s="237"/>
      <c r="N6" s="237"/>
      <c r="O6" s="236"/>
      <c r="P6" s="237"/>
      <c r="Q6" s="237"/>
      <c r="R6" s="236"/>
      <c r="S6" s="236"/>
    </row>
    <row r="7" spans="1:19">
      <c r="A7" s="36" t="s">
        <v>895</v>
      </c>
      <c r="B7" s="1289" t="s">
        <v>912</v>
      </c>
      <c r="C7" s="1289"/>
      <c r="D7" s="95"/>
      <c r="E7" s="1268" t="s">
        <v>801</v>
      </c>
      <c r="F7" s="1268"/>
      <c r="G7" s="95"/>
      <c r="H7" s="1268" t="s">
        <v>802</v>
      </c>
      <c r="I7" s="1268"/>
      <c r="J7" s="95"/>
      <c r="K7" s="1268" t="s">
        <v>803</v>
      </c>
      <c r="L7" s="1268"/>
      <c r="M7" s="95"/>
      <c r="N7" s="1288" t="s">
        <v>1085</v>
      </c>
      <c r="O7" s="1288"/>
      <c r="P7" s="95"/>
      <c r="Q7" s="1288" t="s">
        <v>805</v>
      </c>
      <c r="R7" s="1288"/>
    </row>
    <row r="8" spans="1:19">
      <c r="A8" t="s">
        <v>896</v>
      </c>
      <c r="B8" s="243" t="s">
        <v>323</v>
      </c>
      <c r="C8" s="244" t="s">
        <v>324</v>
      </c>
      <c r="D8" s="95"/>
      <c r="E8" s="246" t="s">
        <v>323</v>
      </c>
      <c r="F8" s="244" t="s">
        <v>324</v>
      </c>
      <c r="G8" s="95"/>
      <c r="H8" s="246" t="s">
        <v>323</v>
      </c>
      <c r="I8" s="244" t="s">
        <v>324</v>
      </c>
      <c r="J8" s="95"/>
      <c r="K8" s="246" t="s">
        <v>323</v>
      </c>
      <c r="L8" s="244" t="s">
        <v>324</v>
      </c>
      <c r="M8" s="95"/>
      <c r="N8" s="272" t="s">
        <v>323</v>
      </c>
      <c r="O8" s="244" t="s">
        <v>324</v>
      </c>
      <c r="P8" s="95"/>
      <c r="Q8" s="272" t="s">
        <v>323</v>
      </c>
      <c r="R8" s="244" t="s">
        <v>324</v>
      </c>
      <c r="S8" s="95"/>
    </row>
    <row r="9" spans="1:19" ht="7.5" customHeight="1" thickBot="1">
      <c r="A9" s="15"/>
      <c r="B9" s="247"/>
      <c r="C9" s="248"/>
      <c r="D9" s="249"/>
      <c r="E9" s="250"/>
      <c r="F9" s="248"/>
      <c r="G9" s="249"/>
      <c r="H9" s="250"/>
      <c r="I9" s="248"/>
      <c r="J9" s="249"/>
      <c r="K9" s="250"/>
      <c r="L9" s="248"/>
      <c r="M9" s="249"/>
      <c r="N9" s="249"/>
      <c r="O9" s="248"/>
      <c r="P9" s="249"/>
      <c r="Q9" s="249"/>
      <c r="R9" s="248"/>
      <c r="S9" s="248"/>
    </row>
    <row r="10" spans="1:19" ht="13.35" customHeight="1">
      <c r="A10" s="36"/>
      <c r="B10" s="239"/>
      <c r="C10" s="240"/>
      <c r="D10" s="95"/>
      <c r="E10" s="251"/>
      <c r="F10" s="240"/>
      <c r="G10" s="95"/>
      <c r="H10" s="251"/>
      <c r="I10" s="240"/>
      <c r="J10" s="95"/>
      <c r="K10" s="251"/>
      <c r="L10" s="240"/>
      <c r="M10" s="95"/>
      <c r="N10" s="251"/>
      <c r="O10" s="240"/>
      <c r="P10" s="95"/>
      <c r="Q10" s="251"/>
      <c r="R10" s="240"/>
      <c r="S10" s="95"/>
    </row>
    <row r="11" spans="1:19" ht="12.75" customHeight="1">
      <c r="A11" s="63" t="s">
        <v>325</v>
      </c>
      <c r="B11" s="65">
        <f>B13+B98</f>
        <v>40395</v>
      </c>
      <c r="C11" s="94">
        <f>C13+C98</f>
        <v>100</v>
      </c>
      <c r="E11" s="93">
        <f>E13+E98</f>
        <v>15664</v>
      </c>
      <c r="F11" s="94">
        <f t="shared" ref="F11:F74" si="0">IF($A11&lt;&gt;"",E11/$B11*100,"")</f>
        <v>38.777076370837975</v>
      </c>
      <c r="H11" s="93">
        <f>H13+H98</f>
        <v>16120</v>
      </c>
      <c r="I11" s="94">
        <f t="shared" ref="I11:I74" si="1">IF($A11&lt;&gt;"",H11/$B11*100,"")</f>
        <v>39.905928951602917</v>
      </c>
      <c r="K11" s="93">
        <f>K13+K98</f>
        <v>8142</v>
      </c>
      <c r="L11" s="94">
        <f t="shared" ref="L11:L74" si="2">IF($A11&lt;&gt;"",K11/$B11*100,"")</f>
        <v>20.155959896026737</v>
      </c>
      <c r="N11" s="42">
        <f>N13+N98</f>
        <v>415</v>
      </c>
      <c r="O11" s="94">
        <f>IF($A11&lt;&gt;"",N11/$B11*100,"")</f>
        <v>1.0273548706523086</v>
      </c>
      <c r="Q11" s="42">
        <f>Q13+Q98</f>
        <v>54</v>
      </c>
      <c r="R11" s="94">
        <f>IF($A11&lt;&gt;"",Q11/$B11*100,"")</f>
        <v>0.1336799108800594</v>
      </c>
    </row>
    <row r="12" spans="1:19" ht="8.25" customHeight="1">
      <c r="F12" s="94" t="str">
        <f t="shared" si="0"/>
        <v/>
      </c>
      <c r="I12" s="94" t="str">
        <f t="shared" si="1"/>
        <v/>
      </c>
      <c r="L12" s="94" t="str">
        <f t="shared" si="2"/>
        <v/>
      </c>
      <c r="O12" s="94" t="str">
        <f t="shared" ref="O12:O75" si="3">IF($A12&lt;&gt;"",N12/$B12*100,"")</f>
        <v/>
      </c>
      <c r="R12" s="94" t="str">
        <f t="shared" ref="R12:R77" si="4">IF($A12&lt;&gt;"",Q12/$B12*100,"")</f>
        <v/>
      </c>
    </row>
    <row r="13" spans="1:19" ht="13.35" customHeight="1">
      <c r="A13" s="9" t="s">
        <v>326</v>
      </c>
      <c r="B13" s="65">
        <f>B93+B15+B26+B34+B74+B60+B105+B81+B95+B96</f>
        <v>30922</v>
      </c>
      <c r="C13" s="257">
        <f>IF(A13&lt;&gt;0,B13/$B$11*100,"")</f>
        <v>76.549077856170328</v>
      </c>
      <c r="D13" s="4" t="s">
        <v>253</v>
      </c>
      <c r="E13" s="65">
        <f>E93+E15+E26+E34+E74+E60+E105+E81+E95+E96</f>
        <v>12605</v>
      </c>
      <c r="F13" s="257">
        <f t="shared" si="0"/>
        <v>40.763857447771812</v>
      </c>
      <c r="G13" s="4" t="s">
        <v>253</v>
      </c>
      <c r="H13" s="65">
        <f>H93+H15+H26+H34+H74+H60+H105+H81+H95+H96</f>
        <v>11870</v>
      </c>
      <c r="I13" s="94">
        <f t="shared" si="1"/>
        <v>38.386908996830741</v>
      </c>
      <c r="J13" s="42" t="s">
        <v>253</v>
      </c>
      <c r="K13" s="93">
        <f>K93+K15+K26+K34+K74+K60+K105+K81+K95+K96</f>
        <v>6052</v>
      </c>
      <c r="L13" s="94">
        <f t="shared" si="2"/>
        <v>19.571825884483541</v>
      </c>
      <c r="M13" s="42" t="s">
        <v>253</v>
      </c>
      <c r="N13" s="93">
        <f>N93+N15+N26+N34+N74+N60+N105+N81+N95+N96</f>
        <v>345</v>
      </c>
      <c r="O13" s="94">
        <f t="shared" si="3"/>
        <v>1.1157104973805059</v>
      </c>
      <c r="P13" s="42" t="s">
        <v>253</v>
      </c>
      <c r="Q13" s="93">
        <f>Q93+Q15+Q26+Q34+Q74+Q60+Q105+Q81+Q95+Q96</f>
        <v>50</v>
      </c>
      <c r="R13" s="94">
        <f t="shared" si="4"/>
        <v>0.16169717353340665</v>
      </c>
    </row>
    <row r="14" spans="1:19" ht="7.5" customHeight="1">
      <c r="A14" s="1"/>
      <c r="C14" s="257" t="str">
        <f t="shared" ref="C14:C81" si="5">IF(A14&lt;&gt;0,B14/$B$11*100,"")</f>
        <v/>
      </c>
      <c r="D14" s="4"/>
      <c r="E14" s="65"/>
      <c r="F14" s="257" t="str">
        <f t="shared" si="0"/>
        <v/>
      </c>
      <c r="G14" s="4"/>
      <c r="H14" s="65"/>
      <c r="I14" s="94" t="str">
        <f t="shared" si="1"/>
        <v/>
      </c>
      <c r="L14" s="94" t="str">
        <f t="shared" si="2"/>
        <v/>
      </c>
      <c r="O14" s="94" t="str">
        <f t="shared" si="3"/>
        <v/>
      </c>
      <c r="R14" s="94" t="str">
        <f t="shared" si="4"/>
        <v/>
      </c>
    </row>
    <row r="15" spans="1:19" ht="12" customHeight="1">
      <c r="A15" s="9" t="s">
        <v>327</v>
      </c>
      <c r="B15" s="65">
        <f>SUM(B16+B21)</f>
        <v>3095</v>
      </c>
      <c r="C15" s="257">
        <f t="shared" si="5"/>
        <v>7.6618393365515525</v>
      </c>
      <c r="D15" s="4"/>
      <c r="E15" s="65">
        <f>SUM(E16+E21)</f>
        <v>1415</v>
      </c>
      <c r="F15" s="257">
        <f t="shared" si="0"/>
        <v>45.718901453957997</v>
      </c>
      <c r="G15" s="4"/>
      <c r="H15" s="65">
        <f>SUM(H16+H21)</f>
        <v>1136</v>
      </c>
      <c r="I15" s="94">
        <f t="shared" si="1"/>
        <v>36.704361873990301</v>
      </c>
      <c r="K15" s="93">
        <f>SUM(K16+K21)</f>
        <v>506</v>
      </c>
      <c r="L15" s="94">
        <f t="shared" si="2"/>
        <v>16.348949919224555</v>
      </c>
      <c r="N15" s="42">
        <f>SUM(N16+N21)</f>
        <v>37</v>
      </c>
      <c r="O15" s="94">
        <f t="shared" si="3"/>
        <v>1.1954765751211631</v>
      </c>
      <c r="Q15" s="42">
        <f>SUM(Q16+Q21)</f>
        <v>1</v>
      </c>
      <c r="R15" s="94">
        <f t="shared" si="4"/>
        <v>3.2310177705977383E-2</v>
      </c>
    </row>
    <row r="16" spans="1:19" ht="12" customHeight="1">
      <c r="A16" s="1" t="s">
        <v>20</v>
      </c>
      <c r="B16" s="65">
        <f>SUM(E16+H16+K16+N16+Q16)</f>
        <v>1067</v>
      </c>
      <c r="C16" s="257">
        <f t="shared" si="5"/>
        <v>2.6414160168337664</v>
      </c>
      <c r="D16" s="4"/>
      <c r="E16" s="65">
        <f>SUM(E17:E19)</f>
        <v>439</v>
      </c>
      <c r="F16" s="257">
        <f t="shared" si="0"/>
        <v>41.143392689784442</v>
      </c>
      <c r="G16" s="4" t="s">
        <v>253</v>
      </c>
      <c r="H16" s="65">
        <f>SUM(H17:H19)</f>
        <v>387</v>
      </c>
      <c r="I16" s="94">
        <f t="shared" si="1"/>
        <v>36.26991565135895</v>
      </c>
      <c r="J16" s="42" t="s">
        <v>253</v>
      </c>
      <c r="K16" s="93">
        <f>SUM(K17:K19)</f>
        <v>217</v>
      </c>
      <c r="L16" s="94">
        <f t="shared" si="2"/>
        <v>20.337394564198689</v>
      </c>
      <c r="M16" s="42" t="s">
        <v>253</v>
      </c>
      <c r="N16" s="42">
        <f>SUM(N17:N19)</f>
        <v>23</v>
      </c>
      <c r="O16" s="94">
        <f t="shared" si="3"/>
        <v>2.1555763823805063</v>
      </c>
      <c r="P16" s="42" t="s">
        <v>253</v>
      </c>
      <c r="Q16" s="42">
        <f>SUM(Q17:Q19)</f>
        <v>1</v>
      </c>
      <c r="R16" s="94">
        <f t="shared" si="4"/>
        <v>9.3720712277413312E-2</v>
      </c>
    </row>
    <row r="17" spans="1:20" ht="12" customHeight="1">
      <c r="A17" s="1" t="s">
        <v>21</v>
      </c>
      <c r="B17" s="65">
        <f>SUM(E17+H17+K17+N17+Q17)</f>
        <v>161</v>
      </c>
      <c r="C17" s="257">
        <f t="shared" si="5"/>
        <v>0.39856417873499195</v>
      </c>
      <c r="D17" s="4"/>
      <c r="E17" s="273">
        <v>54</v>
      </c>
      <c r="F17" s="257">
        <f t="shared" si="0"/>
        <v>33.540372670807457</v>
      </c>
      <c r="G17" s="273"/>
      <c r="H17" s="273">
        <v>64</v>
      </c>
      <c r="I17" s="94">
        <f t="shared" si="1"/>
        <v>39.751552795031053</v>
      </c>
      <c r="J17" s="273"/>
      <c r="K17" s="273">
        <v>42</v>
      </c>
      <c r="L17" s="94">
        <f t="shared" si="2"/>
        <v>26.086956521739129</v>
      </c>
      <c r="M17" s="273"/>
      <c r="N17" s="273">
        <v>1</v>
      </c>
      <c r="O17" s="94">
        <f t="shared" si="3"/>
        <v>0.6211180124223602</v>
      </c>
      <c r="P17" s="273"/>
      <c r="Q17" s="273">
        <v>0</v>
      </c>
      <c r="R17" s="94">
        <f t="shared" si="4"/>
        <v>0</v>
      </c>
      <c r="T17" s="45"/>
    </row>
    <row r="18" spans="1:20" ht="12" customHeight="1">
      <c r="A18" s="1" t="s">
        <v>22</v>
      </c>
      <c r="B18" s="65">
        <f>SUM(E18+H18+K18+N18+Q18)</f>
        <v>685</v>
      </c>
      <c r="C18" s="257">
        <f t="shared" si="5"/>
        <v>1.6957544250526055</v>
      </c>
      <c r="D18" s="4"/>
      <c r="E18" s="273">
        <v>317</v>
      </c>
      <c r="F18" s="257">
        <f t="shared" si="0"/>
        <v>46.277372262773724</v>
      </c>
      <c r="G18" s="273"/>
      <c r="H18" s="273">
        <v>252</v>
      </c>
      <c r="I18" s="94">
        <f t="shared" si="1"/>
        <v>36.788321167883211</v>
      </c>
      <c r="J18" s="273"/>
      <c r="K18" s="273">
        <v>113</v>
      </c>
      <c r="L18" s="94">
        <f t="shared" si="2"/>
        <v>16.496350364963501</v>
      </c>
      <c r="M18" s="273"/>
      <c r="N18" s="273">
        <v>3</v>
      </c>
      <c r="O18" s="94">
        <f t="shared" si="3"/>
        <v>0.43795620437956206</v>
      </c>
      <c r="P18" s="273"/>
      <c r="Q18" s="273">
        <v>0</v>
      </c>
      <c r="R18" s="94">
        <f t="shared" si="4"/>
        <v>0</v>
      </c>
      <c r="T18" s="45"/>
    </row>
    <row r="19" spans="1:20" ht="12" customHeight="1">
      <c r="A19" s="1" t="s">
        <v>23</v>
      </c>
      <c r="B19" s="65">
        <f>SUM(E19+H19+K19+N19+Q19)</f>
        <v>221</v>
      </c>
      <c r="C19" s="257">
        <f t="shared" si="5"/>
        <v>0.5470974130461691</v>
      </c>
      <c r="D19" s="4"/>
      <c r="E19" s="273">
        <v>68</v>
      </c>
      <c r="F19" s="257">
        <f t="shared" si="0"/>
        <v>30.76923076923077</v>
      </c>
      <c r="G19" s="273"/>
      <c r="H19" s="273">
        <v>71</v>
      </c>
      <c r="I19" s="94">
        <f t="shared" si="1"/>
        <v>32.126696832579185</v>
      </c>
      <c r="J19" s="273"/>
      <c r="K19" s="273">
        <v>62</v>
      </c>
      <c r="L19" s="94">
        <f t="shared" si="2"/>
        <v>28.054298642533936</v>
      </c>
      <c r="M19" s="273"/>
      <c r="N19" s="273">
        <v>19</v>
      </c>
      <c r="O19" s="94">
        <f t="shared" si="3"/>
        <v>8.5972850678733028</v>
      </c>
      <c r="P19" s="273"/>
      <c r="Q19" s="273">
        <v>1</v>
      </c>
      <c r="R19" s="94">
        <f t="shared" si="4"/>
        <v>0.45248868778280549</v>
      </c>
      <c r="T19" s="45"/>
    </row>
    <row r="20" spans="1:20" ht="7.5" customHeight="1">
      <c r="A20" s="1"/>
      <c r="C20" s="257" t="str">
        <f t="shared" si="5"/>
        <v/>
      </c>
      <c r="D20" s="4"/>
      <c r="E20" s="65"/>
      <c r="F20" s="257" t="str">
        <f t="shared" si="0"/>
        <v/>
      </c>
      <c r="G20" s="4"/>
      <c r="H20" s="65"/>
      <c r="I20" s="94" t="str">
        <f t="shared" si="1"/>
        <v/>
      </c>
      <c r="L20" s="94" t="str">
        <f t="shared" si="2"/>
        <v/>
      </c>
      <c r="O20" s="94" t="str">
        <f t="shared" si="3"/>
        <v/>
      </c>
      <c r="R20" s="94" t="str">
        <f t="shared" si="4"/>
        <v/>
      </c>
    </row>
    <row r="21" spans="1:20" ht="12" customHeight="1">
      <c r="A21" s="1" t="s">
        <v>24</v>
      </c>
      <c r="B21" s="65">
        <f>SUM(E21+H21+K21+N21+Q21)</f>
        <v>2028</v>
      </c>
      <c r="C21" s="257">
        <f t="shared" si="5"/>
        <v>5.0204233197177865</v>
      </c>
      <c r="D21" s="4"/>
      <c r="E21" s="65">
        <f>SUM(E22:E24)</f>
        <v>976</v>
      </c>
      <c r="F21" s="257">
        <f t="shared" si="0"/>
        <v>48.126232741617358</v>
      </c>
      <c r="G21" s="4" t="s">
        <v>253</v>
      </c>
      <c r="H21" s="65">
        <f>SUM(H22:H24)</f>
        <v>749</v>
      </c>
      <c r="I21" s="94">
        <f t="shared" si="1"/>
        <v>36.932938856015781</v>
      </c>
      <c r="J21" s="42" t="s">
        <v>253</v>
      </c>
      <c r="K21" s="93">
        <f>SUM(K22:K24)</f>
        <v>289</v>
      </c>
      <c r="L21" s="94">
        <f t="shared" si="2"/>
        <v>14.250493096646943</v>
      </c>
      <c r="M21" s="42" t="s">
        <v>253</v>
      </c>
      <c r="N21" s="42">
        <f>SUM(N22:N24)</f>
        <v>14</v>
      </c>
      <c r="O21" s="94">
        <f t="shared" si="3"/>
        <v>0.69033530571992108</v>
      </c>
      <c r="P21" s="42" t="s">
        <v>253</v>
      </c>
      <c r="Q21" s="42">
        <f>SUM(Q22:Q24)</f>
        <v>0</v>
      </c>
      <c r="R21" s="94">
        <f t="shared" si="4"/>
        <v>0</v>
      </c>
    </row>
    <row r="22" spans="1:20" ht="12" customHeight="1">
      <c r="A22" s="1" t="s">
        <v>25</v>
      </c>
      <c r="B22" s="65">
        <f>SUM(E22+H22+K22+N22+Q22)</f>
        <v>651</v>
      </c>
      <c r="C22" s="257">
        <f t="shared" si="5"/>
        <v>1.6115855922762718</v>
      </c>
      <c r="D22" s="4"/>
      <c r="E22" s="273">
        <v>276</v>
      </c>
      <c r="F22" s="257">
        <f t="shared" si="0"/>
        <v>42.396313364055302</v>
      </c>
      <c r="G22" s="273"/>
      <c r="H22" s="273">
        <v>230</v>
      </c>
      <c r="I22" s="94">
        <f t="shared" si="1"/>
        <v>35.33026113671275</v>
      </c>
      <c r="J22" s="273"/>
      <c r="K22" s="273">
        <v>138</v>
      </c>
      <c r="L22" s="94">
        <f t="shared" si="2"/>
        <v>21.198156682027651</v>
      </c>
      <c r="M22" s="273"/>
      <c r="N22" s="273">
        <v>7</v>
      </c>
      <c r="O22" s="94">
        <f t="shared" si="3"/>
        <v>1.0752688172043012</v>
      </c>
      <c r="P22" s="273"/>
      <c r="Q22" s="273">
        <v>0</v>
      </c>
      <c r="R22" s="94">
        <f t="shared" si="4"/>
        <v>0</v>
      </c>
    </row>
    <row r="23" spans="1:20" ht="12" customHeight="1">
      <c r="A23" s="1" t="s">
        <v>26</v>
      </c>
      <c r="B23" s="65">
        <f>SUM(E23+H23+K23+N23+Q23)</f>
        <v>332</v>
      </c>
      <c r="C23" s="257">
        <f t="shared" si="5"/>
        <v>0.82188389652184668</v>
      </c>
      <c r="D23" s="4"/>
      <c r="E23" s="273">
        <v>190</v>
      </c>
      <c r="F23" s="257">
        <f t="shared" si="0"/>
        <v>57.228915662650607</v>
      </c>
      <c r="G23" s="273"/>
      <c r="H23" s="273">
        <v>104</v>
      </c>
      <c r="I23" s="94">
        <f t="shared" si="1"/>
        <v>31.325301204819279</v>
      </c>
      <c r="J23" s="273"/>
      <c r="K23" s="273">
        <v>34</v>
      </c>
      <c r="L23" s="94">
        <f t="shared" si="2"/>
        <v>10.240963855421686</v>
      </c>
      <c r="M23" s="273"/>
      <c r="N23" s="273">
        <v>4</v>
      </c>
      <c r="O23" s="94">
        <f t="shared" si="3"/>
        <v>1.2048192771084338</v>
      </c>
      <c r="P23" s="273"/>
      <c r="Q23" s="273">
        <v>0</v>
      </c>
      <c r="R23" s="94">
        <f t="shared" si="4"/>
        <v>0</v>
      </c>
    </row>
    <row r="24" spans="1:20" ht="12" customHeight="1">
      <c r="A24" s="1" t="s">
        <v>27</v>
      </c>
      <c r="B24" s="65">
        <f>SUM(E24+H24+K24+N24+Q24)</f>
        <v>1045</v>
      </c>
      <c r="C24" s="257">
        <f t="shared" si="5"/>
        <v>2.5869538309196685</v>
      </c>
      <c r="D24" s="4"/>
      <c r="E24" s="273">
        <v>510</v>
      </c>
      <c r="F24" s="257">
        <f t="shared" si="0"/>
        <v>48.803827751196174</v>
      </c>
      <c r="G24" s="273"/>
      <c r="H24" s="273">
        <v>415</v>
      </c>
      <c r="I24" s="94">
        <f t="shared" si="1"/>
        <v>39.71291866028708</v>
      </c>
      <c r="J24" s="273"/>
      <c r="K24" s="273">
        <v>117</v>
      </c>
      <c r="L24" s="94">
        <f t="shared" si="2"/>
        <v>11.196172248803828</v>
      </c>
      <c r="M24" s="273"/>
      <c r="N24" s="273">
        <v>3</v>
      </c>
      <c r="O24" s="94">
        <f t="shared" si="3"/>
        <v>0.28708133971291866</v>
      </c>
      <c r="P24" s="273"/>
      <c r="Q24" s="273">
        <v>0</v>
      </c>
      <c r="R24" s="94">
        <f t="shared" si="4"/>
        <v>0</v>
      </c>
    </row>
    <row r="25" spans="1:20" ht="7.5" customHeight="1">
      <c r="A25" s="1"/>
      <c r="C25" s="257" t="str">
        <f t="shared" si="5"/>
        <v/>
      </c>
      <c r="D25" s="4"/>
      <c r="E25" s="65"/>
      <c r="F25" s="257" t="str">
        <f t="shared" si="0"/>
        <v/>
      </c>
      <c r="G25" s="4"/>
      <c r="H25" s="65"/>
      <c r="I25" s="94" t="str">
        <f t="shared" si="1"/>
        <v/>
      </c>
      <c r="L25" s="94" t="str">
        <f t="shared" si="2"/>
        <v/>
      </c>
      <c r="O25" s="94" t="str">
        <f t="shared" si="3"/>
        <v/>
      </c>
      <c r="R25" s="94" t="str">
        <f t="shared" si="4"/>
        <v/>
      </c>
    </row>
    <row r="26" spans="1:20" ht="12" customHeight="1">
      <c r="A26" s="9" t="s">
        <v>375</v>
      </c>
      <c r="B26" s="65">
        <f>SUM(B27)</f>
        <v>1940</v>
      </c>
      <c r="C26" s="257">
        <f t="shared" si="5"/>
        <v>4.8025745760613932</v>
      </c>
      <c r="D26" s="4"/>
      <c r="E26" s="65">
        <f>SUM(E27)</f>
        <v>921</v>
      </c>
      <c r="F26" s="257">
        <f t="shared" si="0"/>
        <v>47.47422680412371</v>
      </c>
      <c r="G26" s="4"/>
      <c r="H26" s="65">
        <f>SUM(H27)</f>
        <v>802</v>
      </c>
      <c r="I26" s="94">
        <f t="shared" si="1"/>
        <v>41.340206185567006</v>
      </c>
      <c r="K26" s="93">
        <f>SUM(K27)</f>
        <v>212</v>
      </c>
      <c r="L26" s="94">
        <f t="shared" si="2"/>
        <v>10.927835051546392</v>
      </c>
      <c r="N26" s="42">
        <f>SUM(N27)</f>
        <v>5</v>
      </c>
      <c r="O26" s="94">
        <f t="shared" si="3"/>
        <v>0.25773195876288657</v>
      </c>
      <c r="Q26" s="42">
        <f>SUM(Q27)</f>
        <v>0</v>
      </c>
      <c r="R26" s="94">
        <f t="shared" si="4"/>
        <v>0</v>
      </c>
    </row>
    <row r="27" spans="1:20" ht="12" customHeight="1">
      <c r="A27" s="1" t="s">
        <v>29</v>
      </c>
      <c r="B27" s="65">
        <f t="shared" ref="B27:B32" si="6">SUM(E27+H27+K27+N27+Q27)</f>
        <v>1940</v>
      </c>
      <c r="C27" s="257">
        <f t="shared" si="5"/>
        <v>4.8025745760613932</v>
      </c>
      <c r="D27" s="4"/>
      <c r="E27" s="65">
        <f>SUM(E28:E32)</f>
        <v>921</v>
      </c>
      <c r="F27" s="257">
        <f t="shared" si="0"/>
        <v>47.47422680412371</v>
      </c>
      <c r="G27" s="4" t="s">
        <v>253</v>
      </c>
      <c r="H27" s="65">
        <f>SUM(H28:H32)</f>
        <v>802</v>
      </c>
      <c r="I27" s="94">
        <f t="shared" si="1"/>
        <v>41.340206185567006</v>
      </c>
      <c r="J27" s="42" t="s">
        <v>253</v>
      </c>
      <c r="K27" s="93">
        <f>SUM(K28:K32)</f>
        <v>212</v>
      </c>
      <c r="L27" s="94">
        <f t="shared" si="2"/>
        <v>10.927835051546392</v>
      </c>
      <c r="M27" s="42" t="s">
        <v>253</v>
      </c>
      <c r="N27" s="42">
        <f>SUM(N28:N32)</f>
        <v>5</v>
      </c>
      <c r="O27" s="94">
        <f t="shared" si="3"/>
        <v>0.25773195876288657</v>
      </c>
      <c r="P27" s="42" t="s">
        <v>253</v>
      </c>
      <c r="Q27" s="42">
        <f>SUM(Q28:Q32)</f>
        <v>0</v>
      </c>
      <c r="R27" s="94">
        <f t="shared" si="4"/>
        <v>0</v>
      </c>
    </row>
    <row r="28" spans="1:20" ht="12" customHeight="1">
      <c r="A28" s="1" t="s">
        <v>30</v>
      </c>
      <c r="B28" s="65">
        <f t="shared" si="6"/>
        <v>343</v>
      </c>
      <c r="C28" s="257">
        <f t="shared" si="5"/>
        <v>0.84911498947889597</v>
      </c>
      <c r="D28" s="4"/>
      <c r="E28" s="273">
        <v>117</v>
      </c>
      <c r="F28" s="257">
        <f t="shared" si="0"/>
        <v>34.110787172011662</v>
      </c>
      <c r="G28" s="273"/>
      <c r="H28" s="273">
        <v>153</v>
      </c>
      <c r="I28" s="94">
        <f t="shared" si="1"/>
        <v>44.606413994169095</v>
      </c>
      <c r="J28" s="273"/>
      <c r="K28" s="273">
        <v>71</v>
      </c>
      <c r="L28" s="94">
        <f t="shared" si="2"/>
        <v>20.699708454810494</v>
      </c>
      <c r="M28" s="273"/>
      <c r="N28" s="273">
        <v>2</v>
      </c>
      <c r="O28" s="94">
        <f t="shared" si="3"/>
        <v>0.58309037900874638</v>
      </c>
      <c r="P28" s="273"/>
      <c r="Q28" s="273">
        <v>0</v>
      </c>
      <c r="R28" s="94">
        <f t="shared" si="4"/>
        <v>0</v>
      </c>
    </row>
    <row r="29" spans="1:20" ht="12" customHeight="1">
      <c r="A29" s="1" t="s">
        <v>31</v>
      </c>
      <c r="B29" s="65">
        <f t="shared" si="6"/>
        <v>499</v>
      </c>
      <c r="C29" s="257">
        <f t="shared" si="5"/>
        <v>1.2353013986879564</v>
      </c>
      <c r="D29" s="4"/>
      <c r="E29" s="273">
        <v>267</v>
      </c>
      <c r="F29" s="257">
        <f t="shared" si="0"/>
        <v>53.507014028056112</v>
      </c>
      <c r="G29" s="273"/>
      <c r="H29" s="273">
        <v>177</v>
      </c>
      <c r="I29" s="94">
        <f t="shared" si="1"/>
        <v>35.470941883767537</v>
      </c>
      <c r="J29" s="273"/>
      <c r="K29" s="273">
        <v>54</v>
      </c>
      <c r="L29" s="94">
        <f t="shared" si="2"/>
        <v>10.821643286573146</v>
      </c>
      <c r="M29" s="273"/>
      <c r="N29" s="273">
        <v>1</v>
      </c>
      <c r="O29" s="94">
        <f t="shared" si="3"/>
        <v>0.20040080160320639</v>
      </c>
      <c r="P29" s="273"/>
      <c r="Q29" s="273">
        <v>0</v>
      </c>
      <c r="R29" s="94">
        <f t="shared" si="4"/>
        <v>0</v>
      </c>
    </row>
    <row r="30" spans="1:20" ht="12" customHeight="1">
      <c r="A30" s="1" t="s">
        <v>32</v>
      </c>
      <c r="B30" s="65">
        <f t="shared" si="6"/>
        <v>349</v>
      </c>
      <c r="C30" s="257">
        <f t="shared" si="5"/>
        <v>0.86396831291001353</v>
      </c>
      <c r="D30" s="4"/>
      <c r="E30" s="273">
        <v>168</v>
      </c>
      <c r="F30" s="257">
        <f t="shared" si="0"/>
        <v>48.137535816618907</v>
      </c>
      <c r="G30" s="273"/>
      <c r="H30" s="273">
        <v>161</v>
      </c>
      <c r="I30" s="94">
        <f t="shared" si="1"/>
        <v>46.131805157593128</v>
      </c>
      <c r="J30" s="273"/>
      <c r="K30" s="273">
        <v>20</v>
      </c>
      <c r="L30" s="94">
        <f t="shared" si="2"/>
        <v>5.7306590257879657</v>
      </c>
      <c r="M30" s="273"/>
      <c r="N30" s="273">
        <v>0</v>
      </c>
      <c r="O30" s="94">
        <f t="shared" si="3"/>
        <v>0</v>
      </c>
      <c r="P30" s="273"/>
      <c r="Q30" s="273">
        <v>0</v>
      </c>
      <c r="R30" s="94">
        <f t="shared" si="4"/>
        <v>0</v>
      </c>
    </row>
    <row r="31" spans="1:20" ht="12" customHeight="1">
      <c r="A31" t="s">
        <v>33</v>
      </c>
      <c r="B31" s="65">
        <f t="shared" si="6"/>
        <v>371</v>
      </c>
      <c r="C31" s="94">
        <f t="shared" si="5"/>
        <v>0.91843049882411187</v>
      </c>
      <c r="E31" s="273">
        <v>207</v>
      </c>
      <c r="F31" s="257">
        <f t="shared" si="0"/>
        <v>55.795148247978432</v>
      </c>
      <c r="G31" s="273"/>
      <c r="H31" s="273">
        <v>146</v>
      </c>
      <c r="I31" s="94">
        <f t="shared" si="1"/>
        <v>39.353099730458219</v>
      </c>
      <c r="J31" s="273"/>
      <c r="K31" s="273">
        <v>18</v>
      </c>
      <c r="L31" s="94">
        <f t="shared" si="2"/>
        <v>4.8517520215633425</v>
      </c>
      <c r="M31" s="273"/>
      <c r="N31" s="273">
        <v>0</v>
      </c>
      <c r="O31" s="94">
        <f t="shared" si="3"/>
        <v>0</v>
      </c>
      <c r="P31" s="273"/>
      <c r="Q31" s="273">
        <v>0</v>
      </c>
      <c r="R31" s="94">
        <f t="shared" si="4"/>
        <v>0</v>
      </c>
    </row>
    <row r="32" spans="1:20" ht="12" customHeight="1">
      <c r="A32" t="s">
        <v>34</v>
      </c>
      <c r="B32" s="65">
        <f t="shared" si="6"/>
        <v>378</v>
      </c>
      <c r="C32" s="94">
        <f t="shared" si="5"/>
        <v>0.93575937616041593</v>
      </c>
      <c r="E32" s="273">
        <v>162</v>
      </c>
      <c r="F32" s="257">
        <f t="shared" si="0"/>
        <v>42.857142857142854</v>
      </c>
      <c r="G32" s="273"/>
      <c r="H32" s="273">
        <v>165</v>
      </c>
      <c r="I32" s="94">
        <f t="shared" si="1"/>
        <v>43.650793650793652</v>
      </c>
      <c r="J32" s="273"/>
      <c r="K32" s="273">
        <v>49</v>
      </c>
      <c r="L32" s="94">
        <f t="shared" si="2"/>
        <v>12.962962962962962</v>
      </c>
      <c r="M32" s="273"/>
      <c r="N32" s="273">
        <v>2</v>
      </c>
      <c r="O32" s="94">
        <f t="shared" si="3"/>
        <v>0.52910052910052907</v>
      </c>
      <c r="P32" s="273"/>
      <c r="Q32" s="273">
        <v>0</v>
      </c>
      <c r="R32" s="94">
        <f t="shared" si="4"/>
        <v>0</v>
      </c>
    </row>
    <row r="33" spans="1:19" ht="7.5" customHeight="1">
      <c r="C33" s="94" t="str">
        <f t="shared" si="5"/>
        <v/>
      </c>
      <c r="F33" s="257" t="str">
        <f t="shared" si="0"/>
        <v/>
      </c>
      <c r="I33" s="94" t="str">
        <f t="shared" si="1"/>
        <v/>
      </c>
      <c r="L33" s="94" t="str">
        <f t="shared" si="2"/>
        <v/>
      </c>
      <c r="O33" s="94" t="str">
        <f t="shared" si="3"/>
        <v/>
      </c>
      <c r="R33" s="94" t="str">
        <f t="shared" si="4"/>
        <v/>
      </c>
    </row>
    <row r="34" spans="1:19" ht="12" customHeight="1">
      <c r="A34" s="63" t="s">
        <v>329</v>
      </c>
      <c r="B34" s="65">
        <f>SUM(B35+B41+B51+B53)</f>
        <v>13568</v>
      </c>
      <c r="C34" s="94">
        <f t="shared" si="5"/>
        <v>33.588315385567519</v>
      </c>
      <c r="E34" s="93">
        <f>SUM(E35+E41+E51+E53)</f>
        <v>5843</v>
      </c>
      <c r="F34" s="257">
        <f t="shared" si="0"/>
        <v>43.064563679245282</v>
      </c>
      <c r="H34" s="93">
        <f>SUM(H35+H41+H51+H53)</f>
        <v>4898</v>
      </c>
      <c r="I34" s="94">
        <f t="shared" si="1"/>
        <v>36.099646226415096</v>
      </c>
      <c r="K34" s="93">
        <f>SUM(K35+K41+K51+K53)</f>
        <v>2650</v>
      </c>
      <c r="L34" s="94">
        <f t="shared" si="2"/>
        <v>19.53125</v>
      </c>
      <c r="N34" s="42">
        <f>SUM(N35+N41+N51+N53)</f>
        <v>172</v>
      </c>
      <c r="O34" s="94">
        <f t="shared" si="3"/>
        <v>1.2676886792452831</v>
      </c>
      <c r="Q34" s="93">
        <f>SUM(Q35+Q41+Q51+Q53)</f>
        <v>5</v>
      </c>
      <c r="R34" s="94">
        <f t="shared" si="4"/>
        <v>3.6851415094339625E-2</v>
      </c>
    </row>
    <row r="35" spans="1:19" ht="12" customHeight="1">
      <c r="A35" t="s">
        <v>36</v>
      </c>
      <c r="B35" s="65">
        <f>SUM(E35+H35+K35+N35+Q35)</f>
        <v>4953</v>
      </c>
      <c r="C35" s="94">
        <f t="shared" si="5"/>
        <v>12.261418492387671</v>
      </c>
      <c r="E35" s="93">
        <f>SUM(E36:E39)</f>
        <v>2358</v>
      </c>
      <c r="F35" s="257">
        <f t="shared" si="0"/>
        <v>47.607510599636583</v>
      </c>
      <c r="G35" s="42" t="s">
        <v>253</v>
      </c>
      <c r="H35" s="93">
        <f>SUM(H36:H39)</f>
        <v>1834</v>
      </c>
      <c r="I35" s="94">
        <f t="shared" si="1"/>
        <v>37.028063799717344</v>
      </c>
      <c r="J35" s="42" t="s">
        <v>253</v>
      </c>
      <c r="K35" s="93">
        <f>SUM(K36:K39)</f>
        <v>742</v>
      </c>
      <c r="L35" s="94">
        <f t="shared" si="2"/>
        <v>14.980819705229154</v>
      </c>
      <c r="M35" s="42" t="s">
        <v>253</v>
      </c>
      <c r="N35" s="42">
        <f>SUM(N36:N39)</f>
        <v>17</v>
      </c>
      <c r="O35" s="94">
        <f t="shared" si="3"/>
        <v>0.34322632747829601</v>
      </c>
      <c r="P35" s="42" t="s">
        <v>253</v>
      </c>
      <c r="Q35" s="42">
        <f>SUM(Q36:Q39)</f>
        <v>2</v>
      </c>
      <c r="R35" s="94">
        <f t="shared" si="4"/>
        <v>4.0379567938623059E-2</v>
      </c>
    </row>
    <row r="36" spans="1:19" ht="12" customHeight="1">
      <c r="A36" t="s">
        <v>37</v>
      </c>
      <c r="B36" s="65">
        <f>SUM(E36+H36+K36+N36+Q36)</f>
        <v>2884</v>
      </c>
      <c r="C36" s="94">
        <f t="shared" si="5"/>
        <v>7.1394974625572472</v>
      </c>
      <c r="E36" s="273">
        <v>1409</v>
      </c>
      <c r="F36" s="257">
        <f t="shared" si="0"/>
        <v>48.85575589459085</v>
      </c>
      <c r="G36" s="273"/>
      <c r="H36" s="273">
        <v>1049</v>
      </c>
      <c r="I36" s="94">
        <f t="shared" si="1"/>
        <v>36.373092926490983</v>
      </c>
      <c r="J36" s="273"/>
      <c r="K36" s="273">
        <v>420</v>
      </c>
      <c r="L36" s="94">
        <f t="shared" si="2"/>
        <v>14.563106796116504</v>
      </c>
      <c r="M36" s="273"/>
      <c r="N36" s="273">
        <v>4</v>
      </c>
      <c r="O36" s="94">
        <f t="shared" si="3"/>
        <v>0.13869625520110956</v>
      </c>
      <c r="P36" s="273"/>
      <c r="Q36" s="273">
        <v>2</v>
      </c>
      <c r="R36" s="94">
        <f t="shared" si="4"/>
        <v>6.9348127600554782E-2</v>
      </c>
      <c r="S36" s="42" t="s">
        <v>253</v>
      </c>
    </row>
    <row r="37" spans="1:19" ht="12" customHeight="1">
      <c r="A37" t="s">
        <v>38</v>
      </c>
      <c r="B37" s="65">
        <f>SUM(E37+H37+K37+N37+Q37)</f>
        <v>1133</v>
      </c>
      <c r="C37" s="94">
        <f t="shared" si="5"/>
        <v>2.8048025745760614</v>
      </c>
      <c r="E37" s="273">
        <v>518</v>
      </c>
      <c r="F37" s="257">
        <f t="shared" si="0"/>
        <v>45.719329214474847</v>
      </c>
      <c r="G37" s="273"/>
      <c r="H37" s="273">
        <v>378</v>
      </c>
      <c r="I37" s="94">
        <f t="shared" si="1"/>
        <v>33.362753751103263</v>
      </c>
      <c r="J37" s="273"/>
      <c r="K37" s="273">
        <v>230</v>
      </c>
      <c r="L37" s="94">
        <f t="shared" si="2"/>
        <v>20.300088261253311</v>
      </c>
      <c r="M37" s="273"/>
      <c r="N37" s="273">
        <v>7</v>
      </c>
      <c r="O37" s="94">
        <f t="shared" si="3"/>
        <v>0.61782877316857898</v>
      </c>
      <c r="P37" s="273"/>
      <c r="Q37" s="273">
        <v>0</v>
      </c>
      <c r="R37" s="94">
        <f t="shared" si="4"/>
        <v>0</v>
      </c>
    </row>
    <row r="38" spans="1:19" ht="12" customHeight="1">
      <c r="A38" t="s">
        <v>39</v>
      </c>
      <c r="B38" s="65">
        <f>SUM(E38+H38+K38+N38+Q38)</f>
        <v>511</v>
      </c>
      <c r="C38" s="94">
        <f t="shared" si="5"/>
        <v>1.2650080455501918</v>
      </c>
      <c r="E38" s="273">
        <v>218</v>
      </c>
      <c r="F38" s="257">
        <f t="shared" si="0"/>
        <v>42.661448140900191</v>
      </c>
      <c r="G38" s="273"/>
      <c r="H38" s="273">
        <v>219</v>
      </c>
      <c r="I38" s="94">
        <f t="shared" si="1"/>
        <v>42.857142857142854</v>
      </c>
      <c r="J38" s="273"/>
      <c r="K38" s="273">
        <v>69</v>
      </c>
      <c r="L38" s="94">
        <f t="shared" si="2"/>
        <v>13.50293542074364</v>
      </c>
      <c r="M38" s="273"/>
      <c r="N38" s="273">
        <v>5</v>
      </c>
      <c r="O38" s="94">
        <f t="shared" si="3"/>
        <v>0.97847358121330719</v>
      </c>
      <c r="P38" s="273"/>
      <c r="Q38" s="273">
        <v>0</v>
      </c>
      <c r="R38" s="94">
        <f t="shared" si="4"/>
        <v>0</v>
      </c>
    </row>
    <row r="39" spans="1:19" ht="12" customHeight="1">
      <c r="A39" t="s">
        <v>40</v>
      </c>
      <c r="B39" s="65">
        <f>SUM(E39+H39+K39+N39+Q39)</f>
        <v>425</v>
      </c>
      <c r="C39" s="94">
        <f t="shared" si="5"/>
        <v>1.0521104097041714</v>
      </c>
      <c r="E39" s="273">
        <v>213</v>
      </c>
      <c r="F39" s="257">
        <f t="shared" si="0"/>
        <v>50.117647058823536</v>
      </c>
      <c r="G39" s="273"/>
      <c r="H39" s="273">
        <v>188</v>
      </c>
      <c r="I39" s="94">
        <f t="shared" si="1"/>
        <v>44.235294117647058</v>
      </c>
      <c r="J39" s="273"/>
      <c r="K39" s="273">
        <v>23</v>
      </c>
      <c r="L39" s="94">
        <f t="shared" si="2"/>
        <v>5.4117647058823524</v>
      </c>
      <c r="M39" s="273"/>
      <c r="N39" s="273">
        <v>1</v>
      </c>
      <c r="O39" s="94">
        <f t="shared" si="3"/>
        <v>0.23529411764705879</v>
      </c>
      <c r="P39" s="273"/>
      <c r="Q39" s="273">
        <v>0</v>
      </c>
      <c r="R39" s="94">
        <f t="shared" si="4"/>
        <v>0</v>
      </c>
    </row>
    <row r="40" spans="1:19" ht="7.5" customHeight="1">
      <c r="C40" s="94" t="str">
        <f t="shared" si="5"/>
        <v/>
      </c>
      <c r="F40" s="257" t="str">
        <f t="shared" si="0"/>
        <v/>
      </c>
      <c r="I40" s="94" t="str">
        <f t="shared" si="1"/>
        <v/>
      </c>
      <c r="L40" s="94" t="str">
        <f t="shared" si="2"/>
        <v/>
      </c>
      <c r="O40" s="94" t="str">
        <f t="shared" si="3"/>
        <v/>
      </c>
      <c r="R40" s="94" t="str">
        <f t="shared" si="4"/>
        <v/>
      </c>
    </row>
    <row r="41" spans="1:19" ht="12" customHeight="1">
      <c r="A41" t="s">
        <v>41</v>
      </c>
      <c r="B41" s="65">
        <f t="shared" ref="B41:B49" si="7">SUM(E41+H41+K41+N41+Q41)</f>
        <v>3954</v>
      </c>
      <c r="C41" s="94">
        <f t="shared" si="5"/>
        <v>9.7883401411065734</v>
      </c>
      <c r="E41" s="93">
        <f>SUM(E42:E49)</f>
        <v>1624</v>
      </c>
      <c r="F41" s="257">
        <f t="shared" si="0"/>
        <v>41.072331815882649</v>
      </c>
      <c r="G41" s="42" t="s">
        <v>253</v>
      </c>
      <c r="H41" s="93">
        <f>SUM(H42:H49)</f>
        <v>1521</v>
      </c>
      <c r="I41" s="94">
        <f t="shared" si="1"/>
        <v>38.467374810318667</v>
      </c>
      <c r="J41" s="42" t="s">
        <v>253</v>
      </c>
      <c r="K41" s="93">
        <f>SUM(K42:K49)</f>
        <v>791</v>
      </c>
      <c r="L41" s="94">
        <f t="shared" si="2"/>
        <v>20.005058168942842</v>
      </c>
      <c r="M41" s="42" t="s">
        <v>253</v>
      </c>
      <c r="N41" s="42">
        <f>SUM(N42:N49)</f>
        <v>17</v>
      </c>
      <c r="O41" s="94">
        <f t="shared" si="3"/>
        <v>0.42994436014162873</v>
      </c>
      <c r="P41" s="42" t="s">
        <v>253</v>
      </c>
      <c r="Q41" s="42">
        <f>SUM(Q42:Q49)</f>
        <v>1</v>
      </c>
      <c r="R41" s="94">
        <f t="shared" si="4"/>
        <v>2.5290844714213456E-2</v>
      </c>
    </row>
    <row r="42" spans="1:19" ht="12" customHeight="1">
      <c r="A42" t="s">
        <v>49</v>
      </c>
      <c r="B42" s="65">
        <f t="shared" si="7"/>
        <v>461</v>
      </c>
      <c r="C42" s="94">
        <f t="shared" si="5"/>
        <v>1.1412303502908776</v>
      </c>
      <c r="E42" s="273">
        <v>206</v>
      </c>
      <c r="F42" s="257">
        <f t="shared" si="0"/>
        <v>44.685466377440349</v>
      </c>
      <c r="G42" s="273"/>
      <c r="H42" s="273">
        <v>228</v>
      </c>
      <c r="I42" s="94">
        <f t="shared" si="1"/>
        <v>49.457700650759215</v>
      </c>
      <c r="J42" s="273"/>
      <c r="K42" s="273">
        <v>24</v>
      </c>
      <c r="L42" s="94">
        <f t="shared" si="2"/>
        <v>5.2060737527114966</v>
      </c>
      <c r="M42" s="273"/>
      <c r="N42" s="273">
        <v>3</v>
      </c>
      <c r="O42" s="94">
        <f t="shared" si="3"/>
        <v>0.65075921908893708</v>
      </c>
      <c r="P42" s="273"/>
      <c r="Q42" s="273">
        <v>0</v>
      </c>
      <c r="R42" s="94">
        <f t="shared" si="4"/>
        <v>0</v>
      </c>
    </row>
    <row r="43" spans="1:19" ht="12" customHeight="1">
      <c r="A43" t="s">
        <v>42</v>
      </c>
      <c r="B43" s="65">
        <f t="shared" si="7"/>
        <v>420</v>
      </c>
      <c r="C43" s="94">
        <f t="shared" si="5"/>
        <v>1.0397326401782399</v>
      </c>
      <c r="E43" s="273">
        <v>186</v>
      </c>
      <c r="F43" s="257">
        <f t="shared" si="0"/>
        <v>44.285714285714285</v>
      </c>
      <c r="G43" s="273"/>
      <c r="H43" s="273">
        <v>193</v>
      </c>
      <c r="I43" s="94">
        <f t="shared" si="1"/>
        <v>45.952380952380949</v>
      </c>
      <c r="J43" s="273"/>
      <c r="K43" s="273">
        <v>40</v>
      </c>
      <c r="L43" s="94">
        <f t="shared" si="2"/>
        <v>9.5238095238095237</v>
      </c>
      <c r="M43" s="273"/>
      <c r="N43" s="273">
        <v>1</v>
      </c>
      <c r="O43" s="94">
        <f t="shared" si="3"/>
        <v>0.23809523809523811</v>
      </c>
      <c r="P43" s="273"/>
      <c r="Q43" s="273">
        <v>0</v>
      </c>
      <c r="R43" s="94">
        <f t="shared" si="4"/>
        <v>0</v>
      </c>
    </row>
    <row r="44" spans="1:19" ht="12" customHeight="1">
      <c r="A44" t="s">
        <v>43</v>
      </c>
      <c r="B44" s="65">
        <f t="shared" si="7"/>
        <v>491</v>
      </c>
      <c r="C44" s="94">
        <f t="shared" si="5"/>
        <v>1.2154969674464662</v>
      </c>
      <c r="E44" s="273">
        <v>184</v>
      </c>
      <c r="F44" s="257">
        <f t="shared" si="0"/>
        <v>37.474541751527497</v>
      </c>
      <c r="G44" s="273"/>
      <c r="H44" s="273">
        <v>122</v>
      </c>
      <c r="I44" s="94">
        <f t="shared" si="1"/>
        <v>24.847250509164969</v>
      </c>
      <c r="J44" s="273"/>
      <c r="K44" s="273">
        <v>183</v>
      </c>
      <c r="L44" s="94">
        <f t="shared" si="2"/>
        <v>37.270875763747455</v>
      </c>
      <c r="M44" s="273"/>
      <c r="N44" s="273">
        <v>2</v>
      </c>
      <c r="O44" s="94">
        <f t="shared" si="3"/>
        <v>0.40733197556008144</v>
      </c>
      <c r="P44" s="273"/>
      <c r="Q44" s="273">
        <v>0</v>
      </c>
      <c r="R44" s="94">
        <f t="shared" si="4"/>
        <v>0</v>
      </c>
    </row>
    <row r="45" spans="1:19" ht="12" customHeight="1">
      <c r="A45" t="s">
        <v>44</v>
      </c>
      <c r="B45" s="65">
        <f t="shared" si="7"/>
        <v>544</v>
      </c>
      <c r="C45" s="94">
        <f t="shared" si="5"/>
        <v>1.3467013244213393</v>
      </c>
      <c r="E45" s="273">
        <v>211</v>
      </c>
      <c r="F45" s="257">
        <f t="shared" si="0"/>
        <v>38.786764705882355</v>
      </c>
      <c r="G45" s="273"/>
      <c r="H45" s="273">
        <v>202</v>
      </c>
      <c r="I45" s="94">
        <f t="shared" si="1"/>
        <v>37.132352941176471</v>
      </c>
      <c r="J45" s="273"/>
      <c r="K45" s="273">
        <v>123</v>
      </c>
      <c r="L45" s="94">
        <f t="shared" si="2"/>
        <v>22.610294117647058</v>
      </c>
      <c r="M45" s="273"/>
      <c r="N45" s="273">
        <v>8</v>
      </c>
      <c r="O45" s="94">
        <f t="shared" si="3"/>
        <v>1.4705882352941175</v>
      </c>
      <c r="P45" s="273"/>
      <c r="Q45" s="273">
        <v>0</v>
      </c>
      <c r="R45" s="94">
        <f t="shared" si="4"/>
        <v>0</v>
      </c>
    </row>
    <row r="46" spans="1:19" ht="12.75" customHeight="1">
      <c r="A46" t="s">
        <v>331</v>
      </c>
      <c r="B46" s="65">
        <f t="shared" si="7"/>
        <v>685</v>
      </c>
      <c r="C46" s="94">
        <f t="shared" si="5"/>
        <v>1.6957544250526055</v>
      </c>
      <c r="E46" s="273">
        <v>324</v>
      </c>
      <c r="F46" s="257">
        <f t="shared" si="0"/>
        <v>47.299270072992698</v>
      </c>
      <c r="G46" s="273"/>
      <c r="H46" s="273">
        <v>270</v>
      </c>
      <c r="I46" s="94">
        <f t="shared" si="1"/>
        <v>39.416058394160586</v>
      </c>
      <c r="J46" s="273"/>
      <c r="K46" s="273">
        <v>88</v>
      </c>
      <c r="L46" s="94">
        <f t="shared" si="2"/>
        <v>12.846715328467154</v>
      </c>
      <c r="M46" s="273"/>
      <c r="N46" s="273">
        <v>2</v>
      </c>
      <c r="O46" s="94">
        <f t="shared" si="3"/>
        <v>0.29197080291970801</v>
      </c>
      <c r="P46" s="273"/>
      <c r="Q46" s="273">
        <v>1</v>
      </c>
      <c r="R46" s="94">
        <f t="shared" si="4"/>
        <v>0.145985401459854</v>
      </c>
    </row>
    <row r="47" spans="1:19" ht="12.75" customHeight="1">
      <c r="A47" t="s">
        <v>48</v>
      </c>
      <c r="B47" s="65">
        <f>SUM(E47+H47+K47+N47+Q47)</f>
        <v>292</v>
      </c>
      <c r="C47" s="94">
        <f t="shared" si="5"/>
        <v>0.72286174031439532</v>
      </c>
      <c r="E47" s="273">
        <v>102</v>
      </c>
      <c r="F47" s="257">
        <f t="shared" si="0"/>
        <v>34.93150684931507</v>
      </c>
      <c r="G47" s="273"/>
      <c r="H47" s="273">
        <v>150</v>
      </c>
      <c r="I47" s="94">
        <f t="shared" si="1"/>
        <v>51.369863013698634</v>
      </c>
      <c r="J47" s="273"/>
      <c r="K47" s="273">
        <v>40</v>
      </c>
      <c r="L47" s="94">
        <f t="shared" si="2"/>
        <v>13.698630136986301</v>
      </c>
      <c r="M47" s="273"/>
      <c r="N47" s="273">
        <v>0</v>
      </c>
      <c r="O47" s="94">
        <f t="shared" si="3"/>
        <v>0</v>
      </c>
      <c r="P47" s="273"/>
      <c r="Q47" s="273">
        <v>0</v>
      </c>
      <c r="R47" s="94">
        <f t="shared" si="4"/>
        <v>0</v>
      </c>
    </row>
    <row r="48" spans="1:19" ht="12.75" customHeight="1">
      <c r="A48" t="s">
        <v>47</v>
      </c>
      <c r="B48" s="65">
        <f t="shared" si="7"/>
        <v>583</v>
      </c>
      <c r="C48" s="94">
        <f t="shared" si="5"/>
        <v>1.4432479267236045</v>
      </c>
      <c r="E48" s="273">
        <v>235</v>
      </c>
      <c r="F48" s="257">
        <f t="shared" si="0"/>
        <v>40.308747855917666</v>
      </c>
      <c r="G48" s="273"/>
      <c r="H48" s="273">
        <v>161</v>
      </c>
      <c r="I48" s="94">
        <f t="shared" si="1"/>
        <v>27.615780445969122</v>
      </c>
      <c r="J48" s="273"/>
      <c r="K48" s="273">
        <v>186</v>
      </c>
      <c r="L48" s="94">
        <f t="shared" si="2"/>
        <v>31.903945111492284</v>
      </c>
      <c r="M48" s="273"/>
      <c r="N48" s="273">
        <v>1</v>
      </c>
      <c r="O48" s="94">
        <f t="shared" si="3"/>
        <v>0.17152658662092624</v>
      </c>
      <c r="P48" s="273"/>
      <c r="Q48" s="273">
        <v>0</v>
      </c>
      <c r="R48" s="94">
        <f t="shared" si="4"/>
        <v>0</v>
      </c>
    </row>
    <row r="49" spans="1:19" ht="12.75" customHeight="1">
      <c r="A49" t="s">
        <v>46</v>
      </c>
      <c r="B49" s="65">
        <f t="shared" si="7"/>
        <v>478</v>
      </c>
      <c r="C49" s="94">
        <f t="shared" si="5"/>
        <v>1.1833147666790444</v>
      </c>
      <c r="E49" s="273">
        <v>176</v>
      </c>
      <c r="F49" s="257">
        <f t="shared" si="0"/>
        <v>36.820083682008367</v>
      </c>
      <c r="G49" s="273"/>
      <c r="H49" s="273">
        <v>195</v>
      </c>
      <c r="I49" s="94">
        <f t="shared" si="1"/>
        <v>40.794979079497907</v>
      </c>
      <c r="J49" s="273"/>
      <c r="K49" s="273">
        <v>107</v>
      </c>
      <c r="L49" s="94">
        <f t="shared" si="2"/>
        <v>22.384937238493723</v>
      </c>
      <c r="M49" s="273"/>
      <c r="N49" s="273">
        <v>0</v>
      </c>
      <c r="O49" s="94">
        <f t="shared" si="3"/>
        <v>0</v>
      </c>
      <c r="P49" s="273"/>
      <c r="Q49" s="273">
        <v>0</v>
      </c>
      <c r="R49" s="94">
        <f t="shared" si="4"/>
        <v>0</v>
      </c>
    </row>
    <row r="50" spans="1:19" ht="7.5" customHeight="1">
      <c r="C50" s="94" t="str">
        <f t="shared" si="5"/>
        <v/>
      </c>
      <c r="E50" s="273">
        <v>0</v>
      </c>
      <c r="F50" s="257" t="str">
        <f t="shared" si="0"/>
        <v/>
      </c>
      <c r="G50" s="273"/>
      <c r="H50" s="273"/>
      <c r="I50" s="94" t="str">
        <f t="shared" si="1"/>
        <v/>
      </c>
      <c r="J50" s="273"/>
      <c r="K50" s="273"/>
      <c r="L50" s="94" t="str">
        <f t="shared" si="2"/>
        <v/>
      </c>
      <c r="M50" s="273"/>
      <c r="N50" s="273"/>
      <c r="O50" s="94" t="str">
        <f t="shared" si="3"/>
        <v/>
      </c>
      <c r="P50" s="273"/>
      <c r="Q50" s="273"/>
      <c r="R50" s="94" t="str">
        <f t="shared" si="4"/>
        <v/>
      </c>
    </row>
    <row r="51" spans="1:19" ht="12" customHeight="1">
      <c r="A51" t="s">
        <v>50</v>
      </c>
      <c r="B51" s="65">
        <f>SUM(E51+H51+K51+N51+Q51)</f>
        <v>1406</v>
      </c>
      <c r="C51" s="94">
        <f t="shared" si="5"/>
        <v>3.4806287906919171</v>
      </c>
      <c r="E51" s="273">
        <v>561</v>
      </c>
      <c r="F51" s="257">
        <f t="shared" si="0"/>
        <v>39.900426742532005</v>
      </c>
      <c r="G51" s="273"/>
      <c r="H51" s="273">
        <v>274</v>
      </c>
      <c r="I51" s="94">
        <f t="shared" si="1"/>
        <v>19.487908961593174</v>
      </c>
      <c r="J51" s="273"/>
      <c r="K51" s="273">
        <v>439</v>
      </c>
      <c r="L51" s="94">
        <f t="shared" si="2"/>
        <v>31.223328591749645</v>
      </c>
      <c r="M51" s="273"/>
      <c r="N51" s="273">
        <v>132</v>
      </c>
      <c r="O51" s="94">
        <f t="shared" si="3"/>
        <v>9.3883357041251774</v>
      </c>
      <c r="P51" s="273"/>
      <c r="Q51" s="273">
        <v>0</v>
      </c>
      <c r="R51" s="94">
        <f t="shared" si="4"/>
        <v>0</v>
      </c>
    </row>
    <row r="52" spans="1:19" ht="7.5" customHeight="1">
      <c r="C52" s="94" t="str">
        <f t="shared" si="5"/>
        <v/>
      </c>
      <c r="E52" s="93">
        <v>0</v>
      </c>
      <c r="F52" s="257" t="str">
        <f t="shared" si="0"/>
        <v/>
      </c>
      <c r="I52" s="94" t="str">
        <f t="shared" si="1"/>
        <v/>
      </c>
      <c r="L52" s="94" t="str">
        <f t="shared" si="2"/>
        <v/>
      </c>
      <c r="O52" s="94" t="str">
        <f t="shared" si="3"/>
        <v/>
      </c>
      <c r="R52" s="94" t="str">
        <f t="shared" si="4"/>
        <v/>
      </c>
    </row>
    <row r="53" spans="1:19" ht="12" customHeight="1">
      <c r="A53" t="s">
        <v>51</v>
      </c>
      <c r="B53" s="65">
        <f t="shared" ref="B53:B58" si="8">SUM(E53+H53+K53+N53+Q53)</f>
        <v>3255</v>
      </c>
      <c r="C53" s="94">
        <f t="shared" si="5"/>
        <v>8.0579279613813579</v>
      </c>
      <c r="E53" s="93">
        <f>SUM(E54:E58)</f>
        <v>1300</v>
      </c>
      <c r="F53" s="257">
        <f t="shared" si="0"/>
        <v>39.93855606758833</v>
      </c>
      <c r="G53" s="42" t="s">
        <v>253</v>
      </c>
      <c r="H53" s="93">
        <f>SUM(H54:H58)</f>
        <v>1269</v>
      </c>
      <c r="I53" s="94">
        <f t="shared" si="1"/>
        <v>38.986175115207374</v>
      </c>
      <c r="J53" s="42" t="s">
        <v>253</v>
      </c>
      <c r="K53" s="93">
        <f>SUM(K54:K58)</f>
        <v>678</v>
      </c>
      <c r="L53" s="94">
        <f t="shared" si="2"/>
        <v>20.829493087557605</v>
      </c>
      <c r="M53" s="42" t="s">
        <v>253</v>
      </c>
      <c r="N53" s="93">
        <f>SUM(N54:N58)</f>
        <v>6</v>
      </c>
      <c r="O53" s="94">
        <f t="shared" si="3"/>
        <v>0.18433179723502305</v>
      </c>
      <c r="P53" s="42" t="s">
        <v>253</v>
      </c>
      <c r="Q53" s="93">
        <f>SUM(Q54:Q58)</f>
        <v>2</v>
      </c>
      <c r="R53" s="94">
        <f t="shared" si="4"/>
        <v>6.1443932411674347E-2</v>
      </c>
    </row>
    <row r="54" spans="1:19" ht="12" customHeight="1">
      <c r="A54" t="s">
        <v>52</v>
      </c>
      <c r="B54" s="65">
        <f t="shared" si="8"/>
        <v>124</v>
      </c>
      <c r="C54" s="94">
        <f t="shared" si="5"/>
        <v>0.30696868424309937</v>
      </c>
      <c r="E54" s="273">
        <v>94</v>
      </c>
      <c r="F54" s="257">
        <f t="shared" si="0"/>
        <v>75.806451612903231</v>
      </c>
      <c r="G54" s="273"/>
      <c r="H54" s="273">
        <v>28</v>
      </c>
      <c r="I54" s="94">
        <f t="shared" si="1"/>
        <v>22.58064516129032</v>
      </c>
      <c r="J54" s="273"/>
      <c r="K54" s="273">
        <v>2</v>
      </c>
      <c r="L54" s="94">
        <f t="shared" si="2"/>
        <v>1.6129032258064515</v>
      </c>
      <c r="M54" s="273"/>
      <c r="N54" s="273">
        <v>0</v>
      </c>
      <c r="O54" s="94">
        <f t="shared" si="3"/>
        <v>0</v>
      </c>
      <c r="P54" s="273"/>
      <c r="Q54" s="273">
        <v>0</v>
      </c>
      <c r="R54" s="94">
        <f t="shared" si="4"/>
        <v>0</v>
      </c>
    </row>
    <row r="55" spans="1:19" ht="12" customHeight="1">
      <c r="A55" t="s">
        <v>53</v>
      </c>
      <c r="B55" s="65">
        <f t="shared" si="8"/>
        <v>2017</v>
      </c>
      <c r="C55" s="94">
        <f t="shared" si="5"/>
        <v>4.9931922267607378</v>
      </c>
      <c r="E55" s="273">
        <v>854</v>
      </c>
      <c r="F55" s="257">
        <f t="shared" si="0"/>
        <v>42.340109072880516</v>
      </c>
      <c r="G55" s="273"/>
      <c r="H55" s="273">
        <v>808</v>
      </c>
      <c r="I55" s="94">
        <f t="shared" si="1"/>
        <v>40.059494298463065</v>
      </c>
      <c r="J55" s="273"/>
      <c r="K55" s="273">
        <v>348</v>
      </c>
      <c r="L55" s="94">
        <f t="shared" si="2"/>
        <v>17.253346554288548</v>
      </c>
      <c r="M55" s="273"/>
      <c r="N55" s="273">
        <v>5</v>
      </c>
      <c r="O55" s="94">
        <f t="shared" si="3"/>
        <v>0.2478929102627665</v>
      </c>
      <c r="P55" s="273"/>
      <c r="Q55" s="273">
        <v>2</v>
      </c>
      <c r="R55" s="94">
        <f t="shared" si="4"/>
        <v>9.9157164105106582E-2</v>
      </c>
    </row>
    <row r="56" spans="1:19" ht="12" customHeight="1">
      <c r="A56" t="s">
        <v>54</v>
      </c>
      <c r="B56" s="65">
        <f t="shared" si="8"/>
        <v>380</v>
      </c>
      <c r="C56" s="94">
        <f t="shared" si="5"/>
        <v>0.94071048397078838</v>
      </c>
      <c r="E56" s="273">
        <v>103</v>
      </c>
      <c r="F56" s="257">
        <f t="shared" si="0"/>
        <v>27.105263157894736</v>
      </c>
      <c r="G56" s="273"/>
      <c r="H56" s="273">
        <v>124</v>
      </c>
      <c r="I56" s="94">
        <f t="shared" si="1"/>
        <v>32.631578947368425</v>
      </c>
      <c r="J56" s="273"/>
      <c r="K56" s="273">
        <v>153</v>
      </c>
      <c r="L56" s="94">
        <f t="shared" si="2"/>
        <v>40.263157894736842</v>
      </c>
      <c r="M56" s="273"/>
      <c r="N56" s="273">
        <v>0</v>
      </c>
      <c r="O56" s="94">
        <f t="shared" si="3"/>
        <v>0</v>
      </c>
      <c r="P56" s="273"/>
      <c r="Q56" s="273">
        <v>0</v>
      </c>
      <c r="R56" s="94">
        <f t="shared" si="4"/>
        <v>0</v>
      </c>
    </row>
    <row r="57" spans="1:19" ht="12" customHeight="1">
      <c r="A57" t="s">
        <v>332</v>
      </c>
      <c r="B57" s="65">
        <f t="shared" si="8"/>
        <v>472</v>
      </c>
      <c r="C57" s="94">
        <f t="shared" si="5"/>
        <v>1.1684614432479268</v>
      </c>
      <c r="E57" s="273">
        <v>161</v>
      </c>
      <c r="F57" s="257">
        <f t="shared" si="0"/>
        <v>34.110169491525419</v>
      </c>
      <c r="G57" s="273"/>
      <c r="H57" s="273">
        <v>215</v>
      </c>
      <c r="I57" s="94">
        <f t="shared" si="1"/>
        <v>45.550847457627121</v>
      </c>
      <c r="J57" s="273"/>
      <c r="K57" s="273">
        <v>95</v>
      </c>
      <c r="L57" s="94">
        <f t="shared" si="2"/>
        <v>20.127118644067796</v>
      </c>
      <c r="M57" s="273"/>
      <c r="N57" s="273">
        <v>1</v>
      </c>
      <c r="O57" s="94">
        <f t="shared" si="3"/>
        <v>0.21186440677966101</v>
      </c>
      <c r="P57" s="273"/>
      <c r="Q57" s="273">
        <v>0</v>
      </c>
      <c r="R57" s="94">
        <f t="shared" si="4"/>
        <v>0</v>
      </c>
    </row>
    <row r="58" spans="1:19" ht="12" customHeight="1">
      <c r="A58" t="s">
        <v>56</v>
      </c>
      <c r="B58" s="65">
        <f t="shared" si="8"/>
        <v>262</v>
      </c>
      <c r="C58" s="94">
        <f t="shared" si="5"/>
        <v>0.64859512315880674</v>
      </c>
      <c r="E58" s="273">
        <v>88</v>
      </c>
      <c r="F58" s="257">
        <f t="shared" si="0"/>
        <v>33.587786259541986</v>
      </c>
      <c r="G58" s="273"/>
      <c r="H58" s="273">
        <v>94</v>
      </c>
      <c r="I58" s="94">
        <f t="shared" si="1"/>
        <v>35.877862595419849</v>
      </c>
      <c r="J58" s="273"/>
      <c r="K58" s="273">
        <v>80</v>
      </c>
      <c r="L58" s="94">
        <f t="shared" si="2"/>
        <v>30.534351145038169</v>
      </c>
      <c r="M58" s="273"/>
      <c r="N58" s="273">
        <v>0</v>
      </c>
      <c r="O58" s="94">
        <f t="shared" si="3"/>
        <v>0</v>
      </c>
      <c r="P58" s="273"/>
      <c r="Q58" s="273">
        <v>0</v>
      </c>
      <c r="R58" s="94">
        <f t="shared" si="4"/>
        <v>0</v>
      </c>
    </row>
    <row r="59" spans="1:19" ht="7.5" customHeight="1">
      <c r="C59" s="94" t="str">
        <f t="shared" si="5"/>
        <v/>
      </c>
      <c r="F59" s="257" t="str">
        <f t="shared" si="0"/>
        <v/>
      </c>
      <c r="I59" s="94" t="str">
        <f t="shared" si="1"/>
        <v/>
      </c>
      <c r="L59" s="94" t="str">
        <f t="shared" si="2"/>
        <v/>
      </c>
      <c r="O59" s="94" t="str">
        <f t="shared" si="3"/>
        <v/>
      </c>
      <c r="R59" s="94" t="str">
        <f t="shared" si="4"/>
        <v/>
      </c>
    </row>
    <row r="60" spans="1:19" ht="12" customHeight="1">
      <c r="A60" s="63" t="s">
        <v>333</v>
      </c>
      <c r="B60" s="65">
        <f>SUM(B61+B63+B70+B72)</f>
        <v>3902</v>
      </c>
      <c r="C60" s="94">
        <f t="shared" si="5"/>
        <v>9.6596113380368855</v>
      </c>
      <c r="E60" s="93">
        <f>SUM(E61+E63+E70+E72)</f>
        <v>1095</v>
      </c>
      <c r="F60" s="257">
        <f t="shared" si="0"/>
        <v>28.06253203485392</v>
      </c>
      <c r="H60" s="93">
        <f>SUM(H61+H63+H70+H72)</f>
        <v>1446</v>
      </c>
      <c r="I60" s="94">
        <f t="shared" si="1"/>
        <v>37.05791901588929</v>
      </c>
      <c r="K60" s="93">
        <f>SUM(K61+K63+K70+K72)</f>
        <v>1202</v>
      </c>
      <c r="L60" s="94">
        <f t="shared" si="2"/>
        <v>30.80471553049718</v>
      </c>
      <c r="N60" s="42">
        <f>SUM(N61+N63+N70+N72)</f>
        <v>115</v>
      </c>
      <c r="O60" s="94">
        <f t="shared" si="3"/>
        <v>2.9472065607380831</v>
      </c>
      <c r="Q60" s="42">
        <f>SUM(Q61+Q63+Q70+Q72)</f>
        <v>44</v>
      </c>
      <c r="R60" s="94">
        <f t="shared" si="4"/>
        <v>1.1276268580215274</v>
      </c>
    </row>
    <row r="61" spans="1:19" ht="12" customHeight="1">
      <c r="A61" t="s">
        <v>334</v>
      </c>
      <c r="B61" s="65">
        <f>SUM(E61+H61+K61+N61+Q61)</f>
        <v>550</v>
      </c>
      <c r="C61" s="94">
        <f t="shared" si="5"/>
        <v>1.3615546478524569</v>
      </c>
      <c r="E61" s="273">
        <v>135</v>
      </c>
      <c r="F61" s="257">
        <f t="shared" si="0"/>
        <v>24.545454545454547</v>
      </c>
      <c r="G61" s="273"/>
      <c r="H61" s="273">
        <v>219</v>
      </c>
      <c r="I61" s="94">
        <f t="shared" si="1"/>
        <v>39.81818181818182</v>
      </c>
      <c r="J61" s="273"/>
      <c r="K61" s="273">
        <v>178</v>
      </c>
      <c r="L61" s="94">
        <f t="shared" si="2"/>
        <v>32.36363636363636</v>
      </c>
      <c r="M61" s="273"/>
      <c r="N61" s="273">
        <v>18</v>
      </c>
      <c r="O61" s="94">
        <f t="shared" si="3"/>
        <v>3.2727272727272729</v>
      </c>
      <c r="P61" s="273"/>
      <c r="Q61" s="273">
        <v>0</v>
      </c>
      <c r="R61" s="94">
        <f t="shared" si="4"/>
        <v>0</v>
      </c>
    </row>
    <row r="62" spans="1:19" ht="7.5" customHeight="1">
      <c r="C62" s="94" t="str">
        <f t="shared" si="5"/>
        <v/>
      </c>
      <c r="F62" s="257" t="str">
        <f t="shared" si="0"/>
        <v/>
      </c>
      <c r="I62" s="94" t="str">
        <f t="shared" si="1"/>
        <v/>
      </c>
      <c r="L62" s="94" t="str">
        <f t="shared" si="2"/>
        <v/>
      </c>
      <c r="O62" s="94" t="str">
        <f t="shared" si="3"/>
        <v/>
      </c>
      <c r="R62" s="94" t="str">
        <f t="shared" si="4"/>
        <v/>
      </c>
    </row>
    <row r="63" spans="1:19" ht="12" customHeight="1">
      <c r="A63" t="s">
        <v>60</v>
      </c>
      <c r="B63" s="65">
        <f t="shared" ref="B63:B68" si="9">SUM(E63+H63+K63+N63+Q63)</f>
        <v>2266</v>
      </c>
      <c r="C63" s="94">
        <f t="shared" si="5"/>
        <v>5.6096051491521228</v>
      </c>
      <c r="E63" s="93">
        <f>SUM(E64:E68)</f>
        <v>680</v>
      </c>
      <c r="F63" s="257">
        <f t="shared" si="0"/>
        <v>30.008826125330977</v>
      </c>
      <c r="G63" s="42" t="s">
        <v>253</v>
      </c>
      <c r="H63" s="93">
        <f>SUM(H64:H68)</f>
        <v>884</v>
      </c>
      <c r="I63" s="94">
        <f t="shared" si="1"/>
        <v>39.011473962930268</v>
      </c>
      <c r="J63" s="42" t="s">
        <v>253</v>
      </c>
      <c r="K63" s="93">
        <f>SUM(K64:K68)</f>
        <v>657</v>
      </c>
      <c r="L63" s="94">
        <f t="shared" si="2"/>
        <v>28.993821712268314</v>
      </c>
      <c r="M63" s="42" t="s">
        <v>253</v>
      </c>
      <c r="N63" s="42">
        <f>SUM(N64:N68)</f>
        <v>45</v>
      </c>
      <c r="O63" s="94">
        <f t="shared" si="3"/>
        <v>1.9858781994704324</v>
      </c>
      <c r="P63" s="42" t="s">
        <v>253</v>
      </c>
      <c r="Q63" s="42">
        <f>SUM(Q64:Q68)</f>
        <v>0</v>
      </c>
      <c r="R63" s="94">
        <f t="shared" si="4"/>
        <v>0</v>
      </c>
    </row>
    <row r="64" spans="1:19" ht="12" customHeight="1">
      <c r="A64" t="s">
        <v>61</v>
      </c>
      <c r="B64" s="65">
        <f t="shared" si="9"/>
        <v>680</v>
      </c>
      <c r="C64" s="94">
        <f t="shared" si="5"/>
        <v>1.6833766555266743</v>
      </c>
      <c r="E64" s="273">
        <v>135</v>
      </c>
      <c r="F64" s="257">
        <f t="shared" si="0"/>
        <v>19.852941176470587</v>
      </c>
      <c r="G64" s="273"/>
      <c r="H64" s="273">
        <v>297</v>
      </c>
      <c r="I64" s="94">
        <f t="shared" si="1"/>
        <v>43.676470588235297</v>
      </c>
      <c r="J64" s="273"/>
      <c r="K64" s="273">
        <v>208</v>
      </c>
      <c r="L64" s="94">
        <f t="shared" si="2"/>
        <v>30.588235294117649</v>
      </c>
      <c r="M64" s="273"/>
      <c r="N64" s="273">
        <v>40</v>
      </c>
      <c r="O64" s="94">
        <f t="shared" si="3"/>
        <v>5.8823529411764701</v>
      </c>
      <c r="P64" s="273"/>
      <c r="Q64" s="273">
        <v>0</v>
      </c>
      <c r="R64" s="94">
        <f t="shared" si="4"/>
        <v>0</v>
      </c>
      <c r="S64" s="42" t="s">
        <v>253</v>
      </c>
    </row>
    <row r="65" spans="1:18" ht="12" customHeight="1">
      <c r="A65" t="s">
        <v>62</v>
      </c>
      <c r="B65" s="65">
        <f t="shared" si="9"/>
        <v>370</v>
      </c>
      <c r="C65" s="94">
        <f t="shared" si="5"/>
        <v>0.9159549449189256</v>
      </c>
      <c r="E65" s="273">
        <v>135</v>
      </c>
      <c r="F65" s="257">
        <f t="shared" si="0"/>
        <v>36.486486486486484</v>
      </c>
      <c r="G65" s="273"/>
      <c r="H65" s="273">
        <v>153</v>
      </c>
      <c r="I65" s="94">
        <f t="shared" si="1"/>
        <v>41.351351351351354</v>
      </c>
      <c r="J65" s="273"/>
      <c r="K65" s="273">
        <v>82</v>
      </c>
      <c r="L65" s="94">
        <f t="shared" si="2"/>
        <v>22.162162162162165</v>
      </c>
      <c r="M65" s="273"/>
      <c r="N65" s="273">
        <v>0</v>
      </c>
      <c r="O65" s="94">
        <f t="shared" si="3"/>
        <v>0</v>
      </c>
      <c r="P65" s="273"/>
      <c r="Q65" s="273">
        <v>0</v>
      </c>
      <c r="R65" s="94">
        <f t="shared" si="4"/>
        <v>0</v>
      </c>
    </row>
    <row r="66" spans="1:18" ht="12" customHeight="1">
      <c r="A66" t="s">
        <v>65</v>
      </c>
      <c r="B66" s="65">
        <f t="shared" si="9"/>
        <v>781</v>
      </c>
      <c r="C66" s="94">
        <f t="shared" si="5"/>
        <v>1.9334075999504887</v>
      </c>
      <c r="E66" s="273">
        <v>243</v>
      </c>
      <c r="F66" s="257">
        <f t="shared" si="0"/>
        <v>31.113956466069144</v>
      </c>
      <c r="G66" s="273"/>
      <c r="H66" s="273">
        <v>248</v>
      </c>
      <c r="I66" s="94">
        <f t="shared" si="1"/>
        <v>31.754161331626118</v>
      </c>
      <c r="J66" s="273"/>
      <c r="K66" s="273">
        <v>285</v>
      </c>
      <c r="L66" s="94">
        <f t="shared" si="2"/>
        <v>36.491677336747756</v>
      </c>
      <c r="M66" s="273"/>
      <c r="N66" s="273">
        <v>5</v>
      </c>
      <c r="O66" s="94">
        <f t="shared" si="3"/>
        <v>0.6402048655569782</v>
      </c>
      <c r="P66" s="273"/>
      <c r="Q66" s="273">
        <v>0</v>
      </c>
      <c r="R66" s="94">
        <f t="shared" si="4"/>
        <v>0</v>
      </c>
    </row>
    <row r="67" spans="1:18" ht="12" customHeight="1">
      <c r="A67" t="s">
        <v>63</v>
      </c>
      <c r="B67" s="65">
        <f t="shared" si="9"/>
        <v>141</v>
      </c>
      <c r="C67" s="94">
        <f>IF(A67&lt;&gt;0,B67/$B$11*100,"")</f>
        <v>0.34905310063126627</v>
      </c>
      <c r="E67" s="273">
        <v>60</v>
      </c>
      <c r="F67" s="257">
        <f t="shared" si="0"/>
        <v>42.553191489361701</v>
      </c>
      <c r="G67" s="273"/>
      <c r="H67" s="273">
        <v>77</v>
      </c>
      <c r="I67" s="94">
        <f t="shared" si="1"/>
        <v>54.609929078014183</v>
      </c>
      <c r="J67" s="273"/>
      <c r="K67" s="273">
        <v>4</v>
      </c>
      <c r="L67" s="94">
        <f t="shared" si="2"/>
        <v>2.8368794326241136</v>
      </c>
      <c r="M67" s="273"/>
      <c r="N67" s="273">
        <v>0</v>
      </c>
      <c r="O67" s="94">
        <f t="shared" si="3"/>
        <v>0</v>
      </c>
      <c r="P67" s="273"/>
      <c r="Q67" s="273">
        <v>0</v>
      </c>
      <c r="R67" s="94">
        <f t="shared" si="4"/>
        <v>0</v>
      </c>
    </row>
    <row r="68" spans="1:18" ht="12" customHeight="1">
      <c r="A68" t="s">
        <v>64</v>
      </c>
      <c r="B68" s="65">
        <f t="shared" si="9"/>
        <v>294</v>
      </c>
      <c r="C68" s="94">
        <f t="shared" si="5"/>
        <v>0.72781284812476787</v>
      </c>
      <c r="E68" s="273">
        <v>107</v>
      </c>
      <c r="F68" s="257">
        <f t="shared" si="0"/>
        <v>36.394557823129254</v>
      </c>
      <c r="G68" s="273"/>
      <c r="H68" s="273">
        <v>109</v>
      </c>
      <c r="I68" s="94">
        <f t="shared" si="1"/>
        <v>37.074829931972793</v>
      </c>
      <c r="J68" s="273"/>
      <c r="K68" s="273">
        <v>78</v>
      </c>
      <c r="L68" s="94">
        <f t="shared" si="2"/>
        <v>26.530612244897959</v>
      </c>
      <c r="M68" s="273"/>
      <c r="N68" s="273">
        <v>0</v>
      </c>
      <c r="O68" s="94">
        <f t="shared" si="3"/>
        <v>0</v>
      </c>
      <c r="P68" s="273"/>
      <c r="Q68" s="273">
        <v>0</v>
      </c>
      <c r="R68" s="94">
        <f t="shared" si="4"/>
        <v>0</v>
      </c>
    </row>
    <row r="69" spans="1:18" ht="7.5" customHeight="1">
      <c r="C69" s="94" t="str">
        <f t="shared" si="5"/>
        <v/>
      </c>
      <c r="E69" s="274">
        <v>0</v>
      </c>
      <c r="F69" s="257" t="str">
        <f t="shared" si="0"/>
        <v/>
      </c>
      <c r="G69" s="274"/>
      <c r="H69" s="97"/>
      <c r="I69" s="94" t="str">
        <f t="shared" si="1"/>
        <v/>
      </c>
      <c r="J69" s="97"/>
      <c r="K69" s="97"/>
      <c r="L69" s="94" t="str">
        <f t="shared" si="2"/>
        <v/>
      </c>
      <c r="M69" s="97"/>
      <c r="N69" s="97"/>
      <c r="O69" s="94" t="str">
        <f t="shared" si="3"/>
        <v/>
      </c>
      <c r="P69" s="97"/>
      <c r="Q69" s="97"/>
      <c r="R69" s="94" t="str">
        <f t="shared" si="4"/>
        <v/>
      </c>
    </row>
    <row r="70" spans="1:18" ht="12" customHeight="1">
      <c r="A70" t="s">
        <v>66</v>
      </c>
      <c r="B70" s="65">
        <f>SUM(E70+H70+K70+N70+Q70)</f>
        <v>472</v>
      </c>
      <c r="C70" s="94">
        <f t="shared" si="5"/>
        <v>1.1684614432479268</v>
      </c>
      <c r="E70" s="273">
        <v>138</v>
      </c>
      <c r="F70" s="257">
        <f t="shared" si="0"/>
        <v>29.237288135593221</v>
      </c>
      <c r="G70" s="273"/>
      <c r="H70" s="273">
        <v>127</v>
      </c>
      <c r="I70" s="94">
        <f t="shared" si="1"/>
        <v>26.906779661016948</v>
      </c>
      <c r="J70" s="273"/>
      <c r="K70" s="273">
        <v>191</v>
      </c>
      <c r="L70" s="94">
        <f t="shared" si="2"/>
        <v>40.466101694915253</v>
      </c>
      <c r="M70" s="273"/>
      <c r="N70" s="273">
        <v>15</v>
      </c>
      <c r="O70" s="94">
        <f t="shared" si="3"/>
        <v>3.1779661016949152</v>
      </c>
      <c r="P70" s="273"/>
      <c r="Q70" s="273">
        <v>1</v>
      </c>
      <c r="R70" s="94">
        <f t="shared" si="4"/>
        <v>0.21186440677966101</v>
      </c>
    </row>
    <row r="71" spans="1:18" ht="7.5" customHeight="1">
      <c r="C71" s="94" t="str">
        <f t="shared" si="5"/>
        <v/>
      </c>
      <c r="E71" s="273">
        <v>0</v>
      </c>
      <c r="F71" s="257" t="str">
        <f t="shared" si="0"/>
        <v/>
      </c>
      <c r="G71" s="275"/>
      <c r="H71" s="275"/>
      <c r="I71" s="94" t="str">
        <f t="shared" si="1"/>
        <v/>
      </c>
      <c r="J71" s="275"/>
      <c r="K71" s="275"/>
      <c r="L71" s="94" t="str">
        <f t="shared" si="2"/>
        <v/>
      </c>
      <c r="M71" s="275"/>
      <c r="N71" s="275"/>
      <c r="O71" s="94" t="str">
        <f t="shared" si="3"/>
        <v/>
      </c>
      <c r="P71" s="275"/>
      <c r="Q71" s="275"/>
      <c r="R71" s="94" t="str">
        <f t="shared" si="4"/>
        <v/>
      </c>
    </row>
    <row r="72" spans="1:18" ht="12" customHeight="1">
      <c r="A72" t="s">
        <v>67</v>
      </c>
      <c r="B72" s="65">
        <f>SUM(E72+H72+K72+N72+Q72)</f>
        <v>614</v>
      </c>
      <c r="C72" s="94">
        <f t="shared" si="5"/>
        <v>1.5199900977843792</v>
      </c>
      <c r="E72" s="273">
        <v>142</v>
      </c>
      <c r="F72" s="257">
        <f t="shared" si="0"/>
        <v>23.12703583061889</v>
      </c>
      <c r="G72" s="273"/>
      <c r="H72" s="273">
        <v>216</v>
      </c>
      <c r="I72" s="94">
        <f t="shared" si="1"/>
        <v>35.179153094462542</v>
      </c>
      <c r="J72" s="273"/>
      <c r="K72" s="273">
        <v>176</v>
      </c>
      <c r="L72" s="94">
        <f t="shared" si="2"/>
        <v>28.664495114006517</v>
      </c>
      <c r="M72" s="273"/>
      <c r="N72" s="273">
        <v>37</v>
      </c>
      <c r="O72" s="94">
        <f t="shared" si="3"/>
        <v>6.0260586319218241</v>
      </c>
      <c r="P72" s="273"/>
      <c r="Q72" s="273">
        <v>43</v>
      </c>
      <c r="R72" s="94">
        <f t="shared" si="4"/>
        <v>7.0032573289902285</v>
      </c>
    </row>
    <row r="73" spans="1:18" ht="7.5" customHeight="1">
      <c r="C73" s="94" t="str">
        <f t="shared" si="5"/>
        <v/>
      </c>
      <c r="F73" s="257" t="str">
        <f t="shared" si="0"/>
        <v/>
      </c>
      <c r="I73" s="94" t="str">
        <f t="shared" si="1"/>
        <v/>
      </c>
      <c r="L73" s="94" t="str">
        <f t="shared" si="2"/>
        <v/>
      </c>
      <c r="O73" s="94" t="str">
        <f t="shared" si="3"/>
        <v/>
      </c>
      <c r="R73" s="94" t="str">
        <f t="shared" si="4"/>
        <v/>
      </c>
    </row>
    <row r="74" spans="1:18" ht="12" customHeight="1">
      <c r="A74" s="63" t="s">
        <v>336</v>
      </c>
      <c r="B74" s="65">
        <f>SUM(B75)</f>
        <v>1332</v>
      </c>
      <c r="C74" s="94">
        <f t="shared" si="5"/>
        <v>3.2974378017081323</v>
      </c>
      <c r="E74" s="93">
        <f>SUM(E75)</f>
        <v>512</v>
      </c>
      <c r="F74" s="257">
        <f t="shared" si="0"/>
        <v>38.438438438438439</v>
      </c>
      <c r="H74" s="93">
        <f>SUM(H75)</f>
        <v>627</v>
      </c>
      <c r="I74" s="94">
        <f t="shared" si="1"/>
        <v>47.072072072072075</v>
      </c>
      <c r="K74" s="93">
        <f>SUM(K75)</f>
        <v>192</v>
      </c>
      <c r="L74" s="94">
        <f t="shared" si="2"/>
        <v>14.414414414414415</v>
      </c>
      <c r="N74" s="93">
        <f>SUM(N75)</f>
        <v>1</v>
      </c>
      <c r="O74" s="94">
        <f t="shared" si="3"/>
        <v>7.5075075075075076E-2</v>
      </c>
      <c r="Q74" s="93">
        <f>SUM(Q75)</f>
        <v>0</v>
      </c>
      <c r="R74" s="94">
        <f t="shared" si="4"/>
        <v>0</v>
      </c>
    </row>
    <row r="75" spans="1:18" ht="12" customHeight="1">
      <c r="A75" t="s">
        <v>69</v>
      </c>
      <c r="B75" s="65">
        <f>SUM(E75+H75+K75+N75+Q75)</f>
        <v>1332</v>
      </c>
      <c r="C75" s="94">
        <f t="shared" si="5"/>
        <v>3.2974378017081323</v>
      </c>
      <c r="E75" s="93">
        <f>SUM(E76:E79)</f>
        <v>512</v>
      </c>
      <c r="F75" s="257">
        <f t="shared" ref="F75:F105" si="10">IF($A75&lt;&gt;"",E75/$B75*100,"")</f>
        <v>38.438438438438439</v>
      </c>
      <c r="G75" s="42" t="s">
        <v>253</v>
      </c>
      <c r="H75" s="93">
        <f>SUM(H76:H79)</f>
        <v>627</v>
      </c>
      <c r="I75" s="94">
        <f t="shared" ref="I75:I105" si="11">IF($A75&lt;&gt;"",H75/$B75*100,"")</f>
        <v>47.072072072072075</v>
      </c>
      <c r="J75" s="42" t="s">
        <v>253</v>
      </c>
      <c r="K75" s="93">
        <f>SUM(K76:K79)</f>
        <v>192</v>
      </c>
      <c r="L75" s="94">
        <f t="shared" ref="L75:L105" si="12">IF($A75&lt;&gt;"",K75/$B75*100,"")</f>
        <v>14.414414414414415</v>
      </c>
      <c r="M75" s="42" t="s">
        <v>253</v>
      </c>
      <c r="N75" s="42">
        <f>SUM(N76:N79)</f>
        <v>1</v>
      </c>
      <c r="O75" s="94">
        <f t="shared" si="3"/>
        <v>7.5075075075075076E-2</v>
      </c>
      <c r="P75" s="42" t="s">
        <v>253</v>
      </c>
      <c r="Q75" s="42">
        <f>SUM(Q76:Q79)</f>
        <v>0</v>
      </c>
      <c r="R75" s="94">
        <f t="shared" si="4"/>
        <v>0</v>
      </c>
    </row>
    <row r="76" spans="1:18" ht="12" customHeight="1">
      <c r="A76" t="s">
        <v>70</v>
      </c>
      <c r="B76" s="65">
        <f>SUM(E76+H76+K76+N76+Q76)</f>
        <v>323</v>
      </c>
      <c r="C76" s="94">
        <f t="shared" si="5"/>
        <v>0.79960391137517028</v>
      </c>
      <c r="E76" s="273">
        <v>100</v>
      </c>
      <c r="F76" s="257">
        <f t="shared" si="10"/>
        <v>30.959752321981426</v>
      </c>
      <c r="G76" s="273"/>
      <c r="H76" s="273">
        <v>161</v>
      </c>
      <c r="I76" s="94">
        <f t="shared" si="11"/>
        <v>49.845201238390089</v>
      </c>
      <c r="J76" s="273"/>
      <c r="K76" s="273">
        <v>61</v>
      </c>
      <c r="L76" s="94">
        <f t="shared" si="12"/>
        <v>18.885448916408667</v>
      </c>
      <c r="M76" s="273"/>
      <c r="N76" s="273">
        <v>1</v>
      </c>
      <c r="O76" s="94">
        <f t="shared" ref="O76:O105" si="13">IF($A76&lt;&gt;"",N76/$B76*100,"")</f>
        <v>0.30959752321981426</v>
      </c>
      <c r="P76" s="273"/>
      <c r="Q76" s="273">
        <v>0</v>
      </c>
      <c r="R76" s="94">
        <f t="shared" si="4"/>
        <v>0</v>
      </c>
    </row>
    <row r="77" spans="1:18" ht="12" customHeight="1">
      <c r="A77" t="s">
        <v>71</v>
      </c>
      <c r="B77" s="65">
        <f>SUM(E77+H77+K77+N77+Q77)</f>
        <v>449</v>
      </c>
      <c r="C77" s="94">
        <f t="shared" si="5"/>
        <v>1.111523703428642</v>
      </c>
      <c r="E77" s="273">
        <v>189</v>
      </c>
      <c r="F77" s="257">
        <f t="shared" si="10"/>
        <v>42.093541202672604</v>
      </c>
      <c r="G77" s="273"/>
      <c r="H77" s="273">
        <v>231</v>
      </c>
      <c r="I77" s="94">
        <f t="shared" si="11"/>
        <v>51.44766146993318</v>
      </c>
      <c r="J77" s="273"/>
      <c r="K77" s="273">
        <v>29</v>
      </c>
      <c r="L77" s="94">
        <f t="shared" si="12"/>
        <v>6.4587973273942101</v>
      </c>
      <c r="M77" s="273"/>
      <c r="N77" s="273">
        <v>0</v>
      </c>
      <c r="O77" s="94">
        <f t="shared" si="13"/>
        <v>0</v>
      </c>
      <c r="P77" s="273"/>
      <c r="Q77" s="273">
        <v>0</v>
      </c>
      <c r="R77" s="94">
        <f t="shared" si="4"/>
        <v>0</v>
      </c>
    </row>
    <row r="78" spans="1:18" ht="12" customHeight="1">
      <c r="A78" t="s">
        <v>72</v>
      </c>
      <c r="B78" s="65">
        <f>SUM(E78+H78+K78+N78+Q78)</f>
        <v>330</v>
      </c>
      <c r="C78" s="94">
        <f t="shared" si="5"/>
        <v>0.81693278871147412</v>
      </c>
      <c r="E78" s="273">
        <v>138</v>
      </c>
      <c r="F78" s="257">
        <f t="shared" si="10"/>
        <v>41.818181818181813</v>
      </c>
      <c r="G78" s="273"/>
      <c r="H78" s="273">
        <v>167</v>
      </c>
      <c r="I78" s="94">
        <f t="shared" si="11"/>
        <v>50.606060606060609</v>
      </c>
      <c r="J78" s="273"/>
      <c r="K78" s="273">
        <v>25</v>
      </c>
      <c r="L78" s="94">
        <f t="shared" si="12"/>
        <v>7.5757575757575761</v>
      </c>
      <c r="M78" s="273"/>
      <c r="N78" s="273">
        <v>0</v>
      </c>
      <c r="O78" s="94">
        <f t="shared" si="13"/>
        <v>0</v>
      </c>
      <c r="P78" s="273"/>
      <c r="Q78" s="273">
        <v>0</v>
      </c>
      <c r="R78" s="94">
        <f t="shared" ref="R78:R105" si="14">IF($A78&lt;&gt;"",Q78/$B78*100,"")</f>
        <v>0</v>
      </c>
    </row>
    <row r="79" spans="1:18" ht="12" customHeight="1">
      <c r="A79" t="s">
        <v>73</v>
      </c>
      <c r="B79" s="65">
        <f>SUM(E79+H79+K79+N79+Q79)</f>
        <v>230</v>
      </c>
      <c r="C79" s="94">
        <f t="shared" si="5"/>
        <v>0.56937739819284561</v>
      </c>
      <c r="E79" s="273">
        <v>85</v>
      </c>
      <c r="F79" s="257">
        <f t="shared" si="10"/>
        <v>36.95652173913043</v>
      </c>
      <c r="G79" s="273"/>
      <c r="H79" s="273">
        <v>68</v>
      </c>
      <c r="I79" s="94">
        <f t="shared" si="11"/>
        <v>29.565217391304348</v>
      </c>
      <c r="J79" s="273"/>
      <c r="K79" s="273">
        <v>77</v>
      </c>
      <c r="L79" s="94">
        <f t="shared" si="12"/>
        <v>33.478260869565219</v>
      </c>
      <c r="M79" s="273"/>
      <c r="N79" s="273">
        <v>0</v>
      </c>
      <c r="O79" s="94">
        <f t="shared" si="13"/>
        <v>0</v>
      </c>
      <c r="P79" s="273"/>
      <c r="Q79" s="273">
        <v>0</v>
      </c>
      <c r="R79" s="94">
        <f t="shared" si="14"/>
        <v>0</v>
      </c>
    </row>
    <row r="80" spans="1:18" ht="7.5" customHeight="1">
      <c r="F80" s="257" t="str">
        <f t="shared" si="10"/>
        <v/>
      </c>
      <c r="I80" s="94" t="str">
        <f t="shared" si="11"/>
        <v/>
      </c>
      <c r="L80" s="94" t="str">
        <f t="shared" si="12"/>
        <v/>
      </c>
      <c r="O80" s="94" t="str">
        <f t="shared" si="13"/>
        <v/>
      </c>
      <c r="R80" s="94" t="str">
        <f t="shared" si="14"/>
        <v/>
      </c>
    </row>
    <row r="81" spans="1:20" ht="12" customHeight="1">
      <c r="A81" s="63" t="s">
        <v>74</v>
      </c>
      <c r="B81" s="65">
        <f>SUM(B82)</f>
        <v>5981</v>
      </c>
      <c r="C81" s="94">
        <f t="shared" si="5"/>
        <v>14.806287906919174</v>
      </c>
      <c r="E81" s="93">
        <f>SUM(E82)</f>
        <v>2415</v>
      </c>
      <c r="F81" s="257">
        <f t="shared" si="10"/>
        <v>40.377863233572981</v>
      </c>
      <c r="H81" s="93">
        <f>SUM(H82)</f>
        <v>2473</v>
      </c>
      <c r="I81" s="94">
        <f t="shared" si="11"/>
        <v>41.34760073566293</v>
      </c>
      <c r="K81" s="93">
        <f>SUM(K82)</f>
        <v>1084</v>
      </c>
      <c r="L81" s="94">
        <f t="shared" si="12"/>
        <v>18.124059521819095</v>
      </c>
      <c r="N81" s="93">
        <f>SUM(N82)</f>
        <v>9</v>
      </c>
      <c r="O81" s="94">
        <f t="shared" si="13"/>
        <v>0.15047650894499248</v>
      </c>
      <c r="Q81" s="93">
        <f>SUM(Q82)</f>
        <v>0</v>
      </c>
      <c r="R81" s="94">
        <f t="shared" si="14"/>
        <v>0</v>
      </c>
    </row>
    <row r="82" spans="1:20" ht="12" customHeight="1">
      <c r="A82" t="s">
        <v>75</v>
      </c>
      <c r="B82" s="65">
        <f t="shared" ref="B82:B92" si="15">SUM(E82+H82+K82+N82+Q82)</f>
        <v>5981</v>
      </c>
      <c r="C82" s="94">
        <f t="shared" ref="C82:C105" si="16">IF(A82&lt;&gt;0,B82/$B$11*100,"")</f>
        <v>14.806287906919174</v>
      </c>
      <c r="E82" s="93">
        <f>SUM(E83:E91)</f>
        <v>2415</v>
      </c>
      <c r="F82" s="257">
        <f t="shared" si="10"/>
        <v>40.377863233572981</v>
      </c>
      <c r="G82" s="42" t="s">
        <v>253</v>
      </c>
      <c r="H82" s="93">
        <f>SUM(H83:H91)</f>
        <v>2473</v>
      </c>
      <c r="I82" s="94">
        <f t="shared" si="11"/>
        <v>41.34760073566293</v>
      </c>
      <c r="J82" s="42" t="s">
        <v>253</v>
      </c>
      <c r="K82" s="93">
        <f>SUM(K83:K91)</f>
        <v>1084</v>
      </c>
      <c r="L82" s="94">
        <f t="shared" si="12"/>
        <v>18.124059521819095</v>
      </c>
      <c r="M82" s="42" t="s">
        <v>253</v>
      </c>
      <c r="N82" s="42">
        <f>SUM(N83:N91)</f>
        <v>9</v>
      </c>
      <c r="O82" s="94">
        <f t="shared" si="13"/>
        <v>0.15047650894499248</v>
      </c>
      <c r="P82" s="42" t="s">
        <v>253</v>
      </c>
      <c r="Q82" s="42">
        <f>SUM(Q83:Q91)</f>
        <v>0</v>
      </c>
      <c r="R82" s="94">
        <f t="shared" si="14"/>
        <v>0</v>
      </c>
    </row>
    <row r="83" spans="1:20" ht="12" customHeight="1">
      <c r="A83" t="s">
        <v>338</v>
      </c>
      <c r="B83" s="65">
        <f t="shared" si="15"/>
        <v>436</v>
      </c>
      <c r="C83" s="94">
        <f t="shared" si="16"/>
        <v>1.0793415026612205</v>
      </c>
      <c r="E83" s="273">
        <v>173</v>
      </c>
      <c r="F83" s="257">
        <f t="shared" si="10"/>
        <v>39.678899082568805</v>
      </c>
      <c r="G83" s="273"/>
      <c r="H83" s="273">
        <v>204</v>
      </c>
      <c r="I83" s="94">
        <f t="shared" si="11"/>
        <v>46.788990825688074</v>
      </c>
      <c r="J83" s="273"/>
      <c r="K83" s="273">
        <v>59</v>
      </c>
      <c r="L83" s="94">
        <f t="shared" si="12"/>
        <v>13.532110091743119</v>
      </c>
      <c r="M83" s="273"/>
      <c r="N83" s="273">
        <v>0</v>
      </c>
      <c r="O83" s="94">
        <f t="shared" si="13"/>
        <v>0</v>
      </c>
      <c r="P83" s="273"/>
      <c r="Q83" s="273">
        <v>0</v>
      </c>
      <c r="R83" s="94">
        <f t="shared" si="14"/>
        <v>0</v>
      </c>
    </row>
    <row r="84" spans="1:20" ht="12" customHeight="1">
      <c r="A84" t="s">
        <v>76</v>
      </c>
      <c r="B84" s="65">
        <f t="shared" si="15"/>
        <v>866</v>
      </c>
      <c r="C84" s="94">
        <f t="shared" si="16"/>
        <v>2.1438296818913232</v>
      </c>
      <c r="E84" s="273">
        <v>304</v>
      </c>
      <c r="F84" s="257">
        <f t="shared" si="10"/>
        <v>35.103926096997689</v>
      </c>
      <c r="G84" s="273"/>
      <c r="H84" s="273">
        <v>349</v>
      </c>
      <c r="I84" s="94">
        <f t="shared" si="11"/>
        <v>40.300230946882216</v>
      </c>
      <c r="J84" s="273"/>
      <c r="K84" s="273">
        <v>211</v>
      </c>
      <c r="L84" s="94">
        <f t="shared" si="12"/>
        <v>24.364896073903004</v>
      </c>
      <c r="M84" s="273"/>
      <c r="N84" s="273">
        <v>2</v>
      </c>
      <c r="O84" s="94">
        <f t="shared" si="13"/>
        <v>0.23094688221709006</v>
      </c>
      <c r="P84" s="273"/>
      <c r="Q84" s="273">
        <v>0</v>
      </c>
      <c r="R84" s="94">
        <f t="shared" si="14"/>
        <v>0</v>
      </c>
    </row>
    <row r="85" spans="1:20" ht="12" customHeight="1">
      <c r="A85" t="s">
        <v>78</v>
      </c>
      <c r="B85" s="65">
        <f t="shared" si="15"/>
        <v>1077</v>
      </c>
      <c r="C85" s="94">
        <f t="shared" si="16"/>
        <v>2.6661715558856294</v>
      </c>
      <c r="E85" s="273">
        <v>470</v>
      </c>
      <c r="F85" s="257">
        <f t="shared" si="10"/>
        <v>43.639740018570102</v>
      </c>
      <c r="G85" s="273"/>
      <c r="H85" s="273">
        <v>470</v>
      </c>
      <c r="I85" s="94">
        <f t="shared" si="11"/>
        <v>43.639740018570102</v>
      </c>
      <c r="J85" s="273"/>
      <c r="K85" s="273">
        <v>135</v>
      </c>
      <c r="L85" s="94">
        <f t="shared" si="12"/>
        <v>12.534818941504177</v>
      </c>
      <c r="M85" s="273"/>
      <c r="N85" s="273">
        <v>2</v>
      </c>
      <c r="O85" s="94">
        <f t="shared" si="13"/>
        <v>0.18570102135561745</v>
      </c>
      <c r="P85" s="273"/>
      <c r="Q85" s="273">
        <v>0</v>
      </c>
      <c r="R85" s="94">
        <f t="shared" si="14"/>
        <v>0</v>
      </c>
    </row>
    <row r="86" spans="1:20" ht="12" customHeight="1">
      <c r="A86" t="s">
        <v>80</v>
      </c>
      <c r="B86" s="65">
        <f t="shared" si="15"/>
        <v>519</v>
      </c>
      <c r="C86" s="94">
        <f t="shared" si="16"/>
        <v>1.2848124767916822</v>
      </c>
      <c r="E86" s="273">
        <v>174</v>
      </c>
      <c r="F86" s="257">
        <f t="shared" si="10"/>
        <v>33.52601156069364</v>
      </c>
      <c r="G86" s="273"/>
      <c r="H86" s="273">
        <v>168</v>
      </c>
      <c r="I86" s="94">
        <f t="shared" si="11"/>
        <v>32.369942196531795</v>
      </c>
      <c r="J86" s="273"/>
      <c r="K86" s="273">
        <v>175</v>
      </c>
      <c r="L86" s="94">
        <f t="shared" si="12"/>
        <v>33.71868978805395</v>
      </c>
      <c r="M86" s="273"/>
      <c r="N86" s="273">
        <v>2</v>
      </c>
      <c r="O86" s="94">
        <f t="shared" si="13"/>
        <v>0.38535645472061658</v>
      </c>
      <c r="P86" s="273"/>
      <c r="Q86" s="273">
        <v>0</v>
      </c>
      <c r="R86" s="94">
        <f t="shared" si="14"/>
        <v>0</v>
      </c>
    </row>
    <row r="87" spans="1:20" ht="12" customHeight="1">
      <c r="A87" t="s">
        <v>79</v>
      </c>
      <c r="B87" s="65">
        <f t="shared" si="15"/>
        <v>531</v>
      </c>
      <c r="C87" s="94">
        <f t="shared" si="16"/>
        <v>1.3145191236539175</v>
      </c>
      <c r="E87" s="273">
        <v>207</v>
      </c>
      <c r="F87" s="257">
        <f t="shared" si="10"/>
        <v>38.983050847457626</v>
      </c>
      <c r="G87" s="273"/>
      <c r="H87" s="273">
        <v>212</v>
      </c>
      <c r="I87" s="94">
        <f t="shared" si="11"/>
        <v>39.92467043314501</v>
      </c>
      <c r="J87" s="273"/>
      <c r="K87" s="273">
        <v>111</v>
      </c>
      <c r="L87" s="94">
        <f t="shared" si="12"/>
        <v>20.903954802259886</v>
      </c>
      <c r="M87" s="273"/>
      <c r="N87" s="273">
        <v>1</v>
      </c>
      <c r="O87" s="94">
        <f t="shared" si="13"/>
        <v>0.18832391713747645</v>
      </c>
      <c r="P87" s="273"/>
      <c r="Q87" s="273">
        <v>0</v>
      </c>
      <c r="R87" s="94">
        <f t="shared" si="14"/>
        <v>0</v>
      </c>
    </row>
    <row r="88" spans="1:20" ht="12" customHeight="1">
      <c r="A88" t="s">
        <v>77</v>
      </c>
      <c r="B88" s="65">
        <f t="shared" si="15"/>
        <v>758</v>
      </c>
      <c r="C88" s="94">
        <f t="shared" si="16"/>
        <v>1.8764698601312044</v>
      </c>
      <c r="E88" s="273">
        <v>276</v>
      </c>
      <c r="F88" s="257">
        <f t="shared" si="10"/>
        <v>36.41160949868074</v>
      </c>
      <c r="G88" s="273"/>
      <c r="H88" s="273">
        <v>294</v>
      </c>
      <c r="I88" s="94">
        <f t="shared" si="11"/>
        <v>38.786279683377309</v>
      </c>
      <c r="J88" s="273"/>
      <c r="K88" s="273">
        <v>186</v>
      </c>
      <c r="L88" s="94">
        <f t="shared" si="12"/>
        <v>24.538258575197887</v>
      </c>
      <c r="M88" s="273"/>
      <c r="N88" s="273">
        <v>2</v>
      </c>
      <c r="O88" s="94">
        <f t="shared" si="13"/>
        <v>0.26385224274406333</v>
      </c>
      <c r="P88" s="273"/>
      <c r="Q88" s="273">
        <v>0</v>
      </c>
      <c r="R88" s="94">
        <f t="shared" si="14"/>
        <v>0</v>
      </c>
    </row>
    <row r="89" spans="1:20" ht="12" customHeight="1">
      <c r="A89" t="s">
        <v>81</v>
      </c>
      <c r="B89" s="65">
        <f t="shared" si="15"/>
        <v>728</v>
      </c>
      <c r="C89" s="94">
        <f t="shared" si="16"/>
        <v>1.8022032429756158</v>
      </c>
      <c r="E89" s="273">
        <v>333</v>
      </c>
      <c r="F89" s="257">
        <f t="shared" si="10"/>
        <v>45.741758241758241</v>
      </c>
      <c r="G89" s="273"/>
      <c r="H89" s="273">
        <v>315</v>
      </c>
      <c r="I89" s="94">
        <f t="shared" si="11"/>
        <v>43.269230769230774</v>
      </c>
      <c r="J89" s="273"/>
      <c r="K89" s="273">
        <v>80</v>
      </c>
      <c r="L89" s="94">
        <f t="shared" si="12"/>
        <v>10.989010989010989</v>
      </c>
      <c r="M89" s="273"/>
      <c r="N89" s="273">
        <v>0</v>
      </c>
      <c r="O89" s="94">
        <f t="shared" si="13"/>
        <v>0</v>
      </c>
      <c r="P89" s="273"/>
      <c r="Q89" s="273">
        <v>0</v>
      </c>
      <c r="R89" s="94">
        <f t="shared" si="14"/>
        <v>0</v>
      </c>
    </row>
    <row r="90" spans="1:20" ht="12" customHeight="1">
      <c r="A90" t="s">
        <v>84</v>
      </c>
      <c r="B90" s="65">
        <f t="shared" si="15"/>
        <v>384</v>
      </c>
      <c r="C90" s="94">
        <f t="shared" si="16"/>
        <v>0.95061269959153361</v>
      </c>
      <c r="E90" s="273">
        <v>175</v>
      </c>
      <c r="F90" s="257">
        <f t="shared" si="10"/>
        <v>45.572916666666671</v>
      </c>
      <c r="G90" s="273"/>
      <c r="H90" s="273">
        <v>152</v>
      </c>
      <c r="I90" s="94">
        <f t="shared" si="11"/>
        <v>39.583333333333329</v>
      </c>
      <c r="J90" s="273"/>
      <c r="K90" s="273">
        <v>57</v>
      </c>
      <c r="L90" s="94">
        <f t="shared" si="12"/>
        <v>14.84375</v>
      </c>
      <c r="M90" s="273"/>
      <c r="N90" s="273">
        <v>0</v>
      </c>
      <c r="O90" s="94">
        <f t="shared" si="13"/>
        <v>0</v>
      </c>
      <c r="P90" s="273"/>
      <c r="Q90" s="273">
        <v>0</v>
      </c>
      <c r="R90" s="94">
        <f t="shared" si="14"/>
        <v>0</v>
      </c>
    </row>
    <row r="91" spans="1:20" ht="12" customHeight="1">
      <c r="A91" t="s">
        <v>339</v>
      </c>
      <c r="B91" s="65">
        <f t="shared" si="15"/>
        <v>682</v>
      </c>
      <c r="C91" s="94">
        <f t="shared" si="16"/>
        <v>1.6883277633370466</v>
      </c>
      <c r="E91" s="273">
        <v>303</v>
      </c>
      <c r="F91" s="257">
        <f t="shared" si="10"/>
        <v>44.428152492668623</v>
      </c>
      <c r="G91" s="273"/>
      <c r="H91" s="273">
        <v>309</v>
      </c>
      <c r="I91" s="94">
        <f t="shared" si="11"/>
        <v>45.307917888563047</v>
      </c>
      <c r="J91" s="273"/>
      <c r="K91" s="273">
        <v>70</v>
      </c>
      <c r="L91" s="94">
        <f t="shared" si="12"/>
        <v>10.263929618768328</v>
      </c>
      <c r="M91" s="273"/>
      <c r="N91" s="273">
        <v>0</v>
      </c>
      <c r="O91" s="94">
        <f t="shared" si="13"/>
        <v>0</v>
      </c>
      <c r="P91" s="273"/>
      <c r="Q91" s="273">
        <v>0</v>
      </c>
      <c r="R91" s="94">
        <f t="shared" si="14"/>
        <v>0</v>
      </c>
    </row>
    <row r="92" spans="1:20" ht="7.5" customHeight="1">
      <c r="B92" s="65">
        <f t="shared" si="15"/>
        <v>0</v>
      </c>
      <c r="C92" s="94" t="str">
        <f t="shared" si="16"/>
        <v/>
      </c>
      <c r="E92" s="273">
        <v>0</v>
      </c>
      <c r="F92" s="257" t="str">
        <f t="shared" si="10"/>
        <v/>
      </c>
      <c r="G92" s="275"/>
      <c r="H92" s="275"/>
      <c r="I92" s="94" t="str">
        <f t="shared" si="11"/>
        <v/>
      </c>
      <c r="J92" s="275"/>
      <c r="K92" s="275"/>
      <c r="L92" s="94" t="str">
        <f t="shared" si="12"/>
        <v/>
      </c>
      <c r="M92" s="275"/>
      <c r="N92" s="275"/>
      <c r="O92" s="94" t="str">
        <f t="shared" si="13"/>
        <v/>
      </c>
      <c r="P92" s="275"/>
      <c r="Q92" s="275"/>
      <c r="R92" s="94" t="str">
        <f t="shared" si="14"/>
        <v/>
      </c>
    </row>
    <row r="93" spans="1:20" ht="12" customHeight="1">
      <c r="A93" t="s">
        <v>442</v>
      </c>
      <c r="B93" s="65">
        <f>SUM(E93+H93+K93+N93+Q93)</f>
        <v>47</v>
      </c>
      <c r="C93" s="94">
        <f t="shared" si="16"/>
        <v>0.11635103354375542</v>
      </c>
      <c r="E93" s="273">
        <v>32</v>
      </c>
      <c r="F93" s="257">
        <f t="shared" si="10"/>
        <v>68.085106382978722</v>
      </c>
      <c r="G93" s="276"/>
      <c r="H93" s="276">
        <v>15</v>
      </c>
      <c r="I93" s="94">
        <f t="shared" si="11"/>
        <v>31.914893617021278</v>
      </c>
      <c r="J93" s="276"/>
      <c r="K93" s="276">
        <v>0</v>
      </c>
      <c r="L93" s="94">
        <f t="shared" si="12"/>
        <v>0</v>
      </c>
      <c r="M93" s="276"/>
      <c r="N93" s="276">
        <v>0</v>
      </c>
      <c r="O93" s="94">
        <f t="shared" si="13"/>
        <v>0</v>
      </c>
      <c r="P93" s="276"/>
      <c r="Q93" s="276">
        <v>0</v>
      </c>
      <c r="R93" s="94">
        <f t="shared" si="14"/>
        <v>0</v>
      </c>
    </row>
    <row r="94" spans="1:20" ht="7.5" customHeight="1">
      <c r="B94" s="65">
        <f>SUM(E94+H94+K94+N94+Q94)</f>
        <v>0</v>
      </c>
      <c r="C94" s="94" t="str">
        <f t="shared" si="16"/>
        <v/>
      </c>
      <c r="E94" s="273">
        <v>0</v>
      </c>
      <c r="F94" s="257" t="str">
        <f t="shared" si="10"/>
        <v/>
      </c>
      <c r="G94" s="276"/>
      <c r="H94" s="276"/>
      <c r="I94" s="94" t="str">
        <f t="shared" si="11"/>
        <v/>
      </c>
      <c r="J94" s="276"/>
      <c r="K94" s="276"/>
      <c r="L94" s="94" t="str">
        <f t="shared" si="12"/>
        <v/>
      </c>
      <c r="M94" s="276"/>
      <c r="N94" s="276"/>
      <c r="O94" s="94" t="str">
        <f t="shared" si="13"/>
        <v/>
      </c>
      <c r="P94" s="276"/>
      <c r="Q94" s="276"/>
      <c r="R94" s="94" t="str">
        <f t="shared" si="14"/>
        <v/>
      </c>
    </row>
    <row r="95" spans="1:20" ht="12" customHeight="1">
      <c r="A95" t="s">
        <v>897</v>
      </c>
      <c r="B95" s="65">
        <f>SUM(E95+H95+K95+N95+Q95)</f>
        <v>291</v>
      </c>
      <c r="C95" s="94">
        <f t="shared" si="16"/>
        <v>0.72038618640920904</v>
      </c>
      <c r="E95" s="273">
        <v>70</v>
      </c>
      <c r="F95" s="257">
        <f t="shared" si="10"/>
        <v>24.054982817869416</v>
      </c>
      <c r="G95" s="273"/>
      <c r="H95" s="273">
        <v>163</v>
      </c>
      <c r="I95" s="94">
        <f t="shared" si="11"/>
        <v>56.013745704467354</v>
      </c>
      <c r="J95" s="273"/>
      <c r="K95" s="273">
        <v>57</v>
      </c>
      <c r="L95" s="94">
        <f t="shared" si="12"/>
        <v>19.587628865979383</v>
      </c>
      <c r="M95" s="273"/>
      <c r="N95" s="273">
        <v>1</v>
      </c>
      <c r="O95" s="94">
        <f t="shared" si="13"/>
        <v>0.3436426116838488</v>
      </c>
      <c r="P95" s="273"/>
      <c r="Q95" s="273">
        <v>0</v>
      </c>
      <c r="R95" s="94">
        <f t="shared" si="14"/>
        <v>0</v>
      </c>
      <c r="S95" s="277"/>
      <c r="T95" s="277"/>
    </row>
    <row r="96" spans="1:20" ht="12" customHeight="1">
      <c r="A96" t="s">
        <v>807</v>
      </c>
      <c r="B96" s="65">
        <f>SUM(E96+H96+K96+N96+Q96)</f>
        <v>684</v>
      </c>
      <c r="C96" s="94">
        <f t="shared" si="16"/>
        <v>1.6932788711474194</v>
      </c>
      <c r="E96" s="273">
        <v>244</v>
      </c>
      <c r="F96" s="257">
        <f t="shared" si="10"/>
        <v>35.672514619883039</v>
      </c>
      <c r="G96" s="273"/>
      <c r="H96" s="273">
        <v>286</v>
      </c>
      <c r="I96" s="94">
        <f t="shared" si="11"/>
        <v>41.812865497076025</v>
      </c>
      <c r="J96" s="273"/>
      <c r="K96" s="273">
        <v>149</v>
      </c>
      <c r="L96" s="94">
        <f t="shared" si="12"/>
        <v>21.783625730994153</v>
      </c>
      <c r="M96" s="273"/>
      <c r="N96" s="273">
        <v>5</v>
      </c>
      <c r="O96" s="94">
        <f t="shared" si="13"/>
        <v>0.73099415204678353</v>
      </c>
      <c r="P96" s="273"/>
      <c r="Q96" s="273">
        <v>0</v>
      </c>
      <c r="R96" s="94">
        <f t="shared" si="14"/>
        <v>0</v>
      </c>
      <c r="S96" s="277"/>
      <c r="T96" s="277"/>
    </row>
    <row r="97" spans="1:20" ht="7.5" customHeight="1">
      <c r="A97" s="41"/>
      <c r="B97" s="65">
        <f>SUM(E97+H97+K97+N97+Q97)</f>
        <v>0</v>
      </c>
      <c r="C97" s="94" t="str">
        <f t="shared" si="16"/>
        <v/>
      </c>
      <c r="E97"/>
      <c r="F97" s="257" t="str">
        <f t="shared" si="10"/>
        <v/>
      </c>
      <c r="G97"/>
      <c r="H97"/>
      <c r="I97" s="94" t="str">
        <f t="shared" si="11"/>
        <v/>
      </c>
      <c r="J97"/>
      <c r="K97"/>
      <c r="L97" s="94" t="str">
        <f t="shared" si="12"/>
        <v/>
      </c>
      <c r="M97"/>
      <c r="N97"/>
      <c r="O97" s="94" t="str">
        <f t="shared" si="13"/>
        <v/>
      </c>
      <c r="P97"/>
      <c r="Q97"/>
      <c r="R97" s="94" t="str">
        <f t="shared" si="14"/>
        <v/>
      </c>
      <c r="S97"/>
    </row>
    <row r="98" spans="1:20" ht="12" customHeight="1">
      <c r="A98" s="63" t="s">
        <v>346</v>
      </c>
      <c r="B98" s="65">
        <f t="shared" ref="B98:B103" si="17">SUM(E98+H98+K98+N98+Q98)</f>
        <v>9473</v>
      </c>
      <c r="C98" s="94">
        <f t="shared" si="16"/>
        <v>23.450922143829679</v>
      </c>
      <c r="E98" s="93">
        <f>SUM(E99:E103)</f>
        <v>3059</v>
      </c>
      <c r="F98" s="257">
        <f t="shared" si="10"/>
        <v>32.29177662831205</v>
      </c>
      <c r="G98" s="42" t="s">
        <v>253</v>
      </c>
      <c r="H98" s="93">
        <f>SUM(H99:H103)</f>
        <v>4250</v>
      </c>
      <c r="I98" s="94">
        <f t="shared" si="11"/>
        <v>44.864351314261583</v>
      </c>
      <c r="J98" s="42" t="s">
        <v>253</v>
      </c>
      <c r="K98" s="93">
        <f>SUM(K99:K103)</f>
        <v>2090</v>
      </c>
      <c r="L98" s="94">
        <f t="shared" si="12"/>
        <v>22.062704528660404</v>
      </c>
      <c r="M98" s="42" t="s">
        <v>253</v>
      </c>
      <c r="N98" s="42">
        <f>SUM(N99:N103)</f>
        <v>70</v>
      </c>
      <c r="O98" s="94">
        <f t="shared" si="13"/>
        <v>0.73894225694077909</v>
      </c>
      <c r="P98" s="42" t="s">
        <v>253</v>
      </c>
      <c r="Q98" s="42">
        <f>SUM(Q99:Q103)</f>
        <v>4</v>
      </c>
      <c r="R98" s="94">
        <f t="shared" si="14"/>
        <v>4.2225271825187372E-2</v>
      </c>
    </row>
    <row r="99" spans="1:20" ht="12" customHeight="1">
      <c r="A99" t="s">
        <v>347</v>
      </c>
      <c r="B99" s="65">
        <f t="shared" si="17"/>
        <v>3120</v>
      </c>
      <c r="C99" s="94">
        <f t="shared" si="16"/>
        <v>7.7237281841812111</v>
      </c>
      <c r="E99" s="93">
        <v>1059</v>
      </c>
      <c r="F99" s="257">
        <f t="shared" si="10"/>
        <v>33.942307692307693</v>
      </c>
      <c r="G99" s="276"/>
      <c r="H99" s="276">
        <v>1278</v>
      </c>
      <c r="I99" s="94">
        <f t="shared" si="11"/>
        <v>40.96153846153846</v>
      </c>
      <c r="J99" s="276"/>
      <c r="K99" s="276">
        <v>758</v>
      </c>
      <c r="L99" s="94">
        <f t="shared" si="12"/>
        <v>24.294871794871796</v>
      </c>
      <c r="M99" s="276"/>
      <c r="N99" s="276">
        <v>25</v>
      </c>
      <c r="O99" s="94">
        <f t="shared" si="13"/>
        <v>0.80128205128205121</v>
      </c>
      <c r="P99" s="276"/>
      <c r="Q99" s="276">
        <v>0</v>
      </c>
      <c r="R99" s="94">
        <f t="shared" si="14"/>
        <v>0</v>
      </c>
      <c r="S99" s="277"/>
      <c r="T99" s="277"/>
    </row>
    <row r="100" spans="1:20" ht="12" customHeight="1">
      <c r="A100" t="s">
        <v>348</v>
      </c>
      <c r="B100" s="65">
        <f t="shared" si="17"/>
        <v>1864</v>
      </c>
      <c r="C100" s="94">
        <f t="shared" si="16"/>
        <v>4.6144324792672355</v>
      </c>
      <c r="E100" s="93">
        <v>571</v>
      </c>
      <c r="F100" s="257">
        <f t="shared" si="10"/>
        <v>30.633047210300429</v>
      </c>
      <c r="G100" s="276"/>
      <c r="H100" s="276">
        <v>916</v>
      </c>
      <c r="I100" s="94">
        <f t="shared" si="11"/>
        <v>49.141630901287556</v>
      </c>
      <c r="J100" s="276"/>
      <c r="K100" s="276">
        <v>360</v>
      </c>
      <c r="L100" s="94">
        <f t="shared" si="12"/>
        <v>19.313304721030043</v>
      </c>
      <c r="M100" s="276"/>
      <c r="N100" s="276">
        <v>16</v>
      </c>
      <c r="O100" s="94">
        <f t="shared" si="13"/>
        <v>0.85836909871244638</v>
      </c>
      <c r="P100" s="276"/>
      <c r="Q100" s="276">
        <v>1</v>
      </c>
      <c r="R100" s="94">
        <f t="shared" si="14"/>
        <v>5.3648068669527899E-2</v>
      </c>
      <c r="S100" s="277"/>
      <c r="T100" s="277"/>
    </row>
    <row r="101" spans="1:20" ht="12" customHeight="1">
      <c r="A101" t="s">
        <v>349</v>
      </c>
      <c r="B101" s="65">
        <f t="shared" si="17"/>
        <v>1974</v>
      </c>
      <c r="C101" s="94">
        <f t="shared" si="16"/>
        <v>4.8867434088377273</v>
      </c>
      <c r="E101" s="93">
        <v>627</v>
      </c>
      <c r="F101" s="257">
        <f t="shared" si="10"/>
        <v>31.762917933130698</v>
      </c>
      <c r="G101" s="276"/>
      <c r="H101" s="276">
        <v>901</v>
      </c>
      <c r="I101" s="94">
        <f t="shared" si="11"/>
        <v>45.643363728470106</v>
      </c>
      <c r="J101" s="276"/>
      <c r="K101" s="276">
        <v>423</v>
      </c>
      <c r="L101" s="94">
        <f t="shared" si="12"/>
        <v>21.428571428571427</v>
      </c>
      <c r="M101" s="276"/>
      <c r="N101" s="276">
        <v>20</v>
      </c>
      <c r="O101" s="94">
        <f t="shared" si="13"/>
        <v>1.0131712259371835</v>
      </c>
      <c r="P101" s="276"/>
      <c r="Q101" s="276">
        <v>3</v>
      </c>
      <c r="R101" s="94">
        <f t="shared" si="14"/>
        <v>0.1519756838905775</v>
      </c>
      <c r="S101" s="277"/>
      <c r="T101" s="277"/>
    </row>
    <row r="102" spans="1:20" ht="12" customHeight="1">
      <c r="A102" t="s">
        <v>898</v>
      </c>
      <c r="B102" s="65">
        <f t="shared" si="17"/>
        <v>1356</v>
      </c>
      <c r="C102" s="94">
        <f t="shared" si="16"/>
        <v>3.356851095432603</v>
      </c>
      <c r="E102" s="93">
        <v>455</v>
      </c>
      <c r="F102" s="257">
        <f t="shared" si="10"/>
        <v>33.554572271386427</v>
      </c>
      <c r="G102" s="276"/>
      <c r="H102" s="276">
        <v>635</v>
      </c>
      <c r="I102" s="94">
        <f t="shared" si="11"/>
        <v>46.828908554572273</v>
      </c>
      <c r="J102" s="276"/>
      <c r="K102" s="276">
        <v>263</v>
      </c>
      <c r="L102" s="94">
        <f t="shared" si="12"/>
        <v>19.395280235988199</v>
      </c>
      <c r="M102" s="276"/>
      <c r="N102" s="276">
        <v>3</v>
      </c>
      <c r="O102" s="94">
        <f t="shared" si="13"/>
        <v>0.22123893805309736</v>
      </c>
      <c r="P102" s="276"/>
      <c r="Q102" s="276">
        <v>0</v>
      </c>
      <c r="R102" s="94">
        <f t="shared" si="14"/>
        <v>0</v>
      </c>
      <c r="S102" s="277"/>
      <c r="T102" s="277"/>
    </row>
    <row r="103" spans="1:20" ht="12" customHeight="1">
      <c r="A103" t="s">
        <v>808</v>
      </c>
      <c r="B103" s="65">
        <f t="shared" si="17"/>
        <v>1159</v>
      </c>
      <c r="C103" s="94">
        <f t="shared" si="16"/>
        <v>2.8691669761109049</v>
      </c>
      <c r="E103" s="93">
        <v>347</v>
      </c>
      <c r="F103" s="257">
        <f t="shared" si="10"/>
        <v>29.939603106125972</v>
      </c>
      <c r="G103" s="273"/>
      <c r="H103" s="273">
        <v>520</v>
      </c>
      <c r="I103" s="94">
        <f t="shared" si="11"/>
        <v>44.866264020707511</v>
      </c>
      <c r="J103" s="273"/>
      <c r="K103" s="273">
        <v>286</v>
      </c>
      <c r="L103" s="94">
        <f t="shared" si="12"/>
        <v>24.676445211389129</v>
      </c>
      <c r="M103" s="273"/>
      <c r="N103" s="273">
        <v>6</v>
      </c>
      <c r="O103" s="94">
        <f t="shared" si="13"/>
        <v>0.51768766177739423</v>
      </c>
      <c r="P103" s="273"/>
      <c r="Q103" s="273">
        <v>0</v>
      </c>
      <c r="R103" s="94">
        <f t="shared" si="14"/>
        <v>0</v>
      </c>
      <c r="S103" s="277"/>
      <c r="T103" s="277"/>
    </row>
    <row r="104" spans="1:20" ht="7.5" customHeight="1">
      <c r="C104" s="94" t="str">
        <f t="shared" si="16"/>
        <v/>
      </c>
      <c r="F104" s="257" t="str">
        <f t="shared" si="10"/>
        <v/>
      </c>
      <c r="G104" s="276"/>
      <c r="H104" s="276"/>
      <c r="I104" s="94" t="str">
        <f t="shared" si="11"/>
        <v/>
      </c>
      <c r="J104" s="276"/>
      <c r="K104" s="276"/>
      <c r="L104" s="94" t="str">
        <f t="shared" si="12"/>
        <v/>
      </c>
      <c r="M104" s="276"/>
      <c r="N104" s="276"/>
      <c r="O104" s="94" t="str">
        <f t="shared" si="13"/>
        <v/>
      </c>
      <c r="P104" s="276"/>
      <c r="Q104" s="276"/>
      <c r="R104" s="94" t="str">
        <f t="shared" si="14"/>
        <v/>
      </c>
    </row>
    <row r="105" spans="1:20" ht="12" customHeight="1">
      <c r="A105" t="s">
        <v>809</v>
      </c>
      <c r="B105" s="65">
        <f>SUM(E105+H105+K105+N105+Q105)</f>
        <v>82</v>
      </c>
      <c r="C105" s="94">
        <f t="shared" si="16"/>
        <v>0.20299542022527542</v>
      </c>
      <c r="E105" s="273">
        <v>58</v>
      </c>
      <c r="F105" s="257">
        <f t="shared" si="10"/>
        <v>70.731707317073173</v>
      </c>
      <c r="G105" s="278"/>
      <c r="H105" s="278">
        <v>24</v>
      </c>
      <c r="I105" s="94">
        <f t="shared" si="11"/>
        <v>29.268292682926827</v>
      </c>
      <c r="J105" s="278"/>
      <c r="K105" s="278">
        <v>0</v>
      </c>
      <c r="L105" s="94">
        <f t="shared" si="12"/>
        <v>0</v>
      </c>
      <c r="M105" s="278"/>
      <c r="N105" s="278">
        <v>0</v>
      </c>
      <c r="O105" s="94">
        <f t="shared" si="13"/>
        <v>0</v>
      </c>
      <c r="P105" s="278"/>
      <c r="Q105" s="278">
        <v>0</v>
      </c>
      <c r="R105" s="94">
        <f t="shared" si="14"/>
        <v>0</v>
      </c>
    </row>
    <row r="106" spans="1:20" ht="9.75" customHeight="1" thickBot="1">
      <c r="A106" s="15"/>
      <c r="B106" s="247"/>
      <c r="C106" s="248"/>
      <c r="D106" s="249"/>
      <c r="E106" s="250"/>
      <c r="F106" s="248"/>
      <c r="G106" s="249"/>
      <c r="H106" s="250"/>
      <c r="I106" s="248"/>
      <c r="J106" s="249"/>
      <c r="K106" s="250"/>
      <c r="L106" s="248"/>
      <c r="M106" s="249"/>
      <c r="N106" s="249"/>
      <c r="O106" s="248"/>
      <c r="P106" s="249"/>
      <c r="Q106" s="249"/>
      <c r="R106" s="248"/>
      <c r="S106" s="248"/>
    </row>
    <row r="107" spans="1:20" ht="5.25" customHeight="1">
      <c r="A107" s="36"/>
      <c r="B107" s="239"/>
      <c r="C107" s="240"/>
      <c r="D107" s="95"/>
      <c r="E107" s="251"/>
      <c r="F107" s="240"/>
      <c r="G107" s="95"/>
      <c r="H107" s="251"/>
      <c r="I107" s="240"/>
      <c r="J107" s="95"/>
      <c r="K107" s="251"/>
      <c r="L107" s="240"/>
      <c r="M107" s="95"/>
      <c r="N107" s="95"/>
      <c r="O107" s="240"/>
      <c r="P107" s="95"/>
      <c r="Q107" s="95"/>
      <c r="R107" s="240"/>
    </row>
    <row r="108" spans="1:20" ht="11.25" customHeight="1">
      <c r="A108" s="36" t="s">
        <v>2286</v>
      </c>
      <c r="B108" s="239"/>
      <c r="C108" s="240"/>
      <c r="D108" s="95"/>
      <c r="E108" s="251"/>
      <c r="F108" s="240"/>
      <c r="G108" s="95"/>
      <c r="H108" s="251"/>
      <c r="I108" s="240"/>
      <c r="J108" s="95"/>
      <c r="K108" s="251"/>
      <c r="L108" s="240"/>
      <c r="M108" s="95"/>
      <c r="N108" s="95"/>
      <c r="O108" s="240"/>
      <c r="P108" s="95"/>
      <c r="Q108" s="95"/>
      <c r="R108" s="240"/>
    </row>
    <row r="109" spans="1:20">
      <c r="A109" s="256" t="s">
        <v>899</v>
      </c>
      <c r="N109" s="93"/>
      <c r="Q109" s="93"/>
    </row>
    <row r="110" spans="1:20" ht="9" customHeight="1">
      <c r="A110" t="s">
        <v>253</v>
      </c>
    </row>
    <row r="111" spans="1:20">
      <c r="A111" s="36" t="s">
        <v>811</v>
      </c>
      <c r="C111" s="257"/>
    </row>
    <row r="112" spans="1:20">
      <c r="A112" s="36" t="s">
        <v>2123</v>
      </c>
      <c r="C112" s="257"/>
    </row>
    <row r="119" spans="1:19">
      <c r="A119" s="43"/>
    </row>
    <row r="125" spans="1:19" s="279" customFormat="1">
      <c r="B125" s="280"/>
      <c r="C125" s="281"/>
      <c r="D125" s="282"/>
      <c r="E125" s="283"/>
      <c r="F125" s="281"/>
      <c r="G125" s="282"/>
      <c r="H125" s="283"/>
      <c r="I125" s="281"/>
      <c r="J125" s="282"/>
      <c r="K125" s="283"/>
      <c r="L125" s="281"/>
      <c r="M125" s="282"/>
      <c r="N125" s="282"/>
      <c r="O125" s="281"/>
      <c r="P125" s="282"/>
      <c r="Q125" s="282"/>
      <c r="R125" s="281"/>
      <c r="S125" s="282"/>
    </row>
    <row r="126" spans="1:19" s="279" customFormat="1">
      <c r="B126" s="280"/>
      <c r="C126" s="281"/>
      <c r="D126" s="282"/>
      <c r="E126" s="283"/>
      <c r="F126" s="281"/>
      <c r="G126" s="282"/>
      <c r="H126" s="283"/>
      <c r="I126" s="281"/>
      <c r="J126" s="282"/>
      <c r="K126" s="283"/>
      <c r="L126" s="281"/>
      <c r="M126" s="282"/>
      <c r="N126" s="282"/>
      <c r="O126" s="281"/>
      <c r="P126" s="282"/>
      <c r="Q126" s="282"/>
      <c r="R126" s="281"/>
      <c r="S126" s="282"/>
    </row>
    <row r="127" spans="1:19" s="279" customFormat="1">
      <c r="B127" s="280"/>
      <c r="C127" s="281"/>
      <c r="D127" s="282"/>
      <c r="E127" s="283"/>
      <c r="F127" s="281"/>
      <c r="G127" s="282"/>
      <c r="H127" s="283"/>
      <c r="I127" s="281"/>
      <c r="J127" s="282"/>
      <c r="K127" s="283"/>
      <c r="L127" s="281"/>
      <c r="M127" s="282"/>
      <c r="N127" s="282"/>
      <c r="O127" s="281"/>
      <c r="P127" s="282"/>
      <c r="Q127" s="282"/>
      <c r="R127" s="281"/>
      <c r="S127" s="282"/>
    </row>
  </sheetData>
  <mergeCells count="6">
    <mergeCell ref="Q7:R7"/>
    <mergeCell ref="B7:C7"/>
    <mergeCell ref="E7:F7"/>
    <mergeCell ref="H7:I7"/>
    <mergeCell ref="K7:L7"/>
    <mergeCell ref="N7:O7"/>
  </mergeCells>
  <printOptions horizontalCentered="1" verticalCentered="1"/>
  <pageMargins left="0" right="0" top="0" bottom="0" header="0.31496062992125984" footer="0.31496062992125984"/>
  <pageSetup paperSize="9" scale="65" orientation="portrait" r:id="rId1"/>
  <ignoredErrors>
    <ignoredError sqref="E41" formulaRange="1"/>
  </ignoredErrors>
  <drawing r:id="rId2"/>
</worksheet>
</file>

<file path=xl/worksheets/sheet43.xml><?xml version="1.0" encoding="utf-8"?>
<worksheet xmlns="http://schemas.openxmlformats.org/spreadsheetml/2006/main" xmlns:r="http://schemas.openxmlformats.org/officeDocument/2006/relationships">
  <dimension ref="A1:Q105"/>
  <sheetViews>
    <sheetView topLeftCell="A73" workbookViewId="0">
      <selection activeCell="A4" sqref="A4"/>
    </sheetView>
  </sheetViews>
  <sheetFormatPr baseColWidth="10" defaultColWidth="8.85546875" defaultRowHeight="15"/>
  <cols>
    <col min="1" max="1" width="35.7109375" customWidth="1"/>
    <col min="2" max="2" width="6.42578125" style="65" customWidth="1"/>
    <col min="3" max="3" width="2.5703125" style="93" customWidth="1"/>
    <col min="4" max="4" width="6.42578125" style="94" customWidth="1"/>
    <col min="5" max="5" width="2.7109375" style="42" customWidth="1"/>
    <col min="6" max="6" width="6.42578125" style="93" customWidth="1"/>
    <col min="7" max="7" width="6.42578125" style="94" customWidth="1"/>
    <col min="8" max="8" width="2.7109375" style="42" customWidth="1"/>
    <col min="9" max="9" width="6.42578125" style="93" customWidth="1"/>
    <col min="10" max="10" width="6.42578125" style="94" customWidth="1"/>
    <col min="11" max="11" width="2.7109375" style="42" customWidth="1"/>
    <col min="12" max="12" width="6.42578125" style="93" customWidth="1"/>
    <col min="13" max="13" width="6.42578125" style="94" customWidth="1"/>
    <col min="14" max="14" width="2.7109375" style="42" customWidth="1"/>
    <col min="15" max="15" width="6.42578125" style="93" customWidth="1"/>
    <col min="16" max="16" width="6.42578125" style="43" customWidth="1"/>
    <col min="17" max="17" width="2.7109375" customWidth="1"/>
    <col min="257" max="257" width="35.7109375" customWidth="1"/>
    <col min="258" max="258" width="8.28515625" customWidth="1"/>
    <col min="259" max="259" width="2.5703125" customWidth="1"/>
    <col min="260" max="260" width="8.28515625" customWidth="1"/>
    <col min="261" max="261" width="2.7109375" customWidth="1"/>
    <col min="262" max="262" width="8.42578125" customWidth="1"/>
    <col min="263" max="263" width="8.28515625" customWidth="1"/>
    <col min="264" max="264" width="2.7109375" customWidth="1"/>
    <col min="265" max="266" width="8.28515625" customWidth="1"/>
    <col min="267" max="267" width="2.7109375" customWidth="1"/>
    <col min="268" max="269" width="8.28515625" customWidth="1"/>
    <col min="270" max="270" width="2.7109375" customWidth="1"/>
    <col min="271" max="272" width="8.28515625" customWidth="1"/>
    <col min="273" max="273" width="2.7109375" customWidth="1"/>
    <col min="513" max="513" width="35.7109375" customWidth="1"/>
    <col min="514" max="514" width="8.28515625" customWidth="1"/>
    <col min="515" max="515" width="2.5703125" customWidth="1"/>
    <col min="516" max="516" width="8.28515625" customWidth="1"/>
    <col min="517" max="517" width="2.7109375" customWidth="1"/>
    <col min="518" max="518" width="8.42578125" customWidth="1"/>
    <col min="519" max="519" width="8.28515625" customWidth="1"/>
    <col min="520" max="520" width="2.7109375" customWidth="1"/>
    <col min="521" max="522" width="8.28515625" customWidth="1"/>
    <col min="523" max="523" width="2.7109375" customWidth="1"/>
    <col min="524" max="525" width="8.28515625" customWidth="1"/>
    <col min="526" max="526" width="2.7109375" customWidth="1"/>
    <col min="527" max="528" width="8.28515625" customWidth="1"/>
    <col min="529" max="529" width="2.7109375" customWidth="1"/>
    <col min="769" max="769" width="35.7109375" customWidth="1"/>
    <col min="770" max="770" width="8.28515625" customWidth="1"/>
    <col min="771" max="771" width="2.5703125" customWidth="1"/>
    <col min="772" max="772" width="8.28515625" customWidth="1"/>
    <col min="773" max="773" width="2.7109375" customWidth="1"/>
    <col min="774" max="774" width="8.42578125" customWidth="1"/>
    <col min="775" max="775" width="8.28515625" customWidth="1"/>
    <col min="776" max="776" width="2.7109375" customWidth="1"/>
    <col min="777" max="778" width="8.28515625" customWidth="1"/>
    <col min="779" max="779" width="2.7109375" customWidth="1"/>
    <col min="780" max="781" width="8.28515625" customWidth="1"/>
    <col min="782" max="782" width="2.7109375" customWidth="1"/>
    <col min="783" max="784" width="8.28515625" customWidth="1"/>
    <col min="785" max="785" width="2.7109375" customWidth="1"/>
    <col min="1025" max="1025" width="35.7109375" customWidth="1"/>
    <col min="1026" max="1026" width="8.28515625" customWidth="1"/>
    <col min="1027" max="1027" width="2.5703125" customWidth="1"/>
    <col min="1028" max="1028" width="8.28515625" customWidth="1"/>
    <col min="1029" max="1029" width="2.7109375" customWidth="1"/>
    <col min="1030" max="1030" width="8.42578125" customWidth="1"/>
    <col min="1031" max="1031" width="8.28515625" customWidth="1"/>
    <col min="1032" max="1032" width="2.7109375" customWidth="1"/>
    <col min="1033" max="1034" width="8.28515625" customWidth="1"/>
    <col min="1035" max="1035" width="2.7109375" customWidth="1"/>
    <col min="1036" max="1037" width="8.28515625" customWidth="1"/>
    <col min="1038" max="1038" width="2.7109375" customWidth="1"/>
    <col min="1039" max="1040" width="8.28515625" customWidth="1"/>
    <col min="1041" max="1041" width="2.7109375" customWidth="1"/>
    <col min="1281" max="1281" width="35.7109375" customWidth="1"/>
    <col min="1282" max="1282" width="8.28515625" customWidth="1"/>
    <col min="1283" max="1283" width="2.5703125" customWidth="1"/>
    <col min="1284" max="1284" width="8.28515625" customWidth="1"/>
    <col min="1285" max="1285" width="2.7109375" customWidth="1"/>
    <col min="1286" max="1286" width="8.42578125" customWidth="1"/>
    <col min="1287" max="1287" width="8.28515625" customWidth="1"/>
    <col min="1288" max="1288" width="2.7109375" customWidth="1"/>
    <col min="1289" max="1290" width="8.28515625" customWidth="1"/>
    <col min="1291" max="1291" width="2.7109375" customWidth="1"/>
    <col min="1292" max="1293" width="8.28515625" customWidth="1"/>
    <col min="1294" max="1294" width="2.7109375" customWidth="1"/>
    <col min="1295" max="1296" width="8.28515625" customWidth="1"/>
    <col min="1297" max="1297" width="2.7109375" customWidth="1"/>
    <col min="1537" max="1537" width="35.7109375" customWidth="1"/>
    <col min="1538" max="1538" width="8.28515625" customWidth="1"/>
    <col min="1539" max="1539" width="2.5703125" customWidth="1"/>
    <col min="1540" max="1540" width="8.28515625" customWidth="1"/>
    <col min="1541" max="1541" width="2.7109375" customWidth="1"/>
    <col min="1542" max="1542" width="8.42578125" customWidth="1"/>
    <col min="1543" max="1543" width="8.28515625" customWidth="1"/>
    <col min="1544" max="1544" width="2.7109375" customWidth="1"/>
    <col min="1545" max="1546" width="8.28515625" customWidth="1"/>
    <col min="1547" max="1547" width="2.7109375" customWidth="1"/>
    <col min="1548" max="1549" width="8.28515625" customWidth="1"/>
    <col min="1550" max="1550" width="2.7109375" customWidth="1"/>
    <col min="1551" max="1552" width="8.28515625" customWidth="1"/>
    <col min="1553" max="1553" width="2.7109375" customWidth="1"/>
    <col min="1793" max="1793" width="35.7109375" customWidth="1"/>
    <col min="1794" max="1794" width="8.28515625" customWidth="1"/>
    <col min="1795" max="1795" width="2.5703125" customWidth="1"/>
    <col min="1796" max="1796" width="8.28515625" customWidth="1"/>
    <col min="1797" max="1797" width="2.7109375" customWidth="1"/>
    <col min="1798" max="1798" width="8.42578125" customWidth="1"/>
    <col min="1799" max="1799" width="8.28515625" customWidth="1"/>
    <col min="1800" max="1800" width="2.7109375" customWidth="1"/>
    <col min="1801" max="1802" width="8.28515625" customWidth="1"/>
    <col min="1803" max="1803" width="2.7109375" customWidth="1"/>
    <col min="1804" max="1805" width="8.28515625" customWidth="1"/>
    <col min="1806" max="1806" width="2.7109375" customWidth="1"/>
    <col min="1807" max="1808" width="8.28515625" customWidth="1"/>
    <col min="1809" max="1809" width="2.7109375" customWidth="1"/>
    <col min="2049" max="2049" width="35.7109375" customWidth="1"/>
    <col min="2050" max="2050" width="8.28515625" customWidth="1"/>
    <col min="2051" max="2051" width="2.5703125" customWidth="1"/>
    <col min="2052" max="2052" width="8.28515625" customWidth="1"/>
    <col min="2053" max="2053" width="2.7109375" customWidth="1"/>
    <col min="2054" max="2054" width="8.42578125" customWidth="1"/>
    <col min="2055" max="2055" width="8.28515625" customWidth="1"/>
    <col min="2056" max="2056" width="2.7109375" customWidth="1"/>
    <col min="2057" max="2058" width="8.28515625" customWidth="1"/>
    <col min="2059" max="2059" width="2.7109375" customWidth="1"/>
    <col min="2060" max="2061" width="8.28515625" customWidth="1"/>
    <col min="2062" max="2062" width="2.7109375" customWidth="1"/>
    <col min="2063" max="2064" width="8.28515625" customWidth="1"/>
    <col min="2065" max="2065" width="2.7109375" customWidth="1"/>
    <col min="2305" max="2305" width="35.7109375" customWidth="1"/>
    <col min="2306" max="2306" width="8.28515625" customWidth="1"/>
    <col min="2307" max="2307" width="2.5703125" customWidth="1"/>
    <col min="2308" max="2308" width="8.28515625" customWidth="1"/>
    <col min="2309" max="2309" width="2.7109375" customWidth="1"/>
    <col min="2310" max="2310" width="8.42578125" customWidth="1"/>
    <col min="2311" max="2311" width="8.28515625" customWidth="1"/>
    <col min="2312" max="2312" width="2.7109375" customWidth="1"/>
    <col min="2313" max="2314" width="8.28515625" customWidth="1"/>
    <col min="2315" max="2315" width="2.7109375" customWidth="1"/>
    <col min="2316" max="2317" width="8.28515625" customWidth="1"/>
    <col min="2318" max="2318" width="2.7109375" customWidth="1"/>
    <col min="2319" max="2320" width="8.28515625" customWidth="1"/>
    <col min="2321" max="2321" width="2.7109375" customWidth="1"/>
    <col min="2561" max="2561" width="35.7109375" customWidth="1"/>
    <col min="2562" max="2562" width="8.28515625" customWidth="1"/>
    <col min="2563" max="2563" width="2.5703125" customWidth="1"/>
    <col min="2564" max="2564" width="8.28515625" customWidth="1"/>
    <col min="2565" max="2565" width="2.7109375" customWidth="1"/>
    <col min="2566" max="2566" width="8.42578125" customWidth="1"/>
    <col min="2567" max="2567" width="8.28515625" customWidth="1"/>
    <col min="2568" max="2568" width="2.7109375" customWidth="1"/>
    <col min="2569" max="2570" width="8.28515625" customWidth="1"/>
    <col min="2571" max="2571" width="2.7109375" customWidth="1"/>
    <col min="2572" max="2573" width="8.28515625" customWidth="1"/>
    <col min="2574" max="2574" width="2.7109375" customWidth="1"/>
    <col min="2575" max="2576" width="8.28515625" customWidth="1"/>
    <col min="2577" max="2577" width="2.7109375" customWidth="1"/>
    <col min="2817" max="2817" width="35.7109375" customWidth="1"/>
    <col min="2818" max="2818" width="8.28515625" customWidth="1"/>
    <col min="2819" max="2819" width="2.5703125" customWidth="1"/>
    <col min="2820" max="2820" width="8.28515625" customWidth="1"/>
    <col min="2821" max="2821" width="2.7109375" customWidth="1"/>
    <col min="2822" max="2822" width="8.42578125" customWidth="1"/>
    <col min="2823" max="2823" width="8.28515625" customWidth="1"/>
    <col min="2824" max="2824" width="2.7109375" customWidth="1"/>
    <col min="2825" max="2826" width="8.28515625" customWidth="1"/>
    <col min="2827" max="2827" width="2.7109375" customWidth="1"/>
    <col min="2828" max="2829" width="8.28515625" customWidth="1"/>
    <col min="2830" max="2830" width="2.7109375" customWidth="1"/>
    <col min="2831" max="2832" width="8.28515625" customWidth="1"/>
    <col min="2833" max="2833" width="2.7109375" customWidth="1"/>
    <col min="3073" max="3073" width="35.7109375" customWidth="1"/>
    <col min="3074" max="3074" width="8.28515625" customWidth="1"/>
    <col min="3075" max="3075" width="2.5703125" customWidth="1"/>
    <col min="3076" max="3076" width="8.28515625" customWidth="1"/>
    <col min="3077" max="3077" width="2.7109375" customWidth="1"/>
    <col min="3078" max="3078" width="8.42578125" customWidth="1"/>
    <col min="3079" max="3079" width="8.28515625" customWidth="1"/>
    <col min="3080" max="3080" width="2.7109375" customWidth="1"/>
    <col min="3081" max="3082" width="8.28515625" customWidth="1"/>
    <col min="3083" max="3083" width="2.7109375" customWidth="1"/>
    <col min="3084" max="3085" width="8.28515625" customWidth="1"/>
    <col min="3086" max="3086" width="2.7109375" customWidth="1"/>
    <col min="3087" max="3088" width="8.28515625" customWidth="1"/>
    <col min="3089" max="3089" width="2.7109375" customWidth="1"/>
    <col min="3329" max="3329" width="35.7109375" customWidth="1"/>
    <col min="3330" max="3330" width="8.28515625" customWidth="1"/>
    <col min="3331" max="3331" width="2.5703125" customWidth="1"/>
    <col min="3332" max="3332" width="8.28515625" customWidth="1"/>
    <col min="3333" max="3333" width="2.7109375" customWidth="1"/>
    <col min="3334" max="3334" width="8.42578125" customWidth="1"/>
    <col min="3335" max="3335" width="8.28515625" customWidth="1"/>
    <col min="3336" max="3336" width="2.7109375" customWidth="1"/>
    <col min="3337" max="3338" width="8.28515625" customWidth="1"/>
    <col min="3339" max="3339" width="2.7109375" customWidth="1"/>
    <col min="3340" max="3341" width="8.28515625" customWidth="1"/>
    <col min="3342" max="3342" width="2.7109375" customWidth="1"/>
    <col min="3343" max="3344" width="8.28515625" customWidth="1"/>
    <col min="3345" max="3345" width="2.7109375" customWidth="1"/>
    <col min="3585" max="3585" width="35.7109375" customWidth="1"/>
    <col min="3586" max="3586" width="8.28515625" customWidth="1"/>
    <col min="3587" max="3587" width="2.5703125" customWidth="1"/>
    <col min="3588" max="3588" width="8.28515625" customWidth="1"/>
    <col min="3589" max="3589" width="2.7109375" customWidth="1"/>
    <col min="3590" max="3590" width="8.42578125" customWidth="1"/>
    <col min="3591" max="3591" width="8.28515625" customWidth="1"/>
    <col min="3592" max="3592" width="2.7109375" customWidth="1"/>
    <col min="3593" max="3594" width="8.28515625" customWidth="1"/>
    <col min="3595" max="3595" width="2.7109375" customWidth="1"/>
    <col min="3596" max="3597" width="8.28515625" customWidth="1"/>
    <col min="3598" max="3598" width="2.7109375" customWidth="1"/>
    <col min="3599" max="3600" width="8.28515625" customWidth="1"/>
    <col min="3601" max="3601" width="2.7109375" customWidth="1"/>
    <col min="3841" max="3841" width="35.7109375" customWidth="1"/>
    <col min="3842" max="3842" width="8.28515625" customWidth="1"/>
    <col min="3843" max="3843" width="2.5703125" customWidth="1"/>
    <col min="3844" max="3844" width="8.28515625" customWidth="1"/>
    <col min="3845" max="3845" width="2.7109375" customWidth="1"/>
    <col min="3846" max="3846" width="8.42578125" customWidth="1"/>
    <col min="3847" max="3847" width="8.28515625" customWidth="1"/>
    <col min="3848" max="3848" width="2.7109375" customWidth="1"/>
    <col min="3849" max="3850" width="8.28515625" customWidth="1"/>
    <col min="3851" max="3851" width="2.7109375" customWidth="1"/>
    <col min="3852" max="3853" width="8.28515625" customWidth="1"/>
    <col min="3854" max="3854" width="2.7109375" customWidth="1"/>
    <col min="3855" max="3856" width="8.28515625" customWidth="1"/>
    <col min="3857" max="3857" width="2.7109375" customWidth="1"/>
    <col min="4097" max="4097" width="35.7109375" customWidth="1"/>
    <col min="4098" max="4098" width="8.28515625" customWidth="1"/>
    <col min="4099" max="4099" width="2.5703125" customWidth="1"/>
    <col min="4100" max="4100" width="8.28515625" customWidth="1"/>
    <col min="4101" max="4101" width="2.7109375" customWidth="1"/>
    <col min="4102" max="4102" width="8.42578125" customWidth="1"/>
    <col min="4103" max="4103" width="8.28515625" customWidth="1"/>
    <col min="4104" max="4104" width="2.7109375" customWidth="1"/>
    <col min="4105" max="4106" width="8.28515625" customWidth="1"/>
    <col min="4107" max="4107" width="2.7109375" customWidth="1"/>
    <col min="4108" max="4109" width="8.28515625" customWidth="1"/>
    <col min="4110" max="4110" width="2.7109375" customWidth="1"/>
    <col min="4111" max="4112" width="8.28515625" customWidth="1"/>
    <col min="4113" max="4113" width="2.7109375" customWidth="1"/>
    <col min="4353" max="4353" width="35.7109375" customWidth="1"/>
    <col min="4354" max="4354" width="8.28515625" customWidth="1"/>
    <col min="4355" max="4355" width="2.5703125" customWidth="1"/>
    <col min="4356" max="4356" width="8.28515625" customWidth="1"/>
    <col min="4357" max="4357" width="2.7109375" customWidth="1"/>
    <col min="4358" max="4358" width="8.42578125" customWidth="1"/>
    <col min="4359" max="4359" width="8.28515625" customWidth="1"/>
    <col min="4360" max="4360" width="2.7109375" customWidth="1"/>
    <col min="4361" max="4362" width="8.28515625" customWidth="1"/>
    <col min="4363" max="4363" width="2.7109375" customWidth="1"/>
    <col min="4364" max="4365" width="8.28515625" customWidth="1"/>
    <col min="4366" max="4366" width="2.7109375" customWidth="1"/>
    <col min="4367" max="4368" width="8.28515625" customWidth="1"/>
    <col min="4369" max="4369" width="2.7109375" customWidth="1"/>
    <col min="4609" max="4609" width="35.7109375" customWidth="1"/>
    <col min="4610" max="4610" width="8.28515625" customWidth="1"/>
    <col min="4611" max="4611" width="2.5703125" customWidth="1"/>
    <col min="4612" max="4612" width="8.28515625" customWidth="1"/>
    <col min="4613" max="4613" width="2.7109375" customWidth="1"/>
    <col min="4614" max="4614" width="8.42578125" customWidth="1"/>
    <col min="4615" max="4615" width="8.28515625" customWidth="1"/>
    <col min="4616" max="4616" width="2.7109375" customWidth="1"/>
    <col min="4617" max="4618" width="8.28515625" customWidth="1"/>
    <col min="4619" max="4619" width="2.7109375" customWidth="1"/>
    <col min="4620" max="4621" width="8.28515625" customWidth="1"/>
    <col min="4622" max="4622" width="2.7109375" customWidth="1"/>
    <col min="4623" max="4624" width="8.28515625" customWidth="1"/>
    <col min="4625" max="4625" width="2.7109375" customWidth="1"/>
    <col min="4865" max="4865" width="35.7109375" customWidth="1"/>
    <col min="4866" max="4866" width="8.28515625" customWidth="1"/>
    <col min="4867" max="4867" width="2.5703125" customWidth="1"/>
    <col min="4868" max="4868" width="8.28515625" customWidth="1"/>
    <col min="4869" max="4869" width="2.7109375" customWidth="1"/>
    <col min="4870" max="4870" width="8.42578125" customWidth="1"/>
    <col min="4871" max="4871" width="8.28515625" customWidth="1"/>
    <col min="4872" max="4872" width="2.7109375" customWidth="1"/>
    <col min="4873" max="4874" width="8.28515625" customWidth="1"/>
    <col min="4875" max="4875" width="2.7109375" customWidth="1"/>
    <col min="4876" max="4877" width="8.28515625" customWidth="1"/>
    <col min="4878" max="4878" width="2.7109375" customWidth="1"/>
    <col min="4879" max="4880" width="8.28515625" customWidth="1"/>
    <col min="4881" max="4881" width="2.7109375" customWidth="1"/>
    <col min="5121" max="5121" width="35.7109375" customWidth="1"/>
    <col min="5122" max="5122" width="8.28515625" customWidth="1"/>
    <col min="5123" max="5123" width="2.5703125" customWidth="1"/>
    <col min="5124" max="5124" width="8.28515625" customWidth="1"/>
    <col min="5125" max="5125" width="2.7109375" customWidth="1"/>
    <col min="5126" max="5126" width="8.42578125" customWidth="1"/>
    <col min="5127" max="5127" width="8.28515625" customWidth="1"/>
    <col min="5128" max="5128" width="2.7109375" customWidth="1"/>
    <col min="5129" max="5130" width="8.28515625" customWidth="1"/>
    <col min="5131" max="5131" width="2.7109375" customWidth="1"/>
    <col min="5132" max="5133" width="8.28515625" customWidth="1"/>
    <col min="5134" max="5134" width="2.7109375" customWidth="1"/>
    <col min="5135" max="5136" width="8.28515625" customWidth="1"/>
    <col min="5137" max="5137" width="2.7109375" customWidth="1"/>
    <col min="5377" max="5377" width="35.7109375" customWidth="1"/>
    <col min="5378" max="5378" width="8.28515625" customWidth="1"/>
    <col min="5379" max="5379" width="2.5703125" customWidth="1"/>
    <col min="5380" max="5380" width="8.28515625" customWidth="1"/>
    <col min="5381" max="5381" width="2.7109375" customWidth="1"/>
    <col min="5382" max="5382" width="8.42578125" customWidth="1"/>
    <col min="5383" max="5383" width="8.28515625" customWidth="1"/>
    <col min="5384" max="5384" width="2.7109375" customWidth="1"/>
    <col min="5385" max="5386" width="8.28515625" customWidth="1"/>
    <col min="5387" max="5387" width="2.7109375" customWidth="1"/>
    <col min="5388" max="5389" width="8.28515625" customWidth="1"/>
    <col min="5390" max="5390" width="2.7109375" customWidth="1"/>
    <col min="5391" max="5392" width="8.28515625" customWidth="1"/>
    <col min="5393" max="5393" width="2.7109375" customWidth="1"/>
    <col min="5633" max="5633" width="35.7109375" customWidth="1"/>
    <col min="5634" max="5634" width="8.28515625" customWidth="1"/>
    <col min="5635" max="5635" width="2.5703125" customWidth="1"/>
    <col min="5636" max="5636" width="8.28515625" customWidth="1"/>
    <col min="5637" max="5637" width="2.7109375" customWidth="1"/>
    <col min="5638" max="5638" width="8.42578125" customWidth="1"/>
    <col min="5639" max="5639" width="8.28515625" customWidth="1"/>
    <col min="5640" max="5640" width="2.7109375" customWidth="1"/>
    <col min="5641" max="5642" width="8.28515625" customWidth="1"/>
    <col min="5643" max="5643" width="2.7109375" customWidth="1"/>
    <col min="5644" max="5645" width="8.28515625" customWidth="1"/>
    <col min="5646" max="5646" width="2.7109375" customWidth="1"/>
    <col min="5647" max="5648" width="8.28515625" customWidth="1"/>
    <col min="5649" max="5649" width="2.7109375" customWidth="1"/>
    <col min="5889" max="5889" width="35.7109375" customWidth="1"/>
    <col min="5890" max="5890" width="8.28515625" customWidth="1"/>
    <col min="5891" max="5891" width="2.5703125" customWidth="1"/>
    <col min="5892" max="5892" width="8.28515625" customWidth="1"/>
    <col min="5893" max="5893" width="2.7109375" customWidth="1"/>
    <col min="5894" max="5894" width="8.42578125" customWidth="1"/>
    <col min="5895" max="5895" width="8.28515625" customWidth="1"/>
    <col min="5896" max="5896" width="2.7109375" customWidth="1"/>
    <col min="5897" max="5898" width="8.28515625" customWidth="1"/>
    <col min="5899" max="5899" width="2.7109375" customWidth="1"/>
    <col min="5900" max="5901" width="8.28515625" customWidth="1"/>
    <col min="5902" max="5902" width="2.7109375" customWidth="1"/>
    <col min="5903" max="5904" width="8.28515625" customWidth="1"/>
    <col min="5905" max="5905" width="2.7109375" customWidth="1"/>
    <col min="6145" max="6145" width="35.7109375" customWidth="1"/>
    <col min="6146" max="6146" width="8.28515625" customWidth="1"/>
    <col min="6147" max="6147" width="2.5703125" customWidth="1"/>
    <col min="6148" max="6148" width="8.28515625" customWidth="1"/>
    <col min="6149" max="6149" width="2.7109375" customWidth="1"/>
    <col min="6150" max="6150" width="8.42578125" customWidth="1"/>
    <col min="6151" max="6151" width="8.28515625" customWidth="1"/>
    <col min="6152" max="6152" width="2.7109375" customWidth="1"/>
    <col min="6153" max="6154" width="8.28515625" customWidth="1"/>
    <col min="6155" max="6155" width="2.7109375" customWidth="1"/>
    <col min="6156" max="6157" width="8.28515625" customWidth="1"/>
    <col min="6158" max="6158" width="2.7109375" customWidth="1"/>
    <col min="6159" max="6160" width="8.28515625" customWidth="1"/>
    <col min="6161" max="6161" width="2.7109375" customWidth="1"/>
    <col min="6401" max="6401" width="35.7109375" customWidth="1"/>
    <col min="6402" max="6402" width="8.28515625" customWidth="1"/>
    <col min="6403" max="6403" width="2.5703125" customWidth="1"/>
    <col min="6404" max="6404" width="8.28515625" customWidth="1"/>
    <col min="6405" max="6405" width="2.7109375" customWidth="1"/>
    <col min="6406" max="6406" width="8.42578125" customWidth="1"/>
    <col min="6407" max="6407" width="8.28515625" customWidth="1"/>
    <col min="6408" max="6408" width="2.7109375" customWidth="1"/>
    <col min="6409" max="6410" width="8.28515625" customWidth="1"/>
    <col min="6411" max="6411" width="2.7109375" customWidth="1"/>
    <col min="6412" max="6413" width="8.28515625" customWidth="1"/>
    <col min="6414" max="6414" width="2.7109375" customWidth="1"/>
    <col min="6415" max="6416" width="8.28515625" customWidth="1"/>
    <col min="6417" max="6417" width="2.7109375" customWidth="1"/>
    <col min="6657" max="6657" width="35.7109375" customWidth="1"/>
    <col min="6658" max="6658" width="8.28515625" customWidth="1"/>
    <col min="6659" max="6659" width="2.5703125" customWidth="1"/>
    <col min="6660" max="6660" width="8.28515625" customWidth="1"/>
    <col min="6661" max="6661" width="2.7109375" customWidth="1"/>
    <col min="6662" max="6662" width="8.42578125" customWidth="1"/>
    <col min="6663" max="6663" width="8.28515625" customWidth="1"/>
    <col min="6664" max="6664" width="2.7109375" customWidth="1"/>
    <col min="6665" max="6666" width="8.28515625" customWidth="1"/>
    <col min="6667" max="6667" width="2.7109375" customWidth="1"/>
    <col min="6668" max="6669" width="8.28515625" customWidth="1"/>
    <col min="6670" max="6670" width="2.7109375" customWidth="1"/>
    <col min="6671" max="6672" width="8.28515625" customWidth="1"/>
    <col min="6673" max="6673" width="2.7109375" customWidth="1"/>
    <col min="6913" max="6913" width="35.7109375" customWidth="1"/>
    <col min="6914" max="6914" width="8.28515625" customWidth="1"/>
    <col min="6915" max="6915" width="2.5703125" customWidth="1"/>
    <col min="6916" max="6916" width="8.28515625" customWidth="1"/>
    <col min="6917" max="6917" width="2.7109375" customWidth="1"/>
    <col min="6918" max="6918" width="8.42578125" customWidth="1"/>
    <col min="6919" max="6919" width="8.28515625" customWidth="1"/>
    <col min="6920" max="6920" width="2.7109375" customWidth="1"/>
    <col min="6921" max="6922" width="8.28515625" customWidth="1"/>
    <col min="6923" max="6923" width="2.7109375" customWidth="1"/>
    <col min="6924" max="6925" width="8.28515625" customWidth="1"/>
    <col min="6926" max="6926" width="2.7109375" customWidth="1"/>
    <col min="6927" max="6928" width="8.28515625" customWidth="1"/>
    <col min="6929" max="6929" width="2.7109375" customWidth="1"/>
    <col min="7169" max="7169" width="35.7109375" customWidth="1"/>
    <col min="7170" max="7170" width="8.28515625" customWidth="1"/>
    <col min="7171" max="7171" width="2.5703125" customWidth="1"/>
    <col min="7172" max="7172" width="8.28515625" customWidth="1"/>
    <col min="7173" max="7173" width="2.7109375" customWidth="1"/>
    <col min="7174" max="7174" width="8.42578125" customWidth="1"/>
    <col min="7175" max="7175" width="8.28515625" customWidth="1"/>
    <col min="7176" max="7176" width="2.7109375" customWidth="1"/>
    <col min="7177" max="7178" width="8.28515625" customWidth="1"/>
    <col min="7179" max="7179" width="2.7109375" customWidth="1"/>
    <col min="7180" max="7181" width="8.28515625" customWidth="1"/>
    <col min="7182" max="7182" width="2.7109375" customWidth="1"/>
    <col min="7183" max="7184" width="8.28515625" customWidth="1"/>
    <col min="7185" max="7185" width="2.7109375" customWidth="1"/>
    <col min="7425" max="7425" width="35.7109375" customWidth="1"/>
    <col min="7426" max="7426" width="8.28515625" customWidth="1"/>
    <col min="7427" max="7427" width="2.5703125" customWidth="1"/>
    <col min="7428" max="7428" width="8.28515625" customWidth="1"/>
    <col min="7429" max="7429" width="2.7109375" customWidth="1"/>
    <col min="7430" max="7430" width="8.42578125" customWidth="1"/>
    <col min="7431" max="7431" width="8.28515625" customWidth="1"/>
    <col min="7432" max="7432" width="2.7109375" customWidth="1"/>
    <col min="7433" max="7434" width="8.28515625" customWidth="1"/>
    <col min="7435" max="7435" width="2.7109375" customWidth="1"/>
    <col min="7436" max="7437" width="8.28515625" customWidth="1"/>
    <col min="7438" max="7438" width="2.7109375" customWidth="1"/>
    <col min="7439" max="7440" width="8.28515625" customWidth="1"/>
    <col min="7441" max="7441" width="2.7109375" customWidth="1"/>
    <col min="7681" max="7681" width="35.7109375" customWidth="1"/>
    <col min="7682" max="7682" width="8.28515625" customWidth="1"/>
    <col min="7683" max="7683" width="2.5703125" customWidth="1"/>
    <col min="7684" max="7684" width="8.28515625" customWidth="1"/>
    <col min="7685" max="7685" width="2.7109375" customWidth="1"/>
    <col min="7686" max="7686" width="8.42578125" customWidth="1"/>
    <col min="7687" max="7687" width="8.28515625" customWidth="1"/>
    <col min="7688" max="7688" width="2.7109375" customWidth="1"/>
    <col min="7689" max="7690" width="8.28515625" customWidth="1"/>
    <col min="7691" max="7691" width="2.7109375" customWidth="1"/>
    <col min="7692" max="7693" width="8.28515625" customWidth="1"/>
    <col min="7694" max="7694" width="2.7109375" customWidth="1"/>
    <col min="7695" max="7696" width="8.28515625" customWidth="1"/>
    <col min="7697" max="7697" width="2.7109375" customWidth="1"/>
    <col min="7937" max="7937" width="35.7109375" customWidth="1"/>
    <col min="7938" max="7938" width="8.28515625" customWidth="1"/>
    <col min="7939" max="7939" width="2.5703125" customWidth="1"/>
    <col min="7940" max="7940" width="8.28515625" customWidth="1"/>
    <col min="7941" max="7941" width="2.7109375" customWidth="1"/>
    <col min="7942" max="7942" width="8.42578125" customWidth="1"/>
    <col min="7943" max="7943" width="8.28515625" customWidth="1"/>
    <col min="7944" max="7944" width="2.7109375" customWidth="1"/>
    <col min="7945" max="7946" width="8.28515625" customWidth="1"/>
    <col min="7947" max="7947" width="2.7109375" customWidth="1"/>
    <col min="7948" max="7949" width="8.28515625" customWidth="1"/>
    <col min="7950" max="7950" width="2.7109375" customWidth="1"/>
    <col min="7951" max="7952" width="8.28515625" customWidth="1"/>
    <col min="7953" max="7953" width="2.7109375" customWidth="1"/>
    <col min="8193" max="8193" width="35.7109375" customWidth="1"/>
    <col min="8194" max="8194" width="8.28515625" customWidth="1"/>
    <col min="8195" max="8195" width="2.5703125" customWidth="1"/>
    <col min="8196" max="8196" width="8.28515625" customWidth="1"/>
    <col min="8197" max="8197" width="2.7109375" customWidth="1"/>
    <col min="8198" max="8198" width="8.42578125" customWidth="1"/>
    <col min="8199" max="8199" width="8.28515625" customWidth="1"/>
    <col min="8200" max="8200" width="2.7109375" customWidth="1"/>
    <col min="8201" max="8202" width="8.28515625" customWidth="1"/>
    <col min="8203" max="8203" width="2.7109375" customWidth="1"/>
    <col min="8204" max="8205" width="8.28515625" customWidth="1"/>
    <col min="8206" max="8206" width="2.7109375" customWidth="1"/>
    <col min="8207" max="8208" width="8.28515625" customWidth="1"/>
    <col min="8209" max="8209" width="2.7109375" customWidth="1"/>
    <col min="8449" max="8449" width="35.7109375" customWidth="1"/>
    <col min="8450" max="8450" width="8.28515625" customWidth="1"/>
    <col min="8451" max="8451" width="2.5703125" customWidth="1"/>
    <col min="8452" max="8452" width="8.28515625" customWidth="1"/>
    <col min="8453" max="8453" width="2.7109375" customWidth="1"/>
    <col min="8454" max="8454" width="8.42578125" customWidth="1"/>
    <col min="8455" max="8455" width="8.28515625" customWidth="1"/>
    <col min="8456" max="8456" width="2.7109375" customWidth="1"/>
    <col min="8457" max="8458" width="8.28515625" customWidth="1"/>
    <col min="8459" max="8459" width="2.7109375" customWidth="1"/>
    <col min="8460" max="8461" width="8.28515625" customWidth="1"/>
    <col min="8462" max="8462" width="2.7109375" customWidth="1"/>
    <col min="8463" max="8464" width="8.28515625" customWidth="1"/>
    <col min="8465" max="8465" width="2.7109375" customWidth="1"/>
    <col min="8705" max="8705" width="35.7109375" customWidth="1"/>
    <col min="8706" max="8706" width="8.28515625" customWidth="1"/>
    <col min="8707" max="8707" width="2.5703125" customWidth="1"/>
    <col min="8708" max="8708" width="8.28515625" customWidth="1"/>
    <col min="8709" max="8709" width="2.7109375" customWidth="1"/>
    <col min="8710" max="8710" width="8.42578125" customWidth="1"/>
    <col min="8711" max="8711" width="8.28515625" customWidth="1"/>
    <col min="8712" max="8712" width="2.7109375" customWidth="1"/>
    <col min="8713" max="8714" width="8.28515625" customWidth="1"/>
    <col min="8715" max="8715" width="2.7109375" customWidth="1"/>
    <col min="8716" max="8717" width="8.28515625" customWidth="1"/>
    <col min="8718" max="8718" width="2.7109375" customWidth="1"/>
    <col min="8719" max="8720" width="8.28515625" customWidth="1"/>
    <col min="8721" max="8721" width="2.7109375" customWidth="1"/>
    <col min="8961" max="8961" width="35.7109375" customWidth="1"/>
    <col min="8962" max="8962" width="8.28515625" customWidth="1"/>
    <col min="8963" max="8963" width="2.5703125" customWidth="1"/>
    <col min="8964" max="8964" width="8.28515625" customWidth="1"/>
    <col min="8965" max="8965" width="2.7109375" customWidth="1"/>
    <col min="8966" max="8966" width="8.42578125" customWidth="1"/>
    <col min="8967" max="8967" width="8.28515625" customWidth="1"/>
    <col min="8968" max="8968" width="2.7109375" customWidth="1"/>
    <col min="8969" max="8970" width="8.28515625" customWidth="1"/>
    <col min="8971" max="8971" width="2.7109375" customWidth="1"/>
    <col min="8972" max="8973" width="8.28515625" customWidth="1"/>
    <col min="8974" max="8974" width="2.7109375" customWidth="1"/>
    <col min="8975" max="8976" width="8.28515625" customWidth="1"/>
    <col min="8977" max="8977" width="2.7109375" customWidth="1"/>
    <col min="9217" max="9217" width="35.7109375" customWidth="1"/>
    <col min="9218" max="9218" width="8.28515625" customWidth="1"/>
    <col min="9219" max="9219" width="2.5703125" customWidth="1"/>
    <col min="9220" max="9220" width="8.28515625" customWidth="1"/>
    <col min="9221" max="9221" width="2.7109375" customWidth="1"/>
    <col min="9222" max="9222" width="8.42578125" customWidth="1"/>
    <col min="9223" max="9223" width="8.28515625" customWidth="1"/>
    <col min="9224" max="9224" width="2.7109375" customWidth="1"/>
    <col min="9225" max="9226" width="8.28515625" customWidth="1"/>
    <col min="9227" max="9227" width="2.7109375" customWidth="1"/>
    <col min="9228" max="9229" width="8.28515625" customWidth="1"/>
    <col min="9230" max="9230" width="2.7109375" customWidth="1"/>
    <col min="9231" max="9232" width="8.28515625" customWidth="1"/>
    <col min="9233" max="9233" width="2.7109375" customWidth="1"/>
    <col min="9473" max="9473" width="35.7109375" customWidth="1"/>
    <col min="9474" max="9474" width="8.28515625" customWidth="1"/>
    <col min="9475" max="9475" width="2.5703125" customWidth="1"/>
    <col min="9476" max="9476" width="8.28515625" customWidth="1"/>
    <col min="9477" max="9477" width="2.7109375" customWidth="1"/>
    <col min="9478" max="9478" width="8.42578125" customWidth="1"/>
    <col min="9479" max="9479" width="8.28515625" customWidth="1"/>
    <col min="9480" max="9480" width="2.7109375" customWidth="1"/>
    <col min="9481" max="9482" width="8.28515625" customWidth="1"/>
    <col min="9483" max="9483" width="2.7109375" customWidth="1"/>
    <col min="9484" max="9485" width="8.28515625" customWidth="1"/>
    <col min="9486" max="9486" width="2.7109375" customWidth="1"/>
    <col min="9487" max="9488" width="8.28515625" customWidth="1"/>
    <col min="9489" max="9489" width="2.7109375" customWidth="1"/>
    <col min="9729" max="9729" width="35.7109375" customWidth="1"/>
    <col min="9730" max="9730" width="8.28515625" customWidth="1"/>
    <col min="9731" max="9731" width="2.5703125" customWidth="1"/>
    <col min="9732" max="9732" width="8.28515625" customWidth="1"/>
    <col min="9733" max="9733" width="2.7109375" customWidth="1"/>
    <col min="9734" max="9734" width="8.42578125" customWidth="1"/>
    <col min="9735" max="9735" width="8.28515625" customWidth="1"/>
    <col min="9736" max="9736" width="2.7109375" customWidth="1"/>
    <col min="9737" max="9738" width="8.28515625" customWidth="1"/>
    <col min="9739" max="9739" width="2.7109375" customWidth="1"/>
    <col min="9740" max="9741" width="8.28515625" customWidth="1"/>
    <col min="9742" max="9742" width="2.7109375" customWidth="1"/>
    <col min="9743" max="9744" width="8.28515625" customWidth="1"/>
    <col min="9745" max="9745" width="2.7109375" customWidth="1"/>
    <col min="9985" max="9985" width="35.7109375" customWidth="1"/>
    <col min="9986" max="9986" width="8.28515625" customWidth="1"/>
    <col min="9987" max="9987" width="2.5703125" customWidth="1"/>
    <col min="9988" max="9988" width="8.28515625" customWidth="1"/>
    <col min="9989" max="9989" width="2.7109375" customWidth="1"/>
    <col min="9990" max="9990" width="8.42578125" customWidth="1"/>
    <col min="9991" max="9991" width="8.28515625" customWidth="1"/>
    <col min="9992" max="9992" width="2.7109375" customWidth="1"/>
    <col min="9993" max="9994" width="8.28515625" customWidth="1"/>
    <col min="9995" max="9995" width="2.7109375" customWidth="1"/>
    <col min="9996" max="9997" width="8.28515625" customWidth="1"/>
    <col min="9998" max="9998" width="2.7109375" customWidth="1"/>
    <col min="9999" max="10000" width="8.28515625" customWidth="1"/>
    <col min="10001" max="10001" width="2.7109375" customWidth="1"/>
    <col min="10241" max="10241" width="35.7109375" customWidth="1"/>
    <col min="10242" max="10242" width="8.28515625" customWidth="1"/>
    <col min="10243" max="10243" width="2.5703125" customWidth="1"/>
    <col min="10244" max="10244" width="8.28515625" customWidth="1"/>
    <col min="10245" max="10245" width="2.7109375" customWidth="1"/>
    <col min="10246" max="10246" width="8.42578125" customWidth="1"/>
    <col min="10247" max="10247" width="8.28515625" customWidth="1"/>
    <col min="10248" max="10248" width="2.7109375" customWidth="1"/>
    <col min="10249" max="10250" width="8.28515625" customWidth="1"/>
    <col min="10251" max="10251" width="2.7109375" customWidth="1"/>
    <col min="10252" max="10253" width="8.28515625" customWidth="1"/>
    <col min="10254" max="10254" width="2.7109375" customWidth="1"/>
    <col min="10255" max="10256" width="8.28515625" customWidth="1"/>
    <col min="10257" max="10257" width="2.7109375" customWidth="1"/>
    <col min="10497" max="10497" width="35.7109375" customWidth="1"/>
    <col min="10498" max="10498" width="8.28515625" customWidth="1"/>
    <col min="10499" max="10499" width="2.5703125" customWidth="1"/>
    <col min="10500" max="10500" width="8.28515625" customWidth="1"/>
    <col min="10501" max="10501" width="2.7109375" customWidth="1"/>
    <col min="10502" max="10502" width="8.42578125" customWidth="1"/>
    <col min="10503" max="10503" width="8.28515625" customWidth="1"/>
    <col min="10504" max="10504" width="2.7109375" customWidth="1"/>
    <col min="10505" max="10506" width="8.28515625" customWidth="1"/>
    <col min="10507" max="10507" width="2.7109375" customWidth="1"/>
    <col min="10508" max="10509" width="8.28515625" customWidth="1"/>
    <col min="10510" max="10510" width="2.7109375" customWidth="1"/>
    <col min="10511" max="10512" width="8.28515625" customWidth="1"/>
    <col min="10513" max="10513" width="2.7109375" customWidth="1"/>
    <col min="10753" max="10753" width="35.7109375" customWidth="1"/>
    <col min="10754" max="10754" width="8.28515625" customWidth="1"/>
    <col min="10755" max="10755" width="2.5703125" customWidth="1"/>
    <col min="10756" max="10756" width="8.28515625" customWidth="1"/>
    <col min="10757" max="10757" width="2.7109375" customWidth="1"/>
    <col min="10758" max="10758" width="8.42578125" customWidth="1"/>
    <col min="10759" max="10759" width="8.28515625" customWidth="1"/>
    <col min="10760" max="10760" width="2.7109375" customWidth="1"/>
    <col min="10761" max="10762" width="8.28515625" customWidth="1"/>
    <col min="10763" max="10763" width="2.7109375" customWidth="1"/>
    <col min="10764" max="10765" width="8.28515625" customWidth="1"/>
    <col min="10766" max="10766" width="2.7109375" customWidth="1"/>
    <col min="10767" max="10768" width="8.28515625" customWidth="1"/>
    <col min="10769" max="10769" width="2.7109375" customWidth="1"/>
    <col min="11009" max="11009" width="35.7109375" customWidth="1"/>
    <col min="11010" max="11010" width="8.28515625" customWidth="1"/>
    <col min="11011" max="11011" width="2.5703125" customWidth="1"/>
    <col min="11012" max="11012" width="8.28515625" customWidth="1"/>
    <col min="11013" max="11013" width="2.7109375" customWidth="1"/>
    <col min="11014" max="11014" width="8.42578125" customWidth="1"/>
    <col min="11015" max="11015" width="8.28515625" customWidth="1"/>
    <col min="11016" max="11016" width="2.7109375" customWidth="1"/>
    <col min="11017" max="11018" width="8.28515625" customWidth="1"/>
    <col min="11019" max="11019" width="2.7109375" customWidth="1"/>
    <col min="11020" max="11021" width="8.28515625" customWidth="1"/>
    <col min="11022" max="11022" width="2.7109375" customWidth="1"/>
    <col min="11023" max="11024" width="8.28515625" customWidth="1"/>
    <col min="11025" max="11025" width="2.7109375" customWidth="1"/>
    <col min="11265" max="11265" width="35.7109375" customWidth="1"/>
    <col min="11266" max="11266" width="8.28515625" customWidth="1"/>
    <col min="11267" max="11267" width="2.5703125" customWidth="1"/>
    <col min="11268" max="11268" width="8.28515625" customWidth="1"/>
    <col min="11269" max="11269" width="2.7109375" customWidth="1"/>
    <col min="11270" max="11270" width="8.42578125" customWidth="1"/>
    <col min="11271" max="11271" width="8.28515625" customWidth="1"/>
    <col min="11272" max="11272" width="2.7109375" customWidth="1"/>
    <col min="11273" max="11274" width="8.28515625" customWidth="1"/>
    <col min="11275" max="11275" width="2.7109375" customWidth="1"/>
    <col min="11276" max="11277" width="8.28515625" customWidth="1"/>
    <col min="11278" max="11278" width="2.7109375" customWidth="1"/>
    <col min="11279" max="11280" width="8.28515625" customWidth="1"/>
    <col min="11281" max="11281" width="2.7109375" customWidth="1"/>
    <col min="11521" max="11521" width="35.7109375" customWidth="1"/>
    <col min="11522" max="11522" width="8.28515625" customWidth="1"/>
    <col min="11523" max="11523" width="2.5703125" customWidth="1"/>
    <col min="11524" max="11524" width="8.28515625" customWidth="1"/>
    <col min="11525" max="11525" width="2.7109375" customWidth="1"/>
    <col min="11526" max="11526" width="8.42578125" customWidth="1"/>
    <col min="11527" max="11527" width="8.28515625" customWidth="1"/>
    <col min="11528" max="11528" width="2.7109375" customWidth="1"/>
    <col min="11529" max="11530" width="8.28515625" customWidth="1"/>
    <col min="11531" max="11531" width="2.7109375" customWidth="1"/>
    <col min="11532" max="11533" width="8.28515625" customWidth="1"/>
    <col min="11534" max="11534" width="2.7109375" customWidth="1"/>
    <col min="11535" max="11536" width="8.28515625" customWidth="1"/>
    <col min="11537" max="11537" width="2.7109375" customWidth="1"/>
    <col min="11777" max="11777" width="35.7109375" customWidth="1"/>
    <col min="11778" max="11778" width="8.28515625" customWidth="1"/>
    <col min="11779" max="11779" width="2.5703125" customWidth="1"/>
    <col min="11780" max="11780" width="8.28515625" customWidth="1"/>
    <col min="11781" max="11781" width="2.7109375" customWidth="1"/>
    <col min="11782" max="11782" width="8.42578125" customWidth="1"/>
    <col min="11783" max="11783" width="8.28515625" customWidth="1"/>
    <col min="11784" max="11784" width="2.7109375" customWidth="1"/>
    <col min="11785" max="11786" width="8.28515625" customWidth="1"/>
    <col min="11787" max="11787" width="2.7109375" customWidth="1"/>
    <col min="11788" max="11789" width="8.28515625" customWidth="1"/>
    <col min="11790" max="11790" width="2.7109375" customWidth="1"/>
    <col min="11791" max="11792" width="8.28515625" customWidth="1"/>
    <col min="11793" max="11793" width="2.7109375" customWidth="1"/>
    <col min="12033" max="12033" width="35.7109375" customWidth="1"/>
    <col min="12034" max="12034" width="8.28515625" customWidth="1"/>
    <col min="12035" max="12035" width="2.5703125" customWidth="1"/>
    <col min="12036" max="12036" width="8.28515625" customWidth="1"/>
    <col min="12037" max="12037" width="2.7109375" customWidth="1"/>
    <col min="12038" max="12038" width="8.42578125" customWidth="1"/>
    <col min="12039" max="12039" width="8.28515625" customWidth="1"/>
    <col min="12040" max="12040" width="2.7109375" customWidth="1"/>
    <col min="12041" max="12042" width="8.28515625" customWidth="1"/>
    <col min="12043" max="12043" width="2.7109375" customWidth="1"/>
    <col min="12044" max="12045" width="8.28515625" customWidth="1"/>
    <col min="12046" max="12046" width="2.7109375" customWidth="1"/>
    <col min="12047" max="12048" width="8.28515625" customWidth="1"/>
    <col min="12049" max="12049" width="2.7109375" customWidth="1"/>
    <col min="12289" max="12289" width="35.7109375" customWidth="1"/>
    <col min="12290" max="12290" width="8.28515625" customWidth="1"/>
    <col min="12291" max="12291" width="2.5703125" customWidth="1"/>
    <col min="12292" max="12292" width="8.28515625" customWidth="1"/>
    <col min="12293" max="12293" width="2.7109375" customWidth="1"/>
    <col min="12294" max="12294" width="8.42578125" customWidth="1"/>
    <col min="12295" max="12295" width="8.28515625" customWidth="1"/>
    <col min="12296" max="12296" width="2.7109375" customWidth="1"/>
    <col min="12297" max="12298" width="8.28515625" customWidth="1"/>
    <col min="12299" max="12299" width="2.7109375" customWidth="1"/>
    <col min="12300" max="12301" width="8.28515625" customWidth="1"/>
    <col min="12302" max="12302" width="2.7109375" customWidth="1"/>
    <col min="12303" max="12304" width="8.28515625" customWidth="1"/>
    <col min="12305" max="12305" width="2.7109375" customWidth="1"/>
    <col min="12545" max="12545" width="35.7109375" customWidth="1"/>
    <col min="12546" max="12546" width="8.28515625" customWidth="1"/>
    <col min="12547" max="12547" width="2.5703125" customWidth="1"/>
    <col min="12548" max="12548" width="8.28515625" customWidth="1"/>
    <col min="12549" max="12549" width="2.7109375" customWidth="1"/>
    <col min="12550" max="12550" width="8.42578125" customWidth="1"/>
    <col min="12551" max="12551" width="8.28515625" customWidth="1"/>
    <col min="12552" max="12552" width="2.7109375" customWidth="1"/>
    <col min="12553" max="12554" width="8.28515625" customWidth="1"/>
    <col min="12555" max="12555" width="2.7109375" customWidth="1"/>
    <col min="12556" max="12557" width="8.28515625" customWidth="1"/>
    <col min="12558" max="12558" width="2.7109375" customWidth="1"/>
    <col min="12559" max="12560" width="8.28515625" customWidth="1"/>
    <col min="12561" max="12561" width="2.7109375" customWidth="1"/>
    <col min="12801" max="12801" width="35.7109375" customWidth="1"/>
    <col min="12802" max="12802" width="8.28515625" customWidth="1"/>
    <col min="12803" max="12803" width="2.5703125" customWidth="1"/>
    <col min="12804" max="12804" width="8.28515625" customWidth="1"/>
    <col min="12805" max="12805" width="2.7109375" customWidth="1"/>
    <col min="12806" max="12806" width="8.42578125" customWidth="1"/>
    <col min="12807" max="12807" width="8.28515625" customWidth="1"/>
    <col min="12808" max="12808" width="2.7109375" customWidth="1"/>
    <col min="12809" max="12810" width="8.28515625" customWidth="1"/>
    <col min="12811" max="12811" width="2.7109375" customWidth="1"/>
    <col min="12812" max="12813" width="8.28515625" customWidth="1"/>
    <col min="12814" max="12814" width="2.7109375" customWidth="1"/>
    <col min="12815" max="12816" width="8.28515625" customWidth="1"/>
    <col min="12817" max="12817" width="2.7109375" customWidth="1"/>
    <col min="13057" max="13057" width="35.7109375" customWidth="1"/>
    <col min="13058" max="13058" width="8.28515625" customWidth="1"/>
    <col min="13059" max="13059" width="2.5703125" customWidth="1"/>
    <col min="13060" max="13060" width="8.28515625" customWidth="1"/>
    <col min="13061" max="13061" width="2.7109375" customWidth="1"/>
    <col min="13062" max="13062" width="8.42578125" customWidth="1"/>
    <col min="13063" max="13063" width="8.28515625" customWidth="1"/>
    <col min="13064" max="13064" width="2.7109375" customWidth="1"/>
    <col min="13065" max="13066" width="8.28515625" customWidth="1"/>
    <col min="13067" max="13067" width="2.7109375" customWidth="1"/>
    <col min="13068" max="13069" width="8.28515625" customWidth="1"/>
    <col min="13070" max="13070" width="2.7109375" customWidth="1"/>
    <col min="13071" max="13072" width="8.28515625" customWidth="1"/>
    <col min="13073" max="13073" width="2.7109375" customWidth="1"/>
    <col min="13313" max="13313" width="35.7109375" customWidth="1"/>
    <col min="13314" max="13314" width="8.28515625" customWidth="1"/>
    <col min="13315" max="13315" width="2.5703125" customWidth="1"/>
    <col min="13316" max="13316" width="8.28515625" customWidth="1"/>
    <col min="13317" max="13317" width="2.7109375" customWidth="1"/>
    <col min="13318" max="13318" width="8.42578125" customWidth="1"/>
    <col min="13319" max="13319" width="8.28515625" customWidth="1"/>
    <col min="13320" max="13320" width="2.7109375" customWidth="1"/>
    <col min="13321" max="13322" width="8.28515625" customWidth="1"/>
    <col min="13323" max="13323" width="2.7109375" customWidth="1"/>
    <col min="13324" max="13325" width="8.28515625" customWidth="1"/>
    <col min="13326" max="13326" width="2.7109375" customWidth="1"/>
    <col min="13327" max="13328" width="8.28515625" customWidth="1"/>
    <col min="13329" max="13329" width="2.7109375" customWidth="1"/>
    <col min="13569" max="13569" width="35.7109375" customWidth="1"/>
    <col min="13570" max="13570" width="8.28515625" customWidth="1"/>
    <col min="13571" max="13571" width="2.5703125" customWidth="1"/>
    <col min="13572" max="13572" width="8.28515625" customWidth="1"/>
    <col min="13573" max="13573" width="2.7109375" customWidth="1"/>
    <col min="13574" max="13574" width="8.42578125" customWidth="1"/>
    <col min="13575" max="13575" width="8.28515625" customWidth="1"/>
    <col min="13576" max="13576" width="2.7109375" customWidth="1"/>
    <col min="13577" max="13578" width="8.28515625" customWidth="1"/>
    <col min="13579" max="13579" width="2.7109375" customWidth="1"/>
    <col min="13580" max="13581" width="8.28515625" customWidth="1"/>
    <col min="13582" max="13582" width="2.7109375" customWidth="1"/>
    <col min="13583" max="13584" width="8.28515625" customWidth="1"/>
    <col min="13585" max="13585" width="2.7109375" customWidth="1"/>
    <col min="13825" max="13825" width="35.7109375" customWidth="1"/>
    <col min="13826" max="13826" width="8.28515625" customWidth="1"/>
    <col min="13827" max="13827" width="2.5703125" customWidth="1"/>
    <col min="13828" max="13828" width="8.28515625" customWidth="1"/>
    <col min="13829" max="13829" width="2.7109375" customWidth="1"/>
    <col min="13830" max="13830" width="8.42578125" customWidth="1"/>
    <col min="13831" max="13831" width="8.28515625" customWidth="1"/>
    <col min="13832" max="13832" width="2.7109375" customWidth="1"/>
    <col min="13833" max="13834" width="8.28515625" customWidth="1"/>
    <col min="13835" max="13835" width="2.7109375" customWidth="1"/>
    <col min="13836" max="13837" width="8.28515625" customWidth="1"/>
    <col min="13838" max="13838" width="2.7109375" customWidth="1"/>
    <col min="13839" max="13840" width="8.28515625" customWidth="1"/>
    <col min="13841" max="13841" width="2.7109375" customWidth="1"/>
    <col min="14081" max="14081" width="35.7109375" customWidth="1"/>
    <col min="14082" max="14082" width="8.28515625" customWidth="1"/>
    <col min="14083" max="14083" width="2.5703125" customWidth="1"/>
    <col min="14084" max="14084" width="8.28515625" customWidth="1"/>
    <col min="14085" max="14085" width="2.7109375" customWidth="1"/>
    <col min="14086" max="14086" width="8.42578125" customWidth="1"/>
    <col min="14087" max="14087" width="8.28515625" customWidth="1"/>
    <col min="14088" max="14088" width="2.7109375" customWidth="1"/>
    <col min="14089" max="14090" width="8.28515625" customWidth="1"/>
    <col min="14091" max="14091" width="2.7109375" customWidth="1"/>
    <col min="14092" max="14093" width="8.28515625" customWidth="1"/>
    <col min="14094" max="14094" width="2.7109375" customWidth="1"/>
    <col min="14095" max="14096" width="8.28515625" customWidth="1"/>
    <col min="14097" max="14097" width="2.7109375" customWidth="1"/>
    <col min="14337" max="14337" width="35.7109375" customWidth="1"/>
    <col min="14338" max="14338" width="8.28515625" customWidth="1"/>
    <col min="14339" max="14339" width="2.5703125" customWidth="1"/>
    <col min="14340" max="14340" width="8.28515625" customWidth="1"/>
    <col min="14341" max="14341" width="2.7109375" customWidth="1"/>
    <col min="14342" max="14342" width="8.42578125" customWidth="1"/>
    <col min="14343" max="14343" width="8.28515625" customWidth="1"/>
    <col min="14344" max="14344" width="2.7109375" customWidth="1"/>
    <col min="14345" max="14346" width="8.28515625" customWidth="1"/>
    <col min="14347" max="14347" width="2.7109375" customWidth="1"/>
    <col min="14348" max="14349" width="8.28515625" customWidth="1"/>
    <col min="14350" max="14350" width="2.7109375" customWidth="1"/>
    <col min="14351" max="14352" width="8.28515625" customWidth="1"/>
    <col min="14353" max="14353" width="2.7109375" customWidth="1"/>
    <col min="14593" max="14593" width="35.7109375" customWidth="1"/>
    <col min="14594" max="14594" width="8.28515625" customWidth="1"/>
    <col min="14595" max="14595" width="2.5703125" customWidth="1"/>
    <col min="14596" max="14596" width="8.28515625" customWidth="1"/>
    <col min="14597" max="14597" width="2.7109375" customWidth="1"/>
    <col min="14598" max="14598" width="8.42578125" customWidth="1"/>
    <col min="14599" max="14599" width="8.28515625" customWidth="1"/>
    <col min="14600" max="14600" width="2.7109375" customWidth="1"/>
    <col min="14601" max="14602" width="8.28515625" customWidth="1"/>
    <col min="14603" max="14603" width="2.7109375" customWidth="1"/>
    <col min="14604" max="14605" width="8.28515625" customWidth="1"/>
    <col min="14606" max="14606" width="2.7109375" customWidth="1"/>
    <col min="14607" max="14608" width="8.28515625" customWidth="1"/>
    <col min="14609" max="14609" width="2.7109375" customWidth="1"/>
    <col min="14849" max="14849" width="35.7109375" customWidth="1"/>
    <col min="14850" max="14850" width="8.28515625" customWidth="1"/>
    <col min="14851" max="14851" width="2.5703125" customWidth="1"/>
    <col min="14852" max="14852" width="8.28515625" customWidth="1"/>
    <col min="14853" max="14853" width="2.7109375" customWidth="1"/>
    <col min="14854" max="14854" width="8.42578125" customWidth="1"/>
    <col min="14855" max="14855" width="8.28515625" customWidth="1"/>
    <col min="14856" max="14856" width="2.7109375" customWidth="1"/>
    <col min="14857" max="14858" width="8.28515625" customWidth="1"/>
    <col min="14859" max="14859" width="2.7109375" customWidth="1"/>
    <col min="14860" max="14861" width="8.28515625" customWidth="1"/>
    <col min="14862" max="14862" width="2.7109375" customWidth="1"/>
    <col min="14863" max="14864" width="8.28515625" customWidth="1"/>
    <col min="14865" max="14865" width="2.7109375" customWidth="1"/>
    <col min="15105" max="15105" width="35.7109375" customWidth="1"/>
    <col min="15106" max="15106" width="8.28515625" customWidth="1"/>
    <col min="15107" max="15107" width="2.5703125" customWidth="1"/>
    <col min="15108" max="15108" width="8.28515625" customWidth="1"/>
    <col min="15109" max="15109" width="2.7109375" customWidth="1"/>
    <col min="15110" max="15110" width="8.42578125" customWidth="1"/>
    <col min="15111" max="15111" width="8.28515625" customWidth="1"/>
    <col min="15112" max="15112" width="2.7109375" customWidth="1"/>
    <col min="15113" max="15114" width="8.28515625" customWidth="1"/>
    <col min="15115" max="15115" width="2.7109375" customWidth="1"/>
    <col min="15116" max="15117" width="8.28515625" customWidth="1"/>
    <col min="15118" max="15118" width="2.7109375" customWidth="1"/>
    <col min="15119" max="15120" width="8.28515625" customWidth="1"/>
    <col min="15121" max="15121" width="2.7109375" customWidth="1"/>
    <col min="15361" max="15361" width="35.7109375" customWidth="1"/>
    <col min="15362" max="15362" width="8.28515625" customWidth="1"/>
    <col min="15363" max="15363" width="2.5703125" customWidth="1"/>
    <col min="15364" max="15364" width="8.28515625" customWidth="1"/>
    <col min="15365" max="15365" width="2.7109375" customWidth="1"/>
    <col min="15366" max="15366" width="8.42578125" customWidth="1"/>
    <col min="15367" max="15367" width="8.28515625" customWidth="1"/>
    <col min="15368" max="15368" width="2.7109375" customWidth="1"/>
    <col min="15369" max="15370" width="8.28515625" customWidth="1"/>
    <col min="15371" max="15371" width="2.7109375" customWidth="1"/>
    <col min="15372" max="15373" width="8.28515625" customWidth="1"/>
    <col min="15374" max="15374" width="2.7109375" customWidth="1"/>
    <col min="15375" max="15376" width="8.28515625" customWidth="1"/>
    <col min="15377" max="15377" width="2.7109375" customWidth="1"/>
    <col min="15617" max="15617" width="35.7109375" customWidth="1"/>
    <col min="15618" max="15618" width="8.28515625" customWidth="1"/>
    <col min="15619" max="15619" width="2.5703125" customWidth="1"/>
    <col min="15620" max="15620" width="8.28515625" customWidth="1"/>
    <col min="15621" max="15621" width="2.7109375" customWidth="1"/>
    <col min="15622" max="15622" width="8.42578125" customWidth="1"/>
    <col min="15623" max="15623" width="8.28515625" customWidth="1"/>
    <col min="15624" max="15624" width="2.7109375" customWidth="1"/>
    <col min="15625" max="15626" width="8.28515625" customWidth="1"/>
    <col min="15627" max="15627" width="2.7109375" customWidth="1"/>
    <col min="15628" max="15629" width="8.28515625" customWidth="1"/>
    <col min="15630" max="15630" width="2.7109375" customWidth="1"/>
    <col min="15631" max="15632" width="8.28515625" customWidth="1"/>
    <col min="15633" max="15633" width="2.7109375" customWidth="1"/>
    <col min="15873" max="15873" width="35.7109375" customWidth="1"/>
    <col min="15874" max="15874" width="8.28515625" customWidth="1"/>
    <col min="15875" max="15875" width="2.5703125" customWidth="1"/>
    <col min="15876" max="15876" width="8.28515625" customWidth="1"/>
    <col min="15877" max="15877" width="2.7109375" customWidth="1"/>
    <col min="15878" max="15878" width="8.42578125" customWidth="1"/>
    <col min="15879" max="15879" width="8.28515625" customWidth="1"/>
    <col min="15880" max="15880" width="2.7109375" customWidth="1"/>
    <col min="15881" max="15882" width="8.28515625" customWidth="1"/>
    <col min="15883" max="15883" width="2.7109375" customWidth="1"/>
    <col min="15884" max="15885" width="8.28515625" customWidth="1"/>
    <col min="15886" max="15886" width="2.7109375" customWidth="1"/>
    <col min="15887" max="15888" width="8.28515625" customWidth="1"/>
    <col min="15889" max="15889" width="2.7109375" customWidth="1"/>
    <col min="16129" max="16129" width="35.7109375" customWidth="1"/>
    <col min="16130" max="16130" width="8.28515625" customWidth="1"/>
    <col min="16131" max="16131" width="2.5703125" customWidth="1"/>
    <col min="16132" max="16132" width="8.28515625" customWidth="1"/>
    <col min="16133" max="16133" width="2.7109375" customWidth="1"/>
    <col min="16134" max="16134" width="8.42578125" customWidth="1"/>
    <col min="16135" max="16135" width="8.28515625" customWidth="1"/>
    <col min="16136" max="16136" width="2.7109375" customWidth="1"/>
    <col min="16137" max="16138" width="8.28515625" customWidth="1"/>
    <col min="16139" max="16139" width="2.7109375" customWidth="1"/>
    <col min="16140" max="16141" width="8.28515625" customWidth="1"/>
    <col min="16142" max="16142" width="2.7109375" customWidth="1"/>
    <col min="16143" max="16144" width="8.28515625" customWidth="1"/>
    <col min="16145" max="16145" width="2.7109375" customWidth="1"/>
  </cols>
  <sheetData>
    <row r="1" spans="1:17">
      <c r="A1" t="s">
        <v>311</v>
      </c>
      <c r="G1" s="42"/>
      <c r="I1" s="42"/>
    </row>
    <row r="2" spans="1:17">
      <c r="A2" t="s">
        <v>312</v>
      </c>
    </row>
    <row r="3" spans="1:17" ht="6" customHeight="1"/>
    <row r="4" spans="1:17">
      <c r="A4" s="854" t="s">
        <v>900</v>
      </c>
    </row>
    <row r="5" spans="1:17" ht="9.75" customHeight="1" thickBot="1"/>
    <row r="6" spans="1:17" ht="8.25" customHeight="1">
      <c r="A6" s="6"/>
      <c r="B6" s="235"/>
      <c r="C6" s="238"/>
      <c r="D6" s="236"/>
      <c r="E6" s="237"/>
      <c r="F6" s="238"/>
      <c r="G6" s="236"/>
      <c r="H6" s="237"/>
      <c r="I6" s="238"/>
      <c r="J6" s="236"/>
      <c r="K6" s="237"/>
      <c r="L6" s="238"/>
      <c r="M6" s="236"/>
      <c r="N6" s="237"/>
      <c r="O6" s="238"/>
      <c r="P6" s="38"/>
      <c r="Q6" s="6"/>
    </row>
    <row r="7" spans="1:17">
      <c r="A7" s="36" t="s">
        <v>901</v>
      </c>
      <c r="B7" s="1268" t="s">
        <v>413</v>
      </c>
      <c r="C7" s="1268"/>
      <c r="D7" s="1268"/>
      <c r="E7" s="95"/>
      <c r="F7" s="1268" t="s">
        <v>962</v>
      </c>
      <c r="G7" s="1268"/>
      <c r="H7" s="95"/>
      <c r="I7" s="1268" t="s">
        <v>802</v>
      </c>
      <c r="J7" s="1268"/>
      <c r="K7" s="95"/>
      <c r="L7" s="1268" t="s">
        <v>803</v>
      </c>
      <c r="M7" s="1268"/>
      <c r="N7" s="95"/>
      <c r="O7" s="1268" t="s">
        <v>1086</v>
      </c>
      <c r="P7" s="1268"/>
      <c r="Q7" s="36"/>
    </row>
    <row r="8" spans="1:17">
      <c r="A8" s="36" t="s">
        <v>903</v>
      </c>
      <c r="B8" s="243" t="s">
        <v>323</v>
      </c>
      <c r="C8" s="246"/>
      <c r="D8" s="244" t="s">
        <v>324</v>
      </c>
      <c r="E8" s="95"/>
      <c r="F8" s="246" t="s">
        <v>323</v>
      </c>
      <c r="G8" s="244" t="s">
        <v>324</v>
      </c>
      <c r="H8" s="95"/>
      <c r="I8" s="246" t="s">
        <v>323</v>
      </c>
      <c r="J8" s="244" t="s">
        <v>324</v>
      </c>
      <c r="K8" s="95"/>
      <c r="L8" s="246" t="s">
        <v>323</v>
      </c>
      <c r="M8" s="244" t="s">
        <v>324</v>
      </c>
      <c r="N8" s="95"/>
      <c r="O8" s="246" t="s">
        <v>323</v>
      </c>
      <c r="P8" s="56" t="s">
        <v>324</v>
      </c>
      <c r="Q8" s="36"/>
    </row>
    <row r="9" spans="1:17" ht="9.75" customHeight="1" thickBot="1">
      <c r="A9" s="15"/>
      <c r="B9" s="247"/>
      <c r="C9" s="250"/>
      <c r="D9" s="248"/>
      <c r="E9" s="249"/>
      <c r="F9" s="250"/>
      <c r="G9" s="248"/>
      <c r="H9" s="249"/>
      <c r="I9" s="250"/>
      <c r="J9" s="248"/>
      <c r="K9" s="249"/>
      <c r="L9" s="250"/>
      <c r="M9" s="248"/>
      <c r="N9" s="249"/>
      <c r="O9" s="250"/>
      <c r="P9" s="60"/>
      <c r="Q9" s="15"/>
    </row>
    <row r="10" spans="1:17" ht="9.9499999999999993" customHeight="1">
      <c r="A10" s="36"/>
      <c r="B10" s="284"/>
      <c r="C10" s="251"/>
      <c r="D10" s="240"/>
      <c r="E10" s="95"/>
      <c r="F10" s="251"/>
      <c r="G10" s="240"/>
      <c r="H10" s="95"/>
      <c r="I10" s="251"/>
      <c r="J10" s="240"/>
      <c r="K10" s="95"/>
      <c r="L10" s="251"/>
      <c r="M10" s="240"/>
      <c r="N10" s="95"/>
      <c r="O10" s="251"/>
      <c r="P10" s="53"/>
      <c r="Q10" s="36"/>
    </row>
    <row r="11" spans="1:17" ht="13.15" customHeight="1">
      <c r="A11" s="63" t="s">
        <v>149</v>
      </c>
      <c r="B11" s="65">
        <f>IF($A11&lt;&gt;0,F11+I11+L11+O11,"")</f>
        <v>2654</v>
      </c>
      <c r="D11" s="182">
        <f>IF($A11&lt;&gt;0,D13+D85,"")</f>
        <v>100</v>
      </c>
      <c r="E11" s="42" t="s">
        <v>253</v>
      </c>
      <c r="F11" s="93">
        <f>IF($A11&lt;&gt;0,F13+F85,"")</f>
        <v>1867</v>
      </c>
      <c r="G11" s="94">
        <f t="shared" ref="G11:G74" si="0">IF($A11&lt;&gt;0,F11/$B11*100,"")</f>
        <v>70.34664657121327</v>
      </c>
      <c r="I11" s="93">
        <f>IF($A11&lt;&gt;0,I13+I85,"")</f>
        <v>682</v>
      </c>
      <c r="J11" s="94">
        <f t="shared" ref="J11:J74" si="1">IF($A11&lt;&gt;0,I11/$B11*100,"")</f>
        <v>25.697061039939712</v>
      </c>
      <c r="L11" s="93">
        <f>IF($A11&lt;&gt;0,L13+L85,"")</f>
        <v>100</v>
      </c>
      <c r="M11" s="94">
        <f t="shared" ref="M11:M74" si="2">IF($A11&lt;&gt;0,L11/$B11*100,"")</f>
        <v>3.7678975131876418</v>
      </c>
      <c r="O11" s="93">
        <f>IF($A11&lt;&gt;0,O13+O85,"")</f>
        <v>5</v>
      </c>
      <c r="P11" s="43">
        <f>IF($A11&lt;&gt;0,O11/$B11*100,"")</f>
        <v>0.18839487565938207</v>
      </c>
    </row>
    <row r="12" spans="1:17" ht="9.9499999999999993" customHeight="1">
      <c r="A12" s="63"/>
      <c r="B12" s="65" t="str">
        <f t="shared" ref="B12:B75" si="3">IF($A12&lt;&gt;0,F12+I12+L12+O12,"")</f>
        <v/>
      </c>
      <c r="G12" s="94" t="str">
        <f t="shared" si="0"/>
        <v/>
      </c>
      <c r="J12" s="94" t="str">
        <f t="shared" si="1"/>
        <v/>
      </c>
      <c r="M12" s="94" t="str">
        <f t="shared" si="2"/>
        <v/>
      </c>
      <c r="P12" s="43" t="str">
        <f t="shared" ref="P12:P75" si="4">IF($A12&lt;&gt;0,O12/$B12*100,"")</f>
        <v/>
      </c>
    </row>
    <row r="13" spans="1:17" ht="13.15" customHeight="1">
      <c r="A13" s="63" t="s">
        <v>326</v>
      </c>
      <c r="B13" s="65">
        <f t="shared" si="3"/>
        <v>2489</v>
      </c>
      <c r="D13" s="94">
        <f t="shared" ref="D13:D19" si="5">IF(A13&lt;&gt;0,B13/$B$11*100,"")</f>
        <v>93.78296910324039</v>
      </c>
      <c r="F13" s="93">
        <f>F15+F21+F80</f>
        <v>1860</v>
      </c>
      <c r="G13" s="94">
        <f t="shared" si="0"/>
        <v>74.728806749698677</v>
      </c>
      <c r="I13" s="93">
        <f>I15+I21+I80</f>
        <v>578</v>
      </c>
      <c r="J13" s="94">
        <f t="shared" si="1"/>
        <v>23.222177581357975</v>
      </c>
      <c r="L13" s="93">
        <f>L15+L21+L80</f>
        <v>46</v>
      </c>
      <c r="M13" s="94">
        <f t="shared" si="2"/>
        <v>1.8481317798312575</v>
      </c>
      <c r="O13" s="93">
        <f>O15+O21+O80</f>
        <v>5</v>
      </c>
      <c r="P13" s="43">
        <f t="shared" si="4"/>
        <v>0.20088388911209321</v>
      </c>
    </row>
    <row r="14" spans="1:17" ht="6" customHeight="1">
      <c r="B14" s="65" t="str">
        <f t="shared" si="3"/>
        <v/>
      </c>
      <c r="D14" s="94" t="str">
        <f t="shared" si="5"/>
        <v/>
      </c>
      <c r="G14" s="94" t="str">
        <f t="shared" si="0"/>
        <v/>
      </c>
      <c r="J14" s="94" t="str">
        <f t="shared" si="1"/>
        <v/>
      </c>
      <c r="M14" s="94" t="str">
        <f t="shared" si="2"/>
        <v/>
      </c>
      <c r="P14" s="43" t="str">
        <f t="shared" si="4"/>
        <v/>
      </c>
    </row>
    <row r="15" spans="1:17" ht="13.15" customHeight="1">
      <c r="A15" s="63" t="s">
        <v>819</v>
      </c>
      <c r="B15" s="65">
        <f t="shared" si="3"/>
        <v>76</v>
      </c>
      <c r="D15" s="94">
        <f t="shared" si="5"/>
        <v>2.8636021100226077</v>
      </c>
      <c r="F15" s="93">
        <f>SUM(F16:F19)</f>
        <v>68</v>
      </c>
      <c r="G15" s="94">
        <f t="shared" si="0"/>
        <v>89.473684210526315</v>
      </c>
      <c r="I15" s="93">
        <f>SUM(I16:I19)</f>
        <v>8</v>
      </c>
      <c r="J15" s="94">
        <f t="shared" si="1"/>
        <v>10.526315789473683</v>
      </c>
      <c r="L15" s="93">
        <f>SUM(L16:L19)</f>
        <v>0</v>
      </c>
      <c r="M15" s="94">
        <f t="shared" si="2"/>
        <v>0</v>
      </c>
      <c r="O15" s="93">
        <f>SUM(O16:O19)</f>
        <v>0</v>
      </c>
      <c r="P15" s="43">
        <f t="shared" si="4"/>
        <v>0</v>
      </c>
    </row>
    <row r="16" spans="1:17" ht="13.15" customHeight="1">
      <c r="A16" t="s">
        <v>820</v>
      </c>
      <c r="B16" s="65">
        <f t="shared" si="3"/>
        <v>20</v>
      </c>
      <c r="D16" s="94">
        <f t="shared" si="5"/>
        <v>0.75357950263752826</v>
      </c>
      <c r="F16" s="285">
        <v>20</v>
      </c>
      <c r="G16" s="94">
        <f t="shared" si="0"/>
        <v>100</v>
      </c>
      <c r="H16" s="285"/>
      <c r="I16" s="285">
        <v>0</v>
      </c>
      <c r="J16" s="94">
        <f t="shared" si="1"/>
        <v>0</v>
      </c>
      <c r="K16" s="285"/>
      <c r="L16" s="285">
        <v>0</v>
      </c>
      <c r="M16" s="94">
        <f t="shared" si="2"/>
        <v>0</v>
      </c>
      <c r="N16" s="285"/>
      <c r="O16" s="285">
        <v>0</v>
      </c>
      <c r="P16" s="43">
        <f t="shared" si="4"/>
        <v>0</v>
      </c>
      <c r="Q16" s="277"/>
    </row>
    <row r="17" spans="1:17" ht="13.15" customHeight="1">
      <c r="A17" t="s">
        <v>821</v>
      </c>
      <c r="B17" s="65">
        <f t="shared" si="3"/>
        <v>11</v>
      </c>
      <c r="D17" s="94">
        <f t="shared" si="5"/>
        <v>0.41446872645064059</v>
      </c>
      <c r="F17" s="285">
        <v>4</v>
      </c>
      <c r="G17" s="94">
        <f t="shared" si="0"/>
        <v>36.363636363636367</v>
      </c>
      <c r="H17" s="285"/>
      <c r="I17" s="285">
        <v>7</v>
      </c>
      <c r="J17" s="94">
        <f t="shared" si="1"/>
        <v>63.636363636363633</v>
      </c>
      <c r="K17" s="285"/>
      <c r="L17" s="285">
        <v>0</v>
      </c>
      <c r="M17" s="94">
        <f t="shared" si="2"/>
        <v>0</v>
      </c>
      <c r="N17" s="285"/>
      <c r="O17" s="285">
        <v>0</v>
      </c>
      <c r="P17" s="43">
        <f t="shared" si="4"/>
        <v>0</v>
      </c>
      <c r="Q17" s="277"/>
    </row>
    <row r="18" spans="1:17" ht="12.75" customHeight="1">
      <c r="A18" t="s">
        <v>822</v>
      </c>
      <c r="B18" s="65">
        <f t="shared" si="3"/>
        <v>38</v>
      </c>
      <c r="D18" s="94">
        <f t="shared" si="5"/>
        <v>1.4318010550113038</v>
      </c>
      <c r="F18" s="285">
        <v>37</v>
      </c>
      <c r="G18" s="94">
        <f t="shared" si="0"/>
        <v>97.368421052631575</v>
      </c>
      <c r="H18" s="285"/>
      <c r="I18" s="285">
        <v>1</v>
      </c>
      <c r="J18" s="94">
        <f t="shared" si="1"/>
        <v>2.6315789473684208</v>
      </c>
      <c r="K18" s="285"/>
      <c r="L18" s="285">
        <v>0</v>
      </c>
      <c r="M18" s="94">
        <f t="shared" si="2"/>
        <v>0</v>
      </c>
      <c r="N18" s="285"/>
      <c r="O18" s="285">
        <v>0</v>
      </c>
      <c r="P18" s="43">
        <f t="shared" si="4"/>
        <v>0</v>
      </c>
      <c r="Q18" s="277"/>
    </row>
    <row r="19" spans="1:17" ht="12.75" customHeight="1">
      <c r="A19" t="s">
        <v>823</v>
      </c>
      <c r="B19" s="65">
        <f t="shared" si="3"/>
        <v>7</v>
      </c>
      <c r="D19" s="94">
        <f t="shared" si="5"/>
        <v>0.26375282592313487</v>
      </c>
      <c r="F19" s="285">
        <v>7</v>
      </c>
      <c r="G19" s="94">
        <f t="shared" si="0"/>
        <v>100</v>
      </c>
      <c r="H19" s="285"/>
      <c r="I19" s="285">
        <v>0</v>
      </c>
      <c r="J19" s="94">
        <f t="shared" si="1"/>
        <v>0</v>
      </c>
      <c r="K19" s="285"/>
      <c r="L19" s="285">
        <v>0</v>
      </c>
      <c r="M19" s="94">
        <f t="shared" si="2"/>
        <v>0</v>
      </c>
      <c r="N19" s="285"/>
      <c r="O19" s="285">
        <v>0</v>
      </c>
      <c r="Q19" s="277"/>
    </row>
    <row r="20" spans="1:17" ht="7.5" customHeight="1">
      <c r="B20" s="65" t="str">
        <f t="shared" si="3"/>
        <v/>
      </c>
      <c r="G20" s="94" t="str">
        <f t="shared" si="0"/>
        <v/>
      </c>
      <c r="J20" s="94" t="str">
        <f t="shared" si="1"/>
        <v/>
      </c>
      <c r="M20" s="94" t="str">
        <f t="shared" si="2"/>
        <v/>
      </c>
      <c r="P20" s="43" t="str">
        <f t="shared" si="4"/>
        <v/>
      </c>
    </row>
    <row r="21" spans="1:17" ht="12.75" customHeight="1">
      <c r="A21" s="63" t="s">
        <v>824</v>
      </c>
      <c r="B21" s="65">
        <f t="shared" si="3"/>
        <v>2059</v>
      </c>
      <c r="D21" s="94">
        <f t="shared" ref="D21:D84" si="6">IF(A21&lt;&gt;0,B21/$B$11*100,"")</f>
        <v>77.581009796533522</v>
      </c>
      <c r="F21" s="251">
        <f>SUM(F22:F78)</f>
        <v>1507</v>
      </c>
      <c r="G21" s="94">
        <f t="shared" si="0"/>
        <v>73.190869354055366</v>
      </c>
      <c r="H21" s="95"/>
      <c r="I21" s="251">
        <f>SUM(I22:I78)</f>
        <v>509</v>
      </c>
      <c r="J21" s="94">
        <f t="shared" si="1"/>
        <v>24.720738222438076</v>
      </c>
      <c r="K21" s="251"/>
      <c r="L21" s="251">
        <f>SUM(L22:L78)</f>
        <v>39</v>
      </c>
      <c r="M21" s="94">
        <f t="shared" si="2"/>
        <v>1.8941233608547838</v>
      </c>
      <c r="N21" s="251"/>
      <c r="O21" s="251">
        <f>SUM(O22:O78)</f>
        <v>4</v>
      </c>
      <c r="P21" s="43">
        <f t="shared" si="4"/>
        <v>0.19426906265177268</v>
      </c>
      <c r="Q21" s="36"/>
    </row>
    <row r="22" spans="1:17" ht="13.15" customHeight="1">
      <c r="A22" t="s">
        <v>825</v>
      </c>
      <c r="B22" s="65">
        <f t="shared" si="3"/>
        <v>83</v>
      </c>
      <c r="D22" s="94">
        <f t="shared" si="6"/>
        <v>3.1273549359457418</v>
      </c>
      <c r="F22" s="285">
        <v>59</v>
      </c>
      <c r="G22" s="94">
        <f t="shared" si="0"/>
        <v>71.084337349397586</v>
      </c>
      <c r="H22" s="285"/>
      <c r="I22" s="285">
        <v>24</v>
      </c>
      <c r="J22" s="94">
        <f t="shared" si="1"/>
        <v>28.915662650602407</v>
      </c>
      <c r="K22" s="285"/>
      <c r="L22" s="285">
        <v>0</v>
      </c>
      <c r="M22" s="94">
        <f t="shared" si="2"/>
        <v>0</v>
      </c>
      <c r="N22" s="285"/>
      <c r="O22" s="285">
        <v>0</v>
      </c>
      <c r="P22" s="43">
        <f t="shared" si="4"/>
        <v>0</v>
      </c>
      <c r="Q22" s="277"/>
    </row>
    <row r="23" spans="1:17" ht="13.15" customHeight="1">
      <c r="A23" t="s">
        <v>826</v>
      </c>
      <c r="B23" s="65">
        <f t="shared" si="3"/>
        <v>10</v>
      </c>
      <c r="D23" s="94">
        <f t="shared" si="6"/>
        <v>0.37678975131876413</v>
      </c>
      <c r="F23" s="285">
        <v>10</v>
      </c>
      <c r="G23" s="94">
        <f t="shared" si="0"/>
        <v>100</v>
      </c>
      <c r="H23" s="285"/>
      <c r="I23" s="285">
        <v>0</v>
      </c>
      <c r="J23" s="94">
        <f t="shared" si="1"/>
        <v>0</v>
      </c>
      <c r="K23" s="285"/>
      <c r="L23" s="285">
        <v>0</v>
      </c>
      <c r="M23" s="94">
        <f t="shared" si="2"/>
        <v>0</v>
      </c>
      <c r="N23" s="285"/>
      <c r="O23" s="285">
        <v>0</v>
      </c>
      <c r="P23" s="43">
        <f t="shared" si="4"/>
        <v>0</v>
      </c>
      <c r="Q23" s="277"/>
    </row>
    <row r="24" spans="1:17" ht="13.15" customHeight="1">
      <c r="A24" t="s">
        <v>827</v>
      </c>
      <c r="B24" s="65">
        <f t="shared" si="3"/>
        <v>132</v>
      </c>
      <c r="D24" s="94">
        <f t="shared" si="6"/>
        <v>4.9736247174076871</v>
      </c>
      <c r="F24" s="285">
        <v>131</v>
      </c>
      <c r="G24" s="94">
        <f t="shared" si="0"/>
        <v>99.242424242424249</v>
      </c>
      <c r="H24" s="285"/>
      <c r="I24" s="285">
        <v>1</v>
      </c>
      <c r="J24" s="94">
        <f t="shared" si="1"/>
        <v>0.75757575757575757</v>
      </c>
      <c r="K24" s="285"/>
      <c r="L24" s="285">
        <v>0</v>
      </c>
      <c r="M24" s="94">
        <f t="shared" si="2"/>
        <v>0</v>
      </c>
      <c r="N24" s="285"/>
      <c r="O24" s="285">
        <v>0</v>
      </c>
      <c r="P24" s="43">
        <f t="shared" si="4"/>
        <v>0</v>
      </c>
      <c r="Q24" s="277"/>
    </row>
    <row r="25" spans="1:17" ht="13.15" customHeight="1">
      <c r="A25" t="s">
        <v>828</v>
      </c>
      <c r="B25" s="65">
        <f t="shared" si="3"/>
        <v>18</v>
      </c>
      <c r="D25" s="94">
        <f t="shared" si="6"/>
        <v>0.67822155237377535</v>
      </c>
      <c r="F25" s="285">
        <v>13</v>
      </c>
      <c r="G25" s="94">
        <f t="shared" si="0"/>
        <v>72.222222222222214</v>
      </c>
      <c r="H25" s="285"/>
      <c r="I25" s="285">
        <v>5</v>
      </c>
      <c r="J25" s="94">
        <f t="shared" si="1"/>
        <v>27.777777777777779</v>
      </c>
      <c r="K25" s="285"/>
      <c r="L25" s="285">
        <v>0</v>
      </c>
      <c r="M25" s="94">
        <f t="shared" si="2"/>
        <v>0</v>
      </c>
      <c r="N25" s="285"/>
      <c r="O25" s="285">
        <v>0</v>
      </c>
      <c r="P25" s="43">
        <f t="shared" si="4"/>
        <v>0</v>
      </c>
      <c r="Q25" s="277"/>
    </row>
    <row r="26" spans="1:17" ht="13.15" customHeight="1">
      <c r="A26" t="s">
        <v>829</v>
      </c>
      <c r="B26" s="65">
        <f t="shared" si="3"/>
        <v>40</v>
      </c>
      <c r="D26" s="94">
        <f t="shared" si="6"/>
        <v>1.5071590052750565</v>
      </c>
      <c r="F26" s="285">
        <v>32</v>
      </c>
      <c r="G26" s="94">
        <f t="shared" si="0"/>
        <v>80</v>
      </c>
      <c r="H26" s="285"/>
      <c r="I26" s="285">
        <v>8</v>
      </c>
      <c r="J26" s="94">
        <f t="shared" si="1"/>
        <v>20</v>
      </c>
      <c r="K26" s="285"/>
      <c r="L26" s="285">
        <v>0</v>
      </c>
      <c r="M26" s="94">
        <f t="shared" si="2"/>
        <v>0</v>
      </c>
      <c r="N26" s="285"/>
      <c r="O26" s="285">
        <v>0</v>
      </c>
      <c r="P26" s="43">
        <f t="shared" si="4"/>
        <v>0</v>
      </c>
      <c r="Q26" s="277"/>
    </row>
    <row r="27" spans="1:17" ht="13.15" customHeight="1">
      <c r="A27" t="s">
        <v>830</v>
      </c>
      <c r="B27" s="65">
        <f t="shared" si="3"/>
        <v>35</v>
      </c>
      <c r="D27" s="94">
        <f t="shared" si="6"/>
        <v>1.3187641296156745</v>
      </c>
      <c r="F27" s="285">
        <v>22</v>
      </c>
      <c r="G27" s="94">
        <f t="shared" si="0"/>
        <v>62.857142857142854</v>
      </c>
      <c r="H27" s="285"/>
      <c r="I27" s="285">
        <v>13</v>
      </c>
      <c r="J27" s="94">
        <f t="shared" si="1"/>
        <v>37.142857142857146</v>
      </c>
      <c r="K27" s="285"/>
      <c r="L27" s="285">
        <v>0</v>
      </c>
      <c r="M27" s="94">
        <f t="shared" si="2"/>
        <v>0</v>
      </c>
      <c r="N27" s="285"/>
      <c r="O27" s="285">
        <v>0</v>
      </c>
      <c r="P27" s="43">
        <f t="shared" si="4"/>
        <v>0</v>
      </c>
      <c r="Q27" s="277"/>
    </row>
    <row r="28" spans="1:17" ht="13.15" customHeight="1">
      <c r="A28" t="s">
        <v>831</v>
      </c>
      <c r="B28" s="65">
        <f t="shared" si="3"/>
        <v>12</v>
      </c>
      <c r="D28" s="94">
        <f t="shared" si="6"/>
        <v>0.45214770158251694</v>
      </c>
      <c r="F28" s="285">
        <v>3</v>
      </c>
      <c r="G28" s="94">
        <f t="shared" si="0"/>
        <v>25</v>
      </c>
      <c r="H28" s="285"/>
      <c r="I28" s="285">
        <v>9</v>
      </c>
      <c r="J28" s="94">
        <f t="shared" si="1"/>
        <v>75</v>
      </c>
      <c r="K28" s="285"/>
      <c r="L28" s="285">
        <v>0</v>
      </c>
      <c r="M28" s="94">
        <f t="shared" si="2"/>
        <v>0</v>
      </c>
      <c r="N28" s="285"/>
      <c r="O28" s="285">
        <v>0</v>
      </c>
      <c r="P28" s="43">
        <f t="shared" si="4"/>
        <v>0</v>
      </c>
      <c r="Q28" s="277"/>
    </row>
    <row r="29" spans="1:17" ht="13.15" customHeight="1">
      <c r="A29" t="s">
        <v>832</v>
      </c>
      <c r="B29" s="65">
        <f t="shared" si="3"/>
        <v>57</v>
      </c>
      <c r="D29" s="94">
        <f t="shared" si="6"/>
        <v>2.1477015825169556</v>
      </c>
      <c r="F29" s="285">
        <v>33</v>
      </c>
      <c r="G29" s="94">
        <f t="shared" si="0"/>
        <v>57.894736842105267</v>
      </c>
      <c r="H29" s="285"/>
      <c r="I29" s="285">
        <v>23</v>
      </c>
      <c r="J29" s="94">
        <f t="shared" si="1"/>
        <v>40.350877192982452</v>
      </c>
      <c r="K29" s="285"/>
      <c r="L29" s="285">
        <v>1</v>
      </c>
      <c r="M29" s="94">
        <f t="shared" si="2"/>
        <v>1.7543859649122806</v>
      </c>
      <c r="N29" s="285"/>
      <c r="O29" s="285">
        <v>0</v>
      </c>
      <c r="P29" s="43">
        <f t="shared" si="4"/>
        <v>0</v>
      </c>
      <c r="Q29" s="277"/>
    </row>
    <row r="30" spans="1:17" ht="13.15" customHeight="1">
      <c r="A30" t="s">
        <v>833</v>
      </c>
      <c r="B30" s="65">
        <f t="shared" si="3"/>
        <v>24</v>
      </c>
      <c r="D30" s="94">
        <f t="shared" si="6"/>
        <v>0.90429540316503387</v>
      </c>
      <c r="F30" s="285">
        <v>21</v>
      </c>
      <c r="G30" s="94">
        <f t="shared" si="0"/>
        <v>87.5</v>
      </c>
      <c r="H30" s="285"/>
      <c r="I30" s="285">
        <v>3</v>
      </c>
      <c r="J30" s="94">
        <f t="shared" si="1"/>
        <v>12.5</v>
      </c>
      <c r="K30" s="285"/>
      <c r="L30" s="285">
        <v>0</v>
      </c>
      <c r="M30" s="94">
        <f t="shared" si="2"/>
        <v>0</v>
      </c>
      <c r="N30" s="285"/>
      <c r="O30" s="285">
        <v>0</v>
      </c>
      <c r="P30" s="43">
        <f t="shared" si="4"/>
        <v>0</v>
      </c>
      <c r="Q30" s="277"/>
    </row>
    <row r="31" spans="1:17" ht="13.15" customHeight="1">
      <c r="A31" t="s">
        <v>834</v>
      </c>
      <c r="B31" s="65">
        <f t="shared" si="3"/>
        <v>56</v>
      </c>
      <c r="D31" s="94">
        <f t="shared" si="6"/>
        <v>2.110022607385079</v>
      </c>
      <c r="F31" s="285">
        <v>35</v>
      </c>
      <c r="G31" s="94">
        <f t="shared" si="0"/>
        <v>62.5</v>
      </c>
      <c r="H31" s="285"/>
      <c r="I31" s="285">
        <v>20</v>
      </c>
      <c r="J31" s="94">
        <f t="shared" si="1"/>
        <v>35.714285714285715</v>
      </c>
      <c r="K31" s="285"/>
      <c r="L31" s="285">
        <v>1</v>
      </c>
      <c r="M31" s="94">
        <f t="shared" si="2"/>
        <v>1.7857142857142856</v>
      </c>
      <c r="N31" s="285"/>
      <c r="O31" s="285">
        <v>0</v>
      </c>
      <c r="P31" s="43">
        <f t="shared" si="4"/>
        <v>0</v>
      </c>
      <c r="Q31" s="277"/>
    </row>
    <row r="32" spans="1:17" ht="13.15" customHeight="1">
      <c r="A32" t="s">
        <v>835</v>
      </c>
      <c r="B32" s="65">
        <f t="shared" si="3"/>
        <v>33</v>
      </c>
      <c r="D32" s="94">
        <f t="shared" si="6"/>
        <v>1.2434061793519218</v>
      </c>
      <c r="F32" s="285">
        <v>30</v>
      </c>
      <c r="G32" s="94">
        <f t="shared" si="0"/>
        <v>90.909090909090907</v>
      </c>
      <c r="H32" s="285"/>
      <c r="I32" s="285">
        <v>3</v>
      </c>
      <c r="J32" s="94">
        <f t="shared" si="1"/>
        <v>9.0909090909090917</v>
      </c>
      <c r="K32" s="285"/>
      <c r="L32" s="285">
        <v>0</v>
      </c>
      <c r="M32" s="94">
        <f t="shared" si="2"/>
        <v>0</v>
      </c>
      <c r="N32" s="285"/>
      <c r="O32" s="285">
        <v>0</v>
      </c>
      <c r="P32" s="43">
        <f t="shared" si="4"/>
        <v>0</v>
      </c>
      <c r="Q32" s="277"/>
    </row>
    <row r="33" spans="1:17" ht="13.15" customHeight="1">
      <c r="A33" t="s">
        <v>836</v>
      </c>
      <c r="B33" s="65">
        <f t="shared" si="3"/>
        <v>20</v>
      </c>
      <c r="D33" s="94">
        <f t="shared" si="6"/>
        <v>0.75357950263752826</v>
      </c>
      <c r="F33" s="285">
        <v>5</v>
      </c>
      <c r="G33" s="94">
        <f t="shared" si="0"/>
        <v>25</v>
      </c>
      <c r="H33" s="285"/>
      <c r="I33" s="285">
        <v>7</v>
      </c>
      <c r="J33" s="94">
        <f t="shared" si="1"/>
        <v>35</v>
      </c>
      <c r="K33" s="285"/>
      <c r="L33" s="285">
        <v>8</v>
      </c>
      <c r="M33" s="94">
        <f t="shared" si="2"/>
        <v>40</v>
      </c>
      <c r="N33" s="285"/>
      <c r="O33" s="285">
        <v>0</v>
      </c>
      <c r="P33" s="43">
        <f t="shared" si="4"/>
        <v>0</v>
      </c>
      <c r="Q33" s="277"/>
    </row>
    <row r="34" spans="1:17" ht="13.15" customHeight="1">
      <c r="A34" t="s">
        <v>837</v>
      </c>
      <c r="B34" s="65">
        <f t="shared" si="3"/>
        <v>27</v>
      </c>
      <c r="D34" s="94">
        <f t="shared" si="6"/>
        <v>1.0173323285606632</v>
      </c>
      <c r="F34" s="285">
        <v>20</v>
      </c>
      <c r="G34" s="94">
        <f t="shared" si="0"/>
        <v>74.074074074074076</v>
      </c>
      <c r="H34" s="285"/>
      <c r="I34" s="285">
        <v>6</v>
      </c>
      <c r="J34" s="94">
        <f t="shared" si="1"/>
        <v>22.222222222222221</v>
      </c>
      <c r="K34" s="285"/>
      <c r="L34" s="285">
        <v>1</v>
      </c>
      <c r="M34" s="94">
        <f t="shared" si="2"/>
        <v>3.7037037037037033</v>
      </c>
      <c r="N34" s="285"/>
      <c r="O34" s="285">
        <v>0</v>
      </c>
      <c r="P34" s="43">
        <f t="shared" si="4"/>
        <v>0</v>
      </c>
      <c r="Q34" s="277"/>
    </row>
    <row r="35" spans="1:17" ht="13.15" customHeight="1">
      <c r="A35" t="s">
        <v>838</v>
      </c>
      <c r="B35" s="65">
        <f>IF($A35&lt;&gt;0,F35+I35+L35+O35,"")</f>
        <v>29</v>
      </c>
      <c r="D35" s="94">
        <f>IF(A35&lt;&gt;0,B35/$B$11*100,"")</f>
        <v>1.0926902788244159</v>
      </c>
      <c r="F35" s="285">
        <v>12</v>
      </c>
      <c r="G35" s="94">
        <f t="shared" si="0"/>
        <v>41.379310344827587</v>
      </c>
      <c r="H35" s="285"/>
      <c r="I35" s="285">
        <v>17</v>
      </c>
      <c r="J35" s="94">
        <f t="shared" si="1"/>
        <v>58.620689655172406</v>
      </c>
      <c r="K35" s="285"/>
      <c r="L35" s="285">
        <v>0</v>
      </c>
      <c r="M35" s="94">
        <f t="shared" si="2"/>
        <v>0</v>
      </c>
      <c r="N35" s="285"/>
      <c r="O35" s="285">
        <v>0</v>
      </c>
      <c r="Q35" s="277"/>
    </row>
    <row r="36" spans="1:17" ht="13.15" customHeight="1">
      <c r="A36" t="s">
        <v>839</v>
      </c>
      <c r="B36" s="65">
        <f t="shared" si="3"/>
        <v>7</v>
      </c>
      <c r="D36" s="94">
        <f t="shared" si="6"/>
        <v>0.26375282592313487</v>
      </c>
      <c r="F36" s="285">
        <v>2</v>
      </c>
      <c r="G36" s="94">
        <f t="shared" si="0"/>
        <v>28.571428571428569</v>
      </c>
      <c r="H36" s="285"/>
      <c r="I36" s="285">
        <v>2</v>
      </c>
      <c r="J36" s="94">
        <f t="shared" si="1"/>
        <v>28.571428571428569</v>
      </c>
      <c r="K36" s="285"/>
      <c r="L36" s="285">
        <v>3</v>
      </c>
      <c r="M36" s="94">
        <f t="shared" si="2"/>
        <v>42.857142857142854</v>
      </c>
      <c r="N36" s="285"/>
      <c r="O36" s="285">
        <v>0</v>
      </c>
      <c r="P36" s="43">
        <f t="shared" si="4"/>
        <v>0</v>
      </c>
      <c r="Q36" s="277"/>
    </row>
    <row r="37" spans="1:17" ht="13.15" customHeight="1">
      <c r="A37" t="s">
        <v>840</v>
      </c>
      <c r="B37" s="65">
        <f t="shared" si="3"/>
        <v>93</v>
      </c>
      <c r="D37" s="94">
        <f t="shared" si="6"/>
        <v>3.5041446872645063</v>
      </c>
      <c r="F37" s="285">
        <v>71</v>
      </c>
      <c r="G37" s="94">
        <f t="shared" si="0"/>
        <v>76.344086021505376</v>
      </c>
      <c r="H37" s="285"/>
      <c r="I37" s="285">
        <v>21</v>
      </c>
      <c r="J37" s="94">
        <f t="shared" si="1"/>
        <v>22.58064516129032</v>
      </c>
      <c r="K37" s="285"/>
      <c r="L37" s="285">
        <v>1</v>
      </c>
      <c r="M37" s="94">
        <f t="shared" si="2"/>
        <v>1.0752688172043012</v>
      </c>
      <c r="N37" s="285"/>
      <c r="O37" s="285">
        <v>0</v>
      </c>
      <c r="P37" s="43">
        <f t="shared" si="4"/>
        <v>0</v>
      </c>
      <c r="Q37" s="277"/>
    </row>
    <row r="38" spans="1:17" ht="13.15" customHeight="1">
      <c r="A38" t="s">
        <v>841</v>
      </c>
      <c r="B38" s="65">
        <f t="shared" si="3"/>
        <v>57</v>
      </c>
      <c r="D38" s="94">
        <f t="shared" si="6"/>
        <v>2.1477015825169556</v>
      </c>
      <c r="F38" s="285">
        <v>48</v>
      </c>
      <c r="G38" s="94">
        <f t="shared" si="0"/>
        <v>84.210526315789465</v>
      </c>
      <c r="H38" s="285"/>
      <c r="I38" s="285">
        <v>9</v>
      </c>
      <c r="J38" s="94">
        <f t="shared" si="1"/>
        <v>15.789473684210526</v>
      </c>
      <c r="K38" s="285"/>
      <c r="L38" s="285">
        <v>0</v>
      </c>
      <c r="M38" s="94">
        <f t="shared" si="2"/>
        <v>0</v>
      </c>
      <c r="N38" s="285"/>
      <c r="O38" s="285">
        <v>0</v>
      </c>
      <c r="P38" s="43">
        <f t="shared" si="4"/>
        <v>0</v>
      </c>
      <c r="Q38" s="277"/>
    </row>
    <row r="39" spans="1:17" ht="13.15" customHeight="1">
      <c r="A39" t="s">
        <v>842</v>
      </c>
      <c r="B39" s="65">
        <f t="shared" si="3"/>
        <v>35</v>
      </c>
      <c r="D39" s="94">
        <f t="shared" si="6"/>
        <v>1.3187641296156745</v>
      </c>
      <c r="F39" s="285">
        <v>28</v>
      </c>
      <c r="G39" s="94">
        <f t="shared" si="0"/>
        <v>80</v>
      </c>
      <c r="H39" s="285"/>
      <c r="I39" s="285">
        <v>7</v>
      </c>
      <c r="J39" s="94">
        <f t="shared" si="1"/>
        <v>20</v>
      </c>
      <c r="K39" s="285"/>
      <c r="L39" s="285">
        <v>0</v>
      </c>
      <c r="M39" s="94">
        <f t="shared" si="2"/>
        <v>0</v>
      </c>
      <c r="N39" s="285"/>
      <c r="O39" s="285">
        <v>0</v>
      </c>
      <c r="P39" s="43">
        <f t="shared" si="4"/>
        <v>0</v>
      </c>
      <c r="Q39" s="277"/>
    </row>
    <row r="40" spans="1:17" ht="13.15" customHeight="1">
      <c r="A40" t="s">
        <v>843</v>
      </c>
      <c r="B40" s="65">
        <f t="shared" si="3"/>
        <v>32</v>
      </c>
      <c r="D40" s="94">
        <f t="shared" si="6"/>
        <v>1.2057272042200453</v>
      </c>
      <c r="F40" s="285">
        <v>30</v>
      </c>
      <c r="G40" s="94">
        <f t="shared" si="0"/>
        <v>93.75</v>
      </c>
      <c r="H40" s="285"/>
      <c r="I40" s="285">
        <v>2</v>
      </c>
      <c r="J40" s="94">
        <f t="shared" si="1"/>
        <v>6.25</v>
      </c>
      <c r="K40" s="285"/>
      <c r="L40" s="285">
        <v>0</v>
      </c>
      <c r="M40" s="94">
        <f t="shared" si="2"/>
        <v>0</v>
      </c>
      <c r="N40" s="285"/>
      <c r="O40" s="285">
        <v>0</v>
      </c>
      <c r="P40" s="43">
        <f t="shared" si="4"/>
        <v>0</v>
      </c>
      <c r="Q40" s="277"/>
    </row>
    <row r="41" spans="1:17" ht="13.15" customHeight="1">
      <c r="A41" t="s">
        <v>844</v>
      </c>
      <c r="B41" s="65">
        <f t="shared" si="3"/>
        <v>25</v>
      </c>
      <c r="D41" s="94">
        <f t="shared" si="6"/>
        <v>0.94197437829691044</v>
      </c>
      <c r="F41" s="285">
        <v>23</v>
      </c>
      <c r="G41" s="94">
        <f t="shared" si="0"/>
        <v>92</v>
      </c>
      <c r="H41" s="285"/>
      <c r="I41" s="285">
        <v>2</v>
      </c>
      <c r="J41" s="94">
        <f t="shared" si="1"/>
        <v>8</v>
      </c>
      <c r="K41" s="285"/>
      <c r="L41" s="285">
        <v>0</v>
      </c>
      <c r="M41" s="94">
        <f t="shared" si="2"/>
        <v>0</v>
      </c>
      <c r="N41" s="285"/>
      <c r="O41" s="285">
        <v>0</v>
      </c>
      <c r="P41" s="43">
        <f t="shared" si="4"/>
        <v>0</v>
      </c>
      <c r="Q41" s="277"/>
    </row>
    <row r="42" spans="1:17" ht="13.15" customHeight="1">
      <c r="A42" t="s">
        <v>845</v>
      </c>
      <c r="B42" s="65">
        <f t="shared" si="3"/>
        <v>34</v>
      </c>
      <c r="D42" s="94">
        <f t="shared" si="6"/>
        <v>1.281085154483798</v>
      </c>
      <c r="F42" s="285">
        <v>31</v>
      </c>
      <c r="G42" s="94">
        <f t="shared" si="0"/>
        <v>91.17647058823529</v>
      </c>
      <c r="H42" s="285"/>
      <c r="I42" s="285">
        <v>3</v>
      </c>
      <c r="J42" s="94">
        <f t="shared" si="1"/>
        <v>8.8235294117647065</v>
      </c>
      <c r="K42" s="285"/>
      <c r="L42" s="285">
        <v>0</v>
      </c>
      <c r="M42" s="94">
        <f t="shared" si="2"/>
        <v>0</v>
      </c>
      <c r="N42" s="285"/>
      <c r="O42" s="285">
        <v>0</v>
      </c>
      <c r="P42" s="43">
        <f t="shared" si="4"/>
        <v>0</v>
      </c>
      <c r="Q42" s="277"/>
    </row>
    <row r="43" spans="1:17" ht="13.15" customHeight="1">
      <c r="A43" t="s">
        <v>846</v>
      </c>
      <c r="B43" s="65">
        <f t="shared" si="3"/>
        <v>146</v>
      </c>
      <c r="D43" s="94">
        <f t="shared" si="6"/>
        <v>5.5011303692539562</v>
      </c>
      <c r="F43" s="285">
        <v>72</v>
      </c>
      <c r="G43" s="94">
        <f t="shared" si="0"/>
        <v>49.315068493150683</v>
      </c>
      <c r="H43" s="285"/>
      <c r="I43" s="285">
        <v>74</v>
      </c>
      <c r="J43" s="94">
        <f t="shared" si="1"/>
        <v>50.684931506849317</v>
      </c>
      <c r="K43" s="285"/>
      <c r="L43" s="285">
        <v>0</v>
      </c>
      <c r="M43" s="94">
        <f t="shared" si="2"/>
        <v>0</v>
      </c>
      <c r="N43" s="285"/>
      <c r="O43" s="285">
        <v>0</v>
      </c>
      <c r="P43" s="43">
        <f t="shared" si="4"/>
        <v>0</v>
      </c>
      <c r="Q43" s="277"/>
    </row>
    <row r="44" spans="1:17" ht="13.15" customHeight="1">
      <c r="A44" t="s">
        <v>847</v>
      </c>
      <c r="B44" s="65">
        <f t="shared" si="3"/>
        <v>39</v>
      </c>
      <c r="D44" s="94">
        <f t="shared" si="6"/>
        <v>1.4694800301431801</v>
      </c>
      <c r="F44" s="285">
        <v>32</v>
      </c>
      <c r="G44" s="94">
        <f t="shared" si="0"/>
        <v>82.051282051282044</v>
      </c>
      <c r="H44" s="285"/>
      <c r="I44" s="285">
        <v>7</v>
      </c>
      <c r="J44" s="94">
        <f t="shared" si="1"/>
        <v>17.948717948717949</v>
      </c>
      <c r="K44" s="285"/>
      <c r="L44" s="285">
        <v>0</v>
      </c>
      <c r="M44" s="94">
        <f t="shared" si="2"/>
        <v>0</v>
      </c>
      <c r="N44" s="285"/>
      <c r="O44" s="285">
        <v>0</v>
      </c>
      <c r="P44" s="43">
        <f t="shared" si="4"/>
        <v>0</v>
      </c>
      <c r="Q44" s="277"/>
    </row>
    <row r="45" spans="1:17" ht="13.15" customHeight="1">
      <c r="A45" t="s">
        <v>848</v>
      </c>
      <c r="B45" s="65">
        <f t="shared" si="3"/>
        <v>15</v>
      </c>
      <c r="D45" s="94">
        <f t="shared" si="6"/>
        <v>0.5651846269781462</v>
      </c>
      <c r="F45" s="285">
        <v>10</v>
      </c>
      <c r="G45" s="94">
        <f t="shared" si="0"/>
        <v>66.666666666666657</v>
      </c>
      <c r="H45" s="285"/>
      <c r="I45" s="285">
        <v>5</v>
      </c>
      <c r="J45" s="94">
        <f t="shared" si="1"/>
        <v>33.333333333333329</v>
      </c>
      <c r="K45" s="285"/>
      <c r="L45" s="285">
        <v>0</v>
      </c>
      <c r="M45" s="94">
        <f t="shared" si="2"/>
        <v>0</v>
      </c>
      <c r="N45" s="285"/>
      <c r="O45" s="285">
        <v>0</v>
      </c>
      <c r="P45" s="43">
        <f t="shared" si="4"/>
        <v>0</v>
      </c>
      <c r="Q45" s="277"/>
    </row>
    <row r="46" spans="1:17" ht="13.15" customHeight="1">
      <c r="A46" t="s">
        <v>849</v>
      </c>
      <c r="B46" s="65">
        <f t="shared" si="3"/>
        <v>83</v>
      </c>
      <c r="D46" s="94">
        <f t="shared" si="6"/>
        <v>3.1273549359457418</v>
      </c>
      <c r="F46" s="285">
        <v>78</v>
      </c>
      <c r="G46" s="94">
        <f t="shared" si="0"/>
        <v>93.975903614457835</v>
      </c>
      <c r="H46" s="285"/>
      <c r="I46" s="285">
        <v>5</v>
      </c>
      <c r="J46" s="94">
        <f t="shared" si="1"/>
        <v>6.024096385542169</v>
      </c>
      <c r="K46" s="285"/>
      <c r="L46" s="285">
        <v>0</v>
      </c>
      <c r="M46" s="94">
        <f t="shared" si="2"/>
        <v>0</v>
      </c>
      <c r="N46" s="285"/>
      <c r="O46" s="285">
        <v>0</v>
      </c>
      <c r="P46" s="43">
        <f t="shared" si="4"/>
        <v>0</v>
      </c>
      <c r="Q46" s="277"/>
    </row>
    <row r="47" spans="1:17" ht="13.15" customHeight="1">
      <c r="A47" t="s">
        <v>851</v>
      </c>
      <c r="B47" s="65">
        <f>IF($A47&lt;&gt;0,F47+I47+L47+O47,"")</f>
        <v>2</v>
      </c>
      <c r="D47" s="94">
        <f>IF(A47&lt;&gt;0,B47/$B$11*100,"")</f>
        <v>7.5357950263752832E-2</v>
      </c>
      <c r="F47" s="285">
        <v>2</v>
      </c>
      <c r="G47" s="94">
        <f t="shared" si="0"/>
        <v>100</v>
      </c>
      <c r="H47" s="285"/>
      <c r="I47" s="285">
        <v>0</v>
      </c>
      <c r="J47" s="94">
        <f t="shared" si="1"/>
        <v>0</v>
      </c>
      <c r="K47" s="285"/>
      <c r="L47" s="285">
        <v>0</v>
      </c>
      <c r="M47" s="94">
        <f t="shared" si="2"/>
        <v>0</v>
      </c>
      <c r="N47" s="285"/>
      <c r="O47" s="285">
        <v>0</v>
      </c>
      <c r="Q47" s="277"/>
    </row>
    <row r="48" spans="1:17" ht="13.15" customHeight="1">
      <c r="A48" s="42" t="s">
        <v>850</v>
      </c>
      <c r="B48" s="65">
        <f t="shared" si="3"/>
        <v>10</v>
      </c>
      <c r="D48" s="94">
        <f t="shared" si="6"/>
        <v>0.37678975131876413</v>
      </c>
      <c r="F48" s="285">
        <v>3</v>
      </c>
      <c r="G48" s="94">
        <f t="shared" si="0"/>
        <v>30</v>
      </c>
      <c r="H48" s="285"/>
      <c r="I48" s="285">
        <v>6</v>
      </c>
      <c r="J48" s="94">
        <f t="shared" si="1"/>
        <v>60</v>
      </c>
      <c r="K48" s="285"/>
      <c r="L48" s="285">
        <v>1</v>
      </c>
      <c r="M48" s="94">
        <f t="shared" si="2"/>
        <v>10</v>
      </c>
      <c r="N48" s="285"/>
      <c r="O48" s="285">
        <v>0</v>
      </c>
      <c r="P48" s="43">
        <f t="shared" si="4"/>
        <v>0</v>
      </c>
      <c r="Q48" s="277"/>
    </row>
    <row r="49" spans="1:17" ht="13.15" customHeight="1">
      <c r="A49" t="s">
        <v>852</v>
      </c>
      <c r="B49" s="65">
        <f t="shared" si="3"/>
        <v>42</v>
      </c>
      <c r="D49" s="94">
        <f t="shared" si="6"/>
        <v>1.5825169555388092</v>
      </c>
      <c r="F49" s="285">
        <v>40</v>
      </c>
      <c r="G49" s="94">
        <f t="shared" si="0"/>
        <v>95.238095238095227</v>
      </c>
      <c r="H49" s="285"/>
      <c r="I49" s="286">
        <v>2</v>
      </c>
      <c r="J49" s="94">
        <f t="shared" si="1"/>
        <v>4.7619047619047619</v>
      </c>
      <c r="K49" s="286"/>
      <c r="L49" s="286">
        <v>0</v>
      </c>
      <c r="M49" s="94">
        <f t="shared" si="2"/>
        <v>0</v>
      </c>
      <c r="N49" s="286"/>
      <c r="O49" s="286">
        <v>0</v>
      </c>
      <c r="P49" s="43">
        <f t="shared" si="4"/>
        <v>0</v>
      </c>
      <c r="Q49" s="277"/>
    </row>
    <row r="50" spans="1:17" ht="13.15" customHeight="1">
      <c r="A50" t="s">
        <v>853</v>
      </c>
      <c r="B50" s="65">
        <f t="shared" si="3"/>
        <v>38</v>
      </c>
      <c r="D50" s="94">
        <f t="shared" si="6"/>
        <v>1.4318010550113038</v>
      </c>
      <c r="F50" s="285">
        <v>12</v>
      </c>
      <c r="G50" s="94">
        <f t="shared" si="0"/>
        <v>31.578947368421051</v>
      </c>
      <c r="H50" s="285"/>
      <c r="I50" s="285">
        <v>26</v>
      </c>
      <c r="J50" s="94">
        <f t="shared" si="1"/>
        <v>68.421052631578945</v>
      </c>
      <c r="K50" s="285"/>
      <c r="L50" s="285">
        <v>0</v>
      </c>
      <c r="M50" s="94">
        <f t="shared" si="2"/>
        <v>0</v>
      </c>
      <c r="N50" s="285"/>
      <c r="O50" s="285">
        <v>0</v>
      </c>
      <c r="P50" s="43">
        <f t="shared" si="4"/>
        <v>0</v>
      </c>
      <c r="Q50" s="277"/>
    </row>
    <row r="51" spans="1:17" ht="13.15" customHeight="1">
      <c r="A51" t="s">
        <v>854</v>
      </c>
      <c r="B51" s="65">
        <f t="shared" si="3"/>
        <v>23</v>
      </c>
      <c r="D51" s="94">
        <f t="shared" si="6"/>
        <v>0.86661642803315742</v>
      </c>
      <c r="F51" s="285">
        <v>13</v>
      </c>
      <c r="G51" s="94">
        <f t="shared" si="0"/>
        <v>56.521739130434781</v>
      </c>
      <c r="H51" s="285"/>
      <c r="I51" s="285">
        <v>10</v>
      </c>
      <c r="J51" s="94">
        <f t="shared" si="1"/>
        <v>43.478260869565219</v>
      </c>
      <c r="K51" s="285"/>
      <c r="L51" s="285">
        <v>0</v>
      </c>
      <c r="M51" s="94">
        <f t="shared" si="2"/>
        <v>0</v>
      </c>
      <c r="N51" s="285"/>
      <c r="O51" s="285">
        <v>0</v>
      </c>
      <c r="P51" s="43">
        <f t="shared" si="4"/>
        <v>0</v>
      </c>
      <c r="Q51" s="277"/>
    </row>
    <row r="52" spans="1:17" ht="13.15" customHeight="1">
      <c r="A52" t="s">
        <v>855</v>
      </c>
      <c r="B52" s="65">
        <f t="shared" si="3"/>
        <v>33</v>
      </c>
      <c r="D52" s="94">
        <f t="shared" si="6"/>
        <v>1.2434061793519218</v>
      </c>
      <c r="F52" s="285">
        <v>27</v>
      </c>
      <c r="G52" s="94">
        <f t="shared" si="0"/>
        <v>81.818181818181827</v>
      </c>
      <c r="H52" s="285"/>
      <c r="I52" s="285">
        <v>4</v>
      </c>
      <c r="J52" s="94">
        <f t="shared" si="1"/>
        <v>12.121212121212121</v>
      </c>
      <c r="K52" s="285"/>
      <c r="L52" s="285">
        <v>2</v>
      </c>
      <c r="M52" s="94">
        <f t="shared" si="2"/>
        <v>6.0606060606060606</v>
      </c>
      <c r="N52" s="285"/>
      <c r="O52" s="285">
        <v>0</v>
      </c>
      <c r="P52" s="43">
        <f t="shared" si="4"/>
        <v>0</v>
      </c>
      <c r="Q52" s="277"/>
    </row>
    <row r="53" spans="1:17" ht="13.15" customHeight="1">
      <c r="A53" t="s">
        <v>856</v>
      </c>
      <c r="B53" s="65">
        <f t="shared" si="3"/>
        <v>18</v>
      </c>
      <c r="D53" s="94">
        <f t="shared" si="6"/>
        <v>0.67822155237377535</v>
      </c>
      <c r="F53" s="285">
        <v>10</v>
      </c>
      <c r="G53" s="94">
        <f t="shared" si="0"/>
        <v>55.555555555555557</v>
      </c>
      <c r="H53" s="285"/>
      <c r="I53" s="285">
        <v>7</v>
      </c>
      <c r="J53" s="94">
        <f t="shared" si="1"/>
        <v>38.888888888888893</v>
      </c>
      <c r="K53" s="285"/>
      <c r="L53" s="285">
        <v>1</v>
      </c>
      <c r="M53" s="94">
        <f t="shared" si="2"/>
        <v>5.5555555555555554</v>
      </c>
      <c r="N53" s="285"/>
      <c r="O53" s="285">
        <v>0</v>
      </c>
      <c r="P53" s="43">
        <f t="shared" si="4"/>
        <v>0</v>
      </c>
      <c r="Q53" s="277"/>
    </row>
    <row r="54" spans="1:17" ht="13.15" customHeight="1">
      <c r="A54" t="s">
        <v>857</v>
      </c>
      <c r="B54" s="65">
        <f t="shared" si="3"/>
        <v>12</v>
      </c>
      <c r="D54" s="94">
        <f t="shared" si="6"/>
        <v>0.45214770158251694</v>
      </c>
      <c r="F54" s="285">
        <v>9</v>
      </c>
      <c r="G54" s="94">
        <f t="shared" si="0"/>
        <v>75</v>
      </c>
      <c r="H54" s="285"/>
      <c r="I54" s="285">
        <v>3</v>
      </c>
      <c r="J54" s="94">
        <f t="shared" si="1"/>
        <v>25</v>
      </c>
      <c r="K54" s="285"/>
      <c r="L54" s="285">
        <v>0</v>
      </c>
      <c r="M54" s="94">
        <f t="shared" si="2"/>
        <v>0</v>
      </c>
      <c r="N54" s="285"/>
      <c r="O54" s="285">
        <v>0</v>
      </c>
      <c r="P54" s="43">
        <f t="shared" si="4"/>
        <v>0</v>
      </c>
      <c r="Q54" s="277"/>
    </row>
    <row r="55" spans="1:17" ht="13.15" customHeight="1">
      <c r="A55" t="s">
        <v>858</v>
      </c>
      <c r="B55" s="65">
        <f t="shared" si="3"/>
        <v>16</v>
      </c>
      <c r="D55" s="94">
        <f t="shared" si="6"/>
        <v>0.60286360211002266</v>
      </c>
      <c r="F55" s="285">
        <v>12</v>
      </c>
      <c r="G55" s="94">
        <f t="shared" si="0"/>
        <v>75</v>
      </c>
      <c r="H55" s="285"/>
      <c r="I55" s="285">
        <v>4</v>
      </c>
      <c r="J55" s="94">
        <f t="shared" si="1"/>
        <v>25</v>
      </c>
      <c r="K55" s="285"/>
      <c r="L55" s="285">
        <v>0</v>
      </c>
      <c r="M55" s="94">
        <f t="shared" si="2"/>
        <v>0</v>
      </c>
      <c r="N55" s="285"/>
      <c r="O55" s="285">
        <v>0</v>
      </c>
      <c r="P55" s="43">
        <f t="shared" si="4"/>
        <v>0</v>
      </c>
      <c r="Q55" s="277"/>
    </row>
    <row r="56" spans="1:17" ht="13.15" customHeight="1">
      <c r="A56" t="s">
        <v>859</v>
      </c>
      <c r="B56" s="65">
        <f t="shared" si="3"/>
        <v>64</v>
      </c>
      <c r="D56" s="94">
        <f t="shared" si="6"/>
        <v>2.4114544084400906</v>
      </c>
      <c r="F56" s="285">
        <v>25</v>
      </c>
      <c r="G56" s="94">
        <f t="shared" si="0"/>
        <v>39.0625</v>
      </c>
      <c r="H56" s="285"/>
      <c r="I56" s="285">
        <v>39</v>
      </c>
      <c r="J56" s="94">
        <f t="shared" si="1"/>
        <v>60.9375</v>
      </c>
      <c r="K56" s="285"/>
      <c r="L56" s="285">
        <v>0</v>
      </c>
      <c r="M56" s="94">
        <f t="shared" si="2"/>
        <v>0</v>
      </c>
      <c r="N56" s="285"/>
      <c r="O56" s="285">
        <v>0</v>
      </c>
      <c r="P56" s="43">
        <f t="shared" si="4"/>
        <v>0</v>
      </c>
      <c r="Q56" s="277"/>
    </row>
    <row r="57" spans="1:17" ht="13.15" customHeight="1">
      <c r="A57" t="s">
        <v>860</v>
      </c>
      <c r="B57" s="65">
        <f t="shared" si="3"/>
        <v>16</v>
      </c>
      <c r="D57" s="94">
        <f t="shared" si="6"/>
        <v>0.60286360211002266</v>
      </c>
      <c r="F57" s="285">
        <v>7</v>
      </c>
      <c r="G57" s="94">
        <f t="shared" si="0"/>
        <v>43.75</v>
      </c>
      <c r="H57" s="285"/>
      <c r="I57" s="285">
        <v>9</v>
      </c>
      <c r="J57" s="94">
        <f t="shared" si="1"/>
        <v>56.25</v>
      </c>
      <c r="K57" s="285"/>
      <c r="L57" s="285">
        <v>0</v>
      </c>
      <c r="M57" s="94">
        <f t="shared" si="2"/>
        <v>0</v>
      </c>
      <c r="N57" s="285"/>
      <c r="O57" s="285">
        <v>0</v>
      </c>
      <c r="P57" s="43">
        <f t="shared" si="4"/>
        <v>0</v>
      </c>
      <c r="Q57" s="277"/>
    </row>
    <row r="58" spans="1:17" ht="13.15" customHeight="1">
      <c r="A58" t="s">
        <v>861</v>
      </c>
      <c r="B58" s="65">
        <f t="shared" si="3"/>
        <v>9</v>
      </c>
      <c r="D58" s="94">
        <f t="shared" si="6"/>
        <v>0.33911077618688767</v>
      </c>
      <c r="F58" s="285">
        <v>8</v>
      </c>
      <c r="G58" s="94">
        <f t="shared" si="0"/>
        <v>88.888888888888886</v>
      </c>
      <c r="H58" s="285"/>
      <c r="I58" s="285">
        <v>1</v>
      </c>
      <c r="J58" s="94">
        <f t="shared" si="1"/>
        <v>11.111111111111111</v>
      </c>
      <c r="K58" s="285"/>
      <c r="L58" s="285">
        <v>0</v>
      </c>
      <c r="M58" s="94">
        <f t="shared" si="2"/>
        <v>0</v>
      </c>
      <c r="N58" s="285"/>
      <c r="O58" s="285">
        <v>0</v>
      </c>
      <c r="P58" s="43">
        <f t="shared" si="4"/>
        <v>0</v>
      </c>
      <c r="Q58" s="277"/>
    </row>
    <row r="59" spans="1:17" ht="13.15" customHeight="1">
      <c r="A59" t="s">
        <v>862</v>
      </c>
      <c r="B59" s="65">
        <f t="shared" si="3"/>
        <v>1</v>
      </c>
      <c r="D59" s="94">
        <f t="shared" si="6"/>
        <v>3.7678975131876416E-2</v>
      </c>
      <c r="F59" s="285">
        <v>1</v>
      </c>
      <c r="G59" s="94">
        <f t="shared" si="0"/>
        <v>100</v>
      </c>
      <c r="H59" s="285"/>
      <c r="I59" s="285">
        <v>0</v>
      </c>
      <c r="J59" s="94">
        <f t="shared" si="1"/>
        <v>0</v>
      </c>
      <c r="K59" s="285"/>
      <c r="L59" s="285">
        <v>0</v>
      </c>
      <c r="M59" s="94">
        <f t="shared" si="2"/>
        <v>0</v>
      </c>
      <c r="N59" s="285"/>
      <c r="O59" s="285">
        <v>0</v>
      </c>
      <c r="P59" s="43">
        <f t="shared" si="4"/>
        <v>0</v>
      </c>
      <c r="Q59" s="277"/>
    </row>
    <row r="60" spans="1:17" ht="13.15" customHeight="1">
      <c r="A60" t="s">
        <v>863</v>
      </c>
      <c r="B60" s="65">
        <f t="shared" si="3"/>
        <v>28</v>
      </c>
      <c r="D60" s="94">
        <f t="shared" si="6"/>
        <v>1.0550113036925395</v>
      </c>
      <c r="F60" s="285">
        <v>28</v>
      </c>
      <c r="G60" s="94">
        <f t="shared" si="0"/>
        <v>100</v>
      </c>
      <c r="H60" s="285"/>
      <c r="I60" s="285">
        <v>0</v>
      </c>
      <c r="J60" s="94">
        <f t="shared" si="1"/>
        <v>0</v>
      </c>
      <c r="K60" s="285"/>
      <c r="L60" s="285">
        <v>0</v>
      </c>
      <c r="M60" s="94">
        <f t="shared" si="2"/>
        <v>0</v>
      </c>
      <c r="N60" s="285"/>
      <c r="O60" s="285">
        <v>0</v>
      </c>
      <c r="P60" s="43">
        <f t="shared" si="4"/>
        <v>0</v>
      </c>
      <c r="Q60" s="277"/>
    </row>
    <row r="61" spans="1:17" ht="13.15" customHeight="1">
      <c r="A61" t="s">
        <v>864</v>
      </c>
      <c r="B61" s="65">
        <f t="shared" si="3"/>
        <v>66</v>
      </c>
      <c r="D61" s="94">
        <f t="shared" si="6"/>
        <v>2.4868123587038435</v>
      </c>
      <c r="F61" s="285">
        <v>54</v>
      </c>
      <c r="G61" s="94">
        <f t="shared" si="0"/>
        <v>81.818181818181827</v>
      </c>
      <c r="H61" s="285"/>
      <c r="I61" s="285">
        <v>12</v>
      </c>
      <c r="J61" s="94">
        <f t="shared" si="1"/>
        <v>18.181818181818183</v>
      </c>
      <c r="K61" s="285"/>
      <c r="L61" s="285">
        <v>0</v>
      </c>
      <c r="M61" s="94">
        <f t="shared" si="2"/>
        <v>0</v>
      </c>
      <c r="N61" s="285"/>
      <c r="O61" s="285">
        <v>0</v>
      </c>
      <c r="P61" s="43">
        <f t="shared" si="4"/>
        <v>0</v>
      </c>
      <c r="Q61" s="277"/>
    </row>
    <row r="62" spans="1:17" ht="13.15" customHeight="1">
      <c r="A62" t="s">
        <v>865</v>
      </c>
      <c r="B62" s="65">
        <f t="shared" si="3"/>
        <v>86</v>
      </c>
      <c r="D62" s="94">
        <f t="shared" si="6"/>
        <v>3.2403918613413714</v>
      </c>
      <c r="F62" s="285">
        <v>64</v>
      </c>
      <c r="G62" s="94">
        <f t="shared" si="0"/>
        <v>74.418604651162795</v>
      </c>
      <c r="H62" s="285"/>
      <c r="I62" s="285">
        <v>22</v>
      </c>
      <c r="J62" s="94">
        <f t="shared" si="1"/>
        <v>25.581395348837212</v>
      </c>
      <c r="K62" s="285"/>
      <c r="L62" s="285">
        <v>0</v>
      </c>
      <c r="M62" s="94">
        <f t="shared" si="2"/>
        <v>0</v>
      </c>
      <c r="N62" s="285"/>
      <c r="O62" s="285">
        <v>0</v>
      </c>
      <c r="P62" s="43">
        <f t="shared" si="4"/>
        <v>0</v>
      </c>
      <c r="Q62" s="277"/>
    </row>
    <row r="63" spans="1:17" ht="13.15" customHeight="1">
      <c r="A63" t="s">
        <v>866</v>
      </c>
      <c r="B63" s="65">
        <f t="shared" si="3"/>
        <v>6</v>
      </c>
      <c r="D63" s="94">
        <f t="shared" si="6"/>
        <v>0.22607385079125847</v>
      </c>
      <c r="F63" s="285">
        <v>0</v>
      </c>
      <c r="G63" s="94">
        <f t="shared" si="0"/>
        <v>0</v>
      </c>
      <c r="H63" s="285"/>
      <c r="I63" s="285">
        <v>6</v>
      </c>
      <c r="J63" s="94">
        <f t="shared" si="1"/>
        <v>100</v>
      </c>
      <c r="K63" s="285"/>
      <c r="L63" s="285">
        <v>0</v>
      </c>
      <c r="M63" s="94">
        <f t="shared" si="2"/>
        <v>0</v>
      </c>
      <c r="N63" s="285"/>
      <c r="O63" s="285">
        <v>0</v>
      </c>
      <c r="P63" s="43">
        <f t="shared" si="4"/>
        <v>0</v>
      </c>
      <c r="Q63" s="277"/>
    </row>
    <row r="64" spans="1:17" ht="13.15" customHeight="1">
      <c r="A64" t="s">
        <v>867</v>
      </c>
      <c r="B64" s="65">
        <f t="shared" si="3"/>
        <v>52</v>
      </c>
      <c r="D64" s="94">
        <f t="shared" si="6"/>
        <v>1.9593067068575734</v>
      </c>
      <c r="F64" s="285">
        <v>52</v>
      </c>
      <c r="G64" s="94">
        <f t="shared" si="0"/>
        <v>100</v>
      </c>
      <c r="H64" s="285"/>
      <c r="I64" s="285">
        <v>0</v>
      </c>
      <c r="J64" s="94">
        <f t="shared" si="1"/>
        <v>0</v>
      </c>
      <c r="K64" s="285"/>
      <c r="L64" s="285">
        <v>0</v>
      </c>
      <c r="M64" s="94">
        <f t="shared" si="2"/>
        <v>0</v>
      </c>
      <c r="N64" s="285"/>
      <c r="O64" s="285">
        <v>0</v>
      </c>
      <c r="P64" s="43">
        <f t="shared" si="4"/>
        <v>0</v>
      </c>
      <c r="Q64" s="277"/>
    </row>
    <row r="65" spans="1:17" ht="12" customHeight="1">
      <c r="A65" t="s">
        <v>868</v>
      </c>
      <c r="B65" s="65">
        <f t="shared" si="3"/>
        <v>16</v>
      </c>
      <c r="D65" s="94">
        <f t="shared" si="6"/>
        <v>0.60286360211002266</v>
      </c>
      <c r="F65" s="285">
        <v>15</v>
      </c>
      <c r="G65" s="94">
        <f t="shared" si="0"/>
        <v>93.75</v>
      </c>
      <c r="H65" s="285"/>
      <c r="I65" s="285">
        <v>1</v>
      </c>
      <c r="J65" s="94">
        <f t="shared" si="1"/>
        <v>6.25</v>
      </c>
      <c r="K65" s="285"/>
      <c r="L65" s="285">
        <v>0</v>
      </c>
      <c r="M65" s="94">
        <f t="shared" si="2"/>
        <v>0</v>
      </c>
      <c r="N65" s="285"/>
      <c r="O65" s="285">
        <v>0</v>
      </c>
      <c r="P65" s="43">
        <f t="shared" si="4"/>
        <v>0</v>
      </c>
      <c r="Q65" s="277"/>
    </row>
    <row r="66" spans="1:17" ht="13.15" customHeight="1">
      <c r="A66" t="s">
        <v>869</v>
      </c>
      <c r="B66" s="65">
        <f t="shared" si="3"/>
        <v>9</v>
      </c>
      <c r="D66" s="94">
        <f t="shared" si="6"/>
        <v>0.33911077618688767</v>
      </c>
      <c r="F66" s="285">
        <v>9</v>
      </c>
      <c r="G66" s="94">
        <f t="shared" si="0"/>
        <v>100</v>
      </c>
      <c r="H66" s="285"/>
      <c r="I66" s="285">
        <v>0</v>
      </c>
      <c r="J66" s="94">
        <f t="shared" si="1"/>
        <v>0</v>
      </c>
      <c r="K66" s="285"/>
      <c r="L66" s="285">
        <v>0</v>
      </c>
      <c r="M66" s="94">
        <f t="shared" si="2"/>
        <v>0</v>
      </c>
      <c r="N66" s="285"/>
      <c r="O66" s="285">
        <v>0</v>
      </c>
      <c r="P66" s="43">
        <f t="shared" si="4"/>
        <v>0</v>
      </c>
      <c r="Q66" s="277"/>
    </row>
    <row r="67" spans="1:17" ht="13.15" customHeight="1">
      <c r="A67" t="s">
        <v>870</v>
      </c>
      <c r="B67" s="65">
        <f t="shared" si="3"/>
        <v>32</v>
      </c>
      <c r="D67" s="94">
        <f t="shared" si="6"/>
        <v>1.2057272042200453</v>
      </c>
      <c r="F67" s="285">
        <v>19</v>
      </c>
      <c r="G67" s="94">
        <f t="shared" si="0"/>
        <v>59.375</v>
      </c>
      <c r="H67" s="285"/>
      <c r="I67" s="285">
        <v>12</v>
      </c>
      <c r="J67" s="94">
        <f t="shared" si="1"/>
        <v>37.5</v>
      </c>
      <c r="K67" s="285"/>
      <c r="L67" s="285">
        <v>1</v>
      </c>
      <c r="M67" s="94">
        <f t="shared" si="2"/>
        <v>3.125</v>
      </c>
      <c r="N67" s="285"/>
      <c r="O67" s="285">
        <v>0</v>
      </c>
      <c r="P67" s="43">
        <f t="shared" si="4"/>
        <v>0</v>
      </c>
      <c r="Q67" s="277"/>
    </row>
    <row r="68" spans="1:17" ht="13.15" customHeight="1">
      <c r="A68" t="s">
        <v>871</v>
      </c>
      <c r="B68" s="65">
        <f t="shared" si="3"/>
        <v>88</v>
      </c>
      <c r="D68" s="94">
        <f t="shared" si="6"/>
        <v>3.3157498116051247</v>
      </c>
      <c r="F68" s="285">
        <v>74</v>
      </c>
      <c r="G68" s="94">
        <f t="shared" si="0"/>
        <v>84.090909090909093</v>
      </c>
      <c r="H68" s="285"/>
      <c r="I68" s="285">
        <v>12</v>
      </c>
      <c r="J68" s="94">
        <f t="shared" si="1"/>
        <v>13.636363636363635</v>
      </c>
      <c r="K68" s="285"/>
      <c r="L68" s="285">
        <v>2</v>
      </c>
      <c r="M68" s="94">
        <f t="shared" si="2"/>
        <v>2.2727272727272729</v>
      </c>
      <c r="N68" s="285"/>
      <c r="O68" s="285">
        <v>0</v>
      </c>
      <c r="P68" s="43">
        <f t="shared" si="4"/>
        <v>0</v>
      </c>
      <c r="Q68" s="277"/>
    </row>
    <row r="69" spans="1:17" ht="13.15" customHeight="1">
      <c r="A69" t="s">
        <v>872</v>
      </c>
      <c r="B69" s="65">
        <f t="shared" si="3"/>
        <v>24</v>
      </c>
      <c r="D69" s="94">
        <f t="shared" si="6"/>
        <v>0.90429540316503387</v>
      </c>
      <c r="F69" s="285">
        <v>21</v>
      </c>
      <c r="G69" s="94">
        <f t="shared" si="0"/>
        <v>87.5</v>
      </c>
      <c r="H69" s="285"/>
      <c r="I69" s="285">
        <v>2</v>
      </c>
      <c r="J69" s="94">
        <f t="shared" si="1"/>
        <v>8.3333333333333321</v>
      </c>
      <c r="K69" s="285"/>
      <c r="L69" s="285">
        <v>1</v>
      </c>
      <c r="M69" s="94">
        <f t="shared" si="2"/>
        <v>4.1666666666666661</v>
      </c>
      <c r="N69" s="285"/>
      <c r="O69" s="285">
        <v>0</v>
      </c>
      <c r="P69" s="43">
        <f t="shared" si="4"/>
        <v>0</v>
      </c>
      <c r="Q69" s="277"/>
    </row>
    <row r="70" spans="1:17" ht="13.15" customHeight="1">
      <c r="A70" t="s">
        <v>873</v>
      </c>
      <c r="B70" s="65">
        <f t="shared" si="3"/>
        <v>42</v>
      </c>
      <c r="D70" s="94">
        <f t="shared" si="6"/>
        <v>1.5825169555388092</v>
      </c>
      <c r="F70" s="285">
        <v>38</v>
      </c>
      <c r="G70" s="94">
        <f t="shared" si="0"/>
        <v>90.476190476190482</v>
      </c>
      <c r="H70" s="285"/>
      <c r="I70" s="285">
        <v>4</v>
      </c>
      <c r="J70" s="94">
        <f t="shared" si="1"/>
        <v>9.5238095238095237</v>
      </c>
      <c r="K70" s="285"/>
      <c r="L70" s="285">
        <v>0</v>
      </c>
      <c r="M70" s="94">
        <f t="shared" si="2"/>
        <v>0</v>
      </c>
      <c r="N70" s="285"/>
      <c r="O70" s="285">
        <v>0</v>
      </c>
      <c r="P70" s="43">
        <f t="shared" si="4"/>
        <v>0</v>
      </c>
      <c r="Q70" s="277"/>
    </row>
    <row r="71" spans="1:17" ht="13.15" customHeight="1">
      <c r="A71" t="s">
        <v>874</v>
      </c>
      <c r="B71" s="65">
        <f t="shared" si="3"/>
        <v>9</v>
      </c>
      <c r="D71" s="94">
        <f t="shared" si="6"/>
        <v>0.33911077618688767</v>
      </c>
      <c r="F71" s="285">
        <v>0</v>
      </c>
      <c r="G71" s="94">
        <f t="shared" si="0"/>
        <v>0</v>
      </c>
      <c r="H71" s="285"/>
      <c r="I71" s="285">
        <v>9</v>
      </c>
      <c r="J71" s="94">
        <f t="shared" si="1"/>
        <v>100</v>
      </c>
      <c r="K71" s="285"/>
      <c r="L71" s="285">
        <v>0</v>
      </c>
      <c r="M71" s="94">
        <f t="shared" si="2"/>
        <v>0</v>
      </c>
      <c r="N71" s="285"/>
      <c r="O71" s="285">
        <v>0</v>
      </c>
      <c r="P71" s="43">
        <f t="shared" si="4"/>
        <v>0</v>
      </c>
      <c r="Q71" s="277"/>
    </row>
    <row r="72" spans="1:17" ht="13.15" customHeight="1">
      <c r="A72" t="s">
        <v>875</v>
      </c>
      <c r="B72" s="65">
        <f t="shared" si="3"/>
        <v>20</v>
      </c>
      <c r="D72" s="94">
        <f t="shared" si="6"/>
        <v>0.75357950263752826</v>
      </c>
      <c r="F72" s="285">
        <v>0</v>
      </c>
      <c r="G72" s="94">
        <f t="shared" si="0"/>
        <v>0</v>
      </c>
      <c r="H72" s="285"/>
      <c r="I72" s="285">
        <v>0</v>
      </c>
      <c r="J72" s="94">
        <f t="shared" si="1"/>
        <v>0</v>
      </c>
      <c r="K72" s="285"/>
      <c r="L72" s="285">
        <v>16</v>
      </c>
      <c r="M72" s="94">
        <f t="shared" si="2"/>
        <v>80</v>
      </c>
      <c r="N72" s="285"/>
      <c r="O72" s="285">
        <v>4</v>
      </c>
      <c r="P72" s="43">
        <f t="shared" si="4"/>
        <v>20</v>
      </c>
      <c r="Q72" s="277"/>
    </row>
    <row r="73" spans="1:17" ht="13.15" customHeight="1">
      <c r="A73" t="s">
        <v>876</v>
      </c>
      <c r="B73" s="65">
        <f t="shared" si="3"/>
        <v>1</v>
      </c>
      <c r="D73" s="94">
        <f t="shared" si="6"/>
        <v>3.7678975131876416E-2</v>
      </c>
      <c r="F73" s="285">
        <v>1</v>
      </c>
      <c r="G73" s="94">
        <f t="shared" si="0"/>
        <v>100</v>
      </c>
      <c r="H73" s="285"/>
      <c r="I73" s="285">
        <v>0</v>
      </c>
      <c r="J73" s="94">
        <f t="shared" si="1"/>
        <v>0</v>
      </c>
      <c r="K73" s="285"/>
      <c r="L73" s="285">
        <v>0</v>
      </c>
      <c r="M73" s="94">
        <f t="shared" si="2"/>
        <v>0</v>
      </c>
      <c r="N73" s="285"/>
      <c r="O73" s="285">
        <v>0</v>
      </c>
      <c r="P73" s="43">
        <f t="shared" si="4"/>
        <v>0</v>
      </c>
      <c r="Q73" s="277"/>
    </row>
    <row r="74" spans="1:17" ht="13.15" customHeight="1">
      <c r="A74" t="s">
        <v>877</v>
      </c>
      <c r="B74" s="65">
        <f t="shared" si="3"/>
        <v>78</v>
      </c>
      <c r="D74" s="94">
        <f t="shared" si="6"/>
        <v>2.9389600602863601</v>
      </c>
      <c r="F74" s="285">
        <v>45</v>
      </c>
      <c r="G74" s="94">
        <f t="shared" si="0"/>
        <v>57.692307692307686</v>
      </c>
      <c r="H74" s="285"/>
      <c r="I74" s="285">
        <v>33</v>
      </c>
      <c r="J74" s="94">
        <f t="shared" si="1"/>
        <v>42.307692307692307</v>
      </c>
      <c r="K74" s="285"/>
      <c r="L74" s="285">
        <v>0</v>
      </c>
      <c r="M74" s="94">
        <f t="shared" si="2"/>
        <v>0</v>
      </c>
      <c r="N74" s="285"/>
      <c r="O74" s="285">
        <v>0</v>
      </c>
      <c r="P74" s="43">
        <f t="shared" si="4"/>
        <v>0</v>
      </c>
      <c r="Q74" s="277"/>
    </row>
    <row r="75" spans="1:17" ht="13.15" customHeight="1">
      <c r="A75" t="s">
        <v>878</v>
      </c>
      <c r="B75" s="65">
        <f t="shared" si="3"/>
        <v>33</v>
      </c>
      <c r="D75" s="94">
        <f t="shared" si="6"/>
        <v>1.2434061793519218</v>
      </c>
      <c r="F75" s="285">
        <v>25</v>
      </c>
      <c r="G75" s="94">
        <f t="shared" ref="G75:G98" si="7">IF($A75&lt;&gt;0,F75/$B75*100,"")</f>
        <v>75.757575757575751</v>
      </c>
      <c r="H75" s="285"/>
      <c r="I75" s="285">
        <v>8</v>
      </c>
      <c r="J75" s="94">
        <f t="shared" ref="J75:J98" si="8">IF($A75&lt;&gt;0,I75/$B75*100,"")</f>
        <v>24.242424242424242</v>
      </c>
      <c r="K75" s="285"/>
      <c r="L75" s="285">
        <v>0</v>
      </c>
      <c r="M75" s="94">
        <f t="shared" ref="M75:M98" si="9">IF($A75&lt;&gt;0,L75/$B75*100,"")</f>
        <v>0</v>
      </c>
      <c r="N75" s="285"/>
      <c r="O75" s="285">
        <v>0</v>
      </c>
      <c r="P75" s="43">
        <f t="shared" si="4"/>
        <v>0</v>
      </c>
      <c r="Q75" s="277"/>
    </row>
    <row r="76" spans="1:17" ht="13.15" customHeight="1">
      <c r="A76" t="s">
        <v>879</v>
      </c>
      <c r="B76" s="65">
        <f t="shared" ref="B76:B98" si="10">IF($A76&lt;&gt;0,F76+I76+L76+O76,"")</f>
        <v>15</v>
      </c>
      <c r="D76" s="94">
        <f t="shared" si="6"/>
        <v>0.5651846269781462</v>
      </c>
      <c r="F76" s="285">
        <v>15</v>
      </c>
      <c r="G76" s="94">
        <f t="shared" si="7"/>
        <v>100</v>
      </c>
      <c r="H76" s="285"/>
      <c r="I76" s="285">
        <v>0</v>
      </c>
      <c r="J76" s="94">
        <f t="shared" si="8"/>
        <v>0</v>
      </c>
      <c r="K76" s="285"/>
      <c r="L76" s="285">
        <v>0</v>
      </c>
      <c r="M76" s="94">
        <f t="shared" si="9"/>
        <v>0</v>
      </c>
      <c r="N76" s="285"/>
      <c r="O76" s="285">
        <v>0</v>
      </c>
      <c r="P76" s="43">
        <f t="shared" ref="P76:P98" si="11">IF($A76&lt;&gt;0,O76/$B76*100,"")</f>
        <v>0</v>
      </c>
      <c r="Q76" s="277"/>
    </row>
    <row r="77" spans="1:17" ht="13.15" customHeight="1">
      <c r="A77" t="s">
        <v>880</v>
      </c>
      <c r="B77" s="65">
        <f t="shared" si="10"/>
        <v>26</v>
      </c>
      <c r="D77" s="94">
        <f t="shared" si="6"/>
        <v>0.97965335342878668</v>
      </c>
      <c r="F77" s="285">
        <v>25</v>
      </c>
      <c r="G77" s="94">
        <f t="shared" si="7"/>
        <v>96.15384615384616</v>
      </c>
      <c r="H77" s="285"/>
      <c r="I77" s="285">
        <v>1</v>
      </c>
      <c r="J77" s="94">
        <f t="shared" si="8"/>
        <v>3.8461538461538463</v>
      </c>
      <c r="K77" s="285"/>
      <c r="L77" s="285">
        <v>0</v>
      </c>
      <c r="M77" s="94">
        <f t="shared" si="9"/>
        <v>0</v>
      </c>
      <c r="N77" s="285"/>
      <c r="O77" s="285">
        <v>0</v>
      </c>
      <c r="P77" s="43">
        <f t="shared" si="11"/>
        <v>0</v>
      </c>
      <c r="Q77" s="277"/>
    </row>
    <row r="78" spans="1:17" ht="13.15" customHeight="1">
      <c r="A78" t="s">
        <v>881</v>
      </c>
      <c r="B78" s="65">
        <f t="shared" si="10"/>
        <v>2</v>
      </c>
      <c r="D78" s="94">
        <f t="shared" si="6"/>
        <v>7.5357950263752832E-2</v>
      </c>
      <c r="F78" s="285">
        <v>2</v>
      </c>
      <c r="G78" s="94">
        <f t="shared" si="7"/>
        <v>100</v>
      </c>
      <c r="H78" s="285"/>
      <c r="I78" s="285">
        <v>0</v>
      </c>
      <c r="J78" s="94">
        <f t="shared" si="8"/>
        <v>0</v>
      </c>
      <c r="K78" s="285"/>
      <c r="L78" s="285">
        <v>0</v>
      </c>
      <c r="M78" s="94">
        <f t="shared" si="9"/>
        <v>0</v>
      </c>
      <c r="N78" s="285"/>
      <c r="O78" s="285">
        <v>0</v>
      </c>
      <c r="P78" s="43">
        <f t="shared" si="11"/>
        <v>0</v>
      </c>
      <c r="Q78" s="277"/>
    </row>
    <row r="79" spans="1:17" ht="7.5" customHeight="1">
      <c r="B79" s="65" t="str">
        <f t="shared" si="10"/>
        <v/>
      </c>
      <c r="D79" s="94" t="str">
        <f t="shared" si="6"/>
        <v/>
      </c>
      <c r="F79" s="45"/>
      <c r="G79" s="94" t="str">
        <f t="shared" si="7"/>
        <v/>
      </c>
      <c r="H79" s="45"/>
      <c r="I79" s="45"/>
      <c r="J79" s="94" t="str">
        <f t="shared" si="8"/>
        <v/>
      </c>
      <c r="K79" s="45"/>
      <c r="L79" s="45"/>
      <c r="M79" s="94" t="str">
        <f t="shared" si="9"/>
        <v/>
      </c>
      <c r="N79" s="45"/>
      <c r="O79" s="287">
        <v>0</v>
      </c>
      <c r="P79" s="43" t="str">
        <f t="shared" si="11"/>
        <v/>
      </c>
    </row>
    <row r="80" spans="1:17" ht="13.15" customHeight="1">
      <c r="A80" s="63" t="s">
        <v>882</v>
      </c>
      <c r="B80" s="65">
        <f t="shared" si="10"/>
        <v>354</v>
      </c>
      <c r="D80" s="94">
        <f t="shared" si="6"/>
        <v>13.33835719668425</v>
      </c>
      <c r="F80" s="288">
        <f>SUM(F81:F83)</f>
        <v>285</v>
      </c>
      <c r="G80" s="94">
        <f t="shared" si="7"/>
        <v>80.508474576271183</v>
      </c>
      <c r="H80" s="45"/>
      <c r="I80" s="288">
        <f>SUM(I81:I83)</f>
        <v>61</v>
      </c>
      <c r="J80" s="94">
        <f t="shared" si="8"/>
        <v>17.231638418079097</v>
      </c>
      <c r="K80" s="45"/>
      <c r="L80" s="288">
        <f>SUM(L81:L83)</f>
        <v>7</v>
      </c>
      <c r="M80" s="94">
        <f t="shared" si="9"/>
        <v>1.977401129943503</v>
      </c>
      <c r="N80" s="287"/>
      <c r="O80" s="288">
        <f>SUM(O81:O83)</f>
        <v>1</v>
      </c>
      <c r="P80" s="43">
        <f t="shared" si="11"/>
        <v>0.2824858757062147</v>
      </c>
    </row>
    <row r="81" spans="1:17" ht="13.15" customHeight="1">
      <c r="A81" t="s">
        <v>883</v>
      </c>
      <c r="B81" s="65">
        <f t="shared" si="10"/>
        <v>119</v>
      </c>
      <c r="D81" s="94">
        <f t="shared" si="6"/>
        <v>4.4837980406932934</v>
      </c>
      <c r="F81" s="285">
        <v>68</v>
      </c>
      <c r="G81" s="94">
        <f t="shared" si="7"/>
        <v>57.142857142857139</v>
      </c>
      <c r="H81" s="285"/>
      <c r="I81" s="285">
        <v>51</v>
      </c>
      <c r="J81" s="94">
        <f t="shared" si="8"/>
        <v>42.857142857142854</v>
      </c>
      <c r="K81" s="285"/>
      <c r="L81" s="285">
        <v>0</v>
      </c>
      <c r="M81" s="94">
        <f t="shared" si="9"/>
        <v>0</v>
      </c>
      <c r="N81" s="285"/>
      <c r="O81" s="285">
        <v>0</v>
      </c>
      <c r="P81" s="43">
        <f t="shared" si="11"/>
        <v>0</v>
      </c>
      <c r="Q81" s="277"/>
    </row>
    <row r="82" spans="1:17" ht="12" customHeight="1">
      <c r="A82" t="s">
        <v>884</v>
      </c>
      <c r="B82" s="65">
        <f t="shared" si="10"/>
        <v>213</v>
      </c>
      <c r="D82" s="94">
        <f t="shared" si="6"/>
        <v>8.0256217030896764</v>
      </c>
      <c r="F82" s="285">
        <v>213</v>
      </c>
      <c r="G82" s="94">
        <f t="shared" si="7"/>
        <v>100</v>
      </c>
      <c r="H82" s="285"/>
      <c r="I82" s="285">
        <v>0</v>
      </c>
      <c r="J82" s="94">
        <f t="shared" si="8"/>
        <v>0</v>
      </c>
      <c r="K82" s="285"/>
      <c r="L82" s="285">
        <v>0</v>
      </c>
      <c r="M82" s="94">
        <f t="shared" si="9"/>
        <v>0</v>
      </c>
      <c r="N82" s="285"/>
      <c r="O82" s="285">
        <v>0</v>
      </c>
      <c r="P82" s="43">
        <f t="shared" si="11"/>
        <v>0</v>
      </c>
      <c r="Q82" s="277"/>
    </row>
    <row r="83" spans="1:17" ht="13.15" customHeight="1">
      <c r="A83" t="s">
        <v>885</v>
      </c>
      <c r="B83" s="65">
        <f t="shared" si="10"/>
        <v>22</v>
      </c>
      <c r="D83" s="94">
        <f t="shared" si="6"/>
        <v>0.82893745290128118</v>
      </c>
      <c r="F83" s="285">
        <v>4</v>
      </c>
      <c r="G83" s="94">
        <f t="shared" si="7"/>
        <v>18.181818181818183</v>
      </c>
      <c r="H83" s="285"/>
      <c r="I83" s="285">
        <v>10</v>
      </c>
      <c r="J83" s="94">
        <f t="shared" si="8"/>
        <v>45.454545454545453</v>
      </c>
      <c r="K83" s="285"/>
      <c r="L83" s="285">
        <v>7</v>
      </c>
      <c r="M83" s="94">
        <f t="shared" si="9"/>
        <v>31.818181818181817</v>
      </c>
      <c r="N83" s="285"/>
      <c r="O83" s="285">
        <v>1</v>
      </c>
      <c r="P83" s="43">
        <f t="shared" si="11"/>
        <v>4.5454545454545459</v>
      </c>
      <c r="Q83" s="277"/>
    </row>
    <row r="84" spans="1:17" ht="9.9499999999999993" customHeight="1">
      <c r="B84" s="65" t="str">
        <f t="shared" si="10"/>
        <v/>
      </c>
      <c r="D84" s="94" t="str">
        <f t="shared" si="6"/>
        <v/>
      </c>
      <c r="G84" s="94" t="str">
        <f t="shared" si="7"/>
        <v/>
      </c>
      <c r="J84" s="94" t="str">
        <f t="shared" si="8"/>
        <v/>
      </c>
      <c r="L84" s="289"/>
      <c r="M84" s="94" t="str">
        <f t="shared" si="9"/>
        <v/>
      </c>
      <c r="P84" s="43" t="str">
        <f t="shared" si="11"/>
        <v/>
      </c>
    </row>
    <row r="85" spans="1:17" ht="13.15" customHeight="1">
      <c r="A85" s="90" t="s">
        <v>346</v>
      </c>
      <c r="B85" s="65">
        <f t="shared" si="10"/>
        <v>165</v>
      </c>
      <c r="D85" s="94">
        <f t="shared" ref="D85:D98" si="12">IF(A85&lt;&gt;0,B85/$B$11*100,"")</f>
        <v>6.2170308967596082</v>
      </c>
      <c r="F85" s="93">
        <f>SUM(F86)</f>
        <v>7</v>
      </c>
      <c r="G85" s="94">
        <f t="shared" si="7"/>
        <v>4.2424242424242431</v>
      </c>
      <c r="I85" s="93">
        <f>SUM(I86)</f>
        <v>104</v>
      </c>
      <c r="J85" s="94">
        <f t="shared" si="8"/>
        <v>63.030303030303024</v>
      </c>
      <c r="L85" s="93">
        <f>SUM(L86)</f>
        <v>54</v>
      </c>
      <c r="M85" s="94">
        <f t="shared" si="9"/>
        <v>32.727272727272727</v>
      </c>
      <c r="O85" s="93">
        <f>SUM(O86)</f>
        <v>0</v>
      </c>
      <c r="P85" s="43">
        <f t="shared" si="11"/>
        <v>0</v>
      </c>
    </row>
    <row r="86" spans="1:17" s="36" customFormat="1" ht="12" customHeight="1">
      <c r="A86" s="63" t="s">
        <v>824</v>
      </c>
      <c r="B86" s="65">
        <f t="shared" si="10"/>
        <v>165</v>
      </c>
      <c r="C86" s="251"/>
      <c r="D86" s="94">
        <f t="shared" si="12"/>
        <v>6.2170308967596082</v>
      </c>
      <c r="E86" s="95"/>
      <c r="F86" s="251">
        <f>SUM(F87:F98)</f>
        <v>7</v>
      </c>
      <c r="G86" s="94">
        <f t="shared" si="7"/>
        <v>4.2424242424242431</v>
      </c>
      <c r="H86" s="95"/>
      <c r="I86" s="251">
        <f>SUM(I87:I98)</f>
        <v>104</v>
      </c>
      <c r="J86" s="94">
        <f t="shared" si="8"/>
        <v>63.030303030303024</v>
      </c>
      <c r="K86" s="95"/>
      <c r="L86" s="251">
        <f>SUM(L87:L98)</f>
        <v>54</v>
      </c>
      <c r="M86" s="94">
        <f t="shared" si="9"/>
        <v>32.727272727272727</v>
      </c>
      <c r="N86" s="95"/>
      <c r="O86" s="251">
        <f>SUM(O87:O98)</f>
        <v>0</v>
      </c>
      <c r="P86" s="43">
        <f t="shared" si="11"/>
        <v>0</v>
      </c>
    </row>
    <row r="87" spans="1:17" s="36" customFormat="1" ht="12.75" customHeight="1">
      <c r="A87" s="36" t="s">
        <v>38</v>
      </c>
      <c r="B87" s="65">
        <f t="shared" si="10"/>
        <v>16</v>
      </c>
      <c r="C87" s="251"/>
      <c r="D87" s="94">
        <f t="shared" si="12"/>
        <v>0.60286360211002266</v>
      </c>
      <c r="E87" s="95"/>
      <c r="F87" s="290">
        <v>0</v>
      </c>
      <c r="G87" s="94">
        <f t="shared" si="7"/>
        <v>0</v>
      </c>
      <c r="I87" s="291">
        <v>16</v>
      </c>
      <c r="J87" s="94">
        <f t="shared" si="8"/>
        <v>100</v>
      </c>
      <c r="K87" s="95"/>
      <c r="L87" s="291">
        <v>0</v>
      </c>
      <c r="M87" s="94">
        <f t="shared" si="9"/>
        <v>0</v>
      </c>
      <c r="N87" s="95"/>
      <c r="O87" s="95"/>
      <c r="P87" s="43">
        <f t="shared" si="11"/>
        <v>0</v>
      </c>
    </row>
    <row r="88" spans="1:17" s="36" customFormat="1" ht="12.75" customHeight="1">
      <c r="A88" s="36" t="s">
        <v>886</v>
      </c>
      <c r="B88" s="65">
        <f t="shared" si="10"/>
        <v>19</v>
      </c>
      <c r="C88" s="251"/>
      <c r="D88" s="94">
        <f t="shared" si="12"/>
        <v>0.71590052750565192</v>
      </c>
      <c r="E88" s="95"/>
      <c r="F88" s="290">
        <v>0</v>
      </c>
      <c r="G88" s="94">
        <f t="shared" si="7"/>
        <v>0</v>
      </c>
      <c r="I88" s="291">
        <v>17</v>
      </c>
      <c r="J88" s="94">
        <f t="shared" si="8"/>
        <v>89.473684210526315</v>
      </c>
      <c r="L88" s="291">
        <v>2</v>
      </c>
      <c r="M88" s="94">
        <f t="shared" si="9"/>
        <v>10.526315789473683</v>
      </c>
      <c r="P88" s="43">
        <f t="shared" si="11"/>
        <v>0</v>
      </c>
    </row>
    <row r="89" spans="1:17" s="36" customFormat="1" ht="12.75" customHeight="1">
      <c r="A89" s="36" t="s">
        <v>887</v>
      </c>
      <c r="B89" s="65">
        <f t="shared" si="10"/>
        <v>11</v>
      </c>
      <c r="C89" s="251"/>
      <c r="D89" s="94">
        <f t="shared" si="12"/>
        <v>0.41446872645064059</v>
      </c>
      <c r="E89" s="95"/>
      <c r="F89" s="290">
        <v>0</v>
      </c>
      <c r="G89" s="94">
        <f t="shared" si="7"/>
        <v>0</v>
      </c>
      <c r="I89" s="291">
        <v>3</v>
      </c>
      <c r="J89" s="94">
        <f t="shared" si="8"/>
        <v>27.27272727272727</v>
      </c>
      <c r="L89" s="291">
        <v>8</v>
      </c>
      <c r="M89" s="94">
        <f t="shared" si="9"/>
        <v>72.727272727272734</v>
      </c>
      <c r="P89" s="43">
        <f t="shared" si="11"/>
        <v>0</v>
      </c>
    </row>
    <row r="90" spans="1:17" s="36" customFormat="1" ht="12.75" customHeight="1">
      <c r="A90" s="36" t="s">
        <v>888</v>
      </c>
      <c r="B90" s="65">
        <f t="shared" si="10"/>
        <v>26</v>
      </c>
      <c r="C90" s="251"/>
      <c r="D90" s="94">
        <f t="shared" si="12"/>
        <v>0.97965335342878668</v>
      </c>
      <c r="E90" s="95"/>
      <c r="F90" s="290">
        <v>1</v>
      </c>
      <c r="G90" s="94">
        <f t="shared" si="7"/>
        <v>3.8461538461538463</v>
      </c>
      <c r="I90" s="291">
        <v>13</v>
      </c>
      <c r="J90" s="94">
        <f t="shared" si="8"/>
        <v>50</v>
      </c>
      <c r="L90" s="291">
        <v>12</v>
      </c>
      <c r="M90" s="94">
        <f t="shared" si="9"/>
        <v>46.153846153846153</v>
      </c>
      <c r="P90" s="43">
        <f t="shared" si="11"/>
        <v>0</v>
      </c>
    </row>
    <row r="91" spans="1:17" s="36" customFormat="1" ht="12.75" customHeight="1">
      <c r="A91" s="36" t="s">
        <v>889</v>
      </c>
      <c r="B91" s="65">
        <f t="shared" si="10"/>
        <v>20</v>
      </c>
      <c r="C91" s="251"/>
      <c r="D91" s="94">
        <f t="shared" si="12"/>
        <v>0.75357950263752826</v>
      </c>
      <c r="E91" s="95"/>
      <c r="F91" s="290">
        <v>1</v>
      </c>
      <c r="G91" s="94">
        <f t="shared" si="7"/>
        <v>5</v>
      </c>
      <c r="I91" s="291">
        <v>7</v>
      </c>
      <c r="J91" s="94">
        <f t="shared" si="8"/>
        <v>35</v>
      </c>
      <c r="L91" s="291">
        <v>12</v>
      </c>
      <c r="M91" s="94">
        <f t="shared" si="9"/>
        <v>60</v>
      </c>
      <c r="P91" s="43">
        <f t="shared" si="11"/>
        <v>0</v>
      </c>
    </row>
    <row r="92" spans="1:17" s="36" customFormat="1" ht="12.75" customHeight="1">
      <c r="A92" s="64" t="s">
        <v>904</v>
      </c>
      <c r="B92" s="65">
        <f>IF($A92&lt;&gt;0,F92+I92+L92+O92,"")</f>
        <v>11</v>
      </c>
      <c r="C92" s="251"/>
      <c r="D92" s="94">
        <f>IF(A92&lt;&gt;0,B92/$B$11*100,"")</f>
        <v>0.41446872645064059</v>
      </c>
      <c r="E92" s="95"/>
      <c r="F92" s="290">
        <v>0</v>
      </c>
      <c r="G92" s="94">
        <f t="shared" si="7"/>
        <v>0</v>
      </c>
      <c r="I92" s="291">
        <v>2</v>
      </c>
      <c r="J92" s="94">
        <f t="shared" si="8"/>
        <v>18.181818181818183</v>
      </c>
      <c r="L92" s="291">
        <v>9</v>
      </c>
      <c r="M92" s="94">
        <f t="shared" si="9"/>
        <v>81.818181818181827</v>
      </c>
      <c r="P92" s="43"/>
    </row>
    <row r="93" spans="1:17" s="36" customFormat="1" ht="12.75" customHeight="1">
      <c r="A93" s="36" t="s">
        <v>890</v>
      </c>
      <c r="B93" s="65">
        <f t="shared" si="10"/>
        <v>8</v>
      </c>
      <c r="C93" s="251"/>
      <c r="D93" s="94">
        <f t="shared" si="12"/>
        <v>0.30143180105501133</v>
      </c>
      <c r="E93" s="95"/>
      <c r="F93" s="290">
        <v>2</v>
      </c>
      <c r="G93" s="94">
        <f t="shared" si="7"/>
        <v>25</v>
      </c>
      <c r="I93" s="291">
        <v>6</v>
      </c>
      <c r="J93" s="94">
        <f t="shared" si="8"/>
        <v>75</v>
      </c>
      <c r="L93" s="291">
        <v>0</v>
      </c>
      <c r="M93" s="94">
        <f t="shared" si="9"/>
        <v>0</v>
      </c>
      <c r="P93" s="43">
        <f t="shared" si="11"/>
        <v>0</v>
      </c>
    </row>
    <row r="94" spans="1:17" s="36" customFormat="1" ht="12.75" customHeight="1">
      <c r="A94" s="36" t="s">
        <v>26</v>
      </c>
      <c r="B94" s="65">
        <f t="shared" si="10"/>
        <v>7</v>
      </c>
      <c r="C94" s="251"/>
      <c r="D94" s="94">
        <f t="shared" si="12"/>
        <v>0.26375282592313487</v>
      </c>
      <c r="E94" s="95"/>
      <c r="F94" s="292">
        <v>2</v>
      </c>
      <c r="G94" s="94">
        <f t="shared" si="7"/>
        <v>28.571428571428569</v>
      </c>
      <c r="I94" s="293">
        <v>5</v>
      </c>
      <c r="J94" s="94">
        <f t="shared" si="8"/>
        <v>71.428571428571431</v>
      </c>
      <c r="L94" s="293">
        <v>0</v>
      </c>
      <c r="M94" s="94">
        <f t="shared" si="9"/>
        <v>0</v>
      </c>
      <c r="P94" s="43">
        <f t="shared" si="11"/>
        <v>0</v>
      </c>
    </row>
    <row r="95" spans="1:17" s="36" customFormat="1" ht="12.75" customHeight="1">
      <c r="A95" s="64" t="s">
        <v>812</v>
      </c>
      <c r="B95" s="65">
        <f>IF($A95&lt;&gt;0,F95+I95+L95+O95,"")</f>
        <v>26</v>
      </c>
      <c r="C95" s="251"/>
      <c r="D95" s="94">
        <f>IF(A95&lt;&gt;0,B95/$B$11*100,"")</f>
        <v>0.97965335342878668</v>
      </c>
      <c r="E95" s="95"/>
      <c r="F95" s="290">
        <v>0</v>
      </c>
      <c r="G95" s="94">
        <f t="shared" si="7"/>
        <v>0</v>
      </c>
      <c r="I95" s="291">
        <v>26</v>
      </c>
      <c r="J95" s="94">
        <f t="shared" si="8"/>
        <v>100</v>
      </c>
      <c r="L95" s="291">
        <v>0</v>
      </c>
      <c r="M95" s="94">
        <f t="shared" si="9"/>
        <v>0</v>
      </c>
      <c r="P95" s="43"/>
    </row>
    <row r="96" spans="1:17" s="36" customFormat="1" ht="12.75" customHeight="1">
      <c r="A96" s="42" t="s">
        <v>892</v>
      </c>
      <c r="B96" s="65">
        <f t="shared" si="10"/>
        <v>13</v>
      </c>
      <c r="C96" s="251"/>
      <c r="D96" s="94">
        <f t="shared" si="12"/>
        <v>0.48982667671439334</v>
      </c>
      <c r="E96" s="95"/>
      <c r="F96" s="290">
        <v>0</v>
      </c>
      <c r="G96" s="94">
        <f t="shared" si="7"/>
        <v>0</v>
      </c>
      <c r="I96" s="291">
        <v>2</v>
      </c>
      <c r="J96" s="94">
        <f t="shared" si="8"/>
        <v>15.384615384615385</v>
      </c>
      <c r="L96" s="291">
        <v>11</v>
      </c>
      <c r="M96" s="94">
        <f t="shared" si="9"/>
        <v>84.615384615384613</v>
      </c>
      <c r="P96" s="43">
        <f t="shared" si="11"/>
        <v>0</v>
      </c>
    </row>
    <row r="97" spans="1:17" s="36" customFormat="1" ht="12.75" customHeight="1">
      <c r="A97" t="s">
        <v>47</v>
      </c>
      <c r="B97" s="65">
        <f t="shared" si="10"/>
        <v>1</v>
      </c>
      <c r="C97" s="251"/>
      <c r="D97" s="94">
        <f t="shared" si="12"/>
        <v>3.7678975131876416E-2</v>
      </c>
      <c r="E97" s="95"/>
      <c r="F97" s="290">
        <v>1</v>
      </c>
      <c r="G97" s="94">
        <f t="shared" si="7"/>
        <v>100</v>
      </c>
      <c r="I97" s="291">
        <v>0</v>
      </c>
      <c r="J97" s="94">
        <f t="shared" si="8"/>
        <v>0</v>
      </c>
      <c r="L97" s="291">
        <v>0</v>
      </c>
      <c r="M97" s="94">
        <f t="shared" si="9"/>
        <v>0</v>
      </c>
      <c r="P97" s="43">
        <f t="shared" si="11"/>
        <v>0</v>
      </c>
    </row>
    <row r="98" spans="1:17" s="36" customFormat="1" ht="12.75" customHeight="1">
      <c r="A98" t="s">
        <v>46</v>
      </c>
      <c r="B98" s="65">
        <f t="shared" si="10"/>
        <v>7</v>
      </c>
      <c r="C98" s="251"/>
      <c r="D98" s="94">
        <f t="shared" si="12"/>
        <v>0.26375282592313487</v>
      </c>
      <c r="E98" s="95"/>
      <c r="F98" s="290">
        <v>0</v>
      </c>
      <c r="G98" s="94">
        <f t="shared" si="7"/>
        <v>0</v>
      </c>
      <c r="I98" s="291">
        <v>7</v>
      </c>
      <c r="J98" s="94">
        <f t="shared" si="8"/>
        <v>100</v>
      </c>
      <c r="L98" s="291">
        <v>0</v>
      </c>
      <c r="M98" s="94">
        <f t="shared" si="9"/>
        <v>0</v>
      </c>
      <c r="P98" s="43">
        <f t="shared" si="11"/>
        <v>0</v>
      </c>
    </row>
    <row r="99" spans="1:17" ht="7.5" customHeight="1" thickBot="1">
      <c r="A99" s="15"/>
      <c r="B99" s="247"/>
      <c r="C99" s="250"/>
      <c r="D99" s="248"/>
      <c r="E99" s="249"/>
      <c r="F99" s="250"/>
      <c r="G99" s="248"/>
      <c r="H99" s="249"/>
      <c r="I99" s="250"/>
      <c r="J99" s="248"/>
      <c r="K99" s="249"/>
      <c r="L99" s="250"/>
      <c r="M99" s="248"/>
      <c r="N99" s="249"/>
      <c r="O99" s="250"/>
      <c r="P99" s="60"/>
      <c r="Q99" s="15"/>
    </row>
    <row r="100" spans="1:17" ht="9" customHeight="1"/>
    <row r="101" spans="1:17">
      <c r="A101" s="256" t="s">
        <v>810</v>
      </c>
      <c r="C101" s="94"/>
      <c r="D101" s="42"/>
      <c r="E101" s="93"/>
      <c r="F101" s="94"/>
      <c r="G101" s="42"/>
      <c r="H101" s="93"/>
      <c r="I101" s="94"/>
      <c r="J101" s="42"/>
      <c r="K101" s="93"/>
      <c r="L101" s="94"/>
      <c r="M101" s="42"/>
      <c r="N101" s="93"/>
      <c r="O101" s="94"/>
      <c r="P101"/>
      <c r="Q101" s="41"/>
    </row>
    <row r="102" spans="1:17" ht="7.5" customHeight="1"/>
    <row r="103" spans="1:17">
      <c r="A103" s="4" t="s">
        <v>905</v>
      </c>
    </row>
    <row r="104" spans="1:17">
      <c r="A104" t="s">
        <v>365</v>
      </c>
    </row>
    <row r="105" spans="1:17">
      <c r="A105" s="36"/>
      <c r="B105" s="239"/>
      <c r="C105" s="251"/>
      <c r="D105" s="240"/>
      <c r="E105" s="95"/>
      <c r="F105" s="251"/>
      <c r="G105" s="240"/>
      <c r="H105" s="95"/>
      <c r="I105" s="251"/>
      <c r="J105" s="240"/>
      <c r="K105" s="95"/>
      <c r="L105" s="251"/>
      <c r="M105" s="240"/>
    </row>
  </sheetData>
  <mergeCells count="5">
    <mergeCell ref="B7:D7"/>
    <mergeCell ref="F7:G7"/>
    <mergeCell ref="I7:J7"/>
    <mergeCell ref="L7:M7"/>
    <mergeCell ref="O7:P7"/>
  </mergeCells>
  <printOptions horizontalCentered="1" verticalCentered="1"/>
  <pageMargins left="0" right="0" top="0" bottom="0" header="0.31496062992125984" footer="0.31496062992125984"/>
  <pageSetup paperSize="9" scale="60" orientation="portrait" r:id="rId1"/>
  <ignoredErrors>
    <ignoredError sqref="O21" formulaRange="1"/>
  </ignoredErrors>
  <drawing r:id="rId2"/>
</worksheet>
</file>

<file path=xl/worksheets/sheet44.xml><?xml version="1.0" encoding="utf-8"?>
<worksheet xmlns="http://schemas.openxmlformats.org/spreadsheetml/2006/main" xmlns:r="http://schemas.openxmlformats.org/officeDocument/2006/relationships">
  <dimension ref="A1:S113"/>
  <sheetViews>
    <sheetView topLeftCell="A82" workbookViewId="0">
      <selection activeCell="A4" sqref="A4"/>
    </sheetView>
  </sheetViews>
  <sheetFormatPr baseColWidth="10" defaultColWidth="8.85546875" defaultRowHeight="15"/>
  <cols>
    <col min="1" max="1" width="34.7109375" customWidth="1"/>
    <col min="2" max="2" width="8.28515625" style="65" customWidth="1"/>
    <col min="3" max="3" width="8" style="94" customWidth="1"/>
    <col min="4" max="4" width="2.5703125" style="42" customWidth="1"/>
    <col min="5" max="5" width="8.28515625" style="65" customWidth="1"/>
    <col min="6" max="6" width="7.42578125" style="94" customWidth="1"/>
    <col min="7" max="7" width="2.7109375" style="42" customWidth="1"/>
    <col min="8" max="8" width="8.28515625" style="93" customWidth="1"/>
    <col min="9" max="9" width="8.28515625" style="94" customWidth="1"/>
    <col min="10" max="10" width="2.7109375" style="42" customWidth="1"/>
    <col min="11" max="11" width="8.28515625" style="93" customWidth="1"/>
    <col min="12" max="12" width="8.42578125" style="94" customWidth="1"/>
    <col min="13" max="13" width="2.7109375" style="42" customWidth="1"/>
    <col min="14" max="14" width="8.28515625" style="93" customWidth="1"/>
    <col min="15" max="15" width="8.28515625" style="94" customWidth="1"/>
    <col min="16" max="16" width="2.7109375" style="42" customWidth="1"/>
    <col min="17" max="17" width="8.28515625" style="93" customWidth="1"/>
    <col min="18" max="18" width="8.28515625" style="43" customWidth="1"/>
    <col min="19" max="19" width="2.7109375" customWidth="1"/>
    <col min="257" max="257" width="34.7109375" customWidth="1"/>
    <col min="258" max="258" width="8.28515625" customWidth="1"/>
    <col min="259" max="259" width="8" customWidth="1"/>
    <col min="260" max="260" width="2.5703125" customWidth="1"/>
    <col min="261" max="261" width="8.28515625" customWidth="1"/>
    <col min="262" max="262" width="7.42578125" customWidth="1"/>
    <col min="263" max="263" width="2.7109375" customWidth="1"/>
    <col min="264" max="265" width="8.28515625" customWidth="1"/>
    <col min="266" max="266" width="2.7109375" customWidth="1"/>
    <col min="267" max="267" width="8.28515625" customWidth="1"/>
    <col min="268" max="268" width="8.42578125" customWidth="1"/>
    <col min="269" max="269" width="2.7109375" customWidth="1"/>
    <col min="270" max="271" width="8.28515625" customWidth="1"/>
    <col min="272" max="272" width="2.7109375" customWidth="1"/>
    <col min="273" max="274" width="8.28515625" customWidth="1"/>
    <col min="275" max="275" width="2.7109375" customWidth="1"/>
    <col min="513" max="513" width="34.7109375" customWidth="1"/>
    <col min="514" max="514" width="8.28515625" customWidth="1"/>
    <col min="515" max="515" width="8" customWidth="1"/>
    <col min="516" max="516" width="2.5703125" customWidth="1"/>
    <col min="517" max="517" width="8.28515625" customWidth="1"/>
    <col min="518" max="518" width="7.42578125" customWidth="1"/>
    <col min="519" max="519" width="2.7109375" customWidth="1"/>
    <col min="520" max="521" width="8.28515625" customWidth="1"/>
    <col min="522" max="522" width="2.7109375" customWidth="1"/>
    <col min="523" max="523" width="8.28515625" customWidth="1"/>
    <col min="524" max="524" width="8.42578125" customWidth="1"/>
    <col min="525" max="525" width="2.7109375" customWidth="1"/>
    <col min="526" max="527" width="8.28515625" customWidth="1"/>
    <col min="528" max="528" width="2.7109375" customWidth="1"/>
    <col min="529" max="530" width="8.28515625" customWidth="1"/>
    <col min="531" max="531" width="2.7109375" customWidth="1"/>
    <col min="769" max="769" width="34.7109375" customWidth="1"/>
    <col min="770" max="770" width="8.28515625" customWidth="1"/>
    <col min="771" max="771" width="8" customWidth="1"/>
    <col min="772" max="772" width="2.5703125" customWidth="1"/>
    <col min="773" max="773" width="8.28515625" customWidth="1"/>
    <col min="774" max="774" width="7.42578125" customWidth="1"/>
    <col min="775" max="775" width="2.7109375" customWidth="1"/>
    <col min="776" max="777" width="8.28515625" customWidth="1"/>
    <col min="778" max="778" width="2.7109375" customWidth="1"/>
    <col min="779" max="779" width="8.28515625" customWidth="1"/>
    <col min="780" max="780" width="8.42578125" customWidth="1"/>
    <col min="781" max="781" width="2.7109375" customWidth="1"/>
    <col min="782" max="783" width="8.28515625" customWidth="1"/>
    <col min="784" max="784" width="2.7109375" customWidth="1"/>
    <col min="785" max="786" width="8.28515625" customWidth="1"/>
    <col min="787" max="787" width="2.7109375" customWidth="1"/>
    <col min="1025" max="1025" width="34.7109375" customWidth="1"/>
    <col min="1026" max="1026" width="8.28515625" customWidth="1"/>
    <col min="1027" max="1027" width="8" customWidth="1"/>
    <col min="1028" max="1028" width="2.5703125" customWidth="1"/>
    <col min="1029" max="1029" width="8.28515625" customWidth="1"/>
    <col min="1030" max="1030" width="7.42578125" customWidth="1"/>
    <col min="1031" max="1031" width="2.7109375" customWidth="1"/>
    <col min="1032" max="1033" width="8.28515625" customWidth="1"/>
    <col min="1034" max="1034" width="2.7109375" customWidth="1"/>
    <col min="1035" max="1035" width="8.28515625" customWidth="1"/>
    <col min="1036" max="1036" width="8.42578125" customWidth="1"/>
    <col min="1037" max="1037" width="2.7109375" customWidth="1"/>
    <col min="1038" max="1039" width="8.28515625" customWidth="1"/>
    <col min="1040" max="1040" width="2.7109375" customWidth="1"/>
    <col min="1041" max="1042" width="8.28515625" customWidth="1"/>
    <col min="1043" max="1043" width="2.7109375" customWidth="1"/>
    <col min="1281" max="1281" width="34.7109375" customWidth="1"/>
    <col min="1282" max="1282" width="8.28515625" customWidth="1"/>
    <col min="1283" max="1283" width="8" customWidth="1"/>
    <col min="1284" max="1284" width="2.5703125" customWidth="1"/>
    <col min="1285" max="1285" width="8.28515625" customWidth="1"/>
    <col min="1286" max="1286" width="7.42578125" customWidth="1"/>
    <col min="1287" max="1287" width="2.7109375" customWidth="1"/>
    <col min="1288" max="1289" width="8.28515625" customWidth="1"/>
    <col min="1290" max="1290" width="2.7109375" customWidth="1"/>
    <col min="1291" max="1291" width="8.28515625" customWidth="1"/>
    <col min="1292" max="1292" width="8.42578125" customWidth="1"/>
    <col min="1293" max="1293" width="2.7109375" customWidth="1"/>
    <col min="1294" max="1295" width="8.28515625" customWidth="1"/>
    <col min="1296" max="1296" width="2.7109375" customWidth="1"/>
    <col min="1297" max="1298" width="8.28515625" customWidth="1"/>
    <col min="1299" max="1299" width="2.7109375" customWidth="1"/>
    <col min="1537" max="1537" width="34.7109375" customWidth="1"/>
    <col min="1538" max="1538" width="8.28515625" customWidth="1"/>
    <col min="1539" max="1539" width="8" customWidth="1"/>
    <col min="1540" max="1540" width="2.5703125" customWidth="1"/>
    <col min="1541" max="1541" width="8.28515625" customWidth="1"/>
    <col min="1542" max="1542" width="7.42578125" customWidth="1"/>
    <col min="1543" max="1543" width="2.7109375" customWidth="1"/>
    <col min="1544" max="1545" width="8.28515625" customWidth="1"/>
    <col min="1546" max="1546" width="2.7109375" customWidth="1"/>
    <col min="1547" max="1547" width="8.28515625" customWidth="1"/>
    <col min="1548" max="1548" width="8.42578125" customWidth="1"/>
    <col min="1549" max="1549" width="2.7109375" customWidth="1"/>
    <col min="1550" max="1551" width="8.28515625" customWidth="1"/>
    <col min="1552" max="1552" width="2.7109375" customWidth="1"/>
    <col min="1553" max="1554" width="8.28515625" customWidth="1"/>
    <col min="1555" max="1555" width="2.7109375" customWidth="1"/>
    <col min="1793" max="1793" width="34.7109375" customWidth="1"/>
    <col min="1794" max="1794" width="8.28515625" customWidth="1"/>
    <col min="1795" max="1795" width="8" customWidth="1"/>
    <col min="1796" max="1796" width="2.5703125" customWidth="1"/>
    <col min="1797" max="1797" width="8.28515625" customWidth="1"/>
    <col min="1798" max="1798" width="7.42578125" customWidth="1"/>
    <col min="1799" max="1799" width="2.7109375" customWidth="1"/>
    <col min="1800" max="1801" width="8.28515625" customWidth="1"/>
    <col min="1802" max="1802" width="2.7109375" customWidth="1"/>
    <col min="1803" max="1803" width="8.28515625" customWidth="1"/>
    <col min="1804" max="1804" width="8.42578125" customWidth="1"/>
    <col min="1805" max="1805" width="2.7109375" customWidth="1"/>
    <col min="1806" max="1807" width="8.28515625" customWidth="1"/>
    <col min="1808" max="1808" width="2.7109375" customWidth="1"/>
    <col min="1809" max="1810" width="8.28515625" customWidth="1"/>
    <col min="1811" max="1811" width="2.7109375" customWidth="1"/>
    <col min="2049" max="2049" width="34.7109375" customWidth="1"/>
    <col min="2050" max="2050" width="8.28515625" customWidth="1"/>
    <col min="2051" max="2051" width="8" customWidth="1"/>
    <col min="2052" max="2052" width="2.5703125" customWidth="1"/>
    <col min="2053" max="2053" width="8.28515625" customWidth="1"/>
    <col min="2054" max="2054" width="7.42578125" customWidth="1"/>
    <col min="2055" max="2055" width="2.7109375" customWidth="1"/>
    <col min="2056" max="2057" width="8.28515625" customWidth="1"/>
    <col min="2058" max="2058" width="2.7109375" customWidth="1"/>
    <col min="2059" max="2059" width="8.28515625" customWidth="1"/>
    <col min="2060" max="2060" width="8.42578125" customWidth="1"/>
    <col min="2061" max="2061" width="2.7109375" customWidth="1"/>
    <col min="2062" max="2063" width="8.28515625" customWidth="1"/>
    <col min="2064" max="2064" width="2.7109375" customWidth="1"/>
    <col min="2065" max="2066" width="8.28515625" customWidth="1"/>
    <col min="2067" max="2067" width="2.7109375" customWidth="1"/>
    <col min="2305" max="2305" width="34.7109375" customWidth="1"/>
    <col min="2306" max="2306" width="8.28515625" customWidth="1"/>
    <col min="2307" max="2307" width="8" customWidth="1"/>
    <col min="2308" max="2308" width="2.5703125" customWidth="1"/>
    <col min="2309" max="2309" width="8.28515625" customWidth="1"/>
    <col min="2310" max="2310" width="7.42578125" customWidth="1"/>
    <col min="2311" max="2311" width="2.7109375" customWidth="1"/>
    <col min="2312" max="2313" width="8.28515625" customWidth="1"/>
    <col min="2314" max="2314" width="2.7109375" customWidth="1"/>
    <col min="2315" max="2315" width="8.28515625" customWidth="1"/>
    <col min="2316" max="2316" width="8.42578125" customWidth="1"/>
    <col min="2317" max="2317" width="2.7109375" customWidth="1"/>
    <col min="2318" max="2319" width="8.28515625" customWidth="1"/>
    <col min="2320" max="2320" width="2.7109375" customWidth="1"/>
    <col min="2321" max="2322" width="8.28515625" customWidth="1"/>
    <col min="2323" max="2323" width="2.7109375" customWidth="1"/>
    <col min="2561" max="2561" width="34.7109375" customWidth="1"/>
    <col min="2562" max="2562" width="8.28515625" customWidth="1"/>
    <col min="2563" max="2563" width="8" customWidth="1"/>
    <col min="2564" max="2564" width="2.5703125" customWidth="1"/>
    <col min="2565" max="2565" width="8.28515625" customWidth="1"/>
    <col min="2566" max="2566" width="7.42578125" customWidth="1"/>
    <col min="2567" max="2567" width="2.7109375" customWidth="1"/>
    <col min="2568" max="2569" width="8.28515625" customWidth="1"/>
    <col min="2570" max="2570" width="2.7109375" customWidth="1"/>
    <col min="2571" max="2571" width="8.28515625" customWidth="1"/>
    <col min="2572" max="2572" width="8.42578125" customWidth="1"/>
    <col min="2573" max="2573" width="2.7109375" customWidth="1"/>
    <col min="2574" max="2575" width="8.28515625" customWidth="1"/>
    <col min="2576" max="2576" width="2.7109375" customWidth="1"/>
    <col min="2577" max="2578" width="8.28515625" customWidth="1"/>
    <col min="2579" max="2579" width="2.7109375" customWidth="1"/>
    <col min="2817" max="2817" width="34.7109375" customWidth="1"/>
    <col min="2818" max="2818" width="8.28515625" customWidth="1"/>
    <col min="2819" max="2819" width="8" customWidth="1"/>
    <col min="2820" max="2820" width="2.5703125" customWidth="1"/>
    <col min="2821" max="2821" width="8.28515625" customWidth="1"/>
    <col min="2822" max="2822" width="7.42578125" customWidth="1"/>
    <col min="2823" max="2823" width="2.7109375" customWidth="1"/>
    <col min="2824" max="2825" width="8.28515625" customWidth="1"/>
    <col min="2826" max="2826" width="2.7109375" customWidth="1"/>
    <col min="2827" max="2827" width="8.28515625" customWidth="1"/>
    <col min="2828" max="2828" width="8.42578125" customWidth="1"/>
    <col min="2829" max="2829" width="2.7109375" customWidth="1"/>
    <col min="2830" max="2831" width="8.28515625" customWidth="1"/>
    <col min="2832" max="2832" width="2.7109375" customWidth="1"/>
    <col min="2833" max="2834" width="8.28515625" customWidth="1"/>
    <col min="2835" max="2835" width="2.7109375" customWidth="1"/>
    <col min="3073" max="3073" width="34.7109375" customWidth="1"/>
    <col min="3074" max="3074" width="8.28515625" customWidth="1"/>
    <col min="3075" max="3075" width="8" customWidth="1"/>
    <col min="3076" max="3076" width="2.5703125" customWidth="1"/>
    <col min="3077" max="3077" width="8.28515625" customWidth="1"/>
    <col min="3078" max="3078" width="7.42578125" customWidth="1"/>
    <col min="3079" max="3079" width="2.7109375" customWidth="1"/>
    <col min="3080" max="3081" width="8.28515625" customWidth="1"/>
    <col min="3082" max="3082" width="2.7109375" customWidth="1"/>
    <col min="3083" max="3083" width="8.28515625" customWidth="1"/>
    <col min="3084" max="3084" width="8.42578125" customWidth="1"/>
    <col min="3085" max="3085" width="2.7109375" customWidth="1"/>
    <col min="3086" max="3087" width="8.28515625" customWidth="1"/>
    <col min="3088" max="3088" width="2.7109375" customWidth="1"/>
    <col min="3089" max="3090" width="8.28515625" customWidth="1"/>
    <col min="3091" max="3091" width="2.7109375" customWidth="1"/>
    <col min="3329" max="3329" width="34.7109375" customWidth="1"/>
    <col min="3330" max="3330" width="8.28515625" customWidth="1"/>
    <col min="3331" max="3331" width="8" customWidth="1"/>
    <col min="3332" max="3332" width="2.5703125" customWidth="1"/>
    <col min="3333" max="3333" width="8.28515625" customWidth="1"/>
    <col min="3334" max="3334" width="7.42578125" customWidth="1"/>
    <col min="3335" max="3335" width="2.7109375" customWidth="1"/>
    <col min="3336" max="3337" width="8.28515625" customWidth="1"/>
    <col min="3338" max="3338" width="2.7109375" customWidth="1"/>
    <col min="3339" max="3339" width="8.28515625" customWidth="1"/>
    <col min="3340" max="3340" width="8.42578125" customWidth="1"/>
    <col min="3341" max="3341" width="2.7109375" customWidth="1"/>
    <col min="3342" max="3343" width="8.28515625" customWidth="1"/>
    <col min="3344" max="3344" width="2.7109375" customWidth="1"/>
    <col min="3345" max="3346" width="8.28515625" customWidth="1"/>
    <col min="3347" max="3347" width="2.7109375" customWidth="1"/>
    <col min="3585" max="3585" width="34.7109375" customWidth="1"/>
    <col min="3586" max="3586" width="8.28515625" customWidth="1"/>
    <col min="3587" max="3587" width="8" customWidth="1"/>
    <col min="3588" max="3588" width="2.5703125" customWidth="1"/>
    <col min="3589" max="3589" width="8.28515625" customWidth="1"/>
    <col min="3590" max="3590" width="7.42578125" customWidth="1"/>
    <col min="3591" max="3591" width="2.7109375" customWidth="1"/>
    <col min="3592" max="3593" width="8.28515625" customWidth="1"/>
    <col min="3594" max="3594" width="2.7109375" customWidth="1"/>
    <col min="3595" max="3595" width="8.28515625" customWidth="1"/>
    <col min="3596" max="3596" width="8.42578125" customWidth="1"/>
    <col min="3597" max="3597" width="2.7109375" customWidth="1"/>
    <col min="3598" max="3599" width="8.28515625" customWidth="1"/>
    <col min="3600" max="3600" width="2.7109375" customWidth="1"/>
    <col min="3601" max="3602" width="8.28515625" customWidth="1"/>
    <col min="3603" max="3603" width="2.7109375" customWidth="1"/>
    <col min="3841" max="3841" width="34.7109375" customWidth="1"/>
    <col min="3842" max="3842" width="8.28515625" customWidth="1"/>
    <col min="3843" max="3843" width="8" customWidth="1"/>
    <col min="3844" max="3844" width="2.5703125" customWidth="1"/>
    <col min="3845" max="3845" width="8.28515625" customWidth="1"/>
    <col min="3846" max="3846" width="7.42578125" customWidth="1"/>
    <col min="3847" max="3847" width="2.7109375" customWidth="1"/>
    <col min="3848" max="3849" width="8.28515625" customWidth="1"/>
    <col min="3850" max="3850" width="2.7109375" customWidth="1"/>
    <col min="3851" max="3851" width="8.28515625" customWidth="1"/>
    <col min="3852" max="3852" width="8.42578125" customWidth="1"/>
    <col min="3853" max="3853" width="2.7109375" customWidth="1"/>
    <col min="3854" max="3855" width="8.28515625" customWidth="1"/>
    <col min="3856" max="3856" width="2.7109375" customWidth="1"/>
    <col min="3857" max="3858" width="8.28515625" customWidth="1"/>
    <col min="3859" max="3859" width="2.7109375" customWidth="1"/>
    <col min="4097" max="4097" width="34.7109375" customWidth="1"/>
    <col min="4098" max="4098" width="8.28515625" customWidth="1"/>
    <col min="4099" max="4099" width="8" customWidth="1"/>
    <col min="4100" max="4100" width="2.5703125" customWidth="1"/>
    <col min="4101" max="4101" width="8.28515625" customWidth="1"/>
    <col min="4102" max="4102" width="7.42578125" customWidth="1"/>
    <col min="4103" max="4103" width="2.7109375" customWidth="1"/>
    <col min="4104" max="4105" width="8.28515625" customWidth="1"/>
    <col min="4106" max="4106" width="2.7109375" customWidth="1"/>
    <col min="4107" max="4107" width="8.28515625" customWidth="1"/>
    <col min="4108" max="4108" width="8.42578125" customWidth="1"/>
    <col min="4109" max="4109" width="2.7109375" customWidth="1"/>
    <col min="4110" max="4111" width="8.28515625" customWidth="1"/>
    <col min="4112" max="4112" width="2.7109375" customWidth="1"/>
    <col min="4113" max="4114" width="8.28515625" customWidth="1"/>
    <col min="4115" max="4115" width="2.7109375" customWidth="1"/>
    <col min="4353" max="4353" width="34.7109375" customWidth="1"/>
    <col min="4354" max="4354" width="8.28515625" customWidth="1"/>
    <col min="4355" max="4355" width="8" customWidth="1"/>
    <col min="4356" max="4356" width="2.5703125" customWidth="1"/>
    <col min="4357" max="4357" width="8.28515625" customWidth="1"/>
    <col min="4358" max="4358" width="7.42578125" customWidth="1"/>
    <col min="4359" max="4359" width="2.7109375" customWidth="1"/>
    <col min="4360" max="4361" width="8.28515625" customWidth="1"/>
    <col min="4362" max="4362" width="2.7109375" customWidth="1"/>
    <col min="4363" max="4363" width="8.28515625" customWidth="1"/>
    <col min="4364" max="4364" width="8.42578125" customWidth="1"/>
    <col min="4365" max="4365" width="2.7109375" customWidth="1"/>
    <col min="4366" max="4367" width="8.28515625" customWidth="1"/>
    <col min="4368" max="4368" width="2.7109375" customWidth="1"/>
    <col min="4369" max="4370" width="8.28515625" customWidth="1"/>
    <col min="4371" max="4371" width="2.7109375" customWidth="1"/>
    <col min="4609" max="4609" width="34.7109375" customWidth="1"/>
    <col min="4610" max="4610" width="8.28515625" customWidth="1"/>
    <col min="4611" max="4611" width="8" customWidth="1"/>
    <col min="4612" max="4612" width="2.5703125" customWidth="1"/>
    <col min="4613" max="4613" width="8.28515625" customWidth="1"/>
    <col min="4614" max="4614" width="7.42578125" customWidth="1"/>
    <col min="4615" max="4615" width="2.7109375" customWidth="1"/>
    <col min="4616" max="4617" width="8.28515625" customWidth="1"/>
    <col min="4618" max="4618" width="2.7109375" customWidth="1"/>
    <col min="4619" max="4619" width="8.28515625" customWidth="1"/>
    <col min="4620" max="4620" width="8.42578125" customWidth="1"/>
    <col min="4621" max="4621" width="2.7109375" customWidth="1"/>
    <col min="4622" max="4623" width="8.28515625" customWidth="1"/>
    <col min="4624" max="4624" width="2.7109375" customWidth="1"/>
    <col min="4625" max="4626" width="8.28515625" customWidth="1"/>
    <col min="4627" max="4627" width="2.7109375" customWidth="1"/>
    <col min="4865" max="4865" width="34.7109375" customWidth="1"/>
    <col min="4866" max="4866" width="8.28515625" customWidth="1"/>
    <col min="4867" max="4867" width="8" customWidth="1"/>
    <col min="4868" max="4868" width="2.5703125" customWidth="1"/>
    <col min="4869" max="4869" width="8.28515625" customWidth="1"/>
    <col min="4870" max="4870" width="7.42578125" customWidth="1"/>
    <col min="4871" max="4871" width="2.7109375" customWidth="1"/>
    <col min="4872" max="4873" width="8.28515625" customWidth="1"/>
    <col min="4874" max="4874" width="2.7109375" customWidth="1"/>
    <col min="4875" max="4875" width="8.28515625" customWidth="1"/>
    <col min="4876" max="4876" width="8.42578125" customWidth="1"/>
    <col min="4877" max="4877" width="2.7109375" customWidth="1"/>
    <col min="4878" max="4879" width="8.28515625" customWidth="1"/>
    <col min="4880" max="4880" width="2.7109375" customWidth="1"/>
    <col min="4881" max="4882" width="8.28515625" customWidth="1"/>
    <col min="4883" max="4883" width="2.7109375" customWidth="1"/>
    <col min="5121" max="5121" width="34.7109375" customWidth="1"/>
    <col min="5122" max="5122" width="8.28515625" customWidth="1"/>
    <col min="5123" max="5123" width="8" customWidth="1"/>
    <col min="5124" max="5124" width="2.5703125" customWidth="1"/>
    <col min="5125" max="5125" width="8.28515625" customWidth="1"/>
    <col min="5126" max="5126" width="7.42578125" customWidth="1"/>
    <col min="5127" max="5127" width="2.7109375" customWidth="1"/>
    <col min="5128" max="5129" width="8.28515625" customWidth="1"/>
    <col min="5130" max="5130" width="2.7109375" customWidth="1"/>
    <col min="5131" max="5131" width="8.28515625" customWidth="1"/>
    <col min="5132" max="5132" width="8.42578125" customWidth="1"/>
    <col min="5133" max="5133" width="2.7109375" customWidth="1"/>
    <col min="5134" max="5135" width="8.28515625" customWidth="1"/>
    <col min="5136" max="5136" width="2.7109375" customWidth="1"/>
    <col min="5137" max="5138" width="8.28515625" customWidth="1"/>
    <col min="5139" max="5139" width="2.7109375" customWidth="1"/>
    <col min="5377" max="5377" width="34.7109375" customWidth="1"/>
    <col min="5378" max="5378" width="8.28515625" customWidth="1"/>
    <col min="5379" max="5379" width="8" customWidth="1"/>
    <col min="5380" max="5380" width="2.5703125" customWidth="1"/>
    <col min="5381" max="5381" width="8.28515625" customWidth="1"/>
    <col min="5382" max="5382" width="7.42578125" customWidth="1"/>
    <col min="5383" max="5383" width="2.7109375" customWidth="1"/>
    <col min="5384" max="5385" width="8.28515625" customWidth="1"/>
    <col min="5386" max="5386" width="2.7109375" customWidth="1"/>
    <col min="5387" max="5387" width="8.28515625" customWidth="1"/>
    <col min="5388" max="5388" width="8.42578125" customWidth="1"/>
    <col min="5389" max="5389" width="2.7109375" customWidth="1"/>
    <col min="5390" max="5391" width="8.28515625" customWidth="1"/>
    <col min="5392" max="5392" width="2.7109375" customWidth="1"/>
    <col min="5393" max="5394" width="8.28515625" customWidth="1"/>
    <col min="5395" max="5395" width="2.7109375" customWidth="1"/>
    <col min="5633" max="5633" width="34.7109375" customWidth="1"/>
    <col min="5634" max="5634" width="8.28515625" customWidth="1"/>
    <col min="5635" max="5635" width="8" customWidth="1"/>
    <col min="5636" max="5636" width="2.5703125" customWidth="1"/>
    <col min="5637" max="5637" width="8.28515625" customWidth="1"/>
    <col min="5638" max="5638" width="7.42578125" customWidth="1"/>
    <col min="5639" max="5639" width="2.7109375" customWidth="1"/>
    <col min="5640" max="5641" width="8.28515625" customWidth="1"/>
    <col min="5642" max="5642" width="2.7109375" customWidth="1"/>
    <col min="5643" max="5643" width="8.28515625" customWidth="1"/>
    <col min="5644" max="5644" width="8.42578125" customWidth="1"/>
    <col min="5645" max="5645" width="2.7109375" customWidth="1"/>
    <col min="5646" max="5647" width="8.28515625" customWidth="1"/>
    <col min="5648" max="5648" width="2.7109375" customWidth="1"/>
    <col min="5649" max="5650" width="8.28515625" customWidth="1"/>
    <col min="5651" max="5651" width="2.7109375" customWidth="1"/>
    <col min="5889" max="5889" width="34.7109375" customWidth="1"/>
    <col min="5890" max="5890" width="8.28515625" customWidth="1"/>
    <col min="5891" max="5891" width="8" customWidth="1"/>
    <col min="5892" max="5892" width="2.5703125" customWidth="1"/>
    <col min="5893" max="5893" width="8.28515625" customWidth="1"/>
    <col min="5894" max="5894" width="7.42578125" customWidth="1"/>
    <col min="5895" max="5895" width="2.7109375" customWidth="1"/>
    <col min="5896" max="5897" width="8.28515625" customWidth="1"/>
    <col min="5898" max="5898" width="2.7109375" customWidth="1"/>
    <col min="5899" max="5899" width="8.28515625" customWidth="1"/>
    <col min="5900" max="5900" width="8.42578125" customWidth="1"/>
    <col min="5901" max="5901" width="2.7109375" customWidth="1"/>
    <col min="5902" max="5903" width="8.28515625" customWidth="1"/>
    <col min="5904" max="5904" width="2.7109375" customWidth="1"/>
    <col min="5905" max="5906" width="8.28515625" customWidth="1"/>
    <col min="5907" max="5907" width="2.7109375" customWidth="1"/>
    <col min="6145" max="6145" width="34.7109375" customWidth="1"/>
    <col min="6146" max="6146" width="8.28515625" customWidth="1"/>
    <col min="6147" max="6147" width="8" customWidth="1"/>
    <col min="6148" max="6148" width="2.5703125" customWidth="1"/>
    <col min="6149" max="6149" width="8.28515625" customWidth="1"/>
    <col min="6150" max="6150" width="7.42578125" customWidth="1"/>
    <col min="6151" max="6151" width="2.7109375" customWidth="1"/>
    <col min="6152" max="6153" width="8.28515625" customWidth="1"/>
    <col min="6154" max="6154" width="2.7109375" customWidth="1"/>
    <col min="6155" max="6155" width="8.28515625" customWidth="1"/>
    <col min="6156" max="6156" width="8.42578125" customWidth="1"/>
    <col min="6157" max="6157" width="2.7109375" customWidth="1"/>
    <col min="6158" max="6159" width="8.28515625" customWidth="1"/>
    <col min="6160" max="6160" width="2.7109375" customWidth="1"/>
    <col min="6161" max="6162" width="8.28515625" customWidth="1"/>
    <col min="6163" max="6163" width="2.7109375" customWidth="1"/>
    <col min="6401" max="6401" width="34.7109375" customWidth="1"/>
    <col min="6402" max="6402" width="8.28515625" customWidth="1"/>
    <col min="6403" max="6403" width="8" customWidth="1"/>
    <col min="6404" max="6404" width="2.5703125" customWidth="1"/>
    <col min="6405" max="6405" width="8.28515625" customWidth="1"/>
    <col min="6406" max="6406" width="7.42578125" customWidth="1"/>
    <col min="6407" max="6407" width="2.7109375" customWidth="1"/>
    <col min="6408" max="6409" width="8.28515625" customWidth="1"/>
    <col min="6410" max="6410" width="2.7109375" customWidth="1"/>
    <col min="6411" max="6411" width="8.28515625" customWidth="1"/>
    <col min="6412" max="6412" width="8.42578125" customWidth="1"/>
    <col min="6413" max="6413" width="2.7109375" customWidth="1"/>
    <col min="6414" max="6415" width="8.28515625" customWidth="1"/>
    <col min="6416" max="6416" width="2.7109375" customWidth="1"/>
    <col min="6417" max="6418" width="8.28515625" customWidth="1"/>
    <col min="6419" max="6419" width="2.7109375" customWidth="1"/>
    <col min="6657" max="6657" width="34.7109375" customWidth="1"/>
    <col min="6658" max="6658" width="8.28515625" customWidth="1"/>
    <col min="6659" max="6659" width="8" customWidth="1"/>
    <col min="6660" max="6660" width="2.5703125" customWidth="1"/>
    <col min="6661" max="6661" width="8.28515625" customWidth="1"/>
    <col min="6662" max="6662" width="7.42578125" customWidth="1"/>
    <col min="6663" max="6663" width="2.7109375" customWidth="1"/>
    <col min="6664" max="6665" width="8.28515625" customWidth="1"/>
    <col min="6666" max="6666" width="2.7109375" customWidth="1"/>
    <col min="6667" max="6667" width="8.28515625" customWidth="1"/>
    <col min="6668" max="6668" width="8.42578125" customWidth="1"/>
    <col min="6669" max="6669" width="2.7109375" customWidth="1"/>
    <col min="6670" max="6671" width="8.28515625" customWidth="1"/>
    <col min="6672" max="6672" width="2.7109375" customWidth="1"/>
    <col min="6673" max="6674" width="8.28515625" customWidth="1"/>
    <col min="6675" max="6675" width="2.7109375" customWidth="1"/>
    <col min="6913" max="6913" width="34.7109375" customWidth="1"/>
    <col min="6914" max="6914" width="8.28515625" customWidth="1"/>
    <col min="6915" max="6915" width="8" customWidth="1"/>
    <col min="6916" max="6916" width="2.5703125" customWidth="1"/>
    <col min="6917" max="6917" width="8.28515625" customWidth="1"/>
    <col min="6918" max="6918" width="7.42578125" customWidth="1"/>
    <col min="6919" max="6919" width="2.7109375" customWidth="1"/>
    <col min="6920" max="6921" width="8.28515625" customWidth="1"/>
    <col min="6922" max="6922" width="2.7109375" customWidth="1"/>
    <col min="6923" max="6923" width="8.28515625" customWidth="1"/>
    <col min="6924" max="6924" width="8.42578125" customWidth="1"/>
    <col min="6925" max="6925" width="2.7109375" customWidth="1"/>
    <col min="6926" max="6927" width="8.28515625" customWidth="1"/>
    <col min="6928" max="6928" width="2.7109375" customWidth="1"/>
    <col min="6929" max="6930" width="8.28515625" customWidth="1"/>
    <col min="6931" max="6931" width="2.7109375" customWidth="1"/>
    <col min="7169" max="7169" width="34.7109375" customWidth="1"/>
    <col min="7170" max="7170" width="8.28515625" customWidth="1"/>
    <col min="7171" max="7171" width="8" customWidth="1"/>
    <col min="7172" max="7172" width="2.5703125" customWidth="1"/>
    <col min="7173" max="7173" width="8.28515625" customWidth="1"/>
    <col min="7174" max="7174" width="7.42578125" customWidth="1"/>
    <col min="7175" max="7175" width="2.7109375" customWidth="1"/>
    <col min="7176" max="7177" width="8.28515625" customWidth="1"/>
    <col min="7178" max="7178" width="2.7109375" customWidth="1"/>
    <col min="7179" max="7179" width="8.28515625" customWidth="1"/>
    <col min="7180" max="7180" width="8.42578125" customWidth="1"/>
    <col min="7181" max="7181" width="2.7109375" customWidth="1"/>
    <col min="7182" max="7183" width="8.28515625" customWidth="1"/>
    <col min="7184" max="7184" width="2.7109375" customWidth="1"/>
    <col min="7185" max="7186" width="8.28515625" customWidth="1"/>
    <col min="7187" max="7187" width="2.7109375" customWidth="1"/>
    <col min="7425" max="7425" width="34.7109375" customWidth="1"/>
    <col min="7426" max="7426" width="8.28515625" customWidth="1"/>
    <col min="7427" max="7427" width="8" customWidth="1"/>
    <col min="7428" max="7428" width="2.5703125" customWidth="1"/>
    <col min="7429" max="7429" width="8.28515625" customWidth="1"/>
    <col min="7430" max="7430" width="7.42578125" customWidth="1"/>
    <col min="7431" max="7431" width="2.7109375" customWidth="1"/>
    <col min="7432" max="7433" width="8.28515625" customWidth="1"/>
    <col min="7434" max="7434" width="2.7109375" customWidth="1"/>
    <col min="7435" max="7435" width="8.28515625" customWidth="1"/>
    <col min="7436" max="7436" width="8.42578125" customWidth="1"/>
    <col min="7437" max="7437" width="2.7109375" customWidth="1"/>
    <col min="7438" max="7439" width="8.28515625" customWidth="1"/>
    <col min="7440" max="7440" width="2.7109375" customWidth="1"/>
    <col min="7441" max="7442" width="8.28515625" customWidth="1"/>
    <col min="7443" max="7443" width="2.7109375" customWidth="1"/>
    <col min="7681" max="7681" width="34.7109375" customWidth="1"/>
    <col min="7682" max="7682" width="8.28515625" customWidth="1"/>
    <col min="7683" max="7683" width="8" customWidth="1"/>
    <col min="7684" max="7684" width="2.5703125" customWidth="1"/>
    <col min="7685" max="7685" width="8.28515625" customWidth="1"/>
    <col min="7686" max="7686" width="7.42578125" customWidth="1"/>
    <col min="7687" max="7687" width="2.7109375" customWidth="1"/>
    <col min="7688" max="7689" width="8.28515625" customWidth="1"/>
    <col min="7690" max="7690" width="2.7109375" customWidth="1"/>
    <col min="7691" max="7691" width="8.28515625" customWidth="1"/>
    <col min="7692" max="7692" width="8.42578125" customWidth="1"/>
    <col min="7693" max="7693" width="2.7109375" customWidth="1"/>
    <col min="7694" max="7695" width="8.28515625" customWidth="1"/>
    <col min="7696" max="7696" width="2.7109375" customWidth="1"/>
    <col min="7697" max="7698" width="8.28515625" customWidth="1"/>
    <col min="7699" max="7699" width="2.7109375" customWidth="1"/>
    <col min="7937" max="7937" width="34.7109375" customWidth="1"/>
    <col min="7938" max="7938" width="8.28515625" customWidth="1"/>
    <col min="7939" max="7939" width="8" customWidth="1"/>
    <col min="7940" max="7940" width="2.5703125" customWidth="1"/>
    <col min="7941" max="7941" width="8.28515625" customWidth="1"/>
    <col min="7942" max="7942" width="7.42578125" customWidth="1"/>
    <col min="7943" max="7943" width="2.7109375" customWidth="1"/>
    <col min="7944" max="7945" width="8.28515625" customWidth="1"/>
    <col min="7946" max="7946" width="2.7109375" customWidth="1"/>
    <col min="7947" max="7947" width="8.28515625" customWidth="1"/>
    <col min="7948" max="7948" width="8.42578125" customWidth="1"/>
    <col min="7949" max="7949" width="2.7109375" customWidth="1"/>
    <col min="7950" max="7951" width="8.28515625" customWidth="1"/>
    <col min="7952" max="7952" width="2.7109375" customWidth="1"/>
    <col min="7953" max="7954" width="8.28515625" customWidth="1"/>
    <col min="7955" max="7955" width="2.7109375" customWidth="1"/>
    <col min="8193" max="8193" width="34.7109375" customWidth="1"/>
    <col min="8194" max="8194" width="8.28515625" customWidth="1"/>
    <col min="8195" max="8195" width="8" customWidth="1"/>
    <col min="8196" max="8196" width="2.5703125" customWidth="1"/>
    <col min="8197" max="8197" width="8.28515625" customWidth="1"/>
    <col min="8198" max="8198" width="7.42578125" customWidth="1"/>
    <col min="8199" max="8199" width="2.7109375" customWidth="1"/>
    <col min="8200" max="8201" width="8.28515625" customWidth="1"/>
    <col min="8202" max="8202" width="2.7109375" customWidth="1"/>
    <col min="8203" max="8203" width="8.28515625" customWidth="1"/>
    <col min="8204" max="8204" width="8.42578125" customWidth="1"/>
    <col min="8205" max="8205" width="2.7109375" customWidth="1"/>
    <col min="8206" max="8207" width="8.28515625" customWidth="1"/>
    <col min="8208" max="8208" width="2.7109375" customWidth="1"/>
    <col min="8209" max="8210" width="8.28515625" customWidth="1"/>
    <col min="8211" max="8211" width="2.7109375" customWidth="1"/>
    <col min="8449" max="8449" width="34.7109375" customWidth="1"/>
    <col min="8450" max="8450" width="8.28515625" customWidth="1"/>
    <col min="8451" max="8451" width="8" customWidth="1"/>
    <col min="8452" max="8452" width="2.5703125" customWidth="1"/>
    <col min="8453" max="8453" width="8.28515625" customWidth="1"/>
    <col min="8454" max="8454" width="7.42578125" customWidth="1"/>
    <col min="8455" max="8455" width="2.7109375" customWidth="1"/>
    <col min="8456" max="8457" width="8.28515625" customWidth="1"/>
    <col min="8458" max="8458" width="2.7109375" customWidth="1"/>
    <col min="8459" max="8459" width="8.28515625" customWidth="1"/>
    <col min="8460" max="8460" width="8.42578125" customWidth="1"/>
    <col min="8461" max="8461" width="2.7109375" customWidth="1"/>
    <col min="8462" max="8463" width="8.28515625" customWidth="1"/>
    <col min="8464" max="8464" width="2.7109375" customWidth="1"/>
    <col min="8465" max="8466" width="8.28515625" customWidth="1"/>
    <col min="8467" max="8467" width="2.7109375" customWidth="1"/>
    <col min="8705" max="8705" width="34.7109375" customWidth="1"/>
    <col min="8706" max="8706" width="8.28515625" customWidth="1"/>
    <col min="8707" max="8707" width="8" customWidth="1"/>
    <col min="8708" max="8708" width="2.5703125" customWidth="1"/>
    <col min="8709" max="8709" width="8.28515625" customWidth="1"/>
    <col min="8710" max="8710" width="7.42578125" customWidth="1"/>
    <col min="8711" max="8711" width="2.7109375" customWidth="1"/>
    <col min="8712" max="8713" width="8.28515625" customWidth="1"/>
    <col min="8714" max="8714" width="2.7109375" customWidth="1"/>
    <col min="8715" max="8715" width="8.28515625" customWidth="1"/>
    <col min="8716" max="8716" width="8.42578125" customWidth="1"/>
    <col min="8717" max="8717" width="2.7109375" customWidth="1"/>
    <col min="8718" max="8719" width="8.28515625" customWidth="1"/>
    <col min="8720" max="8720" width="2.7109375" customWidth="1"/>
    <col min="8721" max="8722" width="8.28515625" customWidth="1"/>
    <col min="8723" max="8723" width="2.7109375" customWidth="1"/>
    <col min="8961" max="8961" width="34.7109375" customWidth="1"/>
    <col min="8962" max="8962" width="8.28515625" customWidth="1"/>
    <col min="8963" max="8963" width="8" customWidth="1"/>
    <col min="8964" max="8964" width="2.5703125" customWidth="1"/>
    <col min="8965" max="8965" width="8.28515625" customWidth="1"/>
    <col min="8966" max="8966" width="7.42578125" customWidth="1"/>
    <col min="8967" max="8967" width="2.7109375" customWidth="1"/>
    <col min="8968" max="8969" width="8.28515625" customWidth="1"/>
    <col min="8970" max="8970" width="2.7109375" customWidth="1"/>
    <col min="8971" max="8971" width="8.28515625" customWidth="1"/>
    <col min="8972" max="8972" width="8.42578125" customWidth="1"/>
    <col min="8973" max="8973" width="2.7109375" customWidth="1"/>
    <col min="8974" max="8975" width="8.28515625" customWidth="1"/>
    <col min="8976" max="8976" width="2.7109375" customWidth="1"/>
    <col min="8977" max="8978" width="8.28515625" customWidth="1"/>
    <col min="8979" max="8979" width="2.7109375" customWidth="1"/>
    <col min="9217" max="9217" width="34.7109375" customWidth="1"/>
    <col min="9218" max="9218" width="8.28515625" customWidth="1"/>
    <col min="9219" max="9219" width="8" customWidth="1"/>
    <col min="9220" max="9220" width="2.5703125" customWidth="1"/>
    <col min="9221" max="9221" width="8.28515625" customWidth="1"/>
    <col min="9222" max="9222" width="7.42578125" customWidth="1"/>
    <col min="9223" max="9223" width="2.7109375" customWidth="1"/>
    <col min="9224" max="9225" width="8.28515625" customWidth="1"/>
    <col min="9226" max="9226" width="2.7109375" customWidth="1"/>
    <col min="9227" max="9227" width="8.28515625" customWidth="1"/>
    <col min="9228" max="9228" width="8.42578125" customWidth="1"/>
    <col min="9229" max="9229" width="2.7109375" customWidth="1"/>
    <col min="9230" max="9231" width="8.28515625" customWidth="1"/>
    <col min="9232" max="9232" width="2.7109375" customWidth="1"/>
    <col min="9233" max="9234" width="8.28515625" customWidth="1"/>
    <col min="9235" max="9235" width="2.7109375" customWidth="1"/>
    <col min="9473" max="9473" width="34.7109375" customWidth="1"/>
    <col min="9474" max="9474" width="8.28515625" customWidth="1"/>
    <col min="9475" max="9475" width="8" customWidth="1"/>
    <col min="9476" max="9476" width="2.5703125" customWidth="1"/>
    <col min="9477" max="9477" width="8.28515625" customWidth="1"/>
    <col min="9478" max="9478" width="7.42578125" customWidth="1"/>
    <col min="9479" max="9479" width="2.7109375" customWidth="1"/>
    <col min="9480" max="9481" width="8.28515625" customWidth="1"/>
    <col min="9482" max="9482" width="2.7109375" customWidth="1"/>
    <col min="9483" max="9483" width="8.28515625" customWidth="1"/>
    <col min="9484" max="9484" width="8.42578125" customWidth="1"/>
    <col min="9485" max="9485" width="2.7109375" customWidth="1"/>
    <col min="9486" max="9487" width="8.28515625" customWidth="1"/>
    <col min="9488" max="9488" width="2.7109375" customWidth="1"/>
    <col min="9489" max="9490" width="8.28515625" customWidth="1"/>
    <col min="9491" max="9491" width="2.7109375" customWidth="1"/>
    <col min="9729" max="9729" width="34.7109375" customWidth="1"/>
    <col min="9730" max="9730" width="8.28515625" customWidth="1"/>
    <col min="9731" max="9731" width="8" customWidth="1"/>
    <col min="9732" max="9732" width="2.5703125" customWidth="1"/>
    <col min="9733" max="9733" width="8.28515625" customWidth="1"/>
    <col min="9734" max="9734" width="7.42578125" customWidth="1"/>
    <col min="9735" max="9735" width="2.7109375" customWidth="1"/>
    <col min="9736" max="9737" width="8.28515625" customWidth="1"/>
    <col min="9738" max="9738" width="2.7109375" customWidth="1"/>
    <col min="9739" max="9739" width="8.28515625" customWidth="1"/>
    <col min="9740" max="9740" width="8.42578125" customWidth="1"/>
    <col min="9741" max="9741" width="2.7109375" customWidth="1"/>
    <col min="9742" max="9743" width="8.28515625" customWidth="1"/>
    <col min="9744" max="9744" width="2.7109375" customWidth="1"/>
    <col min="9745" max="9746" width="8.28515625" customWidth="1"/>
    <col min="9747" max="9747" width="2.7109375" customWidth="1"/>
    <col min="9985" max="9985" width="34.7109375" customWidth="1"/>
    <col min="9986" max="9986" width="8.28515625" customWidth="1"/>
    <col min="9987" max="9987" width="8" customWidth="1"/>
    <col min="9988" max="9988" width="2.5703125" customWidth="1"/>
    <col min="9989" max="9989" width="8.28515625" customWidth="1"/>
    <col min="9990" max="9990" width="7.42578125" customWidth="1"/>
    <col min="9991" max="9991" width="2.7109375" customWidth="1"/>
    <col min="9992" max="9993" width="8.28515625" customWidth="1"/>
    <col min="9994" max="9994" width="2.7109375" customWidth="1"/>
    <col min="9995" max="9995" width="8.28515625" customWidth="1"/>
    <col min="9996" max="9996" width="8.42578125" customWidth="1"/>
    <col min="9997" max="9997" width="2.7109375" customWidth="1"/>
    <col min="9998" max="9999" width="8.28515625" customWidth="1"/>
    <col min="10000" max="10000" width="2.7109375" customWidth="1"/>
    <col min="10001" max="10002" width="8.28515625" customWidth="1"/>
    <col min="10003" max="10003" width="2.7109375" customWidth="1"/>
    <col min="10241" max="10241" width="34.7109375" customWidth="1"/>
    <col min="10242" max="10242" width="8.28515625" customWidth="1"/>
    <col min="10243" max="10243" width="8" customWidth="1"/>
    <col min="10244" max="10244" width="2.5703125" customWidth="1"/>
    <col min="10245" max="10245" width="8.28515625" customWidth="1"/>
    <col min="10246" max="10246" width="7.42578125" customWidth="1"/>
    <col min="10247" max="10247" width="2.7109375" customWidth="1"/>
    <col min="10248" max="10249" width="8.28515625" customWidth="1"/>
    <col min="10250" max="10250" width="2.7109375" customWidth="1"/>
    <col min="10251" max="10251" width="8.28515625" customWidth="1"/>
    <col min="10252" max="10252" width="8.42578125" customWidth="1"/>
    <col min="10253" max="10253" width="2.7109375" customWidth="1"/>
    <col min="10254" max="10255" width="8.28515625" customWidth="1"/>
    <col min="10256" max="10256" width="2.7109375" customWidth="1"/>
    <col min="10257" max="10258" width="8.28515625" customWidth="1"/>
    <col min="10259" max="10259" width="2.7109375" customWidth="1"/>
    <col min="10497" max="10497" width="34.7109375" customWidth="1"/>
    <col min="10498" max="10498" width="8.28515625" customWidth="1"/>
    <col min="10499" max="10499" width="8" customWidth="1"/>
    <col min="10500" max="10500" width="2.5703125" customWidth="1"/>
    <col min="10501" max="10501" width="8.28515625" customWidth="1"/>
    <col min="10502" max="10502" width="7.42578125" customWidth="1"/>
    <col min="10503" max="10503" width="2.7109375" customWidth="1"/>
    <col min="10504" max="10505" width="8.28515625" customWidth="1"/>
    <col min="10506" max="10506" width="2.7109375" customWidth="1"/>
    <col min="10507" max="10507" width="8.28515625" customWidth="1"/>
    <col min="10508" max="10508" width="8.42578125" customWidth="1"/>
    <col min="10509" max="10509" width="2.7109375" customWidth="1"/>
    <col min="10510" max="10511" width="8.28515625" customWidth="1"/>
    <col min="10512" max="10512" width="2.7109375" customWidth="1"/>
    <col min="10513" max="10514" width="8.28515625" customWidth="1"/>
    <col min="10515" max="10515" width="2.7109375" customWidth="1"/>
    <col min="10753" max="10753" width="34.7109375" customWidth="1"/>
    <col min="10754" max="10754" width="8.28515625" customWidth="1"/>
    <col min="10755" max="10755" width="8" customWidth="1"/>
    <col min="10756" max="10756" width="2.5703125" customWidth="1"/>
    <col min="10757" max="10757" width="8.28515625" customWidth="1"/>
    <col min="10758" max="10758" width="7.42578125" customWidth="1"/>
    <col min="10759" max="10759" width="2.7109375" customWidth="1"/>
    <col min="10760" max="10761" width="8.28515625" customWidth="1"/>
    <col min="10762" max="10762" width="2.7109375" customWidth="1"/>
    <col min="10763" max="10763" width="8.28515625" customWidth="1"/>
    <col min="10764" max="10764" width="8.42578125" customWidth="1"/>
    <col min="10765" max="10765" width="2.7109375" customWidth="1"/>
    <col min="10766" max="10767" width="8.28515625" customWidth="1"/>
    <col min="10768" max="10768" width="2.7109375" customWidth="1"/>
    <col min="10769" max="10770" width="8.28515625" customWidth="1"/>
    <col min="10771" max="10771" width="2.7109375" customWidth="1"/>
    <col min="11009" max="11009" width="34.7109375" customWidth="1"/>
    <col min="11010" max="11010" width="8.28515625" customWidth="1"/>
    <col min="11011" max="11011" width="8" customWidth="1"/>
    <col min="11012" max="11012" width="2.5703125" customWidth="1"/>
    <col min="11013" max="11013" width="8.28515625" customWidth="1"/>
    <col min="11014" max="11014" width="7.42578125" customWidth="1"/>
    <col min="11015" max="11015" width="2.7109375" customWidth="1"/>
    <col min="11016" max="11017" width="8.28515625" customWidth="1"/>
    <col min="11018" max="11018" width="2.7109375" customWidth="1"/>
    <col min="11019" max="11019" width="8.28515625" customWidth="1"/>
    <col min="11020" max="11020" width="8.42578125" customWidth="1"/>
    <col min="11021" max="11021" width="2.7109375" customWidth="1"/>
    <col min="11022" max="11023" width="8.28515625" customWidth="1"/>
    <col min="11024" max="11024" width="2.7109375" customWidth="1"/>
    <col min="11025" max="11026" width="8.28515625" customWidth="1"/>
    <col min="11027" max="11027" width="2.7109375" customWidth="1"/>
    <col min="11265" max="11265" width="34.7109375" customWidth="1"/>
    <col min="11266" max="11266" width="8.28515625" customWidth="1"/>
    <col min="11267" max="11267" width="8" customWidth="1"/>
    <col min="11268" max="11268" width="2.5703125" customWidth="1"/>
    <col min="11269" max="11269" width="8.28515625" customWidth="1"/>
    <col min="11270" max="11270" width="7.42578125" customWidth="1"/>
    <col min="11271" max="11271" width="2.7109375" customWidth="1"/>
    <col min="11272" max="11273" width="8.28515625" customWidth="1"/>
    <col min="11274" max="11274" width="2.7109375" customWidth="1"/>
    <col min="11275" max="11275" width="8.28515625" customWidth="1"/>
    <col min="11276" max="11276" width="8.42578125" customWidth="1"/>
    <col min="11277" max="11277" width="2.7109375" customWidth="1"/>
    <col min="11278" max="11279" width="8.28515625" customWidth="1"/>
    <col min="11280" max="11280" width="2.7109375" customWidth="1"/>
    <col min="11281" max="11282" width="8.28515625" customWidth="1"/>
    <col min="11283" max="11283" width="2.7109375" customWidth="1"/>
    <col min="11521" max="11521" width="34.7109375" customWidth="1"/>
    <col min="11522" max="11522" width="8.28515625" customWidth="1"/>
    <col min="11523" max="11523" width="8" customWidth="1"/>
    <col min="11524" max="11524" width="2.5703125" customWidth="1"/>
    <col min="11525" max="11525" width="8.28515625" customWidth="1"/>
    <col min="11526" max="11526" width="7.42578125" customWidth="1"/>
    <col min="11527" max="11527" width="2.7109375" customWidth="1"/>
    <col min="11528" max="11529" width="8.28515625" customWidth="1"/>
    <col min="11530" max="11530" width="2.7109375" customWidth="1"/>
    <col min="11531" max="11531" width="8.28515625" customWidth="1"/>
    <col min="11532" max="11532" width="8.42578125" customWidth="1"/>
    <col min="11533" max="11533" width="2.7109375" customWidth="1"/>
    <col min="11534" max="11535" width="8.28515625" customWidth="1"/>
    <col min="11536" max="11536" width="2.7109375" customWidth="1"/>
    <col min="11537" max="11538" width="8.28515625" customWidth="1"/>
    <col min="11539" max="11539" width="2.7109375" customWidth="1"/>
    <col min="11777" max="11777" width="34.7109375" customWidth="1"/>
    <col min="11778" max="11778" width="8.28515625" customWidth="1"/>
    <col min="11779" max="11779" width="8" customWidth="1"/>
    <col min="11780" max="11780" width="2.5703125" customWidth="1"/>
    <col min="11781" max="11781" width="8.28515625" customWidth="1"/>
    <col min="11782" max="11782" width="7.42578125" customWidth="1"/>
    <col min="11783" max="11783" width="2.7109375" customWidth="1"/>
    <col min="11784" max="11785" width="8.28515625" customWidth="1"/>
    <col min="11786" max="11786" width="2.7109375" customWidth="1"/>
    <col min="11787" max="11787" width="8.28515625" customWidth="1"/>
    <col min="11788" max="11788" width="8.42578125" customWidth="1"/>
    <col min="11789" max="11789" width="2.7109375" customWidth="1"/>
    <col min="11790" max="11791" width="8.28515625" customWidth="1"/>
    <col min="11792" max="11792" width="2.7109375" customWidth="1"/>
    <col min="11793" max="11794" width="8.28515625" customWidth="1"/>
    <col min="11795" max="11795" width="2.7109375" customWidth="1"/>
    <col min="12033" max="12033" width="34.7109375" customWidth="1"/>
    <col min="12034" max="12034" width="8.28515625" customWidth="1"/>
    <col min="12035" max="12035" width="8" customWidth="1"/>
    <col min="12036" max="12036" width="2.5703125" customWidth="1"/>
    <col min="12037" max="12037" width="8.28515625" customWidth="1"/>
    <col min="12038" max="12038" width="7.42578125" customWidth="1"/>
    <col min="12039" max="12039" width="2.7109375" customWidth="1"/>
    <col min="12040" max="12041" width="8.28515625" customWidth="1"/>
    <col min="12042" max="12042" width="2.7109375" customWidth="1"/>
    <col min="12043" max="12043" width="8.28515625" customWidth="1"/>
    <col min="12044" max="12044" width="8.42578125" customWidth="1"/>
    <col min="12045" max="12045" width="2.7109375" customWidth="1"/>
    <col min="12046" max="12047" width="8.28515625" customWidth="1"/>
    <col min="12048" max="12048" width="2.7109375" customWidth="1"/>
    <col min="12049" max="12050" width="8.28515625" customWidth="1"/>
    <col min="12051" max="12051" width="2.7109375" customWidth="1"/>
    <col min="12289" max="12289" width="34.7109375" customWidth="1"/>
    <col min="12290" max="12290" width="8.28515625" customWidth="1"/>
    <col min="12291" max="12291" width="8" customWidth="1"/>
    <col min="12292" max="12292" width="2.5703125" customWidth="1"/>
    <col min="12293" max="12293" width="8.28515625" customWidth="1"/>
    <col min="12294" max="12294" width="7.42578125" customWidth="1"/>
    <col min="12295" max="12295" width="2.7109375" customWidth="1"/>
    <col min="12296" max="12297" width="8.28515625" customWidth="1"/>
    <col min="12298" max="12298" width="2.7109375" customWidth="1"/>
    <col min="12299" max="12299" width="8.28515625" customWidth="1"/>
    <col min="12300" max="12300" width="8.42578125" customWidth="1"/>
    <col min="12301" max="12301" width="2.7109375" customWidth="1"/>
    <col min="12302" max="12303" width="8.28515625" customWidth="1"/>
    <col min="12304" max="12304" width="2.7109375" customWidth="1"/>
    <col min="12305" max="12306" width="8.28515625" customWidth="1"/>
    <col min="12307" max="12307" width="2.7109375" customWidth="1"/>
    <col min="12545" max="12545" width="34.7109375" customWidth="1"/>
    <col min="12546" max="12546" width="8.28515625" customWidth="1"/>
    <col min="12547" max="12547" width="8" customWidth="1"/>
    <col min="12548" max="12548" width="2.5703125" customWidth="1"/>
    <col min="12549" max="12549" width="8.28515625" customWidth="1"/>
    <col min="12550" max="12550" width="7.42578125" customWidth="1"/>
    <col min="12551" max="12551" width="2.7109375" customWidth="1"/>
    <col min="12552" max="12553" width="8.28515625" customWidth="1"/>
    <col min="12554" max="12554" width="2.7109375" customWidth="1"/>
    <col min="12555" max="12555" width="8.28515625" customWidth="1"/>
    <col min="12556" max="12556" width="8.42578125" customWidth="1"/>
    <col min="12557" max="12557" width="2.7109375" customWidth="1"/>
    <col min="12558" max="12559" width="8.28515625" customWidth="1"/>
    <col min="12560" max="12560" width="2.7109375" customWidth="1"/>
    <col min="12561" max="12562" width="8.28515625" customWidth="1"/>
    <col min="12563" max="12563" width="2.7109375" customWidth="1"/>
    <col min="12801" max="12801" width="34.7109375" customWidth="1"/>
    <col min="12802" max="12802" width="8.28515625" customWidth="1"/>
    <col min="12803" max="12803" width="8" customWidth="1"/>
    <col min="12804" max="12804" width="2.5703125" customWidth="1"/>
    <col min="12805" max="12805" width="8.28515625" customWidth="1"/>
    <col min="12806" max="12806" width="7.42578125" customWidth="1"/>
    <col min="12807" max="12807" width="2.7109375" customWidth="1"/>
    <col min="12808" max="12809" width="8.28515625" customWidth="1"/>
    <col min="12810" max="12810" width="2.7109375" customWidth="1"/>
    <col min="12811" max="12811" width="8.28515625" customWidth="1"/>
    <col min="12812" max="12812" width="8.42578125" customWidth="1"/>
    <col min="12813" max="12813" width="2.7109375" customWidth="1"/>
    <col min="12814" max="12815" width="8.28515625" customWidth="1"/>
    <col min="12816" max="12816" width="2.7109375" customWidth="1"/>
    <col min="12817" max="12818" width="8.28515625" customWidth="1"/>
    <col min="12819" max="12819" width="2.7109375" customWidth="1"/>
    <col min="13057" max="13057" width="34.7109375" customWidth="1"/>
    <col min="13058" max="13058" width="8.28515625" customWidth="1"/>
    <col min="13059" max="13059" width="8" customWidth="1"/>
    <col min="13060" max="13060" width="2.5703125" customWidth="1"/>
    <col min="13061" max="13061" width="8.28515625" customWidth="1"/>
    <col min="13062" max="13062" width="7.42578125" customWidth="1"/>
    <col min="13063" max="13063" width="2.7109375" customWidth="1"/>
    <col min="13064" max="13065" width="8.28515625" customWidth="1"/>
    <col min="13066" max="13066" width="2.7109375" customWidth="1"/>
    <col min="13067" max="13067" width="8.28515625" customWidth="1"/>
    <col min="13068" max="13068" width="8.42578125" customWidth="1"/>
    <col min="13069" max="13069" width="2.7109375" customWidth="1"/>
    <col min="13070" max="13071" width="8.28515625" customWidth="1"/>
    <col min="13072" max="13072" width="2.7109375" customWidth="1"/>
    <col min="13073" max="13074" width="8.28515625" customWidth="1"/>
    <col min="13075" max="13075" width="2.7109375" customWidth="1"/>
    <col min="13313" max="13313" width="34.7109375" customWidth="1"/>
    <col min="13314" max="13314" width="8.28515625" customWidth="1"/>
    <col min="13315" max="13315" width="8" customWidth="1"/>
    <col min="13316" max="13316" width="2.5703125" customWidth="1"/>
    <col min="13317" max="13317" width="8.28515625" customWidth="1"/>
    <col min="13318" max="13318" width="7.42578125" customWidth="1"/>
    <col min="13319" max="13319" width="2.7109375" customWidth="1"/>
    <col min="13320" max="13321" width="8.28515625" customWidth="1"/>
    <col min="13322" max="13322" width="2.7109375" customWidth="1"/>
    <col min="13323" max="13323" width="8.28515625" customWidth="1"/>
    <col min="13324" max="13324" width="8.42578125" customWidth="1"/>
    <col min="13325" max="13325" width="2.7109375" customWidth="1"/>
    <col min="13326" max="13327" width="8.28515625" customWidth="1"/>
    <col min="13328" max="13328" width="2.7109375" customWidth="1"/>
    <col min="13329" max="13330" width="8.28515625" customWidth="1"/>
    <col min="13331" max="13331" width="2.7109375" customWidth="1"/>
    <col min="13569" max="13569" width="34.7109375" customWidth="1"/>
    <col min="13570" max="13570" width="8.28515625" customWidth="1"/>
    <col min="13571" max="13571" width="8" customWidth="1"/>
    <col min="13572" max="13572" width="2.5703125" customWidth="1"/>
    <col min="13573" max="13573" width="8.28515625" customWidth="1"/>
    <col min="13574" max="13574" width="7.42578125" customWidth="1"/>
    <col min="13575" max="13575" width="2.7109375" customWidth="1"/>
    <col min="13576" max="13577" width="8.28515625" customWidth="1"/>
    <col min="13578" max="13578" width="2.7109375" customWidth="1"/>
    <col min="13579" max="13579" width="8.28515625" customWidth="1"/>
    <col min="13580" max="13580" width="8.42578125" customWidth="1"/>
    <col min="13581" max="13581" width="2.7109375" customWidth="1"/>
    <col min="13582" max="13583" width="8.28515625" customWidth="1"/>
    <col min="13584" max="13584" width="2.7109375" customWidth="1"/>
    <col min="13585" max="13586" width="8.28515625" customWidth="1"/>
    <col min="13587" max="13587" width="2.7109375" customWidth="1"/>
    <col min="13825" max="13825" width="34.7109375" customWidth="1"/>
    <col min="13826" max="13826" width="8.28515625" customWidth="1"/>
    <col min="13827" max="13827" width="8" customWidth="1"/>
    <col min="13828" max="13828" width="2.5703125" customWidth="1"/>
    <col min="13829" max="13829" width="8.28515625" customWidth="1"/>
    <col min="13830" max="13830" width="7.42578125" customWidth="1"/>
    <col min="13831" max="13831" width="2.7109375" customWidth="1"/>
    <col min="13832" max="13833" width="8.28515625" customWidth="1"/>
    <col min="13834" max="13834" width="2.7109375" customWidth="1"/>
    <col min="13835" max="13835" width="8.28515625" customWidth="1"/>
    <col min="13836" max="13836" width="8.42578125" customWidth="1"/>
    <col min="13837" max="13837" width="2.7109375" customWidth="1"/>
    <col min="13838" max="13839" width="8.28515625" customWidth="1"/>
    <col min="13840" max="13840" width="2.7109375" customWidth="1"/>
    <col min="13841" max="13842" width="8.28515625" customWidth="1"/>
    <col min="13843" max="13843" width="2.7109375" customWidth="1"/>
    <col min="14081" max="14081" width="34.7109375" customWidth="1"/>
    <col min="14082" max="14082" width="8.28515625" customWidth="1"/>
    <col min="14083" max="14083" width="8" customWidth="1"/>
    <col min="14084" max="14084" width="2.5703125" customWidth="1"/>
    <col min="14085" max="14085" width="8.28515625" customWidth="1"/>
    <col min="14086" max="14086" width="7.42578125" customWidth="1"/>
    <col min="14087" max="14087" width="2.7109375" customWidth="1"/>
    <col min="14088" max="14089" width="8.28515625" customWidth="1"/>
    <col min="14090" max="14090" width="2.7109375" customWidth="1"/>
    <col min="14091" max="14091" width="8.28515625" customWidth="1"/>
    <col min="14092" max="14092" width="8.42578125" customWidth="1"/>
    <col min="14093" max="14093" width="2.7109375" customWidth="1"/>
    <col min="14094" max="14095" width="8.28515625" customWidth="1"/>
    <col min="14096" max="14096" width="2.7109375" customWidth="1"/>
    <col min="14097" max="14098" width="8.28515625" customWidth="1"/>
    <col min="14099" max="14099" width="2.7109375" customWidth="1"/>
    <col min="14337" max="14337" width="34.7109375" customWidth="1"/>
    <col min="14338" max="14338" width="8.28515625" customWidth="1"/>
    <col min="14339" max="14339" width="8" customWidth="1"/>
    <col min="14340" max="14340" width="2.5703125" customWidth="1"/>
    <col min="14341" max="14341" width="8.28515625" customWidth="1"/>
    <col min="14342" max="14342" width="7.42578125" customWidth="1"/>
    <col min="14343" max="14343" width="2.7109375" customWidth="1"/>
    <col min="14344" max="14345" width="8.28515625" customWidth="1"/>
    <col min="14346" max="14346" width="2.7109375" customWidth="1"/>
    <col min="14347" max="14347" width="8.28515625" customWidth="1"/>
    <col min="14348" max="14348" width="8.42578125" customWidth="1"/>
    <col min="14349" max="14349" width="2.7109375" customWidth="1"/>
    <col min="14350" max="14351" width="8.28515625" customWidth="1"/>
    <col min="14352" max="14352" width="2.7109375" customWidth="1"/>
    <col min="14353" max="14354" width="8.28515625" customWidth="1"/>
    <col min="14355" max="14355" width="2.7109375" customWidth="1"/>
    <col min="14593" max="14593" width="34.7109375" customWidth="1"/>
    <col min="14594" max="14594" width="8.28515625" customWidth="1"/>
    <col min="14595" max="14595" width="8" customWidth="1"/>
    <col min="14596" max="14596" width="2.5703125" customWidth="1"/>
    <col min="14597" max="14597" width="8.28515625" customWidth="1"/>
    <col min="14598" max="14598" width="7.42578125" customWidth="1"/>
    <col min="14599" max="14599" width="2.7109375" customWidth="1"/>
    <col min="14600" max="14601" width="8.28515625" customWidth="1"/>
    <col min="14602" max="14602" width="2.7109375" customWidth="1"/>
    <col min="14603" max="14603" width="8.28515625" customWidth="1"/>
    <col min="14604" max="14604" width="8.42578125" customWidth="1"/>
    <col min="14605" max="14605" width="2.7109375" customWidth="1"/>
    <col min="14606" max="14607" width="8.28515625" customWidth="1"/>
    <col min="14608" max="14608" width="2.7109375" customWidth="1"/>
    <col min="14609" max="14610" width="8.28515625" customWidth="1"/>
    <col min="14611" max="14611" width="2.7109375" customWidth="1"/>
    <col min="14849" max="14849" width="34.7109375" customWidth="1"/>
    <col min="14850" max="14850" width="8.28515625" customWidth="1"/>
    <col min="14851" max="14851" width="8" customWidth="1"/>
    <col min="14852" max="14852" width="2.5703125" customWidth="1"/>
    <col min="14853" max="14853" width="8.28515625" customWidth="1"/>
    <col min="14854" max="14854" width="7.42578125" customWidth="1"/>
    <col min="14855" max="14855" width="2.7109375" customWidth="1"/>
    <col min="14856" max="14857" width="8.28515625" customWidth="1"/>
    <col min="14858" max="14858" width="2.7109375" customWidth="1"/>
    <col min="14859" max="14859" width="8.28515625" customWidth="1"/>
    <col min="14860" max="14860" width="8.42578125" customWidth="1"/>
    <col min="14861" max="14861" width="2.7109375" customWidth="1"/>
    <col min="14862" max="14863" width="8.28515625" customWidth="1"/>
    <col min="14864" max="14864" width="2.7109375" customWidth="1"/>
    <col min="14865" max="14866" width="8.28515625" customWidth="1"/>
    <col min="14867" max="14867" width="2.7109375" customWidth="1"/>
    <col min="15105" max="15105" width="34.7109375" customWidth="1"/>
    <col min="15106" max="15106" width="8.28515625" customWidth="1"/>
    <col min="15107" max="15107" width="8" customWidth="1"/>
    <col min="15108" max="15108" width="2.5703125" customWidth="1"/>
    <col min="15109" max="15109" width="8.28515625" customWidth="1"/>
    <col min="15110" max="15110" width="7.42578125" customWidth="1"/>
    <col min="15111" max="15111" width="2.7109375" customWidth="1"/>
    <col min="15112" max="15113" width="8.28515625" customWidth="1"/>
    <col min="15114" max="15114" width="2.7109375" customWidth="1"/>
    <col min="15115" max="15115" width="8.28515625" customWidth="1"/>
    <col min="15116" max="15116" width="8.42578125" customWidth="1"/>
    <col min="15117" max="15117" width="2.7109375" customWidth="1"/>
    <col min="15118" max="15119" width="8.28515625" customWidth="1"/>
    <col min="15120" max="15120" width="2.7109375" customWidth="1"/>
    <col min="15121" max="15122" width="8.28515625" customWidth="1"/>
    <col min="15123" max="15123" width="2.7109375" customWidth="1"/>
    <col min="15361" max="15361" width="34.7109375" customWidth="1"/>
    <col min="15362" max="15362" width="8.28515625" customWidth="1"/>
    <col min="15363" max="15363" width="8" customWidth="1"/>
    <col min="15364" max="15364" width="2.5703125" customWidth="1"/>
    <col min="15365" max="15365" width="8.28515625" customWidth="1"/>
    <col min="15366" max="15366" width="7.42578125" customWidth="1"/>
    <col min="15367" max="15367" width="2.7109375" customWidth="1"/>
    <col min="15368" max="15369" width="8.28515625" customWidth="1"/>
    <col min="15370" max="15370" width="2.7109375" customWidth="1"/>
    <col min="15371" max="15371" width="8.28515625" customWidth="1"/>
    <col min="15372" max="15372" width="8.42578125" customWidth="1"/>
    <col min="15373" max="15373" width="2.7109375" customWidth="1"/>
    <col min="15374" max="15375" width="8.28515625" customWidth="1"/>
    <col min="15376" max="15376" width="2.7109375" customWidth="1"/>
    <col min="15377" max="15378" width="8.28515625" customWidth="1"/>
    <col min="15379" max="15379" width="2.7109375" customWidth="1"/>
    <col min="15617" max="15617" width="34.7109375" customWidth="1"/>
    <col min="15618" max="15618" width="8.28515625" customWidth="1"/>
    <col min="15619" max="15619" width="8" customWidth="1"/>
    <col min="15620" max="15620" width="2.5703125" customWidth="1"/>
    <col min="15621" max="15621" width="8.28515625" customWidth="1"/>
    <col min="15622" max="15622" width="7.42578125" customWidth="1"/>
    <col min="15623" max="15623" width="2.7109375" customWidth="1"/>
    <col min="15624" max="15625" width="8.28515625" customWidth="1"/>
    <col min="15626" max="15626" width="2.7109375" customWidth="1"/>
    <col min="15627" max="15627" width="8.28515625" customWidth="1"/>
    <col min="15628" max="15628" width="8.42578125" customWidth="1"/>
    <col min="15629" max="15629" width="2.7109375" customWidth="1"/>
    <col min="15630" max="15631" width="8.28515625" customWidth="1"/>
    <col min="15632" max="15632" width="2.7109375" customWidth="1"/>
    <col min="15633" max="15634" width="8.28515625" customWidth="1"/>
    <col min="15635" max="15635" width="2.7109375" customWidth="1"/>
    <col min="15873" max="15873" width="34.7109375" customWidth="1"/>
    <col min="15874" max="15874" width="8.28515625" customWidth="1"/>
    <col min="15875" max="15875" width="8" customWidth="1"/>
    <col min="15876" max="15876" width="2.5703125" customWidth="1"/>
    <col min="15877" max="15877" width="8.28515625" customWidth="1"/>
    <col min="15878" max="15878" width="7.42578125" customWidth="1"/>
    <col min="15879" max="15879" width="2.7109375" customWidth="1"/>
    <col min="15880" max="15881" width="8.28515625" customWidth="1"/>
    <col min="15882" max="15882" width="2.7109375" customWidth="1"/>
    <col min="15883" max="15883" width="8.28515625" customWidth="1"/>
    <col min="15884" max="15884" width="8.42578125" customWidth="1"/>
    <col min="15885" max="15885" width="2.7109375" customWidth="1"/>
    <col min="15886" max="15887" width="8.28515625" customWidth="1"/>
    <col min="15888" max="15888" width="2.7109375" customWidth="1"/>
    <col min="15889" max="15890" width="8.28515625" customWidth="1"/>
    <col min="15891" max="15891" width="2.7109375" customWidth="1"/>
    <col min="16129" max="16129" width="34.7109375" customWidth="1"/>
    <col min="16130" max="16130" width="8.28515625" customWidth="1"/>
    <col min="16131" max="16131" width="8" customWidth="1"/>
    <col min="16132" max="16132" width="2.5703125" customWidth="1"/>
    <col min="16133" max="16133" width="8.28515625" customWidth="1"/>
    <col min="16134" max="16134" width="7.42578125" customWidth="1"/>
    <col min="16135" max="16135" width="2.7109375" customWidth="1"/>
    <col min="16136" max="16137" width="8.28515625" customWidth="1"/>
    <col min="16138" max="16138" width="2.7109375" customWidth="1"/>
    <col min="16139" max="16139" width="8.28515625" customWidth="1"/>
    <col min="16140" max="16140" width="8.42578125" customWidth="1"/>
    <col min="16141" max="16141" width="2.7109375" customWidth="1"/>
    <col min="16142" max="16143" width="8.28515625" customWidth="1"/>
    <col min="16144" max="16144" width="2.7109375" customWidth="1"/>
    <col min="16145" max="16146" width="8.28515625" customWidth="1"/>
    <col min="16147" max="16147" width="2.7109375" customWidth="1"/>
  </cols>
  <sheetData>
    <row r="1" spans="1:19">
      <c r="A1" t="s">
        <v>496</v>
      </c>
    </row>
    <row r="2" spans="1:19">
      <c r="A2" t="s">
        <v>906</v>
      </c>
    </row>
    <row r="3" spans="1:19" ht="9" customHeight="1"/>
    <row r="4" spans="1:19">
      <c r="A4" s="854" t="s">
        <v>907</v>
      </c>
    </row>
    <row r="5" spans="1:19" ht="9" customHeight="1" thickBot="1">
      <c r="S5" s="43"/>
    </row>
    <row r="6" spans="1:19" ht="12" customHeight="1">
      <c r="A6" s="6"/>
      <c r="B6" s="235"/>
      <c r="C6" s="236"/>
      <c r="D6" s="237"/>
      <c r="E6" s="235"/>
      <c r="F6" s="236"/>
      <c r="G6" s="237"/>
      <c r="H6" s="238"/>
      <c r="I6" s="236"/>
      <c r="J6" s="237"/>
      <c r="K6" s="238"/>
      <c r="L6" s="236"/>
      <c r="M6" s="237"/>
      <c r="N6" s="238"/>
      <c r="O6" s="236"/>
      <c r="P6" s="237"/>
      <c r="Q6" s="238"/>
      <c r="R6" s="38"/>
      <c r="S6" s="38"/>
    </row>
    <row r="7" spans="1:19" ht="13.9" customHeight="1">
      <c r="A7" t="s">
        <v>4</v>
      </c>
      <c r="B7" s="239"/>
      <c r="C7" s="240"/>
      <c r="D7" s="95"/>
      <c r="E7" s="239"/>
      <c r="F7" s="240"/>
      <c r="G7" s="95"/>
      <c r="H7" s="1290" t="s">
        <v>908</v>
      </c>
      <c r="I7" s="1290"/>
      <c r="J7" s="95"/>
      <c r="K7" s="1290" t="s">
        <v>909</v>
      </c>
      <c r="L7" s="1290"/>
      <c r="M7" s="95"/>
      <c r="N7" s="1290" t="s">
        <v>910</v>
      </c>
      <c r="O7" s="1290"/>
      <c r="P7" s="95"/>
      <c r="Q7" s="251"/>
      <c r="R7" s="53"/>
    </row>
    <row r="8" spans="1:19" ht="13.9" customHeight="1">
      <c r="A8" s="36" t="s">
        <v>911</v>
      </c>
      <c r="B8" s="1268" t="s">
        <v>912</v>
      </c>
      <c r="C8" s="1268"/>
      <c r="D8" s="95"/>
      <c r="E8" s="1268" t="s">
        <v>913</v>
      </c>
      <c r="F8" s="1268"/>
      <c r="G8" s="95"/>
      <c r="H8" s="1268" t="s">
        <v>914</v>
      </c>
      <c r="I8" s="1268"/>
      <c r="J8" s="95"/>
      <c r="K8" s="1268" t="s">
        <v>915</v>
      </c>
      <c r="L8" s="1268"/>
      <c r="M8" s="95"/>
      <c r="N8" s="1268" t="s">
        <v>916</v>
      </c>
      <c r="O8" s="1268"/>
      <c r="P8" s="95"/>
      <c r="Q8" s="1270" t="s">
        <v>917</v>
      </c>
      <c r="R8" s="1270"/>
    </row>
    <row r="9" spans="1:19" ht="13.9" customHeight="1">
      <c r="A9" s="36" t="s">
        <v>918</v>
      </c>
      <c r="B9" s="243" t="s">
        <v>323</v>
      </c>
      <c r="C9" s="244" t="s">
        <v>324</v>
      </c>
      <c r="D9" s="95"/>
      <c r="E9" s="243" t="s">
        <v>323</v>
      </c>
      <c r="F9" s="244" t="s">
        <v>324</v>
      </c>
      <c r="G9" s="95"/>
      <c r="H9" s="246" t="s">
        <v>323</v>
      </c>
      <c r="I9" s="244" t="s">
        <v>324</v>
      </c>
      <c r="J9" s="95"/>
      <c r="K9" s="246" t="s">
        <v>323</v>
      </c>
      <c r="L9" s="244" t="s">
        <v>324</v>
      </c>
      <c r="M9" s="95"/>
      <c r="N9" s="246" t="s">
        <v>323</v>
      </c>
      <c r="O9" s="244" t="s">
        <v>324</v>
      </c>
      <c r="P9" s="95"/>
      <c r="Q9" s="246" t="s">
        <v>323</v>
      </c>
      <c r="R9" s="56" t="s">
        <v>324</v>
      </c>
    </row>
    <row r="10" spans="1:19" ht="10.5" customHeight="1" thickBot="1">
      <c r="A10" s="15"/>
      <c r="B10" s="247"/>
      <c r="C10" s="248"/>
      <c r="D10" s="249"/>
      <c r="E10" s="247"/>
      <c r="F10" s="248"/>
      <c r="G10" s="249"/>
      <c r="H10" s="250"/>
      <c r="I10" s="248"/>
      <c r="J10" s="249"/>
      <c r="K10" s="250"/>
      <c r="L10" s="248"/>
      <c r="M10" s="249"/>
      <c r="N10" s="250"/>
      <c r="O10" s="248"/>
      <c r="P10" s="249"/>
      <c r="Q10" s="250"/>
      <c r="R10" s="60"/>
    </row>
    <row r="11" spans="1:19" ht="11.25" customHeight="1">
      <c r="A11" s="36"/>
      <c r="B11" s="239"/>
      <c r="C11" s="240"/>
      <c r="D11" s="95"/>
      <c r="E11" s="239"/>
      <c r="F11" s="240"/>
      <c r="G11" s="95"/>
      <c r="H11" s="251"/>
      <c r="I11" s="240"/>
      <c r="J11" s="95"/>
      <c r="K11" s="251"/>
      <c r="L11" s="240"/>
      <c r="M11" s="95"/>
      <c r="N11" s="251"/>
      <c r="O11" s="240"/>
      <c r="P11" s="95"/>
      <c r="Q11" s="251"/>
      <c r="R11" s="53"/>
      <c r="S11" s="38"/>
    </row>
    <row r="12" spans="1:19" ht="13.9" customHeight="1">
      <c r="A12" s="63" t="s">
        <v>325</v>
      </c>
      <c r="B12" s="65">
        <f>B14+B99</f>
        <v>40395</v>
      </c>
      <c r="C12" s="94">
        <f>C14+C99</f>
        <v>100</v>
      </c>
      <c r="E12" s="65">
        <f>E14+E99</f>
        <v>2121</v>
      </c>
      <c r="F12" s="94">
        <f t="shared" ref="F12:F75" si="0">IF($A12&lt;&gt;"",E12/$B12*100,"")</f>
        <v>5.2506498329001117</v>
      </c>
      <c r="H12" s="93">
        <f>H14+H99</f>
        <v>6803</v>
      </c>
      <c r="I12" s="94">
        <f t="shared" ref="I12:I75" si="1">IF($A12&lt;&gt;"",H12/$B12*100,"")</f>
        <v>16.841193216982301</v>
      </c>
      <c r="K12" s="93">
        <f>K14+K99</f>
        <v>9785</v>
      </c>
      <c r="L12" s="94">
        <f t="shared" ref="L12:L75" si="2">IF($A12&lt;&gt;"",K12/$B12*100,"")</f>
        <v>24.223294962247802</v>
      </c>
      <c r="N12" s="93">
        <f>N14+N99</f>
        <v>18184</v>
      </c>
      <c r="O12" s="94">
        <f t="shared" ref="O12:O75" si="3">IF($A12&lt;&gt;"",N12/$B12*100,"")</f>
        <v>45.015472211907415</v>
      </c>
      <c r="Q12" s="93">
        <f>Q14+Q99</f>
        <v>3502</v>
      </c>
      <c r="R12" s="43">
        <f>IF($A12&lt;&gt;"",Q12/$B12*100,"")</f>
        <v>8.6693897759623724</v>
      </c>
    </row>
    <row r="13" spans="1:19" ht="9.75" customHeight="1">
      <c r="F13" s="94" t="str">
        <f t="shared" si="0"/>
        <v/>
      </c>
      <c r="I13" s="94" t="str">
        <f t="shared" si="1"/>
        <v/>
      </c>
      <c r="L13" s="94" t="str">
        <f t="shared" si="2"/>
        <v/>
      </c>
      <c r="O13" s="94" t="str">
        <f t="shared" si="3"/>
        <v/>
      </c>
      <c r="R13" s="43" t="str">
        <f t="shared" ref="R13:R78" si="4">IF($A13&lt;&gt;"",Q13/$B13*100,"")</f>
        <v/>
      </c>
    </row>
    <row r="14" spans="1:19" ht="13.9" customHeight="1">
      <c r="A14" s="63" t="s">
        <v>326</v>
      </c>
      <c r="B14" s="65">
        <f>B94+B16+B27+B35+B75+B61+B82+B96+B97+B106</f>
        <v>30922</v>
      </c>
      <c r="C14" s="94">
        <f>IF(A14&lt;&gt;0,B14/$B$12*100,"")</f>
        <v>76.549077856170328</v>
      </c>
      <c r="D14" s="42" t="s">
        <v>253</v>
      </c>
      <c r="E14" s="65">
        <f>E94+E16+E27+E35+E75+E61+E82+E96+E97+E106</f>
        <v>1831</v>
      </c>
      <c r="F14" s="94">
        <f t="shared" si="0"/>
        <v>5.9213504947933506</v>
      </c>
      <c r="G14" s="42" t="s">
        <v>253</v>
      </c>
      <c r="H14" s="93">
        <f>H94+H16+H27+H35+H75+H61+H82+H96+H97+H106</f>
        <v>5592</v>
      </c>
      <c r="I14" s="94">
        <f t="shared" si="1"/>
        <v>18.084211887976199</v>
      </c>
      <c r="J14" s="42" t="s">
        <v>253</v>
      </c>
      <c r="K14" s="93">
        <f>K94+K16+K27+K35+K75+K61+K82+K96+K97+K106</f>
        <v>7430</v>
      </c>
      <c r="L14" s="94">
        <f t="shared" si="2"/>
        <v>24.028199987064227</v>
      </c>
      <c r="M14" s="42" t="s">
        <v>253</v>
      </c>
      <c r="N14" s="93">
        <f>N94+N16+N27+N35+N75+N61+N82+N96+N97+N106</f>
        <v>13147</v>
      </c>
      <c r="O14" s="94">
        <f t="shared" si="3"/>
        <v>42.516654808873938</v>
      </c>
      <c r="P14" s="42" t="s">
        <v>253</v>
      </c>
      <c r="Q14" s="93">
        <f>Q94+Q16+Q27+Q35+Q75+Q61+Q82+Q96+Q97+Q106</f>
        <v>2922</v>
      </c>
      <c r="R14" s="43">
        <f t="shared" si="4"/>
        <v>9.4495828212922834</v>
      </c>
    </row>
    <row r="15" spans="1:19" ht="8.25" customHeight="1">
      <c r="C15" s="94" t="str">
        <f t="shared" ref="C15:C80" si="5">IF(A15&lt;&gt;0,B15/$B$12*100,"")</f>
        <v/>
      </c>
      <c r="F15" s="94" t="str">
        <f t="shared" si="0"/>
        <v/>
      </c>
      <c r="I15" s="94" t="str">
        <f t="shared" si="1"/>
        <v/>
      </c>
      <c r="L15" s="94" t="str">
        <f t="shared" si="2"/>
        <v/>
      </c>
      <c r="O15" s="94" t="str">
        <f t="shared" si="3"/>
        <v/>
      </c>
      <c r="R15" s="43" t="str">
        <f t="shared" si="4"/>
        <v/>
      </c>
    </row>
    <row r="16" spans="1:19" ht="13.9" customHeight="1">
      <c r="A16" s="63" t="s">
        <v>327</v>
      </c>
      <c r="B16" s="65">
        <f>SUM(B17+B22)</f>
        <v>3095</v>
      </c>
      <c r="C16" s="94">
        <f t="shared" si="5"/>
        <v>7.6618393365515525</v>
      </c>
      <c r="E16" s="65">
        <f>SUM(E17+E22)</f>
        <v>93</v>
      </c>
      <c r="F16" s="94">
        <f t="shared" si="0"/>
        <v>3.0048465266558964</v>
      </c>
      <c r="H16" s="93">
        <f>SUM(H17+H22)</f>
        <v>787</v>
      </c>
      <c r="I16" s="94">
        <f t="shared" si="1"/>
        <v>25.428109854604202</v>
      </c>
      <c r="K16" s="93">
        <f>SUM(K17+K22)</f>
        <v>849</v>
      </c>
      <c r="L16" s="94">
        <f t="shared" si="2"/>
        <v>27.431340872374797</v>
      </c>
      <c r="N16" s="93">
        <f>SUM(N17+N22)</f>
        <v>1153</v>
      </c>
      <c r="O16" s="94">
        <f t="shared" si="3"/>
        <v>37.253634894991919</v>
      </c>
      <c r="Q16" s="93">
        <f>SUM(Q17+Q22)</f>
        <v>213</v>
      </c>
      <c r="R16" s="43">
        <f t="shared" si="4"/>
        <v>6.8820678513731828</v>
      </c>
    </row>
    <row r="17" spans="1:19" ht="13.9" customHeight="1">
      <c r="A17" t="s">
        <v>20</v>
      </c>
      <c r="B17" s="65">
        <f>SUM(E17+H17+K17+N17+Q17)</f>
        <v>1067</v>
      </c>
      <c r="C17" s="94">
        <f t="shared" si="5"/>
        <v>2.6414160168337664</v>
      </c>
      <c r="E17" s="65">
        <f>SUM(E18:E20)</f>
        <v>56</v>
      </c>
      <c r="F17" s="94">
        <f t="shared" si="0"/>
        <v>5.2483598875351447</v>
      </c>
      <c r="G17" s="42" t="s">
        <v>253</v>
      </c>
      <c r="H17" s="93">
        <f>SUM(H18:H20)</f>
        <v>244</v>
      </c>
      <c r="I17" s="94">
        <f t="shared" si="1"/>
        <v>22.867853795688848</v>
      </c>
      <c r="J17" s="42" t="s">
        <v>253</v>
      </c>
      <c r="K17" s="93">
        <f>SUM(K18:K20)</f>
        <v>302</v>
      </c>
      <c r="L17" s="94">
        <f t="shared" si="2"/>
        <v>28.30365510777882</v>
      </c>
      <c r="M17" s="42" t="s">
        <v>253</v>
      </c>
      <c r="N17" s="93">
        <f>SUM(N18:N20)</f>
        <v>386</v>
      </c>
      <c r="O17" s="94">
        <f t="shared" si="3"/>
        <v>36.176194939081533</v>
      </c>
      <c r="P17" s="42" t="s">
        <v>253</v>
      </c>
      <c r="Q17" s="93">
        <f>SUM(Q18:Q20)</f>
        <v>79</v>
      </c>
      <c r="R17" s="43">
        <f t="shared" si="4"/>
        <v>7.4039362699156506</v>
      </c>
    </row>
    <row r="18" spans="1:19" ht="13.9" customHeight="1">
      <c r="A18" t="s">
        <v>21</v>
      </c>
      <c r="B18" s="65">
        <f>SUM(E18+H18+K18+N18+Q18)</f>
        <v>161</v>
      </c>
      <c r="C18" s="94">
        <f t="shared" si="5"/>
        <v>0.39856417873499195</v>
      </c>
      <c r="E18" s="260">
        <v>7</v>
      </c>
      <c r="F18" s="94">
        <f t="shared" si="0"/>
        <v>4.3478260869565215</v>
      </c>
      <c r="G18" s="260"/>
      <c r="H18" s="261">
        <v>23</v>
      </c>
      <c r="I18" s="94">
        <f t="shared" si="1"/>
        <v>14.285714285714285</v>
      </c>
      <c r="J18" s="261"/>
      <c r="K18" s="261">
        <v>58</v>
      </c>
      <c r="L18" s="94">
        <f t="shared" si="2"/>
        <v>36.024844720496894</v>
      </c>
      <c r="M18" s="261"/>
      <c r="N18" s="261">
        <v>64</v>
      </c>
      <c r="O18" s="94">
        <f t="shared" si="3"/>
        <v>39.751552795031053</v>
      </c>
      <c r="P18" s="261"/>
      <c r="Q18" s="261">
        <v>9</v>
      </c>
      <c r="R18" s="43">
        <f t="shared" si="4"/>
        <v>5.5900621118012426</v>
      </c>
      <c r="S18" s="277"/>
    </row>
    <row r="19" spans="1:19" ht="13.9" customHeight="1">
      <c r="A19" t="s">
        <v>22</v>
      </c>
      <c r="B19" s="65">
        <f>SUM(E19+H19+K19+N19+Q19)</f>
        <v>221</v>
      </c>
      <c r="C19" s="94">
        <f t="shared" si="5"/>
        <v>0.5470974130461691</v>
      </c>
      <c r="E19" s="260">
        <v>7</v>
      </c>
      <c r="F19" s="94">
        <f t="shared" si="0"/>
        <v>3.1674208144796379</v>
      </c>
      <c r="G19" s="260"/>
      <c r="H19" s="261">
        <v>32</v>
      </c>
      <c r="I19" s="94">
        <f t="shared" si="1"/>
        <v>14.479638009049776</v>
      </c>
      <c r="J19" s="261"/>
      <c r="K19" s="261">
        <v>60</v>
      </c>
      <c r="L19" s="94">
        <f t="shared" si="2"/>
        <v>27.149321266968325</v>
      </c>
      <c r="M19" s="261"/>
      <c r="N19" s="261">
        <v>88</v>
      </c>
      <c r="O19" s="94">
        <f t="shared" si="3"/>
        <v>39.819004524886878</v>
      </c>
      <c r="P19" s="261"/>
      <c r="Q19" s="261">
        <v>34</v>
      </c>
      <c r="R19" s="43">
        <f t="shared" si="4"/>
        <v>15.384615384615385</v>
      </c>
      <c r="S19" s="277"/>
    </row>
    <row r="20" spans="1:19" ht="13.9" customHeight="1">
      <c r="A20" t="s">
        <v>23</v>
      </c>
      <c r="B20" s="65">
        <f>SUM(E20+H20+K20+N20+Q20)</f>
        <v>685</v>
      </c>
      <c r="C20" s="94">
        <f t="shared" si="5"/>
        <v>1.6957544250526055</v>
      </c>
      <c r="E20" s="260">
        <v>42</v>
      </c>
      <c r="F20" s="94">
        <f t="shared" si="0"/>
        <v>6.1313868613138682</v>
      </c>
      <c r="G20" s="260"/>
      <c r="H20" s="261">
        <v>189</v>
      </c>
      <c r="I20" s="94">
        <f t="shared" si="1"/>
        <v>27.591240875912408</v>
      </c>
      <c r="J20" s="261"/>
      <c r="K20" s="261">
        <v>184</v>
      </c>
      <c r="L20" s="94">
        <f t="shared" si="2"/>
        <v>26.861313868613141</v>
      </c>
      <c r="M20" s="261"/>
      <c r="N20" s="261">
        <v>234</v>
      </c>
      <c r="O20" s="94">
        <f t="shared" si="3"/>
        <v>34.160583941605836</v>
      </c>
      <c r="P20" s="261"/>
      <c r="Q20" s="261">
        <v>36</v>
      </c>
      <c r="R20" s="43">
        <f t="shared" si="4"/>
        <v>5.2554744525547443</v>
      </c>
      <c r="S20" s="277"/>
    </row>
    <row r="21" spans="1:19" ht="8.25" customHeight="1">
      <c r="C21" s="94" t="str">
        <f t="shared" si="5"/>
        <v/>
      </c>
      <c r="F21" s="94" t="str">
        <f t="shared" si="0"/>
        <v/>
      </c>
      <c r="I21" s="94" t="str">
        <f t="shared" si="1"/>
        <v/>
      </c>
      <c r="L21" s="94" t="str">
        <f t="shared" si="2"/>
        <v/>
      </c>
      <c r="O21" s="94" t="str">
        <f t="shared" si="3"/>
        <v/>
      </c>
      <c r="R21" s="43" t="str">
        <f t="shared" si="4"/>
        <v/>
      </c>
    </row>
    <row r="22" spans="1:19" ht="13.9" customHeight="1">
      <c r="A22" t="s">
        <v>24</v>
      </c>
      <c r="B22" s="65">
        <f>SUM(E22+H22+K22+N22+Q22)</f>
        <v>2028</v>
      </c>
      <c r="C22" s="94">
        <f t="shared" si="5"/>
        <v>5.0204233197177865</v>
      </c>
      <c r="E22" s="65">
        <f>SUM(E23:E25)</f>
        <v>37</v>
      </c>
      <c r="F22" s="94">
        <f t="shared" si="0"/>
        <v>1.8244575936883629</v>
      </c>
      <c r="G22" s="42" t="s">
        <v>253</v>
      </c>
      <c r="H22" s="93">
        <f>SUM(H23:H25)</f>
        <v>543</v>
      </c>
      <c r="I22" s="94">
        <f t="shared" si="1"/>
        <v>26.77514792899408</v>
      </c>
      <c r="J22" s="42" t="s">
        <v>253</v>
      </c>
      <c r="K22" s="93">
        <f>SUM(K23:K25)</f>
        <v>547</v>
      </c>
      <c r="L22" s="94">
        <f t="shared" si="2"/>
        <v>26.972386587771201</v>
      </c>
      <c r="M22" s="42" t="s">
        <v>253</v>
      </c>
      <c r="N22" s="93">
        <f>SUM(N23:N25)</f>
        <v>767</v>
      </c>
      <c r="O22" s="94">
        <f t="shared" si="3"/>
        <v>37.820512820512818</v>
      </c>
      <c r="P22" s="42" t="s">
        <v>253</v>
      </c>
      <c r="Q22" s="93">
        <f>SUM(Q23:Q25)</f>
        <v>134</v>
      </c>
      <c r="R22" s="43">
        <f t="shared" si="4"/>
        <v>6.607495069033531</v>
      </c>
    </row>
    <row r="23" spans="1:19" ht="13.9" customHeight="1">
      <c r="A23" t="s">
        <v>25</v>
      </c>
      <c r="B23" s="65">
        <f>SUM(E23+H23+K23+N23+Q23)</f>
        <v>651</v>
      </c>
      <c r="C23" s="94">
        <f t="shared" si="5"/>
        <v>1.6115855922762718</v>
      </c>
      <c r="E23" s="260">
        <v>10</v>
      </c>
      <c r="F23" s="94">
        <f t="shared" si="0"/>
        <v>1.5360983102918586</v>
      </c>
      <c r="G23" s="260"/>
      <c r="H23" s="261">
        <v>184</v>
      </c>
      <c r="I23" s="94">
        <f t="shared" si="1"/>
        <v>28.264208909370197</v>
      </c>
      <c r="J23" s="261"/>
      <c r="K23" s="261">
        <v>192</v>
      </c>
      <c r="L23" s="94">
        <f t="shared" si="2"/>
        <v>29.493087557603687</v>
      </c>
      <c r="M23" s="261"/>
      <c r="N23" s="261">
        <v>236</v>
      </c>
      <c r="O23" s="94">
        <f t="shared" si="3"/>
        <v>36.251920122887867</v>
      </c>
      <c r="P23" s="261"/>
      <c r="Q23" s="261">
        <v>29</v>
      </c>
      <c r="R23" s="43">
        <f t="shared" si="4"/>
        <v>4.4546850998463903</v>
      </c>
    </row>
    <row r="24" spans="1:19" ht="13.9" customHeight="1">
      <c r="A24" t="s">
        <v>26</v>
      </c>
      <c r="B24" s="65">
        <f>SUM(E24+H24+K24+N24+Q24)</f>
        <v>332</v>
      </c>
      <c r="C24" s="94">
        <f t="shared" si="5"/>
        <v>0.82188389652184668</v>
      </c>
      <c r="E24" s="260">
        <v>10</v>
      </c>
      <c r="F24" s="94">
        <f t="shared" si="0"/>
        <v>3.0120481927710845</v>
      </c>
      <c r="G24" s="260"/>
      <c r="H24" s="261">
        <v>96</v>
      </c>
      <c r="I24" s="94">
        <f t="shared" si="1"/>
        <v>28.915662650602407</v>
      </c>
      <c r="J24" s="261"/>
      <c r="K24" s="261">
        <v>96</v>
      </c>
      <c r="L24" s="94">
        <f t="shared" si="2"/>
        <v>28.915662650602407</v>
      </c>
      <c r="M24" s="261"/>
      <c r="N24" s="261">
        <v>103</v>
      </c>
      <c r="O24" s="94">
        <f t="shared" si="3"/>
        <v>31.024096385542173</v>
      </c>
      <c r="P24" s="261"/>
      <c r="Q24" s="261">
        <v>27</v>
      </c>
      <c r="R24" s="43">
        <f t="shared" si="4"/>
        <v>8.1325301204819276</v>
      </c>
    </row>
    <row r="25" spans="1:19" ht="13.9" customHeight="1">
      <c r="A25" t="s">
        <v>27</v>
      </c>
      <c r="B25" s="65">
        <f>SUM(E25+H25+K25+N25+Q25)</f>
        <v>1045</v>
      </c>
      <c r="C25" s="94">
        <f t="shared" si="5"/>
        <v>2.5869538309196685</v>
      </c>
      <c r="E25" s="260">
        <v>17</v>
      </c>
      <c r="F25" s="94">
        <f t="shared" si="0"/>
        <v>1.6267942583732056</v>
      </c>
      <c r="G25" s="260"/>
      <c r="H25" s="261">
        <v>263</v>
      </c>
      <c r="I25" s="94">
        <f t="shared" si="1"/>
        <v>25.167464114832537</v>
      </c>
      <c r="J25" s="261"/>
      <c r="K25" s="261">
        <v>259</v>
      </c>
      <c r="L25" s="94">
        <f t="shared" si="2"/>
        <v>24.784688995215312</v>
      </c>
      <c r="M25" s="261"/>
      <c r="N25" s="261">
        <v>428</v>
      </c>
      <c r="O25" s="94">
        <f t="shared" si="3"/>
        <v>40.956937799043061</v>
      </c>
      <c r="P25" s="261"/>
      <c r="Q25" s="261">
        <v>78</v>
      </c>
      <c r="R25" s="43">
        <f t="shared" si="4"/>
        <v>7.4641148325358859</v>
      </c>
    </row>
    <row r="26" spans="1:19" ht="8.25" customHeight="1">
      <c r="C26" s="94" t="str">
        <f t="shared" si="5"/>
        <v/>
      </c>
      <c r="F26" s="94" t="str">
        <f t="shared" si="0"/>
        <v/>
      </c>
      <c r="I26" s="94" t="str">
        <f t="shared" si="1"/>
        <v/>
      </c>
      <c r="L26" s="94" t="str">
        <f t="shared" si="2"/>
        <v/>
      </c>
      <c r="O26" s="94" t="str">
        <f t="shared" si="3"/>
        <v/>
      </c>
      <c r="R26" s="43" t="str">
        <f t="shared" si="4"/>
        <v/>
      </c>
    </row>
    <row r="27" spans="1:19" ht="13.9" customHeight="1">
      <c r="A27" s="63" t="s">
        <v>375</v>
      </c>
      <c r="B27" s="65">
        <f>SUM(B28)</f>
        <v>1940</v>
      </c>
      <c r="C27" s="94">
        <f t="shared" si="5"/>
        <v>4.8025745760613932</v>
      </c>
      <c r="E27" s="65">
        <f>SUM(E28)</f>
        <v>59</v>
      </c>
      <c r="F27" s="94">
        <f t="shared" si="0"/>
        <v>3.0412371134020617</v>
      </c>
      <c r="H27" s="93">
        <f>SUM(H28)</f>
        <v>402</v>
      </c>
      <c r="I27" s="94">
        <f t="shared" si="1"/>
        <v>20.721649484536083</v>
      </c>
      <c r="K27" s="93">
        <f>SUM(K28)</f>
        <v>587</v>
      </c>
      <c r="L27" s="94">
        <f t="shared" si="2"/>
        <v>30.257731958762886</v>
      </c>
      <c r="N27" s="93">
        <f>SUM(N28)</f>
        <v>786</v>
      </c>
      <c r="O27" s="94">
        <f t="shared" si="3"/>
        <v>40.515463917525771</v>
      </c>
      <c r="Q27" s="93">
        <f>SUM(Q28)</f>
        <v>106</v>
      </c>
      <c r="R27" s="43">
        <f t="shared" si="4"/>
        <v>5.463917525773196</v>
      </c>
    </row>
    <row r="28" spans="1:19" ht="13.9" customHeight="1">
      <c r="A28" t="s">
        <v>29</v>
      </c>
      <c r="B28" s="65">
        <f t="shared" ref="B28:B33" si="6">SUM(E28+H28+K28+N28+Q28)</f>
        <v>1940</v>
      </c>
      <c r="C28" s="94">
        <f t="shared" si="5"/>
        <v>4.8025745760613932</v>
      </c>
      <c r="E28" s="65">
        <f>SUM(E29:E33)</f>
        <v>59</v>
      </c>
      <c r="F28" s="94">
        <f t="shared" si="0"/>
        <v>3.0412371134020617</v>
      </c>
      <c r="G28" s="42" t="s">
        <v>253</v>
      </c>
      <c r="H28" s="93">
        <f>SUM(H29:H33)</f>
        <v>402</v>
      </c>
      <c r="I28" s="94">
        <f t="shared" si="1"/>
        <v>20.721649484536083</v>
      </c>
      <c r="J28" s="42" t="s">
        <v>253</v>
      </c>
      <c r="K28" s="93">
        <f>SUM(K29:K33)</f>
        <v>587</v>
      </c>
      <c r="L28" s="94">
        <f t="shared" si="2"/>
        <v>30.257731958762886</v>
      </c>
      <c r="M28" s="42" t="s">
        <v>253</v>
      </c>
      <c r="N28" s="93">
        <f>SUM(N29:N33)</f>
        <v>786</v>
      </c>
      <c r="O28" s="94">
        <f t="shared" si="3"/>
        <v>40.515463917525771</v>
      </c>
      <c r="P28" s="42" t="s">
        <v>253</v>
      </c>
      <c r="Q28" s="93">
        <f>SUM(Q29:Q33)</f>
        <v>106</v>
      </c>
      <c r="R28" s="43">
        <f t="shared" si="4"/>
        <v>5.463917525773196</v>
      </c>
    </row>
    <row r="29" spans="1:19" ht="13.9" customHeight="1">
      <c r="A29" t="s">
        <v>30</v>
      </c>
      <c r="B29" s="65">
        <f t="shared" si="6"/>
        <v>343</v>
      </c>
      <c r="C29" s="94">
        <f t="shared" si="5"/>
        <v>0.84911498947889597</v>
      </c>
      <c r="E29" s="260">
        <v>13</v>
      </c>
      <c r="F29" s="94">
        <f t="shared" si="0"/>
        <v>3.7900874635568513</v>
      </c>
      <c r="G29" s="260"/>
      <c r="H29" s="261">
        <v>55</v>
      </c>
      <c r="I29" s="94">
        <f t="shared" si="1"/>
        <v>16.034985422740526</v>
      </c>
      <c r="J29" s="261"/>
      <c r="K29" s="261">
        <v>91</v>
      </c>
      <c r="L29" s="94">
        <f t="shared" si="2"/>
        <v>26.530612244897959</v>
      </c>
      <c r="M29" s="261"/>
      <c r="N29" s="261">
        <v>169</v>
      </c>
      <c r="O29" s="94">
        <f t="shared" si="3"/>
        <v>49.271137026239067</v>
      </c>
      <c r="P29" s="261"/>
      <c r="Q29" s="261">
        <v>15</v>
      </c>
      <c r="R29" s="43">
        <f t="shared" si="4"/>
        <v>4.3731778425655978</v>
      </c>
    </row>
    <row r="30" spans="1:19" ht="13.9" customHeight="1">
      <c r="A30" t="s">
        <v>31</v>
      </c>
      <c r="B30" s="65">
        <f t="shared" si="6"/>
        <v>499</v>
      </c>
      <c r="C30" s="94">
        <f t="shared" si="5"/>
        <v>1.2353013986879564</v>
      </c>
      <c r="E30" s="260">
        <v>3</v>
      </c>
      <c r="F30" s="94">
        <f t="shared" si="0"/>
        <v>0.60120240480961928</v>
      </c>
      <c r="G30" s="260"/>
      <c r="H30" s="261">
        <v>118</v>
      </c>
      <c r="I30" s="94">
        <f t="shared" si="1"/>
        <v>23.647294589178355</v>
      </c>
      <c r="J30" s="261"/>
      <c r="K30" s="261">
        <v>158</v>
      </c>
      <c r="L30" s="94">
        <f t="shared" si="2"/>
        <v>31.663326653306612</v>
      </c>
      <c r="M30" s="261"/>
      <c r="N30" s="261">
        <v>189</v>
      </c>
      <c r="O30" s="94">
        <f t="shared" si="3"/>
        <v>37.875751503006008</v>
      </c>
      <c r="P30" s="261"/>
      <c r="Q30" s="261">
        <v>31</v>
      </c>
      <c r="R30" s="43">
        <f t="shared" si="4"/>
        <v>6.2124248496993983</v>
      </c>
    </row>
    <row r="31" spans="1:19" ht="13.9" customHeight="1">
      <c r="A31" t="s">
        <v>32</v>
      </c>
      <c r="B31" s="65">
        <f t="shared" si="6"/>
        <v>349</v>
      </c>
      <c r="C31" s="94">
        <f t="shared" si="5"/>
        <v>0.86396831291001353</v>
      </c>
      <c r="E31" s="260">
        <v>25</v>
      </c>
      <c r="F31" s="94">
        <f t="shared" si="0"/>
        <v>7.1633237822349569</v>
      </c>
      <c r="G31" s="260"/>
      <c r="H31" s="261">
        <v>75</v>
      </c>
      <c r="I31" s="94">
        <f t="shared" si="1"/>
        <v>21.48997134670487</v>
      </c>
      <c r="J31" s="261"/>
      <c r="K31" s="261">
        <v>112</v>
      </c>
      <c r="L31" s="94">
        <f t="shared" si="2"/>
        <v>32.091690544412607</v>
      </c>
      <c r="M31" s="261"/>
      <c r="N31" s="261">
        <v>128</v>
      </c>
      <c r="O31" s="94">
        <f t="shared" si="3"/>
        <v>36.676217765042978</v>
      </c>
      <c r="P31" s="261"/>
      <c r="Q31" s="261">
        <v>9</v>
      </c>
      <c r="R31" s="43">
        <f t="shared" si="4"/>
        <v>2.5787965616045847</v>
      </c>
    </row>
    <row r="32" spans="1:19" ht="13.9" customHeight="1">
      <c r="A32" t="s">
        <v>33</v>
      </c>
      <c r="B32" s="65">
        <f t="shared" si="6"/>
        <v>371</v>
      </c>
      <c r="C32" s="94">
        <f t="shared" si="5"/>
        <v>0.91843049882411187</v>
      </c>
      <c r="E32" s="260">
        <v>7</v>
      </c>
      <c r="F32" s="94">
        <f t="shared" si="0"/>
        <v>1.8867924528301887</v>
      </c>
      <c r="G32" s="260"/>
      <c r="H32" s="261">
        <v>85</v>
      </c>
      <c r="I32" s="94">
        <f t="shared" si="1"/>
        <v>22.911051212938006</v>
      </c>
      <c r="J32" s="261"/>
      <c r="K32" s="261">
        <v>98</v>
      </c>
      <c r="L32" s="94">
        <f t="shared" si="2"/>
        <v>26.415094339622641</v>
      </c>
      <c r="M32" s="261"/>
      <c r="N32" s="261">
        <v>150</v>
      </c>
      <c r="O32" s="94">
        <f t="shared" si="3"/>
        <v>40.431266846361183</v>
      </c>
      <c r="P32" s="261"/>
      <c r="Q32" s="261">
        <v>31</v>
      </c>
      <c r="R32" s="43">
        <f t="shared" si="4"/>
        <v>8.355795148247978</v>
      </c>
    </row>
    <row r="33" spans="1:18" ht="13.9" customHeight="1">
      <c r="A33" t="s">
        <v>34</v>
      </c>
      <c r="B33" s="65">
        <f t="shared" si="6"/>
        <v>378</v>
      </c>
      <c r="C33" s="94">
        <f t="shared" si="5"/>
        <v>0.93575937616041593</v>
      </c>
      <c r="E33" s="260">
        <v>11</v>
      </c>
      <c r="F33" s="94">
        <f t="shared" si="0"/>
        <v>2.9100529100529098</v>
      </c>
      <c r="G33" s="260"/>
      <c r="H33" s="261">
        <v>69</v>
      </c>
      <c r="I33" s="94">
        <f t="shared" si="1"/>
        <v>18.253968253968253</v>
      </c>
      <c r="J33" s="261"/>
      <c r="K33" s="261">
        <v>128</v>
      </c>
      <c r="L33" s="94">
        <f t="shared" si="2"/>
        <v>33.862433862433861</v>
      </c>
      <c r="M33" s="261"/>
      <c r="N33" s="261">
        <v>150</v>
      </c>
      <c r="O33" s="94">
        <f t="shared" si="3"/>
        <v>39.682539682539684</v>
      </c>
      <c r="P33" s="261"/>
      <c r="Q33" s="261">
        <v>20</v>
      </c>
      <c r="R33" s="43">
        <f t="shared" si="4"/>
        <v>5.2910052910052912</v>
      </c>
    </row>
    <row r="34" spans="1:18" ht="8.25" customHeight="1">
      <c r="C34" s="94" t="str">
        <f t="shared" si="5"/>
        <v/>
      </c>
      <c r="F34" s="94" t="str">
        <f t="shared" si="0"/>
        <v/>
      </c>
      <c r="I34" s="94" t="str">
        <f t="shared" si="1"/>
        <v/>
      </c>
      <c r="L34" s="94" t="str">
        <f t="shared" si="2"/>
        <v/>
      </c>
      <c r="O34" s="94" t="str">
        <f t="shared" si="3"/>
        <v/>
      </c>
      <c r="R34" s="43" t="str">
        <f t="shared" si="4"/>
        <v/>
      </c>
    </row>
    <row r="35" spans="1:18" ht="13.9" customHeight="1">
      <c r="A35" s="63" t="s">
        <v>329</v>
      </c>
      <c r="B35" s="65">
        <f>SUM(B36+B42+B52+B54)</f>
        <v>13568</v>
      </c>
      <c r="C35" s="94">
        <f t="shared" si="5"/>
        <v>33.588315385567519</v>
      </c>
      <c r="E35" s="65">
        <f>SUM(E36+E42+E52+E54)</f>
        <v>933</v>
      </c>
      <c r="F35" s="94">
        <f t="shared" si="0"/>
        <v>6.8764740566037732</v>
      </c>
      <c r="H35" s="93">
        <f>SUM(H36+H42+H52+H54)</f>
        <v>2699</v>
      </c>
      <c r="I35" s="94">
        <f t="shared" si="1"/>
        <v>19.892393867924529</v>
      </c>
      <c r="K35" s="93">
        <f>SUM(K36+K42+K52+K54)</f>
        <v>3019</v>
      </c>
      <c r="L35" s="94">
        <f t="shared" si="2"/>
        <v>22.250884433962266</v>
      </c>
      <c r="N35" s="93">
        <f>SUM(N36+N42+N52+N54)</f>
        <v>5479</v>
      </c>
      <c r="O35" s="94">
        <f t="shared" si="3"/>
        <v>40.381780660377359</v>
      </c>
      <c r="Q35" s="93">
        <f>SUM(Q36+Q42+Q52+Q54)</f>
        <v>1438</v>
      </c>
      <c r="R35" s="43">
        <f t="shared" si="4"/>
        <v>10.598466981132075</v>
      </c>
    </row>
    <row r="36" spans="1:18" ht="13.9" customHeight="1">
      <c r="A36" t="s">
        <v>36</v>
      </c>
      <c r="B36" s="65">
        <f>SUM(E36+H36+K36+N36+Q36)</f>
        <v>4953</v>
      </c>
      <c r="C36" s="94">
        <f t="shared" si="5"/>
        <v>12.261418492387671</v>
      </c>
      <c r="E36" s="65">
        <f>SUM(E37:E40)</f>
        <v>321</v>
      </c>
      <c r="F36" s="94">
        <f t="shared" si="0"/>
        <v>6.4809206541490001</v>
      </c>
      <c r="G36" s="42" t="s">
        <v>253</v>
      </c>
      <c r="H36" s="93">
        <f>SUM(H37:H40)</f>
        <v>1047</v>
      </c>
      <c r="I36" s="94">
        <f t="shared" si="1"/>
        <v>21.138703815869171</v>
      </c>
      <c r="J36" s="42" t="s">
        <v>253</v>
      </c>
      <c r="K36" s="93">
        <f>SUM(K37:K40)</f>
        <v>1141</v>
      </c>
      <c r="L36" s="94">
        <f t="shared" si="2"/>
        <v>23.036543508984451</v>
      </c>
      <c r="M36" s="42" t="s">
        <v>253</v>
      </c>
      <c r="N36" s="93">
        <f>SUM(N37:N40)</f>
        <v>2006</v>
      </c>
      <c r="O36" s="94">
        <f t="shared" si="3"/>
        <v>40.500706642438928</v>
      </c>
      <c r="P36" s="42" t="s">
        <v>253</v>
      </c>
      <c r="Q36" s="93">
        <f>SUM(Q37:Q40)</f>
        <v>438</v>
      </c>
      <c r="R36" s="43">
        <f t="shared" si="4"/>
        <v>8.8431253785584492</v>
      </c>
    </row>
    <row r="37" spans="1:18" ht="13.9" customHeight="1">
      <c r="A37" t="s">
        <v>37</v>
      </c>
      <c r="B37" s="65">
        <f>SUM(E37+H37+K37+N37+Q37)</f>
        <v>2884</v>
      </c>
      <c r="C37" s="94">
        <f t="shared" si="5"/>
        <v>7.1394974625572472</v>
      </c>
      <c r="E37" s="260">
        <v>215</v>
      </c>
      <c r="F37" s="94">
        <f t="shared" si="0"/>
        <v>7.4549237170596392</v>
      </c>
      <c r="G37" s="260"/>
      <c r="H37" s="261">
        <v>664</v>
      </c>
      <c r="I37" s="94">
        <f t="shared" si="1"/>
        <v>23.023578363384189</v>
      </c>
      <c r="J37" s="261"/>
      <c r="K37" s="261">
        <v>716</v>
      </c>
      <c r="L37" s="94">
        <f t="shared" si="2"/>
        <v>24.826629680998614</v>
      </c>
      <c r="M37" s="261"/>
      <c r="N37" s="261">
        <v>1134</v>
      </c>
      <c r="O37" s="94">
        <f t="shared" si="3"/>
        <v>39.320388349514559</v>
      </c>
      <c r="P37" s="261"/>
      <c r="Q37" s="261">
        <v>155</v>
      </c>
      <c r="R37" s="43">
        <f t="shared" si="4"/>
        <v>5.3744798890429957</v>
      </c>
    </row>
    <row r="38" spans="1:18" ht="13.9" customHeight="1">
      <c r="A38" t="s">
        <v>38</v>
      </c>
      <c r="B38" s="65">
        <f>SUM(E38+H38+K38+N38+Q38)</f>
        <v>1133</v>
      </c>
      <c r="C38" s="94">
        <f t="shared" si="5"/>
        <v>2.8048025745760614</v>
      </c>
      <c r="E38" s="260">
        <v>77</v>
      </c>
      <c r="F38" s="94">
        <f t="shared" si="0"/>
        <v>6.7961165048543686</v>
      </c>
      <c r="G38" s="260"/>
      <c r="H38" s="261">
        <v>232</v>
      </c>
      <c r="I38" s="94">
        <f t="shared" si="1"/>
        <v>20.476610767872906</v>
      </c>
      <c r="J38" s="261"/>
      <c r="K38" s="261">
        <v>170</v>
      </c>
      <c r="L38" s="94">
        <f t="shared" si="2"/>
        <v>15.004413062665488</v>
      </c>
      <c r="M38" s="261"/>
      <c r="N38" s="261">
        <v>455</v>
      </c>
      <c r="O38" s="94">
        <f t="shared" si="3"/>
        <v>40.158870255957638</v>
      </c>
      <c r="P38" s="261"/>
      <c r="Q38" s="261">
        <v>199</v>
      </c>
      <c r="R38" s="43">
        <f t="shared" si="4"/>
        <v>17.563989408649601</v>
      </c>
    </row>
    <row r="39" spans="1:18" ht="13.9" customHeight="1">
      <c r="A39" t="s">
        <v>39</v>
      </c>
      <c r="B39" s="65">
        <f>SUM(E39+H39+K39+N39+Q39)</f>
        <v>511</v>
      </c>
      <c r="C39" s="94">
        <f t="shared" si="5"/>
        <v>1.2650080455501918</v>
      </c>
      <c r="E39" s="260">
        <v>25</v>
      </c>
      <c r="F39" s="94">
        <f t="shared" si="0"/>
        <v>4.8923679060665357</v>
      </c>
      <c r="G39" s="260"/>
      <c r="H39" s="261">
        <v>84</v>
      </c>
      <c r="I39" s="94">
        <f t="shared" si="1"/>
        <v>16.43835616438356</v>
      </c>
      <c r="J39" s="261"/>
      <c r="K39" s="261">
        <v>117</v>
      </c>
      <c r="L39" s="94">
        <f t="shared" si="2"/>
        <v>22.896281800391389</v>
      </c>
      <c r="M39" s="261"/>
      <c r="N39" s="261">
        <v>230</v>
      </c>
      <c r="O39" s="94">
        <f t="shared" si="3"/>
        <v>45.009784735812133</v>
      </c>
      <c r="P39" s="261"/>
      <c r="Q39" s="261">
        <v>55</v>
      </c>
      <c r="R39" s="43">
        <f t="shared" si="4"/>
        <v>10.763209393346379</v>
      </c>
    </row>
    <row r="40" spans="1:18" ht="13.9" customHeight="1">
      <c r="A40" t="s">
        <v>40</v>
      </c>
      <c r="B40" s="65">
        <f>SUM(E40+H40+K40+N40+Q40)</f>
        <v>425</v>
      </c>
      <c r="C40" s="94">
        <f t="shared" si="5"/>
        <v>1.0521104097041714</v>
      </c>
      <c r="E40" s="260">
        <v>4</v>
      </c>
      <c r="F40" s="94">
        <f t="shared" si="0"/>
        <v>0.94117647058823517</v>
      </c>
      <c r="G40" s="260"/>
      <c r="H40" s="261">
        <v>67</v>
      </c>
      <c r="I40" s="94">
        <f t="shared" si="1"/>
        <v>15.764705882352942</v>
      </c>
      <c r="J40" s="261"/>
      <c r="K40" s="261">
        <v>138</v>
      </c>
      <c r="L40" s="94">
        <f t="shared" si="2"/>
        <v>32.470588235294116</v>
      </c>
      <c r="M40" s="261"/>
      <c r="N40" s="261">
        <v>187</v>
      </c>
      <c r="O40" s="94">
        <f t="shared" si="3"/>
        <v>44</v>
      </c>
      <c r="P40" s="261"/>
      <c r="Q40" s="261">
        <v>29</v>
      </c>
      <c r="R40" s="43">
        <f t="shared" si="4"/>
        <v>6.8235294117647065</v>
      </c>
    </row>
    <row r="41" spans="1:18" ht="8.25" customHeight="1">
      <c r="C41" s="94" t="str">
        <f t="shared" si="5"/>
        <v/>
      </c>
      <c r="F41" s="94" t="str">
        <f t="shared" si="0"/>
        <v/>
      </c>
      <c r="I41" s="94" t="str">
        <f t="shared" si="1"/>
        <v/>
      </c>
      <c r="L41" s="94" t="str">
        <f t="shared" si="2"/>
        <v/>
      </c>
      <c r="O41" s="94" t="str">
        <f t="shared" si="3"/>
        <v/>
      </c>
      <c r="R41" s="43" t="str">
        <f t="shared" si="4"/>
        <v/>
      </c>
    </row>
    <row r="42" spans="1:18" ht="13.9" customHeight="1">
      <c r="A42" t="s">
        <v>41</v>
      </c>
      <c r="B42" s="65">
        <f t="shared" ref="B42:B50" si="7">SUM(E42+H42+K42+N42+Q42)</f>
        <v>3954</v>
      </c>
      <c r="C42" s="94">
        <f t="shared" si="5"/>
        <v>9.7883401411065734</v>
      </c>
      <c r="E42" s="65">
        <f>SUM(E43:E50)</f>
        <v>241</v>
      </c>
      <c r="F42" s="94">
        <f t="shared" si="0"/>
        <v>6.0950935761254428</v>
      </c>
      <c r="G42" s="42" t="s">
        <v>253</v>
      </c>
      <c r="H42" s="93">
        <f>SUM(H43:H50)</f>
        <v>737</v>
      </c>
      <c r="I42" s="94">
        <f t="shared" si="1"/>
        <v>18.639352554375314</v>
      </c>
      <c r="J42" s="42" t="s">
        <v>253</v>
      </c>
      <c r="K42" s="93">
        <f>SUM(K43:K50)</f>
        <v>868</v>
      </c>
      <c r="L42" s="94">
        <f t="shared" si="2"/>
        <v>21.952453211937279</v>
      </c>
      <c r="M42" s="42" t="s">
        <v>253</v>
      </c>
      <c r="N42" s="93">
        <f>SUM(N43:N50)</f>
        <v>1619</v>
      </c>
      <c r="O42" s="94">
        <f t="shared" si="3"/>
        <v>40.945877592311589</v>
      </c>
      <c r="P42" s="42" t="s">
        <v>253</v>
      </c>
      <c r="Q42" s="93">
        <f>SUM(Q43:Q50)</f>
        <v>489</v>
      </c>
      <c r="R42" s="43">
        <f t="shared" si="4"/>
        <v>12.36722306525038</v>
      </c>
    </row>
    <row r="43" spans="1:18" ht="13.9" customHeight="1">
      <c r="A43" t="s">
        <v>49</v>
      </c>
      <c r="B43" s="65">
        <f t="shared" si="7"/>
        <v>461</v>
      </c>
      <c r="C43" s="94">
        <f t="shared" si="5"/>
        <v>1.1412303502908776</v>
      </c>
      <c r="E43" s="260">
        <v>21</v>
      </c>
      <c r="F43" s="94">
        <f t="shared" si="0"/>
        <v>4.5553145336225596</v>
      </c>
      <c r="G43" s="260"/>
      <c r="H43" s="261">
        <v>77</v>
      </c>
      <c r="I43" s="94">
        <f t="shared" si="1"/>
        <v>16.702819956616054</v>
      </c>
      <c r="J43" s="261"/>
      <c r="K43" s="261">
        <v>141</v>
      </c>
      <c r="L43" s="94">
        <f t="shared" si="2"/>
        <v>30.585683297180044</v>
      </c>
      <c r="M43" s="261"/>
      <c r="N43" s="261">
        <v>198</v>
      </c>
      <c r="O43" s="94">
        <f t="shared" si="3"/>
        <v>42.950108459869845</v>
      </c>
      <c r="P43" s="261"/>
      <c r="Q43" s="261">
        <v>24</v>
      </c>
      <c r="R43" s="43">
        <f t="shared" si="4"/>
        <v>5.2060737527114966</v>
      </c>
    </row>
    <row r="44" spans="1:18" ht="13.9" customHeight="1">
      <c r="A44" t="s">
        <v>880</v>
      </c>
      <c r="B44" s="65">
        <f t="shared" si="7"/>
        <v>420</v>
      </c>
      <c r="C44" s="94">
        <f t="shared" si="5"/>
        <v>1.0397326401782399</v>
      </c>
      <c r="E44" s="260">
        <v>15</v>
      </c>
      <c r="F44" s="94">
        <f t="shared" si="0"/>
        <v>3.5714285714285712</v>
      </c>
      <c r="G44" s="260"/>
      <c r="H44" s="261">
        <v>83</v>
      </c>
      <c r="I44" s="94">
        <f t="shared" si="1"/>
        <v>19.761904761904763</v>
      </c>
      <c r="J44" s="261"/>
      <c r="K44" s="261">
        <v>103</v>
      </c>
      <c r="L44" s="94">
        <f t="shared" si="2"/>
        <v>24.523809523809522</v>
      </c>
      <c r="M44" s="261"/>
      <c r="N44" s="261">
        <v>172</v>
      </c>
      <c r="O44" s="94">
        <f t="shared" si="3"/>
        <v>40.952380952380949</v>
      </c>
      <c r="P44" s="261"/>
      <c r="Q44" s="261">
        <v>47</v>
      </c>
      <c r="R44" s="43">
        <f t="shared" si="4"/>
        <v>11.190476190476192</v>
      </c>
    </row>
    <row r="45" spans="1:18" ht="13.9" customHeight="1">
      <c r="A45" t="s">
        <v>43</v>
      </c>
      <c r="B45" s="65">
        <f t="shared" si="7"/>
        <v>491</v>
      </c>
      <c r="C45" s="94">
        <f t="shared" si="5"/>
        <v>1.2154969674464662</v>
      </c>
      <c r="E45" s="260">
        <v>33</v>
      </c>
      <c r="F45" s="94">
        <f t="shared" si="0"/>
        <v>6.7209775967413439</v>
      </c>
      <c r="G45" s="260"/>
      <c r="H45" s="261">
        <v>105</v>
      </c>
      <c r="I45" s="94">
        <f t="shared" si="1"/>
        <v>21.384928716904277</v>
      </c>
      <c r="J45" s="261"/>
      <c r="K45" s="261">
        <v>83</v>
      </c>
      <c r="L45" s="94">
        <f t="shared" si="2"/>
        <v>16.90427698574338</v>
      </c>
      <c r="M45" s="261"/>
      <c r="N45" s="261">
        <v>156</v>
      </c>
      <c r="O45" s="94">
        <f t="shared" si="3"/>
        <v>31.771894093686353</v>
      </c>
      <c r="P45" s="261"/>
      <c r="Q45" s="261">
        <v>114</v>
      </c>
      <c r="R45" s="43">
        <f t="shared" si="4"/>
        <v>23.217922606924642</v>
      </c>
    </row>
    <row r="46" spans="1:18" ht="13.9" customHeight="1">
      <c r="A46" t="s">
        <v>44</v>
      </c>
      <c r="B46" s="65">
        <f t="shared" si="7"/>
        <v>544</v>
      </c>
      <c r="C46" s="94">
        <f t="shared" si="5"/>
        <v>1.3467013244213393</v>
      </c>
      <c r="E46" s="260">
        <v>29</v>
      </c>
      <c r="F46" s="94">
        <f t="shared" si="0"/>
        <v>5.3308823529411766</v>
      </c>
      <c r="G46" s="260"/>
      <c r="H46" s="261">
        <v>97</v>
      </c>
      <c r="I46" s="94">
        <f t="shared" si="1"/>
        <v>17.830882352941178</v>
      </c>
      <c r="J46" s="261"/>
      <c r="K46" s="261">
        <v>113</v>
      </c>
      <c r="L46" s="94">
        <f t="shared" si="2"/>
        <v>20.772058823529413</v>
      </c>
      <c r="M46" s="261"/>
      <c r="N46" s="261">
        <v>243</v>
      </c>
      <c r="O46" s="94">
        <f t="shared" si="3"/>
        <v>44.669117647058826</v>
      </c>
      <c r="P46" s="261"/>
      <c r="Q46" s="261">
        <v>62</v>
      </c>
      <c r="R46" s="43">
        <f t="shared" si="4"/>
        <v>11.397058823529411</v>
      </c>
    </row>
    <row r="47" spans="1:18" ht="13.9" customHeight="1">
      <c r="A47" t="s">
        <v>331</v>
      </c>
      <c r="B47" s="65">
        <f t="shared" si="7"/>
        <v>685</v>
      </c>
      <c r="C47" s="94">
        <f t="shared" si="5"/>
        <v>1.6957544250526055</v>
      </c>
      <c r="E47" s="260">
        <v>24</v>
      </c>
      <c r="F47" s="94">
        <f t="shared" si="0"/>
        <v>3.5036496350364965</v>
      </c>
      <c r="G47" s="260"/>
      <c r="H47" s="261">
        <v>160</v>
      </c>
      <c r="I47" s="94">
        <f t="shared" si="1"/>
        <v>23.357664233576642</v>
      </c>
      <c r="J47" s="261"/>
      <c r="K47" s="261">
        <v>176</v>
      </c>
      <c r="L47" s="94">
        <f t="shared" si="2"/>
        <v>25.693430656934307</v>
      </c>
      <c r="M47" s="261"/>
      <c r="N47" s="261">
        <v>276</v>
      </c>
      <c r="O47" s="94">
        <f t="shared" si="3"/>
        <v>40.291970802919707</v>
      </c>
      <c r="P47" s="261"/>
      <c r="Q47" s="261">
        <v>49</v>
      </c>
      <c r="R47" s="43">
        <f t="shared" si="4"/>
        <v>7.1532846715328464</v>
      </c>
    </row>
    <row r="48" spans="1:18" ht="13.9" customHeight="1">
      <c r="A48" t="s">
        <v>48</v>
      </c>
      <c r="B48" s="65">
        <f t="shared" si="7"/>
        <v>292</v>
      </c>
      <c r="C48" s="94">
        <f t="shared" si="5"/>
        <v>0.72286174031439532</v>
      </c>
      <c r="E48" s="260">
        <v>9</v>
      </c>
      <c r="F48" s="94">
        <f t="shared" si="0"/>
        <v>3.0821917808219177</v>
      </c>
      <c r="G48" s="260"/>
      <c r="H48" s="261">
        <v>39</v>
      </c>
      <c r="I48" s="94">
        <f t="shared" si="1"/>
        <v>13.356164383561644</v>
      </c>
      <c r="J48" s="261"/>
      <c r="K48" s="261">
        <v>72</v>
      </c>
      <c r="L48" s="94">
        <f t="shared" si="2"/>
        <v>24.657534246575342</v>
      </c>
      <c r="M48" s="261"/>
      <c r="N48" s="261">
        <v>150</v>
      </c>
      <c r="O48" s="94">
        <f t="shared" si="3"/>
        <v>51.369863013698634</v>
      </c>
      <c r="P48" s="261"/>
      <c r="Q48" s="261">
        <v>22</v>
      </c>
      <c r="R48" s="43">
        <f t="shared" si="4"/>
        <v>7.5342465753424657</v>
      </c>
    </row>
    <row r="49" spans="1:18" ht="13.9" customHeight="1">
      <c r="A49" t="s">
        <v>47</v>
      </c>
      <c r="B49" s="65">
        <f t="shared" si="7"/>
        <v>583</v>
      </c>
      <c r="C49" s="94">
        <f t="shared" si="5"/>
        <v>1.4432479267236045</v>
      </c>
      <c r="E49" s="260">
        <v>52</v>
      </c>
      <c r="F49" s="94">
        <f t="shared" si="0"/>
        <v>8.9193825042881656</v>
      </c>
      <c r="G49" s="260"/>
      <c r="H49" s="261">
        <v>107</v>
      </c>
      <c r="I49" s="94">
        <f t="shared" si="1"/>
        <v>18.353344768439108</v>
      </c>
      <c r="J49" s="261"/>
      <c r="K49" s="261">
        <v>108</v>
      </c>
      <c r="L49" s="94">
        <f t="shared" si="2"/>
        <v>18.524871355060036</v>
      </c>
      <c r="M49" s="261"/>
      <c r="N49" s="261">
        <v>198</v>
      </c>
      <c r="O49" s="94">
        <f t="shared" si="3"/>
        <v>33.962264150943398</v>
      </c>
      <c r="P49" s="261"/>
      <c r="Q49" s="261">
        <v>118</v>
      </c>
      <c r="R49" s="43">
        <f t="shared" si="4"/>
        <v>20.240137221269297</v>
      </c>
    </row>
    <row r="50" spans="1:18" ht="13.9" customHeight="1">
      <c r="A50" t="s">
        <v>46</v>
      </c>
      <c r="B50" s="65">
        <f t="shared" si="7"/>
        <v>478</v>
      </c>
      <c r="C50" s="94">
        <f t="shared" si="5"/>
        <v>1.1833147666790444</v>
      </c>
      <c r="E50" s="260">
        <v>58</v>
      </c>
      <c r="F50" s="94">
        <f t="shared" si="0"/>
        <v>12.133891213389122</v>
      </c>
      <c r="G50" s="260"/>
      <c r="H50" s="261">
        <v>69</v>
      </c>
      <c r="I50" s="94">
        <f t="shared" si="1"/>
        <v>14.435146443514643</v>
      </c>
      <c r="J50" s="261"/>
      <c r="K50" s="261">
        <v>72</v>
      </c>
      <c r="L50" s="94">
        <f t="shared" si="2"/>
        <v>15.062761506276152</v>
      </c>
      <c r="M50" s="261"/>
      <c r="N50" s="261">
        <v>226</v>
      </c>
      <c r="O50" s="94">
        <f t="shared" si="3"/>
        <v>47.280334728033473</v>
      </c>
      <c r="P50" s="261"/>
      <c r="Q50" s="261">
        <v>53</v>
      </c>
      <c r="R50" s="43">
        <f t="shared" si="4"/>
        <v>11.08786610878661</v>
      </c>
    </row>
    <row r="51" spans="1:18" ht="8.25" customHeight="1">
      <c r="C51" s="94" t="str">
        <f t="shared" si="5"/>
        <v/>
      </c>
      <c r="E51" s="260"/>
      <c r="F51" s="94" t="str">
        <f t="shared" si="0"/>
        <v/>
      </c>
      <c r="G51" s="260"/>
      <c r="H51" s="261"/>
      <c r="I51" s="94" t="str">
        <f t="shared" si="1"/>
        <v/>
      </c>
      <c r="J51" s="261"/>
      <c r="K51" s="261"/>
      <c r="L51" s="94" t="str">
        <f t="shared" si="2"/>
        <v/>
      </c>
      <c r="M51" s="261"/>
      <c r="N51" s="261"/>
      <c r="O51" s="94" t="str">
        <f t="shared" si="3"/>
        <v/>
      </c>
      <c r="P51" s="261"/>
      <c r="Q51" s="261"/>
      <c r="R51" s="43" t="str">
        <f t="shared" si="4"/>
        <v/>
      </c>
    </row>
    <row r="52" spans="1:18" ht="13.9" customHeight="1">
      <c r="A52" t="s">
        <v>50</v>
      </c>
      <c r="B52" s="65">
        <f>SUM(E52+H52+K52+N52+Q52)</f>
        <v>1406</v>
      </c>
      <c r="C52" s="94">
        <f t="shared" si="5"/>
        <v>3.4806287906919171</v>
      </c>
      <c r="E52" s="260">
        <v>189</v>
      </c>
      <c r="F52" s="94">
        <f t="shared" si="0"/>
        <v>13.442389758179232</v>
      </c>
      <c r="G52" s="260"/>
      <c r="H52" s="261">
        <v>286</v>
      </c>
      <c r="I52" s="94">
        <f t="shared" si="1"/>
        <v>20.341394025604551</v>
      </c>
      <c r="J52" s="261"/>
      <c r="K52" s="261">
        <v>251</v>
      </c>
      <c r="L52" s="94">
        <f t="shared" si="2"/>
        <v>17.852062588904694</v>
      </c>
      <c r="M52" s="261"/>
      <c r="N52" s="261">
        <v>518</v>
      </c>
      <c r="O52" s="94">
        <f t="shared" si="3"/>
        <v>36.84210526315789</v>
      </c>
      <c r="P52" s="261"/>
      <c r="Q52" s="261">
        <v>162</v>
      </c>
      <c r="R52" s="43">
        <f t="shared" si="4"/>
        <v>11.522048364153626</v>
      </c>
    </row>
    <row r="53" spans="1:18" ht="8.25" customHeight="1">
      <c r="C53" s="94" t="str">
        <f t="shared" si="5"/>
        <v/>
      </c>
      <c r="F53" s="94" t="str">
        <f t="shared" si="0"/>
        <v/>
      </c>
      <c r="I53" s="94" t="str">
        <f t="shared" si="1"/>
        <v/>
      </c>
      <c r="L53" s="94" t="str">
        <f t="shared" si="2"/>
        <v/>
      </c>
      <c r="O53" s="94" t="str">
        <f t="shared" si="3"/>
        <v/>
      </c>
      <c r="R53" s="43" t="str">
        <f t="shared" si="4"/>
        <v/>
      </c>
    </row>
    <row r="54" spans="1:18" ht="13.9" customHeight="1">
      <c r="A54" t="s">
        <v>51</v>
      </c>
      <c r="B54" s="65">
        <f t="shared" ref="B54:B59" si="8">SUM(E54+H54+K54+N54+Q54)</f>
        <v>3255</v>
      </c>
      <c r="C54" s="94">
        <f t="shared" si="5"/>
        <v>8.0579279613813579</v>
      </c>
      <c r="E54" s="65">
        <f>SUM(E55:E59)</f>
        <v>182</v>
      </c>
      <c r="F54" s="94">
        <f t="shared" si="0"/>
        <v>5.591397849462366</v>
      </c>
      <c r="G54" s="42" t="s">
        <v>253</v>
      </c>
      <c r="H54" s="93">
        <f>SUM(H55:H59)</f>
        <v>629</v>
      </c>
      <c r="I54" s="94">
        <f t="shared" si="1"/>
        <v>19.324116743471581</v>
      </c>
      <c r="J54" s="42" t="s">
        <v>253</v>
      </c>
      <c r="K54" s="93">
        <f>SUM(K55:K59)</f>
        <v>759</v>
      </c>
      <c r="L54" s="94">
        <f t="shared" si="2"/>
        <v>23.317972350230416</v>
      </c>
      <c r="M54" s="42" t="s">
        <v>253</v>
      </c>
      <c r="N54" s="93">
        <f>SUM(N55:N59)</f>
        <v>1336</v>
      </c>
      <c r="O54" s="94">
        <f t="shared" si="3"/>
        <v>41.044546850998465</v>
      </c>
      <c r="P54" s="42" t="s">
        <v>253</v>
      </c>
      <c r="Q54" s="93">
        <f>SUM(Q55:Q59)</f>
        <v>349</v>
      </c>
      <c r="R54" s="43">
        <f t="shared" si="4"/>
        <v>10.721966205837173</v>
      </c>
    </row>
    <row r="55" spans="1:18" ht="13.9" customHeight="1">
      <c r="A55" t="s">
        <v>52</v>
      </c>
      <c r="B55" s="65">
        <f t="shared" si="8"/>
        <v>124</v>
      </c>
      <c r="C55" s="94">
        <f t="shared" si="5"/>
        <v>0.30696868424309937</v>
      </c>
      <c r="E55" s="260">
        <v>31</v>
      </c>
      <c r="F55" s="94">
        <f t="shared" si="0"/>
        <v>25</v>
      </c>
      <c r="G55" s="260"/>
      <c r="H55" s="261">
        <v>53</v>
      </c>
      <c r="I55" s="94">
        <f t="shared" si="1"/>
        <v>42.741935483870968</v>
      </c>
      <c r="J55" s="261"/>
      <c r="K55" s="261">
        <v>27</v>
      </c>
      <c r="L55" s="94">
        <f t="shared" si="2"/>
        <v>21.774193548387096</v>
      </c>
      <c r="M55" s="261"/>
      <c r="N55" s="261">
        <v>9</v>
      </c>
      <c r="O55" s="94">
        <f t="shared" si="3"/>
        <v>7.2580645161290329</v>
      </c>
      <c r="P55" s="261"/>
      <c r="Q55" s="261">
        <v>4</v>
      </c>
      <c r="R55" s="43">
        <f t="shared" si="4"/>
        <v>3.225806451612903</v>
      </c>
    </row>
    <row r="56" spans="1:18" ht="13.9" customHeight="1">
      <c r="A56" t="s">
        <v>53</v>
      </c>
      <c r="B56" s="65">
        <f t="shared" si="8"/>
        <v>2017</v>
      </c>
      <c r="C56" s="94">
        <f t="shared" si="5"/>
        <v>4.9931922267607378</v>
      </c>
      <c r="E56" s="260">
        <v>80</v>
      </c>
      <c r="F56" s="94">
        <f t="shared" si="0"/>
        <v>3.966286564204264</v>
      </c>
      <c r="G56" s="260"/>
      <c r="H56" s="261">
        <v>411</v>
      </c>
      <c r="I56" s="94">
        <f t="shared" si="1"/>
        <v>20.376797223599404</v>
      </c>
      <c r="J56" s="261"/>
      <c r="K56" s="261">
        <v>511</v>
      </c>
      <c r="L56" s="94">
        <f t="shared" si="2"/>
        <v>25.334655428854735</v>
      </c>
      <c r="M56" s="261"/>
      <c r="N56" s="261">
        <v>822</v>
      </c>
      <c r="O56" s="94">
        <f t="shared" si="3"/>
        <v>40.753594447198807</v>
      </c>
      <c r="P56" s="261"/>
      <c r="Q56" s="261">
        <v>193</v>
      </c>
      <c r="R56" s="43">
        <f t="shared" si="4"/>
        <v>9.5686663361427868</v>
      </c>
    </row>
    <row r="57" spans="1:18" ht="13.9" customHeight="1">
      <c r="A57" t="s">
        <v>54</v>
      </c>
      <c r="B57" s="65">
        <f t="shared" si="8"/>
        <v>380</v>
      </c>
      <c r="C57" s="94">
        <f t="shared" si="5"/>
        <v>0.94071048397078838</v>
      </c>
      <c r="E57" s="260">
        <v>35</v>
      </c>
      <c r="F57" s="94">
        <f t="shared" si="0"/>
        <v>9.2105263157894726</v>
      </c>
      <c r="G57" s="260"/>
      <c r="H57" s="261">
        <v>34</v>
      </c>
      <c r="I57" s="94">
        <f t="shared" si="1"/>
        <v>8.9473684210526319</v>
      </c>
      <c r="J57" s="261"/>
      <c r="K57" s="261">
        <v>43</v>
      </c>
      <c r="L57" s="94">
        <f t="shared" si="2"/>
        <v>11.315789473684211</v>
      </c>
      <c r="M57" s="261"/>
      <c r="N57" s="261">
        <v>178</v>
      </c>
      <c r="O57" s="94">
        <f t="shared" si="3"/>
        <v>46.842105263157897</v>
      </c>
      <c r="P57" s="261"/>
      <c r="Q57" s="261">
        <v>90</v>
      </c>
      <c r="R57" s="43">
        <f t="shared" si="4"/>
        <v>23.684210526315788</v>
      </c>
    </row>
    <row r="58" spans="1:18" ht="13.9" customHeight="1">
      <c r="A58" t="s">
        <v>332</v>
      </c>
      <c r="B58" s="65">
        <f t="shared" si="8"/>
        <v>472</v>
      </c>
      <c r="C58" s="94">
        <f t="shared" si="5"/>
        <v>1.1684614432479268</v>
      </c>
      <c r="E58" s="260">
        <v>35</v>
      </c>
      <c r="F58" s="94">
        <f t="shared" si="0"/>
        <v>7.4152542372881349</v>
      </c>
      <c r="G58" s="260"/>
      <c r="H58" s="261">
        <v>67</v>
      </c>
      <c r="I58" s="94">
        <f t="shared" si="1"/>
        <v>14.194915254237289</v>
      </c>
      <c r="J58" s="261"/>
      <c r="K58" s="261">
        <v>91</v>
      </c>
      <c r="L58" s="94">
        <f t="shared" si="2"/>
        <v>19.279661016949152</v>
      </c>
      <c r="M58" s="261"/>
      <c r="N58" s="261">
        <v>224</v>
      </c>
      <c r="O58" s="94">
        <f t="shared" si="3"/>
        <v>47.457627118644069</v>
      </c>
      <c r="P58" s="261"/>
      <c r="Q58" s="261">
        <v>55</v>
      </c>
      <c r="R58" s="43">
        <f t="shared" si="4"/>
        <v>11.652542372881355</v>
      </c>
    </row>
    <row r="59" spans="1:18" ht="13.9" customHeight="1">
      <c r="A59" t="s">
        <v>56</v>
      </c>
      <c r="B59" s="65">
        <f t="shared" si="8"/>
        <v>262</v>
      </c>
      <c r="C59" s="94">
        <f t="shared" si="5"/>
        <v>0.64859512315880674</v>
      </c>
      <c r="E59" s="260">
        <v>1</v>
      </c>
      <c r="F59" s="94">
        <f t="shared" si="0"/>
        <v>0.38167938931297707</v>
      </c>
      <c r="G59" s="260"/>
      <c r="H59" s="261">
        <v>64</v>
      </c>
      <c r="I59" s="94">
        <f t="shared" si="1"/>
        <v>24.427480916030532</v>
      </c>
      <c r="J59" s="261"/>
      <c r="K59" s="261">
        <v>87</v>
      </c>
      <c r="L59" s="94">
        <f t="shared" si="2"/>
        <v>33.206106870229007</v>
      </c>
      <c r="M59" s="261"/>
      <c r="N59" s="261">
        <v>103</v>
      </c>
      <c r="O59" s="94">
        <f t="shared" si="3"/>
        <v>39.31297709923664</v>
      </c>
      <c r="P59" s="261"/>
      <c r="Q59" s="261">
        <v>7</v>
      </c>
      <c r="R59" s="43">
        <f t="shared" si="4"/>
        <v>2.6717557251908395</v>
      </c>
    </row>
    <row r="60" spans="1:18" ht="8.25" customHeight="1">
      <c r="C60" s="94" t="str">
        <f t="shared" si="5"/>
        <v/>
      </c>
      <c r="F60" s="94" t="str">
        <f t="shared" si="0"/>
        <v/>
      </c>
      <c r="I60" s="94" t="str">
        <f t="shared" si="1"/>
        <v/>
      </c>
      <c r="L60" s="94" t="str">
        <f t="shared" si="2"/>
        <v/>
      </c>
      <c r="O60" s="94" t="str">
        <f t="shared" si="3"/>
        <v/>
      </c>
      <c r="R60" s="43" t="str">
        <f t="shared" si="4"/>
        <v/>
      </c>
    </row>
    <row r="61" spans="1:18" ht="13.9" customHeight="1">
      <c r="A61" s="63" t="s">
        <v>333</v>
      </c>
      <c r="B61" s="65">
        <f>SUM(B62+B64+B71+B73)</f>
        <v>3902</v>
      </c>
      <c r="C61" s="94">
        <f t="shared" si="5"/>
        <v>9.6596113380368855</v>
      </c>
      <c r="E61" s="65">
        <f>SUM(E62+E64+E71+E73)</f>
        <v>231</v>
      </c>
      <c r="F61" s="94">
        <f t="shared" si="0"/>
        <v>5.9200410046130187</v>
      </c>
      <c r="H61" s="93">
        <f>SUM(H62+H64+H71+H73)</f>
        <v>393</v>
      </c>
      <c r="I61" s="94">
        <f t="shared" si="1"/>
        <v>10.071758072783188</v>
      </c>
      <c r="K61" s="93">
        <f>SUM(K62+K64+K71+K73)</f>
        <v>802</v>
      </c>
      <c r="L61" s="94">
        <f t="shared" si="2"/>
        <v>20.553562275756025</v>
      </c>
      <c r="N61" s="93">
        <f>SUM(N62+N64+N71+N73)</f>
        <v>1793</v>
      </c>
      <c r="O61" s="94">
        <f t="shared" si="3"/>
        <v>45.950794464377239</v>
      </c>
      <c r="Q61" s="93">
        <f>SUM(Q62+Q64+Q71+Q73)</f>
        <v>683</v>
      </c>
      <c r="R61" s="43">
        <f t="shared" si="4"/>
        <v>17.50384418247053</v>
      </c>
    </row>
    <row r="62" spans="1:18" ht="13.9" customHeight="1">
      <c r="A62" t="s">
        <v>334</v>
      </c>
      <c r="B62" s="65">
        <f>SUM(E62+H62+K62+N62+Q62)</f>
        <v>550</v>
      </c>
      <c r="C62" s="94">
        <f t="shared" si="5"/>
        <v>1.3615546478524569</v>
      </c>
      <c r="E62" s="260">
        <v>42</v>
      </c>
      <c r="F62" s="94">
        <f t="shared" si="0"/>
        <v>7.6363636363636367</v>
      </c>
      <c r="G62" s="260"/>
      <c r="H62" s="261">
        <v>30</v>
      </c>
      <c r="I62" s="94">
        <f t="shared" si="1"/>
        <v>5.4545454545454541</v>
      </c>
      <c r="J62" s="261"/>
      <c r="K62" s="261">
        <v>112</v>
      </c>
      <c r="L62" s="94">
        <f t="shared" si="2"/>
        <v>20.363636363636363</v>
      </c>
      <c r="M62" s="261"/>
      <c r="N62" s="261">
        <v>294</v>
      </c>
      <c r="O62" s="94">
        <f t="shared" si="3"/>
        <v>53.454545454545453</v>
      </c>
      <c r="P62" s="261"/>
      <c r="Q62" s="261">
        <v>72</v>
      </c>
      <c r="R62" s="43">
        <f t="shared" si="4"/>
        <v>13.090909090909092</v>
      </c>
    </row>
    <row r="63" spans="1:18" ht="8.25" customHeight="1">
      <c r="C63" s="94" t="str">
        <f t="shared" si="5"/>
        <v/>
      </c>
      <c r="F63" s="94" t="str">
        <f t="shared" si="0"/>
        <v/>
      </c>
      <c r="I63" s="94" t="str">
        <f t="shared" si="1"/>
        <v/>
      </c>
      <c r="L63" s="94" t="str">
        <f t="shared" si="2"/>
        <v/>
      </c>
      <c r="O63" s="94" t="str">
        <f t="shared" si="3"/>
        <v/>
      </c>
      <c r="R63" s="43" t="str">
        <f t="shared" si="4"/>
        <v/>
      </c>
    </row>
    <row r="64" spans="1:18" ht="13.9" customHeight="1">
      <c r="A64" t="s">
        <v>60</v>
      </c>
      <c r="B64" s="65">
        <f t="shared" ref="B64:B69" si="9">SUM(E64+H64+K64+N64+Q64)</f>
        <v>2266</v>
      </c>
      <c r="C64" s="94">
        <f t="shared" si="5"/>
        <v>5.6096051491521228</v>
      </c>
      <c r="E64" s="65">
        <f>SUM(E65:E69)</f>
        <v>153</v>
      </c>
      <c r="F64" s="94">
        <f t="shared" si="0"/>
        <v>6.7519858781994708</v>
      </c>
      <c r="G64" s="42" t="s">
        <v>253</v>
      </c>
      <c r="H64" s="93">
        <f>SUM(H65:H69)</f>
        <v>205</v>
      </c>
      <c r="I64" s="94">
        <f t="shared" si="1"/>
        <v>9.0467784642541922</v>
      </c>
      <c r="J64" s="42" t="s">
        <v>253</v>
      </c>
      <c r="K64" s="93">
        <f>SUM(K65:K69)</f>
        <v>398</v>
      </c>
      <c r="L64" s="94">
        <f t="shared" si="2"/>
        <v>17.563989408649601</v>
      </c>
      <c r="M64" s="42" t="s">
        <v>253</v>
      </c>
      <c r="N64" s="93">
        <f>SUM(N65:N69)</f>
        <v>1014</v>
      </c>
      <c r="O64" s="94">
        <f t="shared" si="3"/>
        <v>44.748455428067082</v>
      </c>
      <c r="P64" s="42" t="s">
        <v>253</v>
      </c>
      <c r="Q64" s="93">
        <f>SUM(Q65:Q69)</f>
        <v>496</v>
      </c>
      <c r="R64" s="43">
        <f t="shared" si="4"/>
        <v>21.888790820829655</v>
      </c>
    </row>
    <row r="65" spans="1:18" ht="13.9" customHeight="1">
      <c r="A65" t="s">
        <v>61</v>
      </c>
      <c r="B65" s="65">
        <f t="shared" si="9"/>
        <v>680</v>
      </c>
      <c r="C65" s="94">
        <f t="shared" si="5"/>
        <v>1.6833766555266743</v>
      </c>
      <c r="E65" s="260">
        <v>1</v>
      </c>
      <c r="F65" s="94">
        <f t="shared" si="0"/>
        <v>0.14705882352941177</v>
      </c>
      <c r="G65" s="260"/>
      <c r="H65" s="261">
        <v>29</v>
      </c>
      <c r="I65" s="94">
        <f t="shared" si="1"/>
        <v>4.2647058823529411</v>
      </c>
      <c r="J65" s="261"/>
      <c r="K65" s="261">
        <v>126</v>
      </c>
      <c r="L65" s="94">
        <f t="shared" si="2"/>
        <v>18.529411764705884</v>
      </c>
      <c r="M65" s="261"/>
      <c r="N65" s="261">
        <v>213</v>
      </c>
      <c r="O65" s="94">
        <f t="shared" si="3"/>
        <v>31.323529411764707</v>
      </c>
      <c r="P65" s="261"/>
      <c r="Q65" s="261">
        <v>311</v>
      </c>
      <c r="R65" s="43">
        <f t="shared" si="4"/>
        <v>45.735294117647058</v>
      </c>
    </row>
    <row r="66" spans="1:18" ht="13.9" customHeight="1">
      <c r="A66" t="s">
        <v>62</v>
      </c>
      <c r="B66" s="65">
        <f t="shared" si="9"/>
        <v>370</v>
      </c>
      <c r="C66" s="94">
        <f t="shared" si="5"/>
        <v>0.9159549449189256</v>
      </c>
      <c r="E66" s="260">
        <v>37</v>
      </c>
      <c r="F66" s="94">
        <f t="shared" si="0"/>
        <v>10</v>
      </c>
      <c r="G66" s="260"/>
      <c r="H66" s="261">
        <v>27</v>
      </c>
      <c r="I66" s="94">
        <f t="shared" si="1"/>
        <v>7.2972972972972974</v>
      </c>
      <c r="J66" s="261"/>
      <c r="K66" s="261">
        <v>62</v>
      </c>
      <c r="L66" s="94">
        <f t="shared" si="2"/>
        <v>16.756756756756758</v>
      </c>
      <c r="M66" s="261"/>
      <c r="N66" s="261">
        <v>210</v>
      </c>
      <c r="O66" s="94">
        <f t="shared" si="3"/>
        <v>56.756756756756758</v>
      </c>
      <c r="P66" s="261"/>
      <c r="Q66" s="261">
        <v>34</v>
      </c>
      <c r="R66" s="43">
        <f t="shared" si="4"/>
        <v>9.1891891891891895</v>
      </c>
    </row>
    <row r="67" spans="1:18" ht="13.9" customHeight="1">
      <c r="A67" t="s">
        <v>65</v>
      </c>
      <c r="B67" s="65">
        <f t="shared" si="9"/>
        <v>781</v>
      </c>
      <c r="C67" s="94">
        <f>IF(A67&lt;&gt;0,B67/$B$12*100,"")</f>
        <v>1.9334075999504887</v>
      </c>
      <c r="E67" s="260">
        <v>64</v>
      </c>
      <c r="F67" s="94">
        <f t="shared" si="0"/>
        <v>8.1946222791293213</v>
      </c>
      <c r="G67" s="260"/>
      <c r="H67" s="261">
        <v>113</v>
      </c>
      <c r="I67" s="94">
        <f t="shared" si="1"/>
        <v>14.468629961587709</v>
      </c>
      <c r="J67" s="261"/>
      <c r="K67" s="261">
        <v>134</v>
      </c>
      <c r="L67" s="94">
        <f t="shared" si="2"/>
        <v>17.157490396927017</v>
      </c>
      <c r="M67" s="261"/>
      <c r="N67" s="261">
        <v>363</v>
      </c>
      <c r="O67" s="94">
        <f t="shared" si="3"/>
        <v>46.478873239436616</v>
      </c>
      <c r="P67" s="261"/>
      <c r="Q67" s="261">
        <v>107</v>
      </c>
      <c r="R67" s="43">
        <f t="shared" si="4"/>
        <v>13.700384122919335</v>
      </c>
    </row>
    <row r="68" spans="1:18" ht="13.9" customHeight="1">
      <c r="A68" t="s">
        <v>63</v>
      </c>
      <c r="B68" s="65">
        <f t="shared" si="9"/>
        <v>141</v>
      </c>
      <c r="C68" s="94">
        <f>IF(A68&lt;&gt;0,B68/$B$12*100,"")</f>
        <v>0.34905310063126627</v>
      </c>
      <c r="E68" s="260">
        <v>15</v>
      </c>
      <c r="F68" s="94">
        <f t="shared" si="0"/>
        <v>10.638297872340425</v>
      </c>
      <c r="G68" s="260"/>
      <c r="H68" s="261">
        <v>10</v>
      </c>
      <c r="I68" s="94">
        <f t="shared" si="1"/>
        <v>7.0921985815602842</v>
      </c>
      <c r="J68" s="261"/>
      <c r="K68" s="261">
        <v>24</v>
      </c>
      <c r="L68" s="94">
        <f t="shared" si="2"/>
        <v>17.021276595744681</v>
      </c>
      <c r="M68" s="261"/>
      <c r="N68" s="261">
        <v>69</v>
      </c>
      <c r="O68" s="94">
        <f t="shared" si="3"/>
        <v>48.936170212765958</v>
      </c>
      <c r="P68" s="261"/>
      <c r="Q68" s="261">
        <v>23</v>
      </c>
      <c r="R68" s="43">
        <f t="shared" si="4"/>
        <v>16.312056737588655</v>
      </c>
    </row>
    <row r="69" spans="1:18" ht="13.9" customHeight="1">
      <c r="A69" t="s">
        <v>64</v>
      </c>
      <c r="B69" s="65">
        <f t="shared" si="9"/>
        <v>294</v>
      </c>
      <c r="C69" s="94">
        <f t="shared" si="5"/>
        <v>0.72781284812476787</v>
      </c>
      <c r="E69" s="260">
        <v>36</v>
      </c>
      <c r="F69" s="94">
        <f t="shared" si="0"/>
        <v>12.244897959183673</v>
      </c>
      <c r="G69" s="260"/>
      <c r="H69" s="261">
        <v>26</v>
      </c>
      <c r="I69" s="94">
        <f t="shared" si="1"/>
        <v>8.8435374149659864</v>
      </c>
      <c r="J69" s="261"/>
      <c r="K69" s="261">
        <v>52</v>
      </c>
      <c r="L69" s="94">
        <f t="shared" si="2"/>
        <v>17.687074829931973</v>
      </c>
      <c r="M69" s="261"/>
      <c r="N69" s="261">
        <v>159</v>
      </c>
      <c r="O69" s="94">
        <f t="shared" si="3"/>
        <v>54.081632653061227</v>
      </c>
      <c r="P69" s="261"/>
      <c r="Q69" s="261">
        <v>21</v>
      </c>
      <c r="R69" s="43">
        <f t="shared" si="4"/>
        <v>7.1428571428571423</v>
      </c>
    </row>
    <row r="70" spans="1:18" ht="8.25" customHeight="1">
      <c r="C70" s="94" t="str">
        <f t="shared" si="5"/>
        <v/>
      </c>
      <c r="E70" s="36"/>
      <c r="F70" s="94" t="str">
        <f t="shared" si="0"/>
        <v/>
      </c>
      <c r="G70" s="36"/>
      <c r="H70" s="36"/>
      <c r="I70" s="94" t="str">
        <f t="shared" si="1"/>
        <v/>
      </c>
      <c r="J70" s="36"/>
      <c r="K70" s="36"/>
      <c r="L70" s="94" t="str">
        <f t="shared" si="2"/>
        <v/>
      </c>
      <c r="M70" s="36"/>
      <c r="N70" s="36"/>
      <c r="O70" s="94" t="str">
        <f t="shared" si="3"/>
        <v/>
      </c>
      <c r="P70" s="36"/>
      <c r="Q70" s="36"/>
      <c r="R70" s="43" t="str">
        <f t="shared" si="4"/>
        <v/>
      </c>
    </row>
    <row r="71" spans="1:18" ht="13.9" customHeight="1">
      <c r="A71" t="s">
        <v>66</v>
      </c>
      <c r="B71" s="65">
        <f>SUM(E71+H71+K71+N71+Q71)</f>
        <v>472</v>
      </c>
      <c r="C71" s="94">
        <f t="shared" si="5"/>
        <v>1.1684614432479268</v>
      </c>
      <c r="E71" s="260">
        <v>32</v>
      </c>
      <c r="F71" s="94">
        <f t="shared" si="0"/>
        <v>6.7796610169491522</v>
      </c>
      <c r="G71" s="260"/>
      <c r="H71" s="261">
        <v>73</v>
      </c>
      <c r="I71" s="94">
        <f t="shared" si="1"/>
        <v>15.466101694915254</v>
      </c>
      <c r="J71" s="261"/>
      <c r="K71" s="261">
        <v>78</v>
      </c>
      <c r="L71" s="94">
        <f t="shared" si="2"/>
        <v>16.525423728813561</v>
      </c>
      <c r="M71" s="261"/>
      <c r="N71" s="261">
        <v>235</v>
      </c>
      <c r="O71" s="94">
        <f t="shared" si="3"/>
        <v>49.788135593220339</v>
      </c>
      <c r="P71" s="261"/>
      <c r="Q71" s="261">
        <v>54</v>
      </c>
      <c r="R71" s="43">
        <f t="shared" si="4"/>
        <v>11.440677966101696</v>
      </c>
    </row>
    <row r="72" spans="1:18" ht="8.25" customHeight="1">
      <c r="C72" s="94" t="str">
        <f t="shared" si="5"/>
        <v/>
      </c>
      <c r="E72" s="36"/>
      <c r="F72" s="94" t="str">
        <f t="shared" si="0"/>
        <v/>
      </c>
      <c r="G72" s="36"/>
      <c r="H72" s="36"/>
      <c r="I72" s="94" t="str">
        <f t="shared" si="1"/>
        <v/>
      </c>
      <c r="J72" s="36"/>
      <c r="K72" s="36"/>
      <c r="L72" s="94" t="str">
        <f t="shared" si="2"/>
        <v/>
      </c>
      <c r="M72" s="36"/>
      <c r="N72" s="36"/>
      <c r="O72" s="94" t="str">
        <f t="shared" si="3"/>
        <v/>
      </c>
      <c r="P72" s="36"/>
      <c r="Q72" s="36"/>
      <c r="R72" s="43" t="str">
        <f t="shared" si="4"/>
        <v/>
      </c>
    </row>
    <row r="73" spans="1:18" ht="13.9" customHeight="1">
      <c r="A73" t="s">
        <v>67</v>
      </c>
      <c r="B73" s="65">
        <f>SUM(E73+H73+K73+N73+Q73)</f>
        <v>614</v>
      </c>
      <c r="C73" s="94">
        <f t="shared" si="5"/>
        <v>1.5199900977843792</v>
      </c>
      <c r="E73" s="260">
        <v>4</v>
      </c>
      <c r="F73" s="94">
        <f t="shared" si="0"/>
        <v>0.65146579804560267</v>
      </c>
      <c r="G73" s="260"/>
      <c r="H73" s="261">
        <v>85</v>
      </c>
      <c r="I73" s="94">
        <f t="shared" si="1"/>
        <v>13.843648208469055</v>
      </c>
      <c r="J73" s="261"/>
      <c r="K73" s="261">
        <v>214</v>
      </c>
      <c r="L73" s="94">
        <f t="shared" si="2"/>
        <v>34.853420195439739</v>
      </c>
      <c r="M73" s="261"/>
      <c r="N73" s="261">
        <v>250</v>
      </c>
      <c r="O73" s="94">
        <f t="shared" si="3"/>
        <v>40.716612377850161</v>
      </c>
      <c r="P73" s="261"/>
      <c r="Q73" s="261">
        <v>61</v>
      </c>
      <c r="R73" s="43">
        <f t="shared" si="4"/>
        <v>9.9348534201954397</v>
      </c>
    </row>
    <row r="74" spans="1:18" ht="8.25" customHeight="1">
      <c r="C74" s="94" t="str">
        <f t="shared" si="5"/>
        <v/>
      </c>
      <c r="F74" s="94" t="str">
        <f t="shared" si="0"/>
        <v/>
      </c>
      <c r="I74" s="94" t="str">
        <f t="shared" si="1"/>
        <v/>
      </c>
      <c r="L74" s="94" t="str">
        <f t="shared" si="2"/>
        <v/>
      </c>
      <c r="O74" s="94" t="str">
        <f t="shared" si="3"/>
        <v/>
      </c>
      <c r="R74" s="43" t="str">
        <f t="shared" si="4"/>
        <v/>
      </c>
    </row>
    <row r="75" spans="1:18" ht="13.9" customHeight="1">
      <c r="A75" s="63" t="s">
        <v>336</v>
      </c>
      <c r="B75" s="65">
        <f>SUM(B76)</f>
        <v>1332</v>
      </c>
      <c r="C75" s="94">
        <f t="shared" si="5"/>
        <v>3.2974378017081323</v>
      </c>
      <c r="E75" s="65">
        <f>SUM(E76)</f>
        <v>94</v>
      </c>
      <c r="F75" s="94">
        <f t="shared" si="0"/>
        <v>7.0570570570570572</v>
      </c>
      <c r="H75" s="93">
        <f>SUM(H76)</f>
        <v>192</v>
      </c>
      <c r="I75" s="94">
        <f t="shared" si="1"/>
        <v>14.414414414414415</v>
      </c>
      <c r="K75" s="93">
        <f>SUM(K76)</f>
        <v>392</v>
      </c>
      <c r="L75" s="94">
        <f t="shared" si="2"/>
        <v>29.429429429429426</v>
      </c>
      <c r="N75" s="93">
        <f>SUM(N76)</f>
        <v>600</v>
      </c>
      <c r="O75" s="94">
        <f t="shared" si="3"/>
        <v>45.045045045045043</v>
      </c>
      <c r="Q75" s="93">
        <f>SUM(Q76)</f>
        <v>54</v>
      </c>
      <c r="R75" s="43">
        <f t="shared" si="4"/>
        <v>4.0540540540540544</v>
      </c>
    </row>
    <row r="76" spans="1:18" ht="13.9" customHeight="1">
      <c r="A76" t="s">
        <v>337</v>
      </c>
      <c r="B76" s="65">
        <f>SUM(E76+H76+K76+N76+Q76)</f>
        <v>1332</v>
      </c>
      <c r="C76" s="94">
        <f t="shared" si="5"/>
        <v>3.2974378017081323</v>
      </c>
      <c r="E76" s="65">
        <f>SUM(E77:E80)</f>
        <v>94</v>
      </c>
      <c r="F76" s="94">
        <f t="shared" ref="F76:F106" si="10">IF($A76&lt;&gt;"",E76/$B76*100,"")</f>
        <v>7.0570570570570572</v>
      </c>
      <c r="G76" s="42" t="s">
        <v>253</v>
      </c>
      <c r="H76" s="93">
        <f>SUM(H77:H80)</f>
        <v>192</v>
      </c>
      <c r="I76" s="94">
        <f t="shared" ref="I76:I106" si="11">IF($A76&lt;&gt;"",H76/$B76*100,"")</f>
        <v>14.414414414414415</v>
      </c>
      <c r="J76" s="42" t="s">
        <v>253</v>
      </c>
      <c r="K76" s="93">
        <f>SUM(K77:K80)</f>
        <v>392</v>
      </c>
      <c r="L76" s="94">
        <f t="shared" ref="L76:L106" si="12">IF($A76&lt;&gt;"",K76/$B76*100,"")</f>
        <v>29.429429429429426</v>
      </c>
      <c r="M76" s="42" t="s">
        <v>253</v>
      </c>
      <c r="N76" s="93">
        <f>SUM(N77:N80)</f>
        <v>600</v>
      </c>
      <c r="O76" s="94">
        <f t="shared" ref="O76:O106" si="13">IF($A76&lt;&gt;"",N76/$B76*100,"")</f>
        <v>45.045045045045043</v>
      </c>
      <c r="P76" s="42" t="s">
        <v>253</v>
      </c>
      <c r="Q76" s="93">
        <f>SUM(Q77:Q80)</f>
        <v>54</v>
      </c>
      <c r="R76" s="43">
        <f t="shared" si="4"/>
        <v>4.0540540540540544</v>
      </c>
    </row>
    <row r="77" spans="1:18" ht="13.9" customHeight="1">
      <c r="A77" t="s">
        <v>70</v>
      </c>
      <c r="B77" s="65">
        <f>SUM(E77+H77+K77+N77+Q77)</f>
        <v>323</v>
      </c>
      <c r="C77" s="94">
        <f t="shared" si="5"/>
        <v>0.79960391137517028</v>
      </c>
      <c r="E77" s="260">
        <v>14</v>
      </c>
      <c r="F77" s="94">
        <f t="shared" si="10"/>
        <v>4.3343653250773997</v>
      </c>
      <c r="G77" s="260"/>
      <c r="H77" s="261">
        <v>49</v>
      </c>
      <c r="I77" s="94">
        <f t="shared" si="11"/>
        <v>15.170278637770899</v>
      </c>
      <c r="J77" s="261"/>
      <c r="K77" s="261">
        <v>79</v>
      </c>
      <c r="L77" s="94">
        <f t="shared" si="12"/>
        <v>24.458204334365323</v>
      </c>
      <c r="M77" s="261"/>
      <c r="N77" s="261">
        <v>172</v>
      </c>
      <c r="O77" s="94">
        <f t="shared" si="13"/>
        <v>53.250773993808053</v>
      </c>
      <c r="P77" s="261"/>
      <c r="Q77" s="261">
        <v>9</v>
      </c>
      <c r="R77" s="43">
        <f t="shared" si="4"/>
        <v>2.7863777089783279</v>
      </c>
    </row>
    <row r="78" spans="1:18" ht="13.9" customHeight="1">
      <c r="A78" t="s">
        <v>71</v>
      </c>
      <c r="B78" s="65">
        <f>SUM(E78+H78+K78+N78+Q78)</f>
        <v>449</v>
      </c>
      <c r="C78" s="94">
        <f t="shared" si="5"/>
        <v>1.111523703428642</v>
      </c>
      <c r="E78" s="260">
        <v>30</v>
      </c>
      <c r="F78" s="94">
        <f t="shared" si="10"/>
        <v>6.6815144766146997</v>
      </c>
      <c r="G78" s="260"/>
      <c r="H78" s="261">
        <v>70</v>
      </c>
      <c r="I78" s="94">
        <f t="shared" si="11"/>
        <v>15.590200445434299</v>
      </c>
      <c r="J78" s="261"/>
      <c r="K78" s="261">
        <v>145</v>
      </c>
      <c r="L78" s="94">
        <f t="shared" si="12"/>
        <v>32.293986636971042</v>
      </c>
      <c r="M78" s="261"/>
      <c r="N78" s="261">
        <v>189</v>
      </c>
      <c r="O78" s="94">
        <f t="shared" si="13"/>
        <v>42.093541202672604</v>
      </c>
      <c r="P78" s="261"/>
      <c r="Q78" s="261">
        <v>15</v>
      </c>
      <c r="R78" s="43">
        <f t="shared" si="4"/>
        <v>3.3407572383073498</v>
      </c>
    </row>
    <row r="79" spans="1:18" ht="13.9" customHeight="1">
      <c r="A79" t="s">
        <v>72</v>
      </c>
      <c r="B79" s="65">
        <f>SUM(E79+H79+K79+N79+Q79)</f>
        <v>330</v>
      </c>
      <c r="C79" s="94">
        <f t="shared" si="5"/>
        <v>0.81693278871147412</v>
      </c>
      <c r="E79" s="260">
        <v>16</v>
      </c>
      <c r="F79" s="94">
        <f t="shared" si="10"/>
        <v>4.8484848484848486</v>
      </c>
      <c r="G79" s="260"/>
      <c r="H79" s="261">
        <v>45</v>
      </c>
      <c r="I79" s="94">
        <f t="shared" si="11"/>
        <v>13.636363636363635</v>
      </c>
      <c r="J79" s="261"/>
      <c r="K79" s="261">
        <v>119</v>
      </c>
      <c r="L79" s="94">
        <f t="shared" si="12"/>
        <v>36.060606060606062</v>
      </c>
      <c r="M79" s="261"/>
      <c r="N79" s="261">
        <v>128</v>
      </c>
      <c r="O79" s="94">
        <f t="shared" si="13"/>
        <v>38.787878787878789</v>
      </c>
      <c r="P79" s="261"/>
      <c r="Q79" s="261">
        <v>22</v>
      </c>
      <c r="R79" s="43">
        <f t="shared" ref="R79:R106" si="14">IF($A79&lt;&gt;"",Q79/$B79*100,"")</f>
        <v>6.666666666666667</v>
      </c>
    </row>
    <row r="80" spans="1:18" ht="13.9" customHeight="1">
      <c r="A80" t="s">
        <v>73</v>
      </c>
      <c r="B80" s="65">
        <f>SUM(E80+H80+K80+N80+Q80)</f>
        <v>230</v>
      </c>
      <c r="C80" s="94">
        <f t="shared" si="5"/>
        <v>0.56937739819284561</v>
      </c>
      <c r="E80" s="260">
        <v>34</v>
      </c>
      <c r="F80" s="94">
        <f t="shared" si="10"/>
        <v>14.782608695652174</v>
      </c>
      <c r="G80" s="260"/>
      <c r="H80" s="261">
        <v>28</v>
      </c>
      <c r="I80" s="94">
        <f t="shared" si="11"/>
        <v>12.173913043478262</v>
      </c>
      <c r="J80" s="261"/>
      <c r="K80" s="261">
        <v>49</v>
      </c>
      <c r="L80" s="94">
        <f t="shared" si="12"/>
        <v>21.304347826086957</v>
      </c>
      <c r="M80" s="261"/>
      <c r="N80" s="261">
        <v>111</v>
      </c>
      <c r="O80" s="94">
        <f t="shared" si="13"/>
        <v>48.260869565217391</v>
      </c>
      <c r="P80" s="261"/>
      <c r="Q80" s="261">
        <v>8</v>
      </c>
      <c r="R80" s="43">
        <f t="shared" si="14"/>
        <v>3.4782608695652173</v>
      </c>
    </row>
    <row r="81" spans="1:18" ht="8.25" customHeight="1">
      <c r="C81" s="94" t="str">
        <f t="shared" ref="C81:C106" si="15">IF(A81&lt;&gt;0,B81/$B$12*100,"")</f>
        <v/>
      </c>
      <c r="F81" s="94" t="str">
        <f t="shared" si="10"/>
        <v/>
      </c>
      <c r="I81" s="94" t="str">
        <f t="shared" si="11"/>
        <v/>
      </c>
      <c r="L81" s="94" t="str">
        <f t="shared" si="12"/>
        <v/>
      </c>
      <c r="O81" s="94" t="str">
        <f t="shared" si="13"/>
        <v/>
      </c>
      <c r="R81" s="43" t="str">
        <f t="shared" si="14"/>
        <v/>
      </c>
    </row>
    <row r="82" spans="1:18" ht="11.25" customHeight="1">
      <c r="A82" s="63" t="s">
        <v>396</v>
      </c>
      <c r="B82" s="65">
        <f>SUM(B83)</f>
        <v>5981</v>
      </c>
      <c r="C82" s="94">
        <f t="shared" si="15"/>
        <v>14.806287906919174</v>
      </c>
      <c r="E82" s="65">
        <f>SUM(E83)</f>
        <v>389</v>
      </c>
      <c r="F82" s="94">
        <f t="shared" si="10"/>
        <v>6.5039291088446749</v>
      </c>
      <c r="H82" s="93">
        <f>SUM(H83)</f>
        <v>914</v>
      </c>
      <c r="I82" s="94">
        <f t="shared" si="11"/>
        <v>15.281725463969236</v>
      </c>
      <c r="K82" s="93">
        <f>SUM(K83)</f>
        <v>1478</v>
      </c>
      <c r="L82" s="94">
        <f t="shared" si="12"/>
        <v>24.711586691188764</v>
      </c>
      <c r="N82" s="93">
        <f>SUM(N83)</f>
        <v>2826</v>
      </c>
      <c r="O82" s="94">
        <f t="shared" si="13"/>
        <v>47.249623808727634</v>
      </c>
      <c r="Q82" s="93">
        <f>SUM(Q83)</f>
        <v>374</v>
      </c>
      <c r="R82" s="43">
        <f t="shared" si="14"/>
        <v>6.2531349272696879</v>
      </c>
    </row>
    <row r="83" spans="1:18" ht="13.9" customHeight="1">
      <c r="A83" t="s">
        <v>75</v>
      </c>
      <c r="B83" s="65">
        <f t="shared" ref="B83:B92" si="16">SUM(E83+H83+K83+N83+Q83)</f>
        <v>5981</v>
      </c>
      <c r="C83" s="94">
        <f t="shared" si="15"/>
        <v>14.806287906919174</v>
      </c>
      <c r="E83" s="65">
        <f>SUM(E84:E92)</f>
        <v>389</v>
      </c>
      <c r="F83" s="94">
        <f t="shared" si="10"/>
        <v>6.5039291088446749</v>
      </c>
      <c r="G83" s="42" t="s">
        <v>253</v>
      </c>
      <c r="H83" s="93">
        <f>SUM(H84:H92)</f>
        <v>914</v>
      </c>
      <c r="I83" s="94">
        <f t="shared" si="11"/>
        <v>15.281725463969236</v>
      </c>
      <c r="J83" s="42" t="s">
        <v>253</v>
      </c>
      <c r="K83" s="93">
        <f>SUM(K84:K92)</f>
        <v>1478</v>
      </c>
      <c r="L83" s="94">
        <f t="shared" si="12"/>
        <v>24.711586691188764</v>
      </c>
      <c r="M83" s="42" t="s">
        <v>253</v>
      </c>
      <c r="N83" s="93">
        <f>SUM(N84:N92)</f>
        <v>2826</v>
      </c>
      <c r="O83" s="94">
        <f t="shared" si="13"/>
        <v>47.249623808727634</v>
      </c>
      <c r="P83" s="42" t="s">
        <v>253</v>
      </c>
      <c r="Q83" s="93">
        <f>SUM(Q84:Q92)</f>
        <v>374</v>
      </c>
      <c r="R83" s="43">
        <f t="shared" si="14"/>
        <v>6.2531349272696879</v>
      </c>
    </row>
    <row r="84" spans="1:18" ht="13.9" customHeight="1">
      <c r="A84" t="s">
        <v>338</v>
      </c>
      <c r="B84" s="65">
        <f t="shared" si="16"/>
        <v>436</v>
      </c>
      <c r="C84" s="94">
        <f t="shared" si="15"/>
        <v>1.0793415026612205</v>
      </c>
      <c r="E84" s="260">
        <v>16</v>
      </c>
      <c r="F84" s="94">
        <f t="shared" si="10"/>
        <v>3.669724770642202</v>
      </c>
      <c r="G84" s="260"/>
      <c r="H84" s="261">
        <v>56</v>
      </c>
      <c r="I84" s="94">
        <f t="shared" si="11"/>
        <v>12.844036697247708</v>
      </c>
      <c r="J84" s="261"/>
      <c r="K84" s="261">
        <v>162</v>
      </c>
      <c r="L84" s="94">
        <f t="shared" si="12"/>
        <v>37.155963302752291</v>
      </c>
      <c r="M84" s="261"/>
      <c r="N84" s="261">
        <v>187</v>
      </c>
      <c r="O84" s="94">
        <f t="shared" si="13"/>
        <v>42.88990825688073</v>
      </c>
      <c r="P84" s="261"/>
      <c r="Q84" s="261">
        <v>15</v>
      </c>
      <c r="R84" s="43">
        <f t="shared" si="14"/>
        <v>3.4403669724770642</v>
      </c>
    </row>
    <row r="85" spans="1:18" ht="13.9" customHeight="1">
      <c r="A85" t="s">
        <v>76</v>
      </c>
      <c r="B85" s="65">
        <f t="shared" si="16"/>
        <v>866</v>
      </c>
      <c r="C85" s="94">
        <f t="shared" si="15"/>
        <v>2.1438296818913232</v>
      </c>
      <c r="E85" s="260">
        <v>74</v>
      </c>
      <c r="F85" s="94">
        <f t="shared" si="10"/>
        <v>8.5450346420323324</v>
      </c>
      <c r="G85" s="260"/>
      <c r="H85" s="261">
        <v>86</v>
      </c>
      <c r="I85" s="94">
        <f t="shared" si="11"/>
        <v>9.9307159353348737</v>
      </c>
      <c r="J85" s="261"/>
      <c r="K85" s="261">
        <v>187</v>
      </c>
      <c r="L85" s="94">
        <f t="shared" si="12"/>
        <v>21.593533487297922</v>
      </c>
      <c r="M85" s="261"/>
      <c r="N85" s="261">
        <v>471</v>
      </c>
      <c r="O85" s="94">
        <f t="shared" si="13"/>
        <v>54.387990762124716</v>
      </c>
      <c r="P85" s="261"/>
      <c r="Q85" s="261">
        <v>48</v>
      </c>
      <c r="R85" s="43">
        <f t="shared" si="14"/>
        <v>5.5427251732101617</v>
      </c>
    </row>
    <row r="86" spans="1:18" ht="13.9" customHeight="1">
      <c r="A86" t="s">
        <v>78</v>
      </c>
      <c r="B86" s="65">
        <f t="shared" si="16"/>
        <v>1077</v>
      </c>
      <c r="C86" s="94">
        <f t="shared" si="15"/>
        <v>2.6661715558856294</v>
      </c>
      <c r="E86" s="260">
        <v>30</v>
      </c>
      <c r="F86" s="94">
        <f t="shared" si="10"/>
        <v>2.785515320334262</v>
      </c>
      <c r="G86" s="260"/>
      <c r="H86" s="261">
        <v>239</v>
      </c>
      <c r="I86" s="94">
        <f t="shared" si="11"/>
        <v>22.191272051996286</v>
      </c>
      <c r="J86" s="261"/>
      <c r="K86" s="261">
        <v>269</v>
      </c>
      <c r="L86" s="94">
        <f t="shared" si="12"/>
        <v>24.976787372330548</v>
      </c>
      <c r="M86" s="261"/>
      <c r="N86" s="261">
        <v>477</v>
      </c>
      <c r="O86" s="94">
        <f t="shared" si="13"/>
        <v>44.289693593314759</v>
      </c>
      <c r="P86" s="261"/>
      <c r="Q86" s="261">
        <v>62</v>
      </c>
      <c r="R86" s="43">
        <f t="shared" si="14"/>
        <v>5.7567316620241415</v>
      </c>
    </row>
    <row r="87" spans="1:18" ht="13.9" customHeight="1">
      <c r="A87" t="s">
        <v>80</v>
      </c>
      <c r="B87" s="65">
        <f t="shared" si="16"/>
        <v>519</v>
      </c>
      <c r="C87" s="94">
        <f t="shared" si="15"/>
        <v>1.2848124767916822</v>
      </c>
      <c r="E87" s="260">
        <v>76</v>
      </c>
      <c r="F87" s="94">
        <f t="shared" si="10"/>
        <v>14.64354527938343</v>
      </c>
      <c r="G87" s="260"/>
      <c r="H87" s="261">
        <v>37</v>
      </c>
      <c r="I87" s="94">
        <f t="shared" si="11"/>
        <v>7.1290944123314066</v>
      </c>
      <c r="J87" s="261"/>
      <c r="K87" s="261">
        <v>82</v>
      </c>
      <c r="L87" s="94">
        <f t="shared" si="12"/>
        <v>15.799614643545279</v>
      </c>
      <c r="M87" s="261"/>
      <c r="N87" s="261">
        <v>257</v>
      </c>
      <c r="O87" s="94">
        <f t="shared" si="13"/>
        <v>49.518304431599233</v>
      </c>
      <c r="P87" s="261"/>
      <c r="Q87" s="261">
        <v>67</v>
      </c>
      <c r="R87" s="43">
        <f t="shared" si="14"/>
        <v>12.909441233140656</v>
      </c>
    </row>
    <row r="88" spans="1:18" ht="13.9" customHeight="1">
      <c r="A88" t="s">
        <v>79</v>
      </c>
      <c r="B88" s="65">
        <f t="shared" si="16"/>
        <v>531</v>
      </c>
      <c r="C88" s="94">
        <f t="shared" si="15"/>
        <v>1.3145191236539175</v>
      </c>
      <c r="E88" s="260">
        <v>5</v>
      </c>
      <c r="F88" s="94">
        <f t="shared" si="10"/>
        <v>0.94161958568738224</v>
      </c>
      <c r="G88" s="260"/>
      <c r="H88" s="261">
        <v>97</v>
      </c>
      <c r="I88" s="94">
        <f t="shared" si="11"/>
        <v>18.267419962335214</v>
      </c>
      <c r="J88" s="261"/>
      <c r="K88" s="261">
        <v>160</v>
      </c>
      <c r="L88" s="94">
        <f t="shared" si="12"/>
        <v>30.131826741996232</v>
      </c>
      <c r="M88" s="261"/>
      <c r="N88" s="261">
        <v>240</v>
      </c>
      <c r="O88" s="94">
        <f t="shared" si="13"/>
        <v>45.197740112994353</v>
      </c>
      <c r="P88" s="261"/>
      <c r="Q88" s="261">
        <v>29</v>
      </c>
      <c r="R88" s="43">
        <f t="shared" si="14"/>
        <v>5.4613935969868175</v>
      </c>
    </row>
    <row r="89" spans="1:18" ht="13.9" customHeight="1">
      <c r="A89" t="s">
        <v>77</v>
      </c>
      <c r="B89" s="65">
        <f t="shared" si="16"/>
        <v>758</v>
      </c>
      <c r="C89" s="94">
        <f t="shared" si="15"/>
        <v>1.8764698601312044</v>
      </c>
      <c r="E89" s="260">
        <v>84</v>
      </c>
      <c r="F89" s="94">
        <f t="shared" si="10"/>
        <v>11.081794195250659</v>
      </c>
      <c r="G89" s="260"/>
      <c r="H89" s="261">
        <v>86</v>
      </c>
      <c r="I89" s="94">
        <f t="shared" si="11"/>
        <v>11.345646437994723</v>
      </c>
      <c r="J89" s="261"/>
      <c r="K89" s="261">
        <v>169</v>
      </c>
      <c r="L89" s="94">
        <f t="shared" si="12"/>
        <v>22.295514511873353</v>
      </c>
      <c r="M89" s="261"/>
      <c r="N89" s="261">
        <v>386</v>
      </c>
      <c r="O89" s="94">
        <f t="shared" si="13"/>
        <v>50.92348284960422</v>
      </c>
      <c r="P89" s="261"/>
      <c r="Q89" s="261">
        <v>33</v>
      </c>
      <c r="R89" s="43">
        <f t="shared" si="14"/>
        <v>4.3535620052770447</v>
      </c>
    </row>
    <row r="90" spans="1:18" ht="13.9" customHeight="1">
      <c r="A90" t="s">
        <v>81</v>
      </c>
      <c r="B90" s="65">
        <f t="shared" si="16"/>
        <v>728</v>
      </c>
      <c r="C90" s="94">
        <f t="shared" si="15"/>
        <v>1.8022032429756158</v>
      </c>
      <c r="E90" s="260">
        <v>76</v>
      </c>
      <c r="F90" s="94">
        <f t="shared" si="10"/>
        <v>10.43956043956044</v>
      </c>
      <c r="G90" s="260"/>
      <c r="H90" s="261">
        <v>120</v>
      </c>
      <c r="I90" s="94">
        <f t="shared" si="11"/>
        <v>16.483516483516482</v>
      </c>
      <c r="J90" s="261"/>
      <c r="K90" s="261">
        <v>178</v>
      </c>
      <c r="L90" s="94">
        <f t="shared" si="12"/>
        <v>24.450549450549449</v>
      </c>
      <c r="M90" s="261"/>
      <c r="N90" s="261">
        <v>313</v>
      </c>
      <c r="O90" s="94">
        <f t="shared" si="13"/>
        <v>42.994505494505496</v>
      </c>
      <c r="P90" s="261"/>
      <c r="Q90" s="261">
        <v>41</v>
      </c>
      <c r="R90" s="43">
        <f t="shared" si="14"/>
        <v>5.6318681318681323</v>
      </c>
    </row>
    <row r="91" spans="1:18" ht="13.9" customHeight="1">
      <c r="A91" t="s">
        <v>84</v>
      </c>
      <c r="B91" s="65">
        <f t="shared" si="16"/>
        <v>384</v>
      </c>
      <c r="C91" s="94">
        <f t="shared" si="15"/>
        <v>0.95061269959153361</v>
      </c>
      <c r="E91" s="260">
        <v>19</v>
      </c>
      <c r="F91" s="94">
        <f t="shared" si="10"/>
        <v>4.9479166666666661</v>
      </c>
      <c r="G91" s="260"/>
      <c r="H91" s="261">
        <v>66</v>
      </c>
      <c r="I91" s="94">
        <f t="shared" si="11"/>
        <v>17.1875</v>
      </c>
      <c r="J91" s="261"/>
      <c r="K91" s="261">
        <v>97</v>
      </c>
      <c r="L91" s="94">
        <f t="shared" si="12"/>
        <v>25.260416666666668</v>
      </c>
      <c r="M91" s="261"/>
      <c r="N91" s="261">
        <v>193</v>
      </c>
      <c r="O91" s="94">
        <f t="shared" si="13"/>
        <v>50.260416666666664</v>
      </c>
      <c r="P91" s="261"/>
      <c r="Q91" s="261">
        <v>9</v>
      </c>
      <c r="R91" s="43">
        <f t="shared" si="14"/>
        <v>2.34375</v>
      </c>
    </row>
    <row r="92" spans="1:18" ht="13.9" customHeight="1">
      <c r="A92" t="s">
        <v>339</v>
      </c>
      <c r="B92" s="65">
        <f t="shared" si="16"/>
        <v>682</v>
      </c>
      <c r="C92" s="94">
        <f t="shared" si="15"/>
        <v>1.6883277633370466</v>
      </c>
      <c r="E92" s="260">
        <v>9</v>
      </c>
      <c r="F92" s="94">
        <f t="shared" si="10"/>
        <v>1.3196480938416422</v>
      </c>
      <c r="G92" s="260"/>
      <c r="H92" s="261">
        <v>127</v>
      </c>
      <c r="I92" s="94">
        <f t="shared" si="11"/>
        <v>18.621700879765395</v>
      </c>
      <c r="J92" s="261"/>
      <c r="K92" s="261">
        <v>174</v>
      </c>
      <c r="L92" s="94">
        <f t="shared" si="12"/>
        <v>25.513196480938415</v>
      </c>
      <c r="M92" s="261"/>
      <c r="N92" s="261">
        <v>302</v>
      </c>
      <c r="O92" s="94">
        <f t="shared" si="13"/>
        <v>44.281524926686217</v>
      </c>
      <c r="P92" s="261"/>
      <c r="Q92" s="261">
        <v>70</v>
      </c>
      <c r="R92" s="43">
        <f t="shared" si="14"/>
        <v>10.263929618768328</v>
      </c>
    </row>
    <row r="93" spans="1:18" ht="8.25" customHeight="1">
      <c r="C93" s="94" t="str">
        <f t="shared" si="15"/>
        <v/>
      </c>
      <c r="E93" s="242"/>
      <c r="F93" s="94" t="str">
        <f t="shared" si="10"/>
        <v/>
      </c>
      <c r="G93" s="242"/>
      <c r="H93" s="242"/>
      <c r="I93" s="94" t="str">
        <f t="shared" si="11"/>
        <v/>
      </c>
      <c r="J93" s="242"/>
      <c r="K93" s="242"/>
      <c r="L93" s="94" t="str">
        <f t="shared" si="12"/>
        <v/>
      </c>
      <c r="M93" s="242"/>
      <c r="N93" s="242"/>
      <c r="O93" s="94" t="str">
        <f t="shared" si="13"/>
        <v/>
      </c>
      <c r="P93" s="242"/>
      <c r="Q93" s="242"/>
      <c r="R93" s="43" t="str">
        <f t="shared" si="14"/>
        <v/>
      </c>
    </row>
    <row r="94" spans="1:18" ht="13.9" customHeight="1">
      <c r="A94" t="s">
        <v>919</v>
      </c>
      <c r="B94" s="65">
        <f>SUM(E94+H94+K94+N94+Q94)</f>
        <v>47</v>
      </c>
      <c r="C94" s="94">
        <f t="shared" si="15"/>
        <v>0.11635103354375542</v>
      </c>
      <c r="E94" s="260">
        <v>0</v>
      </c>
      <c r="F94" s="94">
        <f t="shared" si="10"/>
        <v>0</v>
      </c>
      <c r="G94" s="260"/>
      <c r="H94" s="261">
        <v>23</v>
      </c>
      <c r="I94" s="94">
        <f t="shared" si="11"/>
        <v>48.936170212765958</v>
      </c>
      <c r="J94" s="261"/>
      <c r="K94" s="261">
        <v>24</v>
      </c>
      <c r="L94" s="94">
        <f t="shared" si="12"/>
        <v>51.063829787234042</v>
      </c>
      <c r="M94" s="261"/>
      <c r="N94" s="261">
        <v>0</v>
      </c>
      <c r="O94" s="94">
        <f t="shared" si="13"/>
        <v>0</v>
      </c>
      <c r="P94" s="261"/>
      <c r="Q94" s="261">
        <v>0</v>
      </c>
      <c r="R94" s="43">
        <f t="shared" si="14"/>
        <v>0</v>
      </c>
    </row>
    <row r="95" spans="1:18" ht="8.25" customHeight="1">
      <c r="B95" s="65">
        <f>SUM(E95+H95+K95+N95+Q95)</f>
        <v>0</v>
      </c>
      <c r="C95" s="94" t="str">
        <f t="shared" si="15"/>
        <v/>
      </c>
      <c r="E95" s="36"/>
      <c r="F95" s="94" t="str">
        <f t="shared" si="10"/>
        <v/>
      </c>
      <c r="G95" s="36"/>
      <c r="H95" s="36"/>
      <c r="I95" s="94" t="str">
        <f t="shared" si="11"/>
        <v/>
      </c>
      <c r="J95" s="36"/>
      <c r="K95" s="36"/>
      <c r="L95" s="94" t="str">
        <f t="shared" si="12"/>
        <v/>
      </c>
      <c r="M95" s="36"/>
      <c r="N95" s="36"/>
      <c r="O95" s="94" t="str">
        <f t="shared" si="13"/>
        <v/>
      </c>
      <c r="P95" s="36"/>
      <c r="Q95" s="36"/>
      <c r="R95" s="43" t="str">
        <f t="shared" si="14"/>
        <v/>
      </c>
    </row>
    <row r="96" spans="1:18" ht="13.9" customHeight="1">
      <c r="A96" t="s">
        <v>443</v>
      </c>
      <c r="B96" s="65">
        <f>SUM(E96+H96+K96+N96+Q96)</f>
        <v>291</v>
      </c>
      <c r="C96" s="94">
        <f t="shared" si="15"/>
        <v>0.72038618640920904</v>
      </c>
      <c r="E96" s="260">
        <v>1</v>
      </c>
      <c r="F96" s="94">
        <f t="shared" si="10"/>
        <v>0.3436426116838488</v>
      </c>
      <c r="G96" s="260"/>
      <c r="H96" s="261">
        <v>27</v>
      </c>
      <c r="I96" s="94">
        <f t="shared" si="11"/>
        <v>9.2783505154639183</v>
      </c>
      <c r="J96" s="261"/>
      <c r="K96" s="261">
        <v>48</v>
      </c>
      <c r="L96" s="94">
        <f t="shared" si="12"/>
        <v>16.494845360824741</v>
      </c>
      <c r="M96" s="261"/>
      <c r="N96" s="261">
        <v>191</v>
      </c>
      <c r="O96" s="94">
        <f t="shared" si="13"/>
        <v>65.635738831615114</v>
      </c>
      <c r="P96" s="261"/>
      <c r="Q96" s="261">
        <v>24</v>
      </c>
      <c r="R96" s="43">
        <f t="shared" si="14"/>
        <v>8.2474226804123703</v>
      </c>
    </row>
    <row r="97" spans="1:19" ht="13.9" customHeight="1">
      <c r="A97" t="s">
        <v>920</v>
      </c>
      <c r="B97" s="65">
        <f>SUM(E97+H97+K97+N97+Q97)</f>
        <v>684</v>
      </c>
      <c r="C97" s="94">
        <f t="shared" si="15"/>
        <v>1.6932788711474194</v>
      </c>
      <c r="E97" s="260">
        <v>31</v>
      </c>
      <c r="F97" s="94">
        <f t="shared" si="10"/>
        <v>4.5321637426900585</v>
      </c>
      <c r="G97" s="260"/>
      <c r="H97" s="261">
        <v>106</v>
      </c>
      <c r="I97" s="94">
        <f t="shared" si="11"/>
        <v>15.497076023391813</v>
      </c>
      <c r="J97" s="261"/>
      <c r="K97" s="261">
        <v>199</v>
      </c>
      <c r="L97" s="94">
        <f t="shared" si="12"/>
        <v>29.093567251461987</v>
      </c>
      <c r="M97" s="261"/>
      <c r="N97" s="261">
        <v>318</v>
      </c>
      <c r="O97" s="94">
        <f t="shared" si="13"/>
        <v>46.491228070175438</v>
      </c>
      <c r="P97" s="261"/>
      <c r="Q97" s="261">
        <v>30</v>
      </c>
      <c r="R97" s="43">
        <f t="shared" si="14"/>
        <v>4.3859649122807012</v>
      </c>
    </row>
    <row r="98" spans="1:19" ht="9" customHeight="1">
      <c r="B98" s="65">
        <f t="shared" ref="B98:B106" si="17">SUM(E98+H98+K98+N98+Q98)</f>
        <v>0</v>
      </c>
      <c r="C98" s="94" t="str">
        <f t="shared" si="15"/>
        <v/>
      </c>
      <c r="F98" s="94" t="str">
        <f t="shared" si="10"/>
        <v/>
      </c>
      <c r="I98" s="94" t="str">
        <f t="shared" si="11"/>
        <v/>
      </c>
      <c r="L98" s="94" t="str">
        <f t="shared" si="12"/>
        <v/>
      </c>
      <c r="O98" s="94" t="str">
        <f t="shared" si="13"/>
        <v/>
      </c>
      <c r="R98" s="43" t="str">
        <f t="shared" si="14"/>
        <v/>
      </c>
    </row>
    <row r="99" spans="1:19" ht="13.9" customHeight="1">
      <c r="A99" s="63" t="s">
        <v>346</v>
      </c>
      <c r="B99" s="65">
        <f t="shared" si="17"/>
        <v>9473</v>
      </c>
      <c r="C99" s="94">
        <f t="shared" si="15"/>
        <v>23.450922143829679</v>
      </c>
      <c r="E99" s="65">
        <f>SUM(E100:E104)</f>
        <v>290</v>
      </c>
      <c r="F99" s="94">
        <f t="shared" si="10"/>
        <v>3.0613322073260849</v>
      </c>
      <c r="G99" s="42" t="s">
        <v>253</v>
      </c>
      <c r="H99" s="93">
        <f>SUM(H100:H104)</f>
        <v>1211</v>
      </c>
      <c r="I99" s="94">
        <f t="shared" si="11"/>
        <v>12.783701045075476</v>
      </c>
      <c r="J99" s="42" t="s">
        <v>253</v>
      </c>
      <c r="K99" s="93">
        <f>SUM(K100:K104)</f>
        <v>2355</v>
      </c>
      <c r="L99" s="94">
        <f t="shared" si="12"/>
        <v>24.860128787079066</v>
      </c>
      <c r="M99" s="42" t="s">
        <v>253</v>
      </c>
      <c r="N99" s="93">
        <f>SUM(N100:N104)</f>
        <v>5037</v>
      </c>
      <c r="O99" s="94">
        <f t="shared" si="13"/>
        <v>53.172173545867196</v>
      </c>
      <c r="P99" s="42" t="s">
        <v>253</v>
      </c>
      <c r="Q99" s="93">
        <f>SUM(Q100:Q104)</f>
        <v>580</v>
      </c>
      <c r="R99" s="43">
        <f t="shared" si="14"/>
        <v>6.1226644146521698</v>
      </c>
    </row>
    <row r="100" spans="1:19" ht="13.9" customHeight="1">
      <c r="A100" t="s">
        <v>347</v>
      </c>
      <c r="B100" s="65">
        <f t="shared" si="17"/>
        <v>3120</v>
      </c>
      <c r="C100" s="94">
        <f t="shared" si="15"/>
        <v>7.7237281841812111</v>
      </c>
      <c r="E100" s="260">
        <v>196</v>
      </c>
      <c r="F100" s="94">
        <f t="shared" si="10"/>
        <v>6.2820512820512819</v>
      </c>
      <c r="G100" s="260"/>
      <c r="H100" s="260">
        <v>384</v>
      </c>
      <c r="I100" s="94">
        <f t="shared" si="11"/>
        <v>12.307692307692308</v>
      </c>
      <c r="J100" s="260"/>
      <c r="K100" s="260">
        <v>703</v>
      </c>
      <c r="L100" s="94">
        <f t="shared" si="12"/>
        <v>22.532051282051281</v>
      </c>
      <c r="M100" s="260"/>
      <c r="N100" s="260">
        <v>1668</v>
      </c>
      <c r="O100" s="94">
        <f t="shared" si="13"/>
        <v>53.46153846153846</v>
      </c>
      <c r="P100" s="260"/>
      <c r="Q100" s="260">
        <v>169</v>
      </c>
      <c r="R100" s="43">
        <f t="shared" si="14"/>
        <v>5.416666666666667</v>
      </c>
    </row>
    <row r="101" spans="1:19" ht="13.9" customHeight="1">
      <c r="A101" t="s">
        <v>348</v>
      </c>
      <c r="B101" s="65">
        <f t="shared" si="17"/>
        <v>1864</v>
      </c>
      <c r="C101" s="94">
        <f t="shared" si="15"/>
        <v>4.6144324792672355</v>
      </c>
      <c r="E101" s="260">
        <v>11</v>
      </c>
      <c r="F101" s="94">
        <f t="shared" si="10"/>
        <v>0.59012875536480691</v>
      </c>
      <c r="G101" s="260"/>
      <c r="H101" s="260">
        <v>217</v>
      </c>
      <c r="I101" s="94">
        <f t="shared" si="11"/>
        <v>11.641630901287552</v>
      </c>
      <c r="J101" s="260"/>
      <c r="K101" s="260">
        <v>523</v>
      </c>
      <c r="L101" s="94">
        <f t="shared" si="12"/>
        <v>28.057939914163089</v>
      </c>
      <c r="M101" s="260"/>
      <c r="N101" s="260">
        <v>1010</v>
      </c>
      <c r="O101" s="94">
        <f t="shared" si="13"/>
        <v>54.184549356223179</v>
      </c>
      <c r="P101" s="260"/>
      <c r="Q101" s="260">
        <v>103</v>
      </c>
      <c r="R101" s="43">
        <f t="shared" si="14"/>
        <v>5.5257510729613735</v>
      </c>
    </row>
    <row r="102" spans="1:19" ht="13.9" customHeight="1">
      <c r="A102" t="s">
        <v>349</v>
      </c>
      <c r="B102" s="65">
        <f t="shared" si="17"/>
        <v>1974</v>
      </c>
      <c r="C102" s="94">
        <f t="shared" si="15"/>
        <v>4.8867434088377273</v>
      </c>
      <c r="E102" s="260">
        <v>20</v>
      </c>
      <c r="F102" s="94">
        <f t="shared" si="10"/>
        <v>1.0131712259371835</v>
      </c>
      <c r="G102" s="260"/>
      <c r="H102" s="260">
        <v>294</v>
      </c>
      <c r="I102" s="94">
        <f t="shared" si="11"/>
        <v>14.893617021276595</v>
      </c>
      <c r="J102" s="260"/>
      <c r="K102" s="260">
        <v>479</v>
      </c>
      <c r="L102" s="94">
        <f t="shared" si="12"/>
        <v>24.265450861195543</v>
      </c>
      <c r="M102" s="260"/>
      <c r="N102" s="260">
        <v>1032</v>
      </c>
      <c r="O102" s="94">
        <f t="shared" si="13"/>
        <v>52.27963525835866</v>
      </c>
      <c r="P102" s="260"/>
      <c r="Q102" s="260">
        <v>149</v>
      </c>
      <c r="R102" s="43">
        <f t="shared" si="14"/>
        <v>7.5481256332320168</v>
      </c>
    </row>
    <row r="103" spans="1:19" ht="13.9" customHeight="1">
      <c r="A103" t="s">
        <v>378</v>
      </c>
      <c r="B103" s="65">
        <f t="shared" si="17"/>
        <v>1356</v>
      </c>
      <c r="C103" s="94">
        <f t="shared" si="15"/>
        <v>3.356851095432603</v>
      </c>
      <c r="E103" s="260">
        <v>58</v>
      </c>
      <c r="F103" s="94">
        <f t="shared" si="10"/>
        <v>4.277286135693215</v>
      </c>
      <c r="G103" s="260"/>
      <c r="H103" s="260">
        <v>186</v>
      </c>
      <c r="I103" s="94">
        <f t="shared" si="11"/>
        <v>13.716814159292035</v>
      </c>
      <c r="J103" s="260"/>
      <c r="K103" s="260">
        <v>356</v>
      </c>
      <c r="L103" s="94">
        <f t="shared" si="12"/>
        <v>26.253687315634217</v>
      </c>
      <c r="M103" s="260"/>
      <c r="N103" s="260">
        <v>672</v>
      </c>
      <c r="O103" s="94">
        <f t="shared" si="13"/>
        <v>49.557522123893804</v>
      </c>
      <c r="P103" s="260"/>
      <c r="Q103" s="260">
        <v>84</v>
      </c>
      <c r="R103" s="43">
        <f t="shared" si="14"/>
        <v>6.1946902654867255</v>
      </c>
    </row>
    <row r="104" spans="1:19" ht="13.9" customHeight="1">
      <c r="A104" t="s">
        <v>808</v>
      </c>
      <c r="B104" s="65">
        <f t="shared" si="17"/>
        <v>1159</v>
      </c>
      <c r="C104" s="94">
        <f t="shared" si="15"/>
        <v>2.8691669761109049</v>
      </c>
      <c r="E104" s="260">
        <v>5</v>
      </c>
      <c r="F104" s="94">
        <f t="shared" si="10"/>
        <v>0.43140638481449528</v>
      </c>
      <c r="G104" s="260"/>
      <c r="H104" s="261">
        <v>130</v>
      </c>
      <c r="I104" s="94">
        <f t="shared" si="11"/>
        <v>11.216566005176878</v>
      </c>
      <c r="J104" s="261"/>
      <c r="K104" s="261">
        <v>294</v>
      </c>
      <c r="L104" s="94">
        <f t="shared" si="12"/>
        <v>25.366695427092324</v>
      </c>
      <c r="M104" s="261"/>
      <c r="N104" s="261">
        <v>655</v>
      </c>
      <c r="O104" s="94">
        <f t="shared" si="13"/>
        <v>56.514236410698885</v>
      </c>
      <c r="P104" s="261"/>
      <c r="Q104" s="261">
        <v>75</v>
      </c>
      <c r="R104" s="43">
        <f t="shared" si="14"/>
        <v>6.4710957722174296</v>
      </c>
    </row>
    <row r="105" spans="1:19" ht="9" customHeight="1">
      <c r="B105" s="65">
        <f t="shared" si="17"/>
        <v>0</v>
      </c>
      <c r="C105" s="94" t="str">
        <f t="shared" si="15"/>
        <v/>
      </c>
      <c r="E105" s="36"/>
      <c r="F105" s="94" t="str">
        <f t="shared" si="10"/>
        <v/>
      </c>
      <c r="G105" s="36"/>
      <c r="H105" s="36"/>
      <c r="I105" s="94" t="str">
        <f t="shared" si="11"/>
        <v/>
      </c>
      <c r="J105" s="36"/>
      <c r="K105" s="36"/>
      <c r="L105" s="94" t="str">
        <f t="shared" si="12"/>
        <v/>
      </c>
      <c r="M105" s="36"/>
      <c r="N105" s="36"/>
      <c r="O105" s="94" t="str">
        <f t="shared" si="13"/>
        <v/>
      </c>
      <c r="P105" s="36"/>
      <c r="Q105" s="36"/>
      <c r="R105" s="43" t="str">
        <f t="shared" si="14"/>
        <v/>
      </c>
    </row>
    <row r="106" spans="1:19" ht="13.9" customHeight="1">
      <c r="A106" t="s">
        <v>921</v>
      </c>
      <c r="B106" s="65">
        <f t="shared" si="17"/>
        <v>82</v>
      </c>
      <c r="C106" s="94">
        <f t="shared" si="15"/>
        <v>0.20299542022527542</v>
      </c>
      <c r="E106" s="36">
        <v>0</v>
      </c>
      <c r="F106" s="94">
        <f t="shared" si="10"/>
        <v>0</v>
      </c>
      <c r="G106" s="36"/>
      <c r="H106" s="261">
        <v>49</v>
      </c>
      <c r="I106" s="94">
        <f t="shared" si="11"/>
        <v>59.756097560975604</v>
      </c>
      <c r="J106" s="261"/>
      <c r="K106" s="261">
        <v>32</v>
      </c>
      <c r="L106" s="94">
        <f t="shared" si="12"/>
        <v>39.024390243902438</v>
      </c>
      <c r="M106" s="261"/>
      <c r="N106" s="261">
        <v>1</v>
      </c>
      <c r="O106" s="94">
        <f t="shared" si="13"/>
        <v>1.2195121951219512</v>
      </c>
      <c r="P106" s="261"/>
      <c r="Q106" s="261">
        <v>0</v>
      </c>
      <c r="R106" s="43">
        <f t="shared" si="14"/>
        <v>0</v>
      </c>
    </row>
    <row r="107" spans="1:19" ht="9" customHeight="1" thickBot="1">
      <c r="A107" s="15"/>
      <c r="B107" s="247"/>
      <c r="C107" s="248"/>
      <c r="D107" s="249"/>
      <c r="E107" s="247"/>
      <c r="F107" s="248"/>
      <c r="G107" s="249"/>
      <c r="H107" s="250"/>
      <c r="I107" s="248"/>
      <c r="J107" s="249"/>
      <c r="K107" s="250"/>
      <c r="L107" s="248"/>
      <c r="M107" s="249"/>
      <c r="N107" s="250"/>
      <c r="O107" s="248"/>
      <c r="P107" s="249"/>
      <c r="Q107" s="250"/>
      <c r="R107" s="60"/>
    </row>
    <row r="108" spans="1:19" ht="10.5" customHeight="1">
      <c r="S108" s="38"/>
    </row>
    <row r="109" spans="1:19">
      <c r="A109" s="256" t="s">
        <v>810</v>
      </c>
    </row>
    <row r="110" spans="1:19">
      <c r="A110" s="256" t="s">
        <v>922</v>
      </c>
    </row>
    <row r="111" spans="1:19" ht="12" customHeight="1"/>
    <row r="112" spans="1:19">
      <c r="A112" s="4" t="s">
        <v>923</v>
      </c>
      <c r="C112" s="93"/>
    </row>
    <row r="113" spans="1:1">
      <c r="A113" t="s">
        <v>355</v>
      </c>
    </row>
  </sheetData>
  <mergeCells count="9">
    <mergeCell ref="Q8:R8"/>
    <mergeCell ref="H7:I7"/>
    <mergeCell ref="K7:L7"/>
    <mergeCell ref="N7:O7"/>
    <mergeCell ref="B8:C8"/>
    <mergeCell ref="E8:F8"/>
    <mergeCell ref="H8:I8"/>
    <mergeCell ref="K8:L8"/>
    <mergeCell ref="N8:O8"/>
  </mergeCells>
  <printOptions horizontalCentered="1" verticalCentered="1"/>
  <pageMargins left="0" right="0" top="0" bottom="0" header="0.31496062992125984" footer="0.31496062992125984"/>
  <pageSetup paperSize="9" scale="55" orientation="portrait" r:id="rId1"/>
  <drawing r:id="rId2"/>
</worksheet>
</file>

<file path=xl/worksheets/sheet45.xml><?xml version="1.0" encoding="utf-8"?>
<worksheet xmlns="http://schemas.openxmlformats.org/spreadsheetml/2006/main" xmlns:r="http://schemas.openxmlformats.org/officeDocument/2006/relationships">
  <dimension ref="A1:U109"/>
  <sheetViews>
    <sheetView topLeftCell="A70" workbookViewId="0">
      <selection activeCell="A4" sqref="A4"/>
    </sheetView>
  </sheetViews>
  <sheetFormatPr baseColWidth="10" defaultColWidth="8.85546875" defaultRowHeight="15"/>
  <cols>
    <col min="1" max="1" width="35.7109375" customWidth="1"/>
    <col min="2" max="2" width="8.28515625" style="50" customWidth="1"/>
    <col min="3" max="3" width="2.5703125" style="41" customWidth="1"/>
    <col min="4" max="4" width="8.28515625" style="43" customWidth="1"/>
    <col min="5" max="5" width="2.7109375" customWidth="1"/>
    <col min="6" max="6" width="8.42578125" style="93" customWidth="1"/>
    <col min="7" max="7" width="8.28515625" style="94" customWidth="1"/>
    <col min="8" max="8" width="2.7109375" style="42" customWidth="1"/>
    <col min="9" max="9" width="8.28515625" style="93" customWidth="1"/>
    <col min="10" max="10" width="8.42578125" style="94" customWidth="1"/>
    <col min="11" max="11" width="2.7109375" style="42" customWidth="1"/>
    <col min="12" max="12" width="8.28515625" style="93" customWidth="1"/>
    <col min="13" max="13" width="8.28515625" style="94" customWidth="1"/>
    <col min="14" max="14" width="2.7109375" style="42" customWidth="1"/>
    <col min="15" max="15" width="8.28515625" style="93" customWidth="1"/>
    <col min="16" max="16" width="8.28515625" style="94" customWidth="1"/>
    <col min="17" max="17" width="2.7109375" style="42" customWidth="1"/>
    <col min="18" max="18" width="7.7109375" style="93" customWidth="1"/>
    <col min="19" max="19" width="8.28515625" style="43" customWidth="1"/>
    <col min="20" max="20" width="2.7109375" customWidth="1"/>
    <col min="21" max="21" width="3.5703125" customWidth="1"/>
    <col min="257" max="257" width="35.7109375" customWidth="1"/>
    <col min="258" max="258" width="8.28515625" customWidth="1"/>
    <col min="259" max="259" width="2.5703125" customWidth="1"/>
    <col min="260" max="260" width="8.28515625" customWidth="1"/>
    <col min="261" max="261" width="2.7109375" customWidth="1"/>
    <col min="262" max="262" width="8.42578125" customWidth="1"/>
    <col min="263" max="263" width="8.28515625" customWidth="1"/>
    <col min="264" max="264" width="2.7109375" customWidth="1"/>
    <col min="265" max="265" width="8.28515625" customWidth="1"/>
    <col min="266" max="266" width="8.42578125" customWidth="1"/>
    <col min="267" max="267" width="2.7109375" customWidth="1"/>
    <col min="268" max="269" width="8.28515625" customWidth="1"/>
    <col min="270" max="270" width="2.7109375" customWidth="1"/>
    <col min="271" max="272" width="8.28515625" customWidth="1"/>
    <col min="273" max="273" width="2.7109375" customWidth="1"/>
    <col min="274" max="274" width="7.7109375" customWidth="1"/>
    <col min="275" max="275" width="8.28515625" customWidth="1"/>
    <col min="276" max="276" width="2.7109375" customWidth="1"/>
    <col min="277" max="277" width="3.5703125" customWidth="1"/>
    <col min="513" max="513" width="35.7109375" customWidth="1"/>
    <col min="514" max="514" width="8.28515625" customWidth="1"/>
    <col min="515" max="515" width="2.5703125" customWidth="1"/>
    <col min="516" max="516" width="8.28515625" customWidth="1"/>
    <col min="517" max="517" width="2.7109375" customWidth="1"/>
    <col min="518" max="518" width="8.42578125" customWidth="1"/>
    <col min="519" max="519" width="8.28515625" customWidth="1"/>
    <col min="520" max="520" width="2.7109375" customWidth="1"/>
    <col min="521" max="521" width="8.28515625" customWidth="1"/>
    <col min="522" max="522" width="8.42578125" customWidth="1"/>
    <col min="523" max="523" width="2.7109375" customWidth="1"/>
    <col min="524" max="525" width="8.28515625" customWidth="1"/>
    <col min="526" max="526" width="2.7109375" customWidth="1"/>
    <col min="527" max="528" width="8.28515625" customWidth="1"/>
    <col min="529" max="529" width="2.7109375" customWidth="1"/>
    <col min="530" max="530" width="7.7109375" customWidth="1"/>
    <col min="531" max="531" width="8.28515625" customWidth="1"/>
    <col min="532" max="532" width="2.7109375" customWidth="1"/>
    <col min="533" max="533" width="3.5703125" customWidth="1"/>
    <col min="769" max="769" width="35.7109375" customWidth="1"/>
    <col min="770" max="770" width="8.28515625" customWidth="1"/>
    <col min="771" max="771" width="2.5703125" customWidth="1"/>
    <col min="772" max="772" width="8.28515625" customWidth="1"/>
    <col min="773" max="773" width="2.7109375" customWidth="1"/>
    <col min="774" max="774" width="8.42578125" customWidth="1"/>
    <col min="775" max="775" width="8.28515625" customWidth="1"/>
    <col min="776" max="776" width="2.7109375" customWidth="1"/>
    <col min="777" max="777" width="8.28515625" customWidth="1"/>
    <col min="778" max="778" width="8.42578125" customWidth="1"/>
    <col min="779" max="779" width="2.7109375" customWidth="1"/>
    <col min="780" max="781" width="8.28515625" customWidth="1"/>
    <col min="782" max="782" width="2.7109375" customWidth="1"/>
    <col min="783" max="784" width="8.28515625" customWidth="1"/>
    <col min="785" max="785" width="2.7109375" customWidth="1"/>
    <col min="786" max="786" width="7.7109375" customWidth="1"/>
    <col min="787" max="787" width="8.28515625" customWidth="1"/>
    <col min="788" max="788" width="2.7109375" customWidth="1"/>
    <col min="789" max="789" width="3.5703125" customWidth="1"/>
    <col min="1025" max="1025" width="35.7109375" customWidth="1"/>
    <col min="1026" max="1026" width="8.28515625" customWidth="1"/>
    <col min="1027" max="1027" width="2.5703125" customWidth="1"/>
    <col min="1028" max="1028" width="8.28515625" customWidth="1"/>
    <col min="1029" max="1029" width="2.7109375" customWidth="1"/>
    <col min="1030" max="1030" width="8.42578125" customWidth="1"/>
    <col min="1031" max="1031" width="8.28515625" customWidth="1"/>
    <col min="1032" max="1032" width="2.7109375" customWidth="1"/>
    <col min="1033" max="1033" width="8.28515625" customWidth="1"/>
    <col min="1034" max="1034" width="8.42578125" customWidth="1"/>
    <col min="1035" max="1035" width="2.7109375" customWidth="1"/>
    <col min="1036" max="1037" width="8.28515625" customWidth="1"/>
    <col min="1038" max="1038" width="2.7109375" customWidth="1"/>
    <col min="1039" max="1040" width="8.28515625" customWidth="1"/>
    <col min="1041" max="1041" width="2.7109375" customWidth="1"/>
    <col min="1042" max="1042" width="7.7109375" customWidth="1"/>
    <col min="1043" max="1043" width="8.28515625" customWidth="1"/>
    <col min="1044" max="1044" width="2.7109375" customWidth="1"/>
    <col min="1045" max="1045" width="3.5703125" customWidth="1"/>
    <col min="1281" max="1281" width="35.7109375" customWidth="1"/>
    <col min="1282" max="1282" width="8.28515625" customWidth="1"/>
    <col min="1283" max="1283" width="2.5703125" customWidth="1"/>
    <col min="1284" max="1284" width="8.28515625" customWidth="1"/>
    <col min="1285" max="1285" width="2.7109375" customWidth="1"/>
    <col min="1286" max="1286" width="8.42578125" customWidth="1"/>
    <col min="1287" max="1287" width="8.28515625" customWidth="1"/>
    <col min="1288" max="1288" width="2.7109375" customWidth="1"/>
    <col min="1289" max="1289" width="8.28515625" customWidth="1"/>
    <col min="1290" max="1290" width="8.42578125" customWidth="1"/>
    <col min="1291" max="1291" width="2.7109375" customWidth="1"/>
    <col min="1292" max="1293" width="8.28515625" customWidth="1"/>
    <col min="1294" max="1294" width="2.7109375" customWidth="1"/>
    <col min="1295" max="1296" width="8.28515625" customWidth="1"/>
    <col min="1297" max="1297" width="2.7109375" customWidth="1"/>
    <col min="1298" max="1298" width="7.7109375" customWidth="1"/>
    <col min="1299" max="1299" width="8.28515625" customWidth="1"/>
    <col min="1300" max="1300" width="2.7109375" customWidth="1"/>
    <col min="1301" max="1301" width="3.5703125" customWidth="1"/>
    <col min="1537" max="1537" width="35.7109375" customWidth="1"/>
    <col min="1538" max="1538" width="8.28515625" customWidth="1"/>
    <col min="1539" max="1539" width="2.5703125" customWidth="1"/>
    <col min="1540" max="1540" width="8.28515625" customWidth="1"/>
    <col min="1541" max="1541" width="2.7109375" customWidth="1"/>
    <col min="1542" max="1542" width="8.42578125" customWidth="1"/>
    <col min="1543" max="1543" width="8.28515625" customWidth="1"/>
    <col min="1544" max="1544" width="2.7109375" customWidth="1"/>
    <col min="1545" max="1545" width="8.28515625" customWidth="1"/>
    <col min="1546" max="1546" width="8.42578125" customWidth="1"/>
    <col min="1547" max="1547" width="2.7109375" customWidth="1"/>
    <col min="1548" max="1549" width="8.28515625" customWidth="1"/>
    <col min="1550" max="1550" width="2.7109375" customWidth="1"/>
    <col min="1551" max="1552" width="8.28515625" customWidth="1"/>
    <col min="1553" max="1553" width="2.7109375" customWidth="1"/>
    <col min="1554" max="1554" width="7.7109375" customWidth="1"/>
    <col min="1555" max="1555" width="8.28515625" customWidth="1"/>
    <col min="1556" max="1556" width="2.7109375" customWidth="1"/>
    <col min="1557" max="1557" width="3.5703125" customWidth="1"/>
    <col min="1793" max="1793" width="35.7109375" customWidth="1"/>
    <col min="1794" max="1794" width="8.28515625" customWidth="1"/>
    <col min="1795" max="1795" width="2.5703125" customWidth="1"/>
    <col min="1796" max="1796" width="8.28515625" customWidth="1"/>
    <col min="1797" max="1797" width="2.7109375" customWidth="1"/>
    <col min="1798" max="1798" width="8.42578125" customWidth="1"/>
    <col min="1799" max="1799" width="8.28515625" customWidth="1"/>
    <col min="1800" max="1800" width="2.7109375" customWidth="1"/>
    <col min="1801" max="1801" width="8.28515625" customWidth="1"/>
    <col min="1802" max="1802" width="8.42578125" customWidth="1"/>
    <col min="1803" max="1803" width="2.7109375" customWidth="1"/>
    <col min="1804" max="1805" width="8.28515625" customWidth="1"/>
    <col min="1806" max="1806" width="2.7109375" customWidth="1"/>
    <col min="1807" max="1808" width="8.28515625" customWidth="1"/>
    <col min="1809" max="1809" width="2.7109375" customWidth="1"/>
    <col min="1810" max="1810" width="7.7109375" customWidth="1"/>
    <col min="1811" max="1811" width="8.28515625" customWidth="1"/>
    <col min="1812" max="1812" width="2.7109375" customWidth="1"/>
    <col min="1813" max="1813" width="3.5703125" customWidth="1"/>
    <col min="2049" max="2049" width="35.7109375" customWidth="1"/>
    <col min="2050" max="2050" width="8.28515625" customWidth="1"/>
    <col min="2051" max="2051" width="2.5703125" customWidth="1"/>
    <col min="2052" max="2052" width="8.28515625" customWidth="1"/>
    <col min="2053" max="2053" width="2.7109375" customWidth="1"/>
    <col min="2054" max="2054" width="8.42578125" customWidth="1"/>
    <col min="2055" max="2055" width="8.28515625" customWidth="1"/>
    <col min="2056" max="2056" width="2.7109375" customWidth="1"/>
    <col min="2057" max="2057" width="8.28515625" customWidth="1"/>
    <col min="2058" max="2058" width="8.42578125" customWidth="1"/>
    <col min="2059" max="2059" width="2.7109375" customWidth="1"/>
    <col min="2060" max="2061" width="8.28515625" customWidth="1"/>
    <col min="2062" max="2062" width="2.7109375" customWidth="1"/>
    <col min="2063" max="2064" width="8.28515625" customWidth="1"/>
    <col min="2065" max="2065" width="2.7109375" customWidth="1"/>
    <col min="2066" max="2066" width="7.7109375" customWidth="1"/>
    <col min="2067" max="2067" width="8.28515625" customWidth="1"/>
    <col min="2068" max="2068" width="2.7109375" customWidth="1"/>
    <col min="2069" max="2069" width="3.5703125" customWidth="1"/>
    <col min="2305" max="2305" width="35.7109375" customWidth="1"/>
    <col min="2306" max="2306" width="8.28515625" customWidth="1"/>
    <col min="2307" max="2307" width="2.5703125" customWidth="1"/>
    <col min="2308" max="2308" width="8.28515625" customWidth="1"/>
    <col min="2309" max="2309" width="2.7109375" customWidth="1"/>
    <col min="2310" max="2310" width="8.42578125" customWidth="1"/>
    <col min="2311" max="2311" width="8.28515625" customWidth="1"/>
    <col min="2312" max="2312" width="2.7109375" customWidth="1"/>
    <col min="2313" max="2313" width="8.28515625" customWidth="1"/>
    <col min="2314" max="2314" width="8.42578125" customWidth="1"/>
    <col min="2315" max="2315" width="2.7109375" customWidth="1"/>
    <col min="2316" max="2317" width="8.28515625" customWidth="1"/>
    <col min="2318" max="2318" width="2.7109375" customWidth="1"/>
    <col min="2319" max="2320" width="8.28515625" customWidth="1"/>
    <col min="2321" max="2321" width="2.7109375" customWidth="1"/>
    <col min="2322" max="2322" width="7.7109375" customWidth="1"/>
    <col min="2323" max="2323" width="8.28515625" customWidth="1"/>
    <col min="2324" max="2324" width="2.7109375" customWidth="1"/>
    <col min="2325" max="2325" width="3.5703125" customWidth="1"/>
    <col min="2561" max="2561" width="35.7109375" customWidth="1"/>
    <col min="2562" max="2562" width="8.28515625" customWidth="1"/>
    <col min="2563" max="2563" width="2.5703125" customWidth="1"/>
    <col min="2564" max="2564" width="8.28515625" customWidth="1"/>
    <col min="2565" max="2565" width="2.7109375" customWidth="1"/>
    <col min="2566" max="2566" width="8.42578125" customWidth="1"/>
    <col min="2567" max="2567" width="8.28515625" customWidth="1"/>
    <col min="2568" max="2568" width="2.7109375" customWidth="1"/>
    <col min="2569" max="2569" width="8.28515625" customWidth="1"/>
    <col min="2570" max="2570" width="8.42578125" customWidth="1"/>
    <col min="2571" max="2571" width="2.7109375" customWidth="1"/>
    <col min="2572" max="2573" width="8.28515625" customWidth="1"/>
    <col min="2574" max="2574" width="2.7109375" customWidth="1"/>
    <col min="2575" max="2576" width="8.28515625" customWidth="1"/>
    <col min="2577" max="2577" width="2.7109375" customWidth="1"/>
    <col min="2578" max="2578" width="7.7109375" customWidth="1"/>
    <col min="2579" max="2579" width="8.28515625" customWidth="1"/>
    <col min="2580" max="2580" width="2.7109375" customWidth="1"/>
    <col min="2581" max="2581" width="3.5703125" customWidth="1"/>
    <col min="2817" max="2817" width="35.7109375" customWidth="1"/>
    <col min="2818" max="2818" width="8.28515625" customWidth="1"/>
    <col min="2819" max="2819" width="2.5703125" customWidth="1"/>
    <col min="2820" max="2820" width="8.28515625" customWidth="1"/>
    <col min="2821" max="2821" width="2.7109375" customWidth="1"/>
    <col min="2822" max="2822" width="8.42578125" customWidth="1"/>
    <col min="2823" max="2823" width="8.28515625" customWidth="1"/>
    <col min="2824" max="2824" width="2.7109375" customWidth="1"/>
    <col min="2825" max="2825" width="8.28515625" customWidth="1"/>
    <col min="2826" max="2826" width="8.42578125" customWidth="1"/>
    <col min="2827" max="2827" width="2.7109375" customWidth="1"/>
    <col min="2828" max="2829" width="8.28515625" customWidth="1"/>
    <col min="2830" max="2830" width="2.7109375" customWidth="1"/>
    <col min="2831" max="2832" width="8.28515625" customWidth="1"/>
    <col min="2833" max="2833" width="2.7109375" customWidth="1"/>
    <col min="2834" max="2834" width="7.7109375" customWidth="1"/>
    <col min="2835" max="2835" width="8.28515625" customWidth="1"/>
    <col min="2836" max="2836" width="2.7109375" customWidth="1"/>
    <col min="2837" max="2837" width="3.5703125" customWidth="1"/>
    <col min="3073" max="3073" width="35.7109375" customWidth="1"/>
    <col min="3074" max="3074" width="8.28515625" customWidth="1"/>
    <col min="3075" max="3075" width="2.5703125" customWidth="1"/>
    <col min="3076" max="3076" width="8.28515625" customWidth="1"/>
    <col min="3077" max="3077" width="2.7109375" customWidth="1"/>
    <col min="3078" max="3078" width="8.42578125" customWidth="1"/>
    <col min="3079" max="3079" width="8.28515625" customWidth="1"/>
    <col min="3080" max="3080" width="2.7109375" customWidth="1"/>
    <col min="3081" max="3081" width="8.28515625" customWidth="1"/>
    <col min="3082" max="3082" width="8.42578125" customWidth="1"/>
    <col min="3083" max="3083" width="2.7109375" customWidth="1"/>
    <col min="3084" max="3085" width="8.28515625" customWidth="1"/>
    <col min="3086" max="3086" width="2.7109375" customWidth="1"/>
    <col min="3087" max="3088" width="8.28515625" customWidth="1"/>
    <col min="3089" max="3089" width="2.7109375" customWidth="1"/>
    <col min="3090" max="3090" width="7.7109375" customWidth="1"/>
    <col min="3091" max="3091" width="8.28515625" customWidth="1"/>
    <col min="3092" max="3092" width="2.7109375" customWidth="1"/>
    <col min="3093" max="3093" width="3.5703125" customWidth="1"/>
    <col min="3329" max="3329" width="35.7109375" customWidth="1"/>
    <col min="3330" max="3330" width="8.28515625" customWidth="1"/>
    <col min="3331" max="3331" width="2.5703125" customWidth="1"/>
    <col min="3332" max="3332" width="8.28515625" customWidth="1"/>
    <col min="3333" max="3333" width="2.7109375" customWidth="1"/>
    <col min="3334" max="3334" width="8.42578125" customWidth="1"/>
    <col min="3335" max="3335" width="8.28515625" customWidth="1"/>
    <col min="3336" max="3336" width="2.7109375" customWidth="1"/>
    <col min="3337" max="3337" width="8.28515625" customWidth="1"/>
    <col min="3338" max="3338" width="8.42578125" customWidth="1"/>
    <col min="3339" max="3339" width="2.7109375" customWidth="1"/>
    <col min="3340" max="3341" width="8.28515625" customWidth="1"/>
    <col min="3342" max="3342" width="2.7109375" customWidth="1"/>
    <col min="3343" max="3344" width="8.28515625" customWidth="1"/>
    <col min="3345" max="3345" width="2.7109375" customWidth="1"/>
    <col min="3346" max="3346" width="7.7109375" customWidth="1"/>
    <col min="3347" max="3347" width="8.28515625" customWidth="1"/>
    <col min="3348" max="3348" width="2.7109375" customWidth="1"/>
    <col min="3349" max="3349" width="3.5703125" customWidth="1"/>
    <col min="3585" max="3585" width="35.7109375" customWidth="1"/>
    <col min="3586" max="3586" width="8.28515625" customWidth="1"/>
    <col min="3587" max="3587" width="2.5703125" customWidth="1"/>
    <col min="3588" max="3588" width="8.28515625" customWidth="1"/>
    <col min="3589" max="3589" width="2.7109375" customWidth="1"/>
    <col min="3590" max="3590" width="8.42578125" customWidth="1"/>
    <col min="3591" max="3591" width="8.28515625" customWidth="1"/>
    <col min="3592" max="3592" width="2.7109375" customWidth="1"/>
    <col min="3593" max="3593" width="8.28515625" customWidth="1"/>
    <col min="3594" max="3594" width="8.42578125" customWidth="1"/>
    <col min="3595" max="3595" width="2.7109375" customWidth="1"/>
    <col min="3596" max="3597" width="8.28515625" customWidth="1"/>
    <col min="3598" max="3598" width="2.7109375" customWidth="1"/>
    <col min="3599" max="3600" width="8.28515625" customWidth="1"/>
    <col min="3601" max="3601" width="2.7109375" customWidth="1"/>
    <col min="3602" max="3602" width="7.7109375" customWidth="1"/>
    <col min="3603" max="3603" width="8.28515625" customWidth="1"/>
    <col min="3604" max="3604" width="2.7109375" customWidth="1"/>
    <col min="3605" max="3605" width="3.5703125" customWidth="1"/>
    <col min="3841" max="3841" width="35.7109375" customWidth="1"/>
    <col min="3842" max="3842" width="8.28515625" customWidth="1"/>
    <col min="3843" max="3843" width="2.5703125" customWidth="1"/>
    <col min="3844" max="3844" width="8.28515625" customWidth="1"/>
    <col min="3845" max="3845" width="2.7109375" customWidth="1"/>
    <col min="3846" max="3846" width="8.42578125" customWidth="1"/>
    <col min="3847" max="3847" width="8.28515625" customWidth="1"/>
    <col min="3848" max="3848" width="2.7109375" customWidth="1"/>
    <col min="3849" max="3849" width="8.28515625" customWidth="1"/>
    <col min="3850" max="3850" width="8.42578125" customWidth="1"/>
    <col min="3851" max="3851" width="2.7109375" customWidth="1"/>
    <col min="3852" max="3853" width="8.28515625" customWidth="1"/>
    <col min="3854" max="3854" width="2.7109375" customWidth="1"/>
    <col min="3855" max="3856" width="8.28515625" customWidth="1"/>
    <col min="3857" max="3857" width="2.7109375" customWidth="1"/>
    <col min="3858" max="3858" width="7.7109375" customWidth="1"/>
    <col min="3859" max="3859" width="8.28515625" customWidth="1"/>
    <col min="3860" max="3860" width="2.7109375" customWidth="1"/>
    <col min="3861" max="3861" width="3.5703125" customWidth="1"/>
    <col min="4097" max="4097" width="35.7109375" customWidth="1"/>
    <col min="4098" max="4098" width="8.28515625" customWidth="1"/>
    <col min="4099" max="4099" width="2.5703125" customWidth="1"/>
    <col min="4100" max="4100" width="8.28515625" customWidth="1"/>
    <col min="4101" max="4101" width="2.7109375" customWidth="1"/>
    <col min="4102" max="4102" width="8.42578125" customWidth="1"/>
    <col min="4103" max="4103" width="8.28515625" customWidth="1"/>
    <col min="4104" max="4104" width="2.7109375" customWidth="1"/>
    <col min="4105" max="4105" width="8.28515625" customWidth="1"/>
    <col min="4106" max="4106" width="8.42578125" customWidth="1"/>
    <col min="4107" max="4107" width="2.7109375" customWidth="1"/>
    <col min="4108" max="4109" width="8.28515625" customWidth="1"/>
    <col min="4110" max="4110" width="2.7109375" customWidth="1"/>
    <col min="4111" max="4112" width="8.28515625" customWidth="1"/>
    <col min="4113" max="4113" width="2.7109375" customWidth="1"/>
    <col min="4114" max="4114" width="7.7109375" customWidth="1"/>
    <col min="4115" max="4115" width="8.28515625" customWidth="1"/>
    <col min="4116" max="4116" width="2.7109375" customWidth="1"/>
    <col min="4117" max="4117" width="3.5703125" customWidth="1"/>
    <col min="4353" max="4353" width="35.7109375" customWidth="1"/>
    <col min="4354" max="4354" width="8.28515625" customWidth="1"/>
    <col min="4355" max="4355" width="2.5703125" customWidth="1"/>
    <col min="4356" max="4356" width="8.28515625" customWidth="1"/>
    <col min="4357" max="4357" width="2.7109375" customWidth="1"/>
    <col min="4358" max="4358" width="8.42578125" customWidth="1"/>
    <col min="4359" max="4359" width="8.28515625" customWidth="1"/>
    <col min="4360" max="4360" width="2.7109375" customWidth="1"/>
    <col min="4361" max="4361" width="8.28515625" customWidth="1"/>
    <col min="4362" max="4362" width="8.42578125" customWidth="1"/>
    <col min="4363" max="4363" width="2.7109375" customWidth="1"/>
    <col min="4364" max="4365" width="8.28515625" customWidth="1"/>
    <col min="4366" max="4366" width="2.7109375" customWidth="1"/>
    <col min="4367" max="4368" width="8.28515625" customWidth="1"/>
    <col min="4369" max="4369" width="2.7109375" customWidth="1"/>
    <col min="4370" max="4370" width="7.7109375" customWidth="1"/>
    <col min="4371" max="4371" width="8.28515625" customWidth="1"/>
    <col min="4372" max="4372" width="2.7109375" customWidth="1"/>
    <col min="4373" max="4373" width="3.5703125" customWidth="1"/>
    <col min="4609" max="4609" width="35.7109375" customWidth="1"/>
    <col min="4610" max="4610" width="8.28515625" customWidth="1"/>
    <col min="4611" max="4611" width="2.5703125" customWidth="1"/>
    <col min="4612" max="4612" width="8.28515625" customWidth="1"/>
    <col min="4613" max="4613" width="2.7109375" customWidth="1"/>
    <col min="4614" max="4614" width="8.42578125" customWidth="1"/>
    <col min="4615" max="4615" width="8.28515625" customWidth="1"/>
    <col min="4616" max="4616" width="2.7109375" customWidth="1"/>
    <col min="4617" max="4617" width="8.28515625" customWidth="1"/>
    <col min="4618" max="4618" width="8.42578125" customWidth="1"/>
    <col min="4619" max="4619" width="2.7109375" customWidth="1"/>
    <col min="4620" max="4621" width="8.28515625" customWidth="1"/>
    <col min="4622" max="4622" width="2.7109375" customWidth="1"/>
    <col min="4623" max="4624" width="8.28515625" customWidth="1"/>
    <col min="4625" max="4625" width="2.7109375" customWidth="1"/>
    <col min="4626" max="4626" width="7.7109375" customWidth="1"/>
    <col min="4627" max="4627" width="8.28515625" customWidth="1"/>
    <col min="4628" max="4628" width="2.7109375" customWidth="1"/>
    <col min="4629" max="4629" width="3.5703125" customWidth="1"/>
    <col min="4865" max="4865" width="35.7109375" customWidth="1"/>
    <col min="4866" max="4866" width="8.28515625" customWidth="1"/>
    <col min="4867" max="4867" width="2.5703125" customWidth="1"/>
    <col min="4868" max="4868" width="8.28515625" customWidth="1"/>
    <col min="4869" max="4869" width="2.7109375" customWidth="1"/>
    <col min="4870" max="4870" width="8.42578125" customWidth="1"/>
    <col min="4871" max="4871" width="8.28515625" customWidth="1"/>
    <col min="4872" max="4872" width="2.7109375" customWidth="1"/>
    <col min="4873" max="4873" width="8.28515625" customWidth="1"/>
    <col min="4874" max="4874" width="8.42578125" customWidth="1"/>
    <col min="4875" max="4875" width="2.7109375" customWidth="1"/>
    <col min="4876" max="4877" width="8.28515625" customWidth="1"/>
    <col min="4878" max="4878" width="2.7109375" customWidth="1"/>
    <col min="4879" max="4880" width="8.28515625" customWidth="1"/>
    <col min="4881" max="4881" width="2.7109375" customWidth="1"/>
    <col min="4882" max="4882" width="7.7109375" customWidth="1"/>
    <col min="4883" max="4883" width="8.28515625" customWidth="1"/>
    <col min="4884" max="4884" width="2.7109375" customWidth="1"/>
    <col min="4885" max="4885" width="3.5703125" customWidth="1"/>
    <col min="5121" max="5121" width="35.7109375" customWidth="1"/>
    <col min="5122" max="5122" width="8.28515625" customWidth="1"/>
    <col min="5123" max="5123" width="2.5703125" customWidth="1"/>
    <col min="5124" max="5124" width="8.28515625" customWidth="1"/>
    <col min="5125" max="5125" width="2.7109375" customWidth="1"/>
    <col min="5126" max="5126" width="8.42578125" customWidth="1"/>
    <col min="5127" max="5127" width="8.28515625" customWidth="1"/>
    <col min="5128" max="5128" width="2.7109375" customWidth="1"/>
    <col min="5129" max="5129" width="8.28515625" customWidth="1"/>
    <col min="5130" max="5130" width="8.42578125" customWidth="1"/>
    <col min="5131" max="5131" width="2.7109375" customWidth="1"/>
    <col min="5132" max="5133" width="8.28515625" customWidth="1"/>
    <col min="5134" max="5134" width="2.7109375" customWidth="1"/>
    <col min="5135" max="5136" width="8.28515625" customWidth="1"/>
    <col min="5137" max="5137" width="2.7109375" customWidth="1"/>
    <col min="5138" max="5138" width="7.7109375" customWidth="1"/>
    <col min="5139" max="5139" width="8.28515625" customWidth="1"/>
    <col min="5140" max="5140" width="2.7109375" customWidth="1"/>
    <col min="5141" max="5141" width="3.5703125" customWidth="1"/>
    <col min="5377" max="5377" width="35.7109375" customWidth="1"/>
    <col min="5378" max="5378" width="8.28515625" customWidth="1"/>
    <col min="5379" max="5379" width="2.5703125" customWidth="1"/>
    <col min="5380" max="5380" width="8.28515625" customWidth="1"/>
    <col min="5381" max="5381" width="2.7109375" customWidth="1"/>
    <col min="5382" max="5382" width="8.42578125" customWidth="1"/>
    <col min="5383" max="5383" width="8.28515625" customWidth="1"/>
    <col min="5384" max="5384" width="2.7109375" customWidth="1"/>
    <col min="5385" max="5385" width="8.28515625" customWidth="1"/>
    <col min="5386" max="5386" width="8.42578125" customWidth="1"/>
    <col min="5387" max="5387" width="2.7109375" customWidth="1"/>
    <col min="5388" max="5389" width="8.28515625" customWidth="1"/>
    <col min="5390" max="5390" width="2.7109375" customWidth="1"/>
    <col min="5391" max="5392" width="8.28515625" customWidth="1"/>
    <col min="5393" max="5393" width="2.7109375" customWidth="1"/>
    <col min="5394" max="5394" width="7.7109375" customWidth="1"/>
    <col min="5395" max="5395" width="8.28515625" customWidth="1"/>
    <col min="5396" max="5396" width="2.7109375" customWidth="1"/>
    <col min="5397" max="5397" width="3.5703125" customWidth="1"/>
    <col min="5633" max="5633" width="35.7109375" customWidth="1"/>
    <col min="5634" max="5634" width="8.28515625" customWidth="1"/>
    <col min="5635" max="5635" width="2.5703125" customWidth="1"/>
    <col min="5636" max="5636" width="8.28515625" customWidth="1"/>
    <col min="5637" max="5637" width="2.7109375" customWidth="1"/>
    <col min="5638" max="5638" width="8.42578125" customWidth="1"/>
    <col min="5639" max="5639" width="8.28515625" customWidth="1"/>
    <col min="5640" max="5640" width="2.7109375" customWidth="1"/>
    <col min="5641" max="5641" width="8.28515625" customWidth="1"/>
    <col min="5642" max="5642" width="8.42578125" customWidth="1"/>
    <col min="5643" max="5643" width="2.7109375" customWidth="1"/>
    <col min="5644" max="5645" width="8.28515625" customWidth="1"/>
    <col min="5646" max="5646" width="2.7109375" customWidth="1"/>
    <col min="5647" max="5648" width="8.28515625" customWidth="1"/>
    <col min="5649" max="5649" width="2.7109375" customWidth="1"/>
    <col min="5650" max="5650" width="7.7109375" customWidth="1"/>
    <col min="5651" max="5651" width="8.28515625" customWidth="1"/>
    <col min="5652" max="5652" width="2.7109375" customWidth="1"/>
    <col min="5653" max="5653" width="3.5703125" customWidth="1"/>
    <col min="5889" max="5889" width="35.7109375" customWidth="1"/>
    <col min="5890" max="5890" width="8.28515625" customWidth="1"/>
    <col min="5891" max="5891" width="2.5703125" customWidth="1"/>
    <col min="5892" max="5892" width="8.28515625" customWidth="1"/>
    <col min="5893" max="5893" width="2.7109375" customWidth="1"/>
    <col min="5894" max="5894" width="8.42578125" customWidth="1"/>
    <col min="5895" max="5895" width="8.28515625" customWidth="1"/>
    <col min="5896" max="5896" width="2.7109375" customWidth="1"/>
    <col min="5897" max="5897" width="8.28515625" customWidth="1"/>
    <col min="5898" max="5898" width="8.42578125" customWidth="1"/>
    <col min="5899" max="5899" width="2.7109375" customWidth="1"/>
    <col min="5900" max="5901" width="8.28515625" customWidth="1"/>
    <col min="5902" max="5902" width="2.7109375" customWidth="1"/>
    <col min="5903" max="5904" width="8.28515625" customWidth="1"/>
    <col min="5905" max="5905" width="2.7109375" customWidth="1"/>
    <col min="5906" max="5906" width="7.7109375" customWidth="1"/>
    <col min="5907" max="5907" width="8.28515625" customWidth="1"/>
    <col min="5908" max="5908" width="2.7109375" customWidth="1"/>
    <col min="5909" max="5909" width="3.5703125" customWidth="1"/>
    <col min="6145" max="6145" width="35.7109375" customWidth="1"/>
    <col min="6146" max="6146" width="8.28515625" customWidth="1"/>
    <col min="6147" max="6147" width="2.5703125" customWidth="1"/>
    <col min="6148" max="6148" width="8.28515625" customWidth="1"/>
    <col min="6149" max="6149" width="2.7109375" customWidth="1"/>
    <col min="6150" max="6150" width="8.42578125" customWidth="1"/>
    <col min="6151" max="6151" width="8.28515625" customWidth="1"/>
    <col min="6152" max="6152" width="2.7109375" customWidth="1"/>
    <col min="6153" max="6153" width="8.28515625" customWidth="1"/>
    <col min="6154" max="6154" width="8.42578125" customWidth="1"/>
    <col min="6155" max="6155" width="2.7109375" customWidth="1"/>
    <col min="6156" max="6157" width="8.28515625" customWidth="1"/>
    <col min="6158" max="6158" width="2.7109375" customWidth="1"/>
    <col min="6159" max="6160" width="8.28515625" customWidth="1"/>
    <col min="6161" max="6161" width="2.7109375" customWidth="1"/>
    <col min="6162" max="6162" width="7.7109375" customWidth="1"/>
    <col min="6163" max="6163" width="8.28515625" customWidth="1"/>
    <col min="6164" max="6164" width="2.7109375" customWidth="1"/>
    <col min="6165" max="6165" width="3.5703125" customWidth="1"/>
    <col min="6401" max="6401" width="35.7109375" customWidth="1"/>
    <col min="6402" max="6402" width="8.28515625" customWidth="1"/>
    <col min="6403" max="6403" width="2.5703125" customWidth="1"/>
    <col min="6404" max="6404" width="8.28515625" customWidth="1"/>
    <col min="6405" max="6405" width="2.7109375" customWidth="1"/>
    <col min="6406" max="6406" width="8.42578125" customWidth="1"/>
    <col min="6407" max="6407" width="8.28515625" customWidth="1"/>
    <col min="6408" max="6408" width="2.7109375" customWidth="1"/>
    <col min="6409" max="6409" width="8.28515625" customWidth="1"/>
    <col min="6410" max="6410" width="8.42578125" customWidth="1"/>
    <col min="6411" max="6411" width="2.7109375" customWidth="1"/>
    <col min="6412" max="6413" width="8.28515625" customWidth="1"/>
    <col min="6414" max="6414" width="2.7109375" customWidth="1"/>
    <col min="6415" max="6416" width="8.28515625" customWidth="1"/>
    <col min="6417" max="6417" width="2.7109375" customWidth="1"/>
    <col min="6418" max="6418" width="7.7109375" customWidth="1"/>
    <col min="6419" max="6419" width="8.28515625" customWidth="1"/>
    <col min="6420" max="6420" width="2.7109375" customWidth="1"/>
    <col min="6421" max="6421" width="3.5703125" customWidth="1"/>
    <col min="6657" max="6657" width="35.7109375" customWidth="1"/>
    <col min="6658" max="6658" width="8.28515625" customWidth="1"/>
    <col min="6659" max="6659" width="2.5703125" customWidth="1"/>
    <col min="6660" max="6660" width="8.28515625" customWidth="1"/>
    <col min="6661" max="6661" width="2.7109375" customWidth="1"/>
    <col min="6662" max="6662" width="8.42578125" customWidth="1"/>
    <col min="6663" max="6663" width="8.28515625" customWidth="1"/>
    <col min="6664" max="6664" width="2.7109375" customWidth="1"/>
    <col min="6665" max="6665" width="8.28515625" customWidth="1"/>
    <col min="6666" max="6666" width="8.42578125" customWidth="1"/>
    <col min="6667" max="6667" width="2.7109375" customWidth="1"/>
    <col min="6668" max="6669" width="8.28515625" customWidth="1"/>
    <col min="6670" max="6670" width="2.7109375" customWidth="1"/>
    <col min="6671" max="6672" width="8.28515625" customWidth="1"/>
    <col min="6673" max="6673" width="2.7109375" customWidth="1"/>
    <col min="6674" max="6674" width="7.7109375" customWidth="1"/>
    <col min="6675" max="6675" width="8.28515625" customWidth="1"/>
    <col min="6676" max="6676" width="2.7109375" customWidth="1"/>
    <col min="6677" max="6677" width="3.5703125" customWidth="1"/>
    <col min="6913" max="6913" width="35.7109375" customWidth="1"/>
    <col min="6914" max="6914" width="8.28515625" customWidth="1"/>
    <col min="6915" max="6915" width="2.5703125" customWidth="1"/>
    <col min="6916" max="6916" width="8.28515625" customWidth="1"/>
    <col min="6917" max="6917" width="2.7109375" customWidth="1"/>
    <col min="6918" max="6918" width="8.42578125" customWidth="1"/>
    <col min="6919" max="6919" width="8.28515625" customWidth="1"/>
    <col min="6920" max="6920" width="2.7109375" customWidth="1"/>
    <col min="6921" max="6921" width="8.28515625" customWidth="1"/>
    <col min="6922" max="6922" width="8.42578125" customWidth="1"/>
    <col min="6923" max="6923" width="2.7109375" customWidth="1"/>
    <col min="6924" max="6925" width="8.28515625" customWidth="1"/>
    <col min="6926" max="6926" width="2.7109375" customWidth="1"/>
    <col min="6927" max="6928" width="8.28515625" customWidth="1"/>
    <col min="6929" max="6929" width="2.7109375" customWidth="1"/>
    <col min="6930" max="6930" width="7.7109375" customWidth="1"/>
    <col min="6931" max="6931" width="8.28515625" customWidth="1"/>
    <col min="6932" max="6932" width="2.7109375" customWidth="1"/>
    <col min="6933" max="6933" width="3.5703125" customWidth="1"/>
    <col min="7169" max="7169" width="35.7109375" customWidth="1"/>
    <col min="7170" max="7170" width="8.28515625" customWidth="1"/>
    <col min="7171" max="7171" width="2.5703125" customWidth="1"/>
    <col min="7172" max="7172" width="8.28515625" customWidth="1"/>
    <col min="7173" max="7173" width="2.7109375" customWidth="1"/>
    <col min="7174" max="7174" width="8.42578125" customWidth="1"/>
    <col min="7175" max="7175" width="8.28515625" customWidth="1"/>
    <col min="7176" max="7176" width="2.7109375" customWidth="1"/>
    <col min="7177" max="7177" width="8.28515625" customWidth="1"/>
    <col min="7178" max="7178" width="8.42578125" customWidth="1"/>
    <col min="7179" max="7179" width="2.7109375" customWidth="1"/>
    <col min="7180" max="7181" width="8.28515625" customWidth="1"/>
    <col min="7182" max="7182" width="2.7109375" customWidth="1"/>
    <col min="7183" max="7184" width="8.28515625" customWidth="1"/>
    <col min="7185" max="7185" width="2.7109375" customWidth="1"/>
    <col min="7186" max="7186" width="7.7109375" customWidth="1"/>
    <col min="7187" max="7187" width="8.28515625" customWidth="1"/>
    <col min="7188" max="7188" width="2.7109375" customWidth="1"/>
    <col min="7189" max="7189" width="3.5703125" customWidth="1"/>
    <col min="7425" max="7425" width="35.7109375" customWidth="1"/>
    <col min="7426" max="7426" width="8.28515625" customWidth="1"/>
    <col min="7427" max="7427" width="2.5703125" customWidth="1"/>
    <col min="7428" max="7428" width="8.28515625" customWidth="1"/>
    <col min="7429" max="7429" width="2.7109375" customWidth="1"/>
    <col min="7430" max="7430" width="8.42578125" customWidth="1"/>
    <col min="7431" max="7431" width="8.28515625" customWidth="1"/>
    <col min="7432" max="7432" width="2.7109375" customWidth="1"/>
    <col min="7433" max="7433" width="8.28515625" customWidth="1"/>
    <col min="7434" max="7434" width="8.42578125" customWidth="1"/>
    <col min="7435" max="7435" width="2.7109375" customWidth="1"/>
    <col min="7436" max="7437" width="8.28515625" customWidth="1"/>
    <col min="7438" max="7438" width="2.7109375" customWidth="1"/>
    <col min="7439" max="7440" width="8.28515625" customWidth="1"/>
    <col min="7441" max="7441" width="2.7109375" customWidth="1"/>
    <col min="7442" max="7442" width="7.7109375" customWidth="1"/>
    <col min="7443" max="7443" width="8.28515625" customWidth="1"/>
    <col min="7444" max="7444" width="2.7109375" customWidth="1"/>
    <col min="7445" max="7445" width="3.5703125" customWidth="1"/>
    <col min="7681" max="7681" width="35.7109375" customWidth="1"/>
    <col min="7682" max="7682" width="8.28515625" customWidth="1"/>
    <col min="7683" max="7683" width="2.5703125" customWidth="1"/>
    <col min="7684" max="7684" width="8.28515625" customWidth="1"/>
    <col min="7685" max="7685" width="2.7109375" customWidth="1"/>
    <col min="7686" max="7686" width="8.42578125" customWidth="1"/>
    <col min="7687" max="7687" width="8.28515625" customWidth="1"/>
    <col min="7688" max="7688" width="2.7109375" customWidth="1"/>
    <col min="7689" max="7689" width="8.28515625" customWidth="1"/>
    <col min="7690" max="7690" width="8.42578125" customWidth="1"/>
    <col min="7691" max="7691" width="2.7109375" customWidth="1"/>
    <col min="7692" max="7693" width="8.28515625" customWidth="1"/>
    <col min="7694" max="7694" width="2.7109375" customWidth="1"/>
    <col min="7695" max="7696" width="8.28515625" customWidth="1"/>
    <col min="7697" max="7697" width="2.7109375" customWidth="1"/>
    <col min="7698" max="7698" width="7.7109375" customWidth="1"/>
    <col min="7699" max="7699" width="8.28515625" customWidth="1"/>
    <col min="7700" max="7700" width="2.7109375" customWidth="1"/>
    <col min="7701" max="7701" width="3.5703125" customWidth="1"/>
    <col min="7937" max="7937" width="35.7109375" customWidth="1"/>
    <col min="7938" max="7938" width="8.28515625" customWidth="1"/>
    <col min="7939" max="7939" width="2.5703125" customWidth="1"/>
    <col min="7940" max="7940" width="8.28515625" customWidth="1"/>
    <col min="7941" max="7941" width="2.7109375" customWidth="1"/>
    <col min="7942" max="7942" width="8.42578125" customWidth="1"/>
    <col min="7943" max="7943" width="8.28515625" customWidth="1"/>
    <col min="7944" max="7944" width="2.7109375" customWidth="1"/>
    <col min="7945" max="7945" width="8.28515625" customWidth="1"/>
    <col min="7946" max="7946" width="8.42578125" customWidth="1"/>
    <col min="7947" max="7947" width="2.7109375" customWidth="1"/>
    <col min="7948" max="7949" width="8.28515625" customWidth="1"/>
    <col min="7950" max="7950" width="2.7109375" customWidth="1"/>
    <col min="7951" max="7952" width="8.28515625" customWidth="1"/>
    <col min="7953" max="7953" width="2.7109375" customWidth="1"/>
    <col min="7954" max="7954" width="7.7109375" customWidth="1"/>
    <col min="7955" max="7955" width="8.28515625" customWidth="1"/>
    <col min="7956" max="7956" width="2.7109375" customWidth="1"/>
    <col min="7957" max="7957" width="3.5703125" customWidth="1"/>
    <col min="8193" max="8193" width="35.7109375" customWidth="1"/>
    <col min="8194" max="8194" width="8.28515625" customWidth="1"/>
    <col min="8195" max="8195" width="2.5703125" customWidth="1"/>
    <col min="8196" max="8196" width="8.28515625" customWidth="1"/>
    <col min="8197" max="8197" width="2.7109375" customWidth="1"/>
    <col min="8198" max="8198" width="8.42578125" customWidth="1"/>
    <col min="8199" max="8199" width="8.28515625" customWidth="1"/>
    <col min="8200" max="8200" width="2.7109375" customWidth="1"/>
    <col min="8201" max="8201" width="8.28515625" customWidth="1"/>
    <col min="8202" max="8202" width="8.42578125" customWidth="1"/>
    <col min="8203" max="8203" width="2.7109375" customWidth="1"/>
    <col min="8204" max="8205" width="8.28515625" customWidth="1"/>
    <col min="8206" max="8206" width="2.7109375" customWidth="1"/>
    <col min="8207" max="8208" width="8.28515625" customWidth="1"/>
    <col min="8209" max="8209" width="2.7109375" customWidth="1"/>
    <col min="8210" max="8210" width="7.7109375" customWidth="1"/>
    <col min="8211" max="8211" width="8.28515625" customWidth="1"/>
    <col min="8212" max="8212" width="2.7109375" customWidth="1"/>
    <col min="8213" max="8213" width="3.5703125" customWidth="1"/>
    <col min="8449" max="8449" width="35.7109375" customWidth="1"/>
    <col min="8450" max="8450" width="8.28515625" customWidth="1"/>
    <col min="8451" max="8451" width="2.5703125" customWidth="1"/>
    <col min="8452" max="8452" width="8.28515625" customWidth="1"/>
    <col min="8453" max="8453" width="2.7109375" customWidth="1"/>
    <col min="8454" max="8454" width="8.42578125" customWidth="1"/>
    <col min="8455" max="8455" width="8.28515625" customWidth="1"/>
    <col min="8456" max="8456" width="2.7109375" customWidth="1"/>
    <col min="8457" max="8457" width="8.28515625" customWidth="1"/>
    <col min="8458" max="8458" width="8.42578125" customWidth="1"/>
    <col min="8459" max="8459" width="2.7109375" customWidth="1"/>
    <col min="8460" max="8461" width="8.28515625" customWidth="1"/>
    <col min="8462" max="8462" width="2.7109375" customWidth="1"/>
    <col min="8463" max="8464" width="8.28515625" customWidth="1"/>
    <col min="8465" max="8465" width="2.7109375" customWidth="1"/>
    <col min="8466" max="8466" width="7.7109375" customWidth="1"/>
    <col min="8467" max="8467" width="8.28515625" customWidth="1"/>
    <col min="8468" max="8468" width="2.7109375" customWidth="1"/>
    <col min="8469" max="8469" width="3.5703125" customWidth="1"/>
    <col min="8705" max="8705" width="35.7109375" customWidth="1"/>
    <col min="8706" max="8706" width="8.28515625" customWidth="1"/>
    <col min="8707" max="8707" width="2.5703125" customWidth="1"/>
    <col min="8708" max="8708" width="8.28515625" customWidth="1"/>
    <col min="8709" max="8709" width="2.7109375" customWidth="1"/>
    <col min="8710" max="8710" width="8.42578125" customWidth="1"/>
    <col min="8711" max="8711" width="8.28515625" customWidth="1"/>
    <col min="8712" max="8712" width="2.7109375" customWidth="1"/>
    <col min="8713" max="8713" width="8.28515625" customWidth="1"/>
    <col min="8714" max="8714" width="8.42578125" customWidth="1"/>
    <col min="8715" max="8715" width="2.7109375" customWidth="1"/>
    <col min="8716" max="8717" width="8.28515625" customWidth="1"/>
    <col min="8718" max="8718" width="2.7109375" customWidth="1"/>
    <col min="8719" max="8720" width="8.28515625" customWidth="1"/>
    <col min="8721" max="8721" width="2.7109375" customWidth="1"/>
    <col min="8722" max="8722" width="7.7109375" customWidth="1"/>
    <col min="8723" max="8723" width="8.28515625" customWidth="1"/>
    <col min="8724" max="8724" width="2.7109375" customWidth="1"/>
    <col min="8725" max="8725" width="3.5703125" customWidth="1"/>
    <col min="8961" max="8961" width="35.7109375" customWidth="1"/>
    <col min="8962" max="8962" width="8.28515625" customWidth="1"/>
    <col min="8963" max="8963" width="2.5703125" customWidth="1"/>
    <col min="8964" max="8964" width="8.28515625" customWidth="1"/>
    <col min="8965" max="8965" width="2.7109375" customWidth="1"/>
    <col min="8966" max="8966" width="8.42578125" customWidth="1"/>
    <col min="8967" max="8967" width="8.28515625" customWidth="1"/>
    <col min="8968" max="8968" width="2.7109375" customWidth="1"/>
    <col min="8969" max="8969" width="8.28515625" customWidth="1"/>
    <col min="8970" max="8970" width="8.42578125" customWidth="1"/>
    <col min="8971" max="8971" width="2.7109375" customWidth="1"/>
    <col min="8972" max="8973" width="8.28515625" customWidth="1"/>
    <col min="8974" max="8974" width="2.7109375" customWidth="1"/>
    <col min="8975" max="8976" width="8.28515625" customWidth="1"/>
    <col min="8977" max="8977" width="2.7109375" customWidth="1"/>
    <col min="8978" max="8978" width="7.7109375" customWidth="1"/>
    <col min="8979" max="8979" width="8.28515625" customWidth="1"/>
    <col min="8980" max="8980" width="2.7109375" customWidth="1"/>
    <col min="8981" max="8981" width="3.5703125" customWidth="1"/>
    <col min="9217" max="9217" width="35.7109375" customWidth="1"/>
    <col min="9218" max="9218" width="8.28515625" customWidth="1"/>
    <col min="9219" max="9219" width="2.5703125" customWidth="1"/>
    <col min="9220" max="9220" width="8.28515625" customWidth="1"/>
    <col min="9221" max="9221" width="2.7109375" customWidth="1"/>
    <col min="9222" max="9222" width="8.42578125" customWidth="1"/>
    <col min="9223" max="9223" width="8.28515625" customWidth="1"/>
    <col min="9224" max="9224" width="2.7109375" customWidth="1"/>
    <col min="9225" max="9225" width="8.28515625" customWidth="1"/>
    <col min="9226" max="9226" width="8.42578125" customWidth="1"/>
    <col min="9227" max="9227" width="2.7109375" customWidth="1"/>
    <col min="9228" max="9229" width="8.28515625" customWidth="1"/>
    <col min="9230" max="9230" width="2.7109375" customWidth="1"/>
    <col min="9231" max="9232" width="8.28515625" customWidth="1"/>
    <col min="9233" max="9233" width="2.7109375" customWidth="1"/>
    <col min="9234" max="9234" width="7.7109375" customWidth="1"/>
    <col min="9235" max="9235" width="8.28515625" customWidth="1"/>
    <col min="9236" max="9236" width="2.7109375" customWidth="1"/>
    <col min="9237" max="9237" width="3.5703125" customWidth="1"/>
    <col min="9473" max="9473" width="35.7109375" customWidth="1"/>
    <col min="9474" max="9474" width="8.28515625" customWidth="1"/>
    <col min="9475" max="9475" width="2.5703125" customWidth="1"/>
    <col min="9476" max="9476" width="8.28515625" customWidth="1"/>
    <col min="9477" max="9477" width="2.7109375" customWidth="1"/>
    <col min="9478" max="9478" width="8.42578125" customWidth="1"/>
    <col min="9479" max="9479" width="8.28515625" customWidth="1"/>
    <col min="9480" max="9480" width="2.7109375" customWidth="1"/>
    <col min="9481" max="9481" width="8.28515625" customWidth="1"/>
    <col min="9482" max="9482" width="8.42578125" customWidth="1"/>
    <col min="9483" max="9483" width="2.7109375" customWidth="1"/>
    <col min="9484" max="9485" width="8.28515625" customWidth="1"/>
    <col min="9486" max="9486" width="2.7109375" customWidth="1"/>
    <col min="9487" max="9488" width="8.28515625" customWidth="1"/>
    <col min="9489" max="9489" width="2.7109375" customWidth="1"/>
    <col min="9490" max="9490" width="7.7109375" customWidth="1"/>
    <col min="9491" max="9491" width="8.28515625" customWidth="1"/>
    <col min="9492" max="9492" width="2.7109375" customWidth="1"/>
    <col min="9493" max="9493" width="3.5703125" customWidth="1"/>
    <col min="9729" max="9729" width="35.7109375" customWidth="1"/>
    <col min="9730" max="9730" width="8.28515625" customWidth="1"/>
    <col min="9731" max="9731" width="2.5703125" customWidth="1"/>
    <col min="9732" max="9732" width="8.28515625" customWidth="1"/>
    <col min="9733" max="9733" width="2.7109375" customWidth="1"/>
    <col min="9734" max="9734" width="8.42578125" customWidth="1"/>
    <col min="9735" max="9735" width="8.28515625" customWidth="1"/>
    <col min="9736" max="9736" width="2.7109375" customWidth="1"/>
    <col min="9737" max="9737" width="8.28515625" customWidth="1"/>
    <col min="9738" max="9738" width="8.42578125" customWidth="1"/>
    <col min="9739" max="9739" width="2.7109375" customWidth="1"/>
    <col min="9740" max="9741" width="8.28515625" customWidth="1"/>
    <col min="9742" max="9742" width="2.7109375" customWidth="1"/>
    <col min="9743" max="9744" width="8.28515625" customWidth="1"/>
    <col min="9745" max="9745" width="2.7109375" customWidth="1"/>
    <col min="9746" max="9746" width="7.7109375" customWidth="1"/>
    <col min="9747" max="9747" width="8.28515625" customWidth="1"/>
    <col min="9748" max="9748" width="2.7109375" customWidth="1"/>
    <col min="9749" max="9749" width="3.5703125" customWidth="1"/>
    <col min="9985" max="9985" width="35.7109375" customWidth="1"/>
    <col min="9986" max="9986" width="8.28515625" customWidth="1"/>
    <col min="9987" max="9987" width="2.5703125" customWidth="1"/>
    <col min="9988" max="9988" width="8.28515625" customWidth="1"/>
    <col min="9989" max="9989" width="2.7109375" customWidth="1"/>
    <col min="9990" max="9990" width="8.42578125" customWidth="1"/>
    <col min="9991" max="9991" width="8.28515625" customWidth="1"/>
    <col min="9992" max="9992" width="2.7109375" customWidth="1"/>
    <col min="9993" max="9993" width="8.28515625" customWidth="1"/>
    <col min="9994" max="9994" width="8.42578125" customWidth="1"/>
    <col min="9995" max="9995" width="2.7109375" customWidth="1"/>
    <col min="9996" max="9997" width="8.28515625" customWidth="1"/>
    <col min="9998" max="9998" width="2.7109375" customWidth="1"/>
    <col min="9999" max="10000" width="8.28515625" customWidth="1"/>
    <col min="10001" max="10001" width="2.7109375" customWidth="1"/>
    <col min="10002" max="10002" width="7.7109375" customWidth="1"/>
    <col min="10003" max="10003" width="8.28515625" customWidth="1"/>
    <col min="10004" max="10004" width="2.7109375" customWidth="1"/>
    <col min="10005" max="10005" width="3.5703125" customWidth="1"/>
    <col min="10241" max="10241" width="35.7109375" customWidth="1"/>
    <col min="10242" max="10242" width="8.28515625" customWidth="1"/>
    <col min="10243" max="10243" width="2.5703125" customWidth="1"/>
    <col min="10244" max="10244" width="8.28515625" customWidth="1"/>
    <col min="10245" max="10245" width="2.7109375" customWidth="1"/>
    <col min="10246" max="10246" width="8.42578125" customWidth="1"/>
    <col min="10247" max="10247" width="8.28515625" customWidth="1"/>
    <col min="10248" max="10248" width="2.7109375" customWidth="1"/>
    <col min="10249" max="10249" width="8.28515625" customWidth="1"/>
    <col min="10250" max="10250" width="8.42578125" customWidth="1"/>
    <col min="10251" max="10251" width="2.7109375" customWidth="1"/>
    <col min="10252" max="10253" width="8.28515625" customWidth="1"/>
    <col min="10254" max="10254" width="2.7109375" customWidth="1"/>
    <col min="10255" max="10256" width="8.28515625" customWidth="1"/>
    <col min="10257" max="10257" width="2.7109375" customWidth="1"/>
    <col min="10258" max="10258" width="7.7109375" customWidth="1"/>
    <col min="10259" max="10259" width="8.28515625" customWidth="1"/>
    <col min="10260" max="10260" width="2.7109375" customWidth="1"/>
    <col min="10261" max="10261" width="3.5703125" customWidth="1"/>
    <col min="10497" max="10497" width="35.7109375" customWidth="1"/>
    <col min="10498" max="10498" width="8.28515625" customWidth="1"/>
    <col min="10499" max="10499" width="2.5703125" customWidth="1"/>
    <col min="10500" max="10500" width="8.28515625" customWidth="1"/>
    <col min="10501" max="10501" width="2.7109375" customWidth="1"/>
    <col min="10502" max="10502" width="8.42578125" customWidth="1"/>
    <col min="10503" max="10503" width="8.28515625" customWidth="1"/>
    <col min="10504" max="10504" width="2.7109375" customWidth="1"/>
    <col min="10505" max="10505" width="8.28515625" customWidth="1"/>
    <col min="10506" max="10506" width="8.42578125" customWidth="1"/>
    <col min="10507" max="10507" width="2.7109375" customWidth="1"/>
    <col min="10508" max="10509" width="8.28515625" customWidth="1"/>
    <col min="10510" max="10510" width="2.7109375" customWidth="1"/>
    <col min="10511" max="10512" width="8.28515625" customWidth="1"/>
    <col min="10513" max="10513" width="2.7109375" customWidth="1"/>
    <col min="10514" max="10514" width="7.7109375" customWidth="1"/>
    <col min="10515" max="10515" width="8.28515625" customWidth="1"/>
    <col min="10516" max="10516" width="2.7109375" customWidth="1"/>
    <col min="10517" max="10517" width="3.5703125" customWidth="1"/>
    <col min="10753" max="10753" width="35.7109375" customWidth="1"/>
    <col min="10754" max="10754" width="8.28515625" customWidth="1"/>
    <col min="10755" max="10755" width="2.5703125" customWidth="1"/>
    <col min="10756" max="10756" width="8.28515625" customWidth="1"/>
    <col min="10757" max="10757" width="2.7109375" customWidth="1"/>
    <col min="10758" max="10758" width="8.42578125" customWidth="1"/>
    <col min="10759" max="10759" width="8.28515625" customWidth="1"/>
    <col min="10760" max="10760" width="2.7109375" customWidth="1"/>
    <col min="10761" max="10761" width="8.28515625" customWidth="1"/>
    <col min="10762" max="10762" width="8.42578125" customWidth="1"/>
    <col min="10763" max="10763" width="2.7109375" customWidth="1"/>
    <col min="10764" max="10765" width="8.28515625" customWidth="1"/>
    <col min="10766" max="10766" width="2.7109375" customWidth="1"/>
    <col min="10767" max="10768" width="8.28515625" customWidth="1"/>
    <col min="10769" max="10769" width="2.7109375" customWidth="1"/>
    <col min="10770" max="10770" width="7.7109375" customWidth="1"/>
    <col min="10771" max="10771" width="8.28515625" customWidth="1"/>
    <col min="10772" max="10772" width="2.7109375" customWidth="1"/>
    <col min="10773" max="10773" width="3.5703125" customWidth="1"/>
    <col min="11009" max="11009" width="35.7109375" customWidth="1"/>
    <col min="11010" max="11010" width="8.28515625" customWidth="1"/>
    <col min="11011" max="11011" width="2.5703125" customWidth="1"/>
    <col min="11012" max="11012" width="8.28515625" customWidth="1"/>
    <col min="11013" max="11013" width="2.7109375" customWidth="1"/>
    <col min="11014" max="11014" width="8.42578125" customWidth="1"/>
    <col min="11015" max="11015" width="8.28515625" customWidth="1"/>
    <col min="11016" max="11016" width="2.7109375" customWidth="1"/>
    <col min="11017" max="11017" width="8.28515625" customWidth="1"/>
    <col min="11018" max="11018" width="8.42578125" customWidth="1"/>
    <col min="11019" max="11019" width="2.7109375" customWidth="1"/>
    <col min="11020" max="11021" width="8.28515625" customWidth="1"/>
    <col min="11022" max="11022" width="2.7109375" customWidth="1"/>
    <col min="11023" max="11024" width="8.28515625" customWidth="1"/>
    <col min="11025" max="11025" width="2.7109375" customWidth="1"/>
    <col min="11026" max="11026" width="7.7109375" customWidth="1"/>
    <col min="11027" max="11027" width="8.28515625" customWidth="1"/>
    <col min="11028" max="11028" width="2.7109375" customWidth="1"/>
    <col min="11029" max="11029" width="3.5703125" customWidth="1"/>
    <col min="11265" max="11265" width="35.7109375" customWidth="1"/>
    <col min="11266" max="11266" width="8.28515625" customWidth="1"/>
    <col min="11267" max="11267" width="2.5703125" customWidth="1"/>
    <col min="11268" max="11268" width="8.28515625" customWidth="1"/>
    <col min="11269" max="11269" width="2.7109375" customWidth="1"/>
    <col min="11270" max="11270" width="8.42578125" customWidth="1"/>
    <col min="11271" max="11271" width="8.28515625" customWidth="1"/>
    <col min="11272" max="11272" width="2.7109375" customWidth="1"/>
    <col min="11273" max="11273" width="8.28515625" customWidth="1"/>
    <col min="11274" max="11274" width="8.42578125" customWidth="1"/>
    <col min="11275" max="11275" width="2.7109375" customWidth="1"/>
    <col min="11276" max="11277" width="8.28515625" customWidth="1"/>
    <col min="11278" max="11278" width="2.7109375" customWidth="1"/>
    <col min="11279" max="11280" width="8.28515625" customWidth="1"/>
    <col min="11281" max="11281" width="2.7109375" customWidth="1"/>
    <col min="11282" max="11282" width="7.7109375" customWidth="1"/>
    <col min="11283" max="11283" width="8.28515625" customWidth="1"/>
    <col min="11284" max="11284" width="2.7109375" customWidth="1"/>
    <col min="11285" max="11285" width="3.5703125" customWidth="1"/>
    <col min="11521" max="11521" width="35.7109375" customWidth="1"/>
    <col min="11522" max="11522" width="8.28515625" customWidth="1"/>
    <col min="11523" max="11523" width="2.5703125" customWidth="1"/>
    <col min="11524" max="11524" width="8.28515625" customWidth="1"/>
    <col min="11525" max="11525" width="2.7109375" customWidth="1"/>
    <col min="11526" max="11526" width="8.42578125" customWidth="1"/>
    <col min="11527" max="11527" width="8.28515625" customWidth="1"/>
    <col min="11528" max="11528" width="2.7109375" customWidth="1"/>
    <col min="11529" max="11529" width="8.28515625" customWidth="1"/>
    <col min="11530" max="11530" width="8.42578125" customWidth="1"/>
    <col min="11531" max="11531" width="2.7109375" customWidth="1"/>
    <col min="11532" max="11533" width="8.28515625" customWidth="1"/>
    <col min="11534" max="11534" width="2.7109375" customWidth="1"/>
    <col min="11535" max="11536" width="8.28515625" customWidth="1"/>
    <col min="11537" max="11537" width="2.7109375" customWidth="1"/>
    <col min="11538" max="11538" width="7.7109375" customWidth="1"/>
    <col min="11539" max="11539" width="8.28515625" customWidth="1"/>
    <col min="11540" max="11540" width="2.7109375" customWidth="1"/>
    <col min="11541" max="11541" width="3.5703125" customWidth="1"/>
    <col min="11777" max="11777" width="35.7109375" customWidth="1"/>
    <col min="11778" max="11778" width="8.28515625" customWidth="1"/>
    <col min="11779" max="11779" width="2.5703125" customWidth="1"/>
    <col min="11780" max="11780" width="8.28515625" customWidth="1"/>
    <col min="11781" max="11781" width="2.7109375" customWidth="1"/>
    <col min="11782" max="11782" width="8.42578125" customWidth="1"/>
    <col min="11783" max="11783" width="8.28515625" customWidth="1"/>
    <col min="11784" max="11784" width="2.7109375" customWidth="1"/>
    <col min="11785" max="11785" width="8.28515625" customWidth="1"/>
    <col min="11786" max="11786" width="8.42578125" customWidth="1"/>
    <col min="11787" max="11787" width="2.7109375" customWidth="1"/>
    <col min="11788" max="11789" width="8.28515625" customWidth="1"/>
    <col min="11790" max="11790" width="2.7109375" customWidth="1"/>
    <col min="11791" max="11792" width="8.28515625" customWidth="1"/>
    <col min="11793" max="11793" width="2.7109375" customWidth="1"/>
    <col min="11794" max="11794" width="7.7109375" customWidth="1"/>
    <col min="11795" max="11795" width="8.28515625" customWidth="1"/>
    <col min="11796" max="11796" width="2.7109375" customWidth="1"/>
    <col min="11797" max="11797" width="3.5703125" customWidth="1"/>
    <col min="12033" max="12033" width="35.7109375" customWidth="1"/>
    <col min="12034" max="12034" width="8.28515625" customWidth="1"/>
    <col min="12035" max="12035" width="2.5703125" customWidth="1"/>
    <col min="12036" max="12036" width="8.28515625" customWidth="1"/>
    <col min="12037" max="12037" width="2.7109375" customWidth="1"/>
    <col min="12038" max="12038" width="8.42578125" customWidth="1"/>
    <col min="12039" max="12039" width="8.28515625" customWidth="1"/>
    <col min="12040" max="12040" width="2.7109375" customWidth="1"/>
    <col min="12041" max="12041" width="8.28515625" customWidth="1"/>
    <col min="12042" max="12042" width="8.42578125" customWidth="1"/>
    <col min="12043" max="12043" width="2.7109375" customWidth="1"/>
    <col min="12044" max="12045" width="8.28515625" customWidth="1"/>
    <col min="12046" max="12046" width="2.7109375" customWidth="1"/>
    <col min="12047" max="12048" width="8.28515625" customWidth="1"/>
    <col min="12049" max="12049" width="2.7109375" customWidth="1"/>
    <col min="12050" max="12050" width="7.7109375" customWidth="1"/>
    <col min="12051" max="12051" width="8.28515625" customWidth="1"/>
    <col min="12052" max="12052" width="2.7109375" customWidth="1"/>
    <col min="12053" max="12053" width="3.5703125" customWidth="1"/>
    <col min="12289" max="12289" width="35.7109375" customWidth="1"/>
    <col min="12290" max="12290" width="8.28515625" customWidth="1"/>
    <col min="12291" max="12291" width="2.5703125" customWidth="1"/>
    <col min="12292" max="12292" width="8.28515625" customWidth="1"/>
    <col min="12293" max="12293" width="2.7109375" customWidth="1"/>
    <col min="12294" max="12294" width="8.42578125" customWidth="1"/>
    <col min="12295" max="12295" width="8.28515625" customWidth="1"/>
    <col min="12296" max="12296" width="2.7109375" customWidth="1"/>
    <col min="12297" max="12297" width="8.28515625" customWidth="1"/>
    <col min="12298" max="12298" width="8.42578125" customWidth="1"/>
    <col min="12299" max="12299" width="2.7109375" customWidth="1"/>
    <col min="12300" max="12301" width="8.28515625" customWidth="1"/>
    <col min="12302" max="12302" width="2.7109375" customWidth="1"/>
    <col min="12303" max="12304" width="8.28515625" customWidth="1"/>
    <col min="12305" max="12305" width="2.7109375" customWidth="1"/>
    <col min="12306" max="12306" width="7.7109375" customWidth="1"/>
    <col min="12307" max="12307" width="8.28515625" customWidth="1"/>
    <col min="12308" max="12308" width="2.7109375" customWidth="1"/>
    <col min="12309" max="12309" width="3.5703125" customWidth="1"/>
    <col min="12545" max="12545" width="35.7109375" customWidth="1"/>
    <col min="12546" max="12546" width="8.28515625" customWidth="1"/>
    <col min="12547" max="12547" width="2.5703125" customWidth="1"/>
    <col min="12548" max="12548" width="8.28515625" customWidth="1"/>
    <col min="12549" max="12549" width="2.7109375" customWidth="1"/>
    <col min="12550" max="12550" width="8.42578125" customWidth="1"/>
    <col min="12551" max="12551" width="8.28515625" customWidth="1"/>
    <col min="12552" max="12552" width="2.7109375" customWidth="1"/>
    <col min="12553" max="12553" width="8.28515625" customWidth="1"/>
    <col min="12554" max="12554" width="8.42578125" customWidth="1"/>
    <col min="12555" max="12555" width="2.7109375" customWidth="1"/>
    <col min="12556" max="12557" width="8.28515625" customWidth="1"/>
    <col min="12558" max="12558" width="2.7109375" customWidth="1"/>
    <col min="12559" max="12560" width="8.28515625" customWidth="1"/>
    <col min="12561" max="12561" width="2.7109375" customWidth="1"/>
    <col min="12562" max="12562" width="7.7109375" customWidth="1"/>
    <col min="12563" max="12563" width="8.28515625" customWidth="1"/>
    <col min="12564" max="12564" width="2.7109375" customWidth="1"/>
    <col min="12565" max="12565" width="3.5703125" customWidth="1"/>
    <col min="12801" max="12801" width="35.7109375" customWidth="1"/>
    <col min="12802" max="12802" width="8.28515625" customWidth="1"/>
    <col min="12803" max="12803" width="2.5703125" customWidth="1"/>
    <col min="12804" max="12804" width="8.28515625" customWidth="1"/>
    <col min="12805" max="12805" width="2.7109375" customWidth="1"/>
    <col min="12806" max="12806" width="8.42578125" customWidth="1"/>
    <col min="12807" max="12807" width="8.28515625" customWidth="1"/>
    <col min="12808" max="12808" width="2.7109375" customWidth="1"/>
    <col min="12809" max="12809" width="8.28515625" customWidth="1"/>
    <col min="12810" max="12810" width="8.42578125" customWidth="1"/>
    <col min="12811" max="12811" width="2.7109375" customWidth="1"/>
    <col min="12812" max="12813" width="8.28515625" customWidth="1"/>
    <col min="12814" max="12814" width="2.7109375" customWidth="1"/>
    <col min="12815" max="12816" width="8.28515625" customWidth="1"/>
    <col min="12817" max="12817" width="2.7109375" customWidth="1"/>
    <col min="12818" max="12818" width="7.7109375" customWidth="1"/>
    <col min="12819" max="12819" width="8.28515625" customWidth="1"/>
    <col min="12820" max="12820" width="2.7109375" customWidth="1"/>
    <col min="12821" max="12821" width="3.5703125" customWidth="1"/>
    <col min="13057" max="13057" width="35.7109375" customWidth="1"/>
    <col min="13058" max="13058" width="8.28515625" customWidth="1"/>
    <col min="13059" max="13059" width="2.5703125" customWidth="1"/>
    <col min="13060" max="13060" width="8.28515625" customWidth="1"/>
    <col min="13061" max="13061" width="2.7109375" customWidth="1"/>
    <col min="13062" max="13062" width="8.42578125" customWidth="1"/>
    <col min="13063" max="13063" width="8.28515625" customWidth="1"/>
    <col min="13064" max="13064" width="2.7109375" customWidth="1"/>
    <col min="13065" max="13065" width="8.28515625" customWidth="1"/>
    <col min="13066" max="13066" width="8.42578125" customWidth="1"/>
    <col min="13067" max="13067" width="2.7109375" customWidth="1"/>
    <col min="13068" max="13069" width="8.28515625" customWidth="1"/>
    <col min="13070" max="13070" width="2.7109375" customWidth="1"/>
    <col min="13071" max="13072" width="8.28515625" customWidth="1"/>
    <col min="13073" max="13073" width="2.7109375" customWidth="1"/>
    <col min="13074" max="13074" width="7.7109375" customWidth="1"/>
    <col min="13075" max="13075" width="8.28515625" customWidth="1"/>
    <col min="13076" max="13076" width="2.7109375" customWidth="1"/>
    <col min="13077" max="13077" width="3.5703125" customWidth="1"/>
    <col min="13313" max="13313" width="35.7109375" customWidth="1"/>
    <col min="13314" max="13314" width="8.28515625" customWidth="1"/>
    <col min="13315" max="13315" width="2.5703125" customWidth="1"/>
    <col min="13316" max="13316" width="8.28515625" customWidth="1"/>
    <col min="13317" max="13317" width="2.7109375" customWidth="1"/>
    <col min="13318" max="13318" width="8.42578125" customWidth="1"/>
    <col min="13319" max="13319" width="8.28515625" customWidth="1"/>
    <col min="13320" max="13320" width="2.7109375" customWidth="1"/>
    <col min="13321" max="13321" width="8.28515625" customWidth="1"/>
    <col min="13322" max="13322" width="8.42578125" customWidth="1"/>
    <col min="13323" max="13323" width="2.7109375" customWidth="1"/>
    <col min="13324" max="13325" width="8.28515625" customWidth="1"/>
    <col min="13326" max="13326" width="2.7109375" customWidth="1"/>
    <col min="13327" max="13328" width="8.28515625" customWidth="1"/>
    <col min="13329" max="13329" width="2.7109375" customWidth="1"/>
    <col min="13330" max="13330" width="7.7109375" customWidth="1"/>
    <col min="13331" max="13331" width="8.28515625" customWidth="1"/>
    <col min="13332" max="13332" width="2.7109375" customWidth="1"/>
    <col min="13333" max="13333" width="3.5703125" customWidth="1"/>
    <col min="13569" max="13569" width="35.7109375" customWidth="1"/>
    <col min="13570" max="13570" width="8.28515625" customWidth="1"/>
    <col min="13571" max="13571" width="2.5703125" customWidth="1"/>
    <col min="13572" max="13572" width="8.28515625" customWidth="1"/>
    <col min="13573" max="13573" width="2.7109375" customWidth="1"/>
    <col min="13574" max="13574" width="8.42578125" customWidth="1"/>
    <col min="13575" max="13575" width="8.28515625" customWidth="1"/>
    <col min="13576" max="13576" width="2.7109375" customWidth="1"/>
    <col min="13577" max="13577" width="8.28515625" customWidth="1"/>
    <col min="13578" max="13578" width="8.42578125" customWidth="1"/>
    <col min="13579" max="13579" width="2.7109375" customWidth="1"/>
    <col min="13580" max="13581" width="8.28515625" customWidth="1"/>
    <col min="13582" max="13582" width="2.7109375" customWidth="1"/>
    <col min="13583" max="13584" width="8.28515625" customWidth="1"/>
    <col min="13585" max="13585" width="2.7109375" customWidth="1"/>
    <col min="13586" max="13586" width="7.7109375" customWidth="1"/>
    <col min="13587" max="13587" width="8.28515625" customWidth="1"/>
    <col min="13588" max="13588" width="2.7109375" customWidth="1"/>
    <col min="13589" max="13589" width="3.5703125" customWidth="1"/>
    <col min="13825" max="13825" width="35.7109375" customWidth="1"/>
    <col min="13826" max="13826" width="8.28515625" customWidth="1"/>
    <col min="13827" max="13827" width="2.5703125" customWidth="1"/>
    <col min="13828" max="13828" width="8.28515625" customWidth="1"/>
    <col min="13829" max="13829" width="2.7109375" customWidth="1"/>
    <col min="13830" max="13830" width="8.42578125" customWidth="1"/>
    <col min="13831" max="13831" width="8.28515625" customWidth="1"/>
    <col min="13832" max="13832" width="2.7109375" customWidth="1"/>
    <col min="13833" max="13833" width="8.28515625" customWidth="1"/>
    <col min="13834" max="13834" width="8.42578125" customWidth="1"/>
    <col min="13835" max="13835" width="2.7109375" customWidth="1"/>
    <col min="13836" max="13837" width="8.28515625" customWidth="1"/>
    <col min="13838" max="13838" width="2.7109375" customWidth="1"/>
    <col min="13839" max="13840" width="8.28515625" customWidth="1"/>
    <col min="13841" max="13841" width="2.7109375" customWidth="1"/>
    <col min="13842" max="13842" width="7.7109375" customWidth="1"/>
    <col min="13843" max="13843" width="8.28515625" customWidth="1"/>
    <col min="13844" max="13844" width="2.7109375" customWidth="1"/>
    <col min="13845" max="13845" width="3.5703125" customWidth="1"/>
    <col min="14081" max="14081" width="35.7109375" customWidth="1"/>
    <col min="14082" max="14082" width="8.28515625" customWidth="1"/>
    <col min="14083" max="14083" width="2.5703125" customWidth="1"/>
    <col min="14084" max="14084" width="8.28515625" customWidth="1"/>
    <col min="14085" max="14085" width="2.7109375" customWidth="1"/>
    <col min="14086" max="14086" width="8.42578125" customWidth="1"/>
    <col min="14087" max="14087" width="8.28515625" customWidth="1"/>
    <col min="14088" max="14088" width="2.7109375" customWidth="1"/>
    <col min="14089" max="14089" width="8.28515625" customWidth="1"/>
    <col min="14090" max="14090" width="8.42578125" customWidth="1"/>
    <col min="14091" max="14091" width="2.7109375" customWidth="1"/>
    <col min="14092" max="14093" width="8.28515625" customWidth="1"/>
    <col min="14094" max="14094" width="2.7109375" customWidth="1"/>
    <col min="14095" max="14096" width="8.28515625" customWidth="1"/>
    <col min="14097" max="14097" width="2.7109375" customWidth="1"/>
    <col min="14098" max="14098" width="7.7109375" customWidth="1"/>
    <col min="14099" max="14099" width="8.28515625" customWidth="1"/>
    <col min="14100" max="14100" width="2.7109375" customWidth="1"/>
    <col min="14101" max="14101" width="3.5703125" customWidth="1"/>
    <col min="14337" max="14337" width="35.7109375" customWidth="1"/>
    <col min="14338" max="14338" width="8.28515625" customWidth="1"/>
    <col min="14339" max="14339" width="2.5703125" customWidth="1"/>
    <col min="14340" max="14340" width="8.28515625" customWidth="1"/>
    <col min="14341" max="14341" width="2.7109375" customWidth="1"/>
    <col min="14342" max="14342" width="8.42578125" customWidth="1"/>
    <col min="14343" max="14343" width="8.28515625" customWidth="1"/>
    <col min="14344" max="14344" width="2.7109375" customWidth="1"/>
    <col min="14345" max="14345" width="8.28515625" customWidth="1"/>
    <col min="14346" max="14346" width="8.42578125" customWidth="1"/>
    <col min="14347" max="14347" width="2.7109375" customWidth="1"/>
    <col min="14348" max="14349" width="8.28515625" customWidth="1"/>
    <col min="14350" max="14350" width="2.7109375" customWidth="1"/>
    <col min="14351" max="14352" width="8.28515625" customWidth="1"/>
    <col min="14353" max="14353" width="2.7109375" customWidth="1"/>
    <col min="14354" max="14354" width="7.7109375" customWidth="1"/>
    <col min="14355" max="14355" width="8.28515625" customWidth="1"/>
    <col min="14356" max="14356" width="2.7109375" customWidth="1"/>
    <col min="14357" max="14357" width="3.5703125" customWidth="1"/>
    <col min="14593" max="14593" width="35.7109375" customWidth="1"/>
    <col min="14594" max="14594" width="8.28515625" customWidth="1"/>
    <col min="14595" max="14595" width="2.5703125" customWidth="1"/>
    <col min="14596" max="14596" width="8.28515625" customWidth="1"/>
    <col min="14597" max="14597" width="2.7109375" customWidth="1"/>
    <col min="14598" max="14598" width="8.42578125" customWidth="1"/>
    <col min="14599" max="14599" width="8.28515625" customWidth="1"/>
    <col min="14600" max="14600" width="2.7109375" customWidth="1"/>
    <col min="14601" max="14601" width="8.28515625" customWidth="1"/>
    <col min="14602" max="14602" width="8.42578125" customWidth="1"/>
    <col min="14603" max="14603" width="2.7109375" customWidth="1"/>
    <col min="14604" max="14605" width="8.28515625" customWidth="1"/>
    <col min="14606" max="14606" width="2.7109375" customWidth="1"/>
    <col min="14607" max="14608" width="8.28515625" customWidth="1"/>
    <col min="14609" max="14609" width="2.7109375" customWidth="1"/>
    <col min="14610" max="14610" width="7.7109375" customWidth="1"/>
    <col min="14611" max="14611" width="8.28515625" customWidth="1"/>
    <col min="14612" max="14612" width="2.7109375" customWidth="1"/>
    <col min="14613" max="14613" width="3.5703125" customWidth="1"/>
    <col min="14849" max="14849" width="35.7109375" customWidth="1"/>
    <col min="14850" max="14850" width="8.28515625" customWidth="1"/>
    <col min="14851" max="14851" width="2.5703125" customWidth="1"/>
    <col min="14852" max="14852" width="8.28515625" customWidth="1"/>
    <col min="14853" max="14853" width="2.7109375" customWidth="1"/>
    <col min="14854" max="14854" width="8.42578125" customWidth="1"/>
    <col min="14855" max="14855" width="8.28515625" customWidth="1"/>
    <col min="14856" max="14856" width="2.7109375" customWidth="1"/>
    <col min="14857" max="14857" width="8.28515625" customWidth="1"/>
    <col min="14858" max="14858" width="8.42578125" customWidth="1"/>
    <col min="14859" max="14859" width="2.7109375" customWidth="1"/>
    <col min="14860" max="14861" width="8.28515625" customWidth="1"/>
    <col min="14862" max="14862" width="2.7109375" customWidth="1"/>
    <col min="14863" max="14864" width="8.28515625" customWidth="1"/>
    <col min="14865" max="14865" width="2.7109375" customWidth="1"/>
    <col min="14866" max="14866" width="7.7109375" customWidth="1"/>
    <col min="14867" max="14867" width="8.28515625" customWidth="1"/>
    <col min="14868" max="14868" width="2.7109375" customWidth="1"/>
    <col min="14869" max="14869" width="3.5703125" customWidth="1"/>
    <col min="15105" max="15105" width="35.7109375" customWidth="1"/>
    <col min="15106" max="15106" width="8.28515625" customWidth="1"/>
    <col min="15107" max="15107" width="2.5703125" customWidth="1"/>
    <col min="15108" max="15108" width="8.28515625" customWidth="1"/>
    <col min="15109" max="15109" width="2.7109375" customWidth="1"/>
    <col min="15110" max="15110" width="8.42578125" customWidth="1"/>
    <col min="15111" max="15111" width="8.28515625" customWidth="1"/>
    <col min="15112" max="15112" width="2.7109375" customWidth="1"/>
    <col min="15113" max="15113" width="8.28515625" customWidth="1"/>
    <col min="15114" max="15114" width="8.42578125" customWidth="1"/>
    <col min="15115" max="15115" width="2.7109375" customWidth="1"/>
    <col min="15116" max="15117" width="8.28515625" customWidth="1"/>
    <col min="15118" max="15118" width="2.7109375" customWidth="1"/>
    <col min="15119" max="15120" width="8.28515625" customWidth="1"/>
    <col min="15121" max="15121" width="2.7109375" customWidth="1"/>
    <col min="15122" max="15122" width="7.7109375" customWidth="1"/>
    <col min="15123" max="15123" width="8.28515625" customWidth="1"/>
    <col min="15124" max="15124" width="2.7109375" customWidth="1"/>
    <col min="15125" max="15125" width="3.5703125" customWidth="1"/>
    <col min="15361" max="15361" width="35.7109375" customWidth="1"/>
    <col min="15362" max="15362" width="8.28515625" customWidth="1"/>
    <col min="15363" max="15363" width="2.5703125" customWidth="1"/>
    <col min="15364" max="15364" width="8.28515625" customWidth="1"/>
    <col min="15365" max="15365" width="2.7109375" customWidth="1"/>
    <col min="15366" max="15366" width="8.42578125" customWidth="1"/>
    <col min="15367" max="15367" width="8.28515625" customWidth="1"/>
    <col min="15368" max="15368" width="2.7109375" customWidth="1"/>
    <col min="15369" max="15369" width="8.28515625" customWidth="1"/>
    <col min="15370" max="15370" width="8.42578125" customWidth="1"/>
    <col min="15371" max="15371" width="2.7109375" customWidth="1"/>
    <col min="15372" max="15373" width="8.28515625" customWidth="1"/>
    <col min="15374" max="15374" width="2.7109375" customWidth="1"/>
    <col min="15375" max="15376" width="8.28515625" customWidth="1"/>
    <col min="15377" max="15377" width="2.7109375" customWidth="1"/>
    <col min="15378" max="15378" width="7.7109375" customWidth="1"/>
    <col min="15379" max="15379" width="8.28515625" customWidth="1"/>
    <col min="15380" max="15380" width="2.7109375" customWidth="1"/>
    <col min="15381" max="15381" width="3.5703125" customWidth="1"/>
    <col min="15617" max="15617" width="35.7109375" customWidth="1"/>
    <col min="15618" max="15618" width="8.28515625" customWidth="1"/>
    <col min="15619" max="15619" width="2.5703125" customWidth="1"/>
    <col min="15620" max="15620" width="8.28515625" customWidth="1"/>
    <col min="15621" max="15621" width="2.7109375" customWidth="1"/>
    <col min="15622" max="15622" width="8.42578125" customWidth="1"/>
    <col min="15623" max="15623" width="8.28515625" customWidth="1"/>
    <col min="15624" max="15624" width="2.7109375" customWidth="1"/>
    <col min="15625" max="15625" width="8.28515625" customWidth="1"/>
    <col min="15626" max="15626" width="8.42578125" customWidth="1"/>
    <col min="15627" max="15627" width="2.7109375" customWidth="1"/>
    <col min="15628" max="15629" width="8.28515625" customWidth="1"/>
    <col min="15630" max="15630" width="2.7109375" customWidth="1"/>
    <col min="15631" max="15632" width="8.28515625" customWidth="1"/>
    <col min="15633" max="15633" width="2.7109375" customWidth="1"/>
    <col min="15634" max="15634" width="7.7109375" customWidth="1"/>
    <col min="15635" max="15635" width="8.28515625" customWidth="1"/>
    <col min="15636" max="15636" width="2.7109375" customWidth="1"/>
    <col min="15637" max="15637" width="3.5703125" customWidth="1"/>
    <col min="15873" max="15873" width="35.7109375" customWidth="1"/>
    <col min="15874" max="15874" width="8.28515625" customWidth="1"/>
    <col min="15875" max="15875" width="2.5703125" customWidth="1"/>
    <col min="15876" max="15876" width="8.28515625" customWidth="1"/>
    <col min="15877" max="15877" width="2.7109375" customWidth="1"/>
    <col min="15878" max="15878" width="8.42578125" customWidth="1"/>
    <col min="15879" max="15879" width="8.28515625" customWidth="1"/>
    <col min="15880" max="15880" width="2.7109375" customWidth="1"/>
    <col min="15881" max="15881" width="8.28515625" customWidth="1"/>
    <col min="15882" max="15882" width="8.42578125" customWidth="1"/>
    <col min="15883" max="15883" width="2.7109375" customWidth="1"/>
    <col min="15884" max="15885" width="8.28515625" customWidth="1"/>
    <col min="15886" max="15886" width="2.7109375" customWidth="1"/>
    <col min="15887" max="15888" width="8.28515625" customWidth="1"/>
    <col min="15889" max="15889" width="2.7109375" customWidth="1"/>
    <col min="15890" max="15890" width="7.7109375" customWidth="1"/>
    <col min="15891" max="15891" width="8.28515625" customWidth="1"/>
    <col min="15892" max="15892" width="2.7109375" customWidth="1"/>
    <col min="15893" max="15893" width="3.5703125" customWidth="1"/>
    <col min="16129" max="16129" width="35.7109375" customWidth="1"/>
    <col min="16130" max="16130" width="8.28515625" customWidth="1"/>
    <col min="16131" max="16131" width="2.5703125" customWidth="1"/>
    <col min="16132" max="16132" width="8.28515625" customWidth="1"/>
    <col min="16133" max="16133" width="2.7109375" customWidth="1"/>
    <col min="16134" max="16134" width="8.42578125" customWidth="1"/>
    <col min="16135" max="16135" width="8.28515625" customWidth="1"/>
    <col min="16136" max="16136" width="2.7109375" customWidth="1"/>
    <col min="16137" max="16137" width="8.28515625" customWidth="1"/>
    <col min="16138" max="16138" width="8.42578125" customWidth="1"/>
    <col min="16139" max="16139" width="2.7109375" customWidth="1"/>
    <col min="16140" max="16141" width="8.28515625" customWidth="1"/>
    <col min="16142" max="16142" width="2.7109375" customWidth="1"/>
    <col min="16143" max="16144" width="8.28515625" customWidth="1"/>
    <col min="16145" max="16145" width="2.7109375" customWidth="1"/>
    <col min="16146" max="16146" width="7.7109375" customWidth="1"/>
    <col min="16147" max="16147" width="8.28515625" customWidth="1"/>
    <col min="16148" max="16148" width="2.7109375" customWidth="1"/>
    <col min="16149" max="16149" width="3.5703125" customWidth="1"/>
  </cols>
  <sheetData>
    <row r="1" spans="1:21">
      <c r="A1" t="s">
        <v>311</v>
      </c>
      <c r="G1" s="42"/>
      <c r="I1" s="42"/>
    </row>
    <row r="2" spans="1:21">
      <c r="A2" t="s">
        <v>312</v>
      </c>
    </row>
    <row r="3" spans="1:21" ht="7.5" customHeight="1"/>
    <row r="4" spans="1:21">
      <c r="A4" s="42" t="s">
        <v>924</v>
      </c>
    </row>
    <row r="5" spans="1:21" ht="9" customHeight="1" thickBot="1">
      <c r="T5" s="43"/>
    </row>
    <row r="6" spans="1:21" ht="7.5" customHeight="1">
      <c r="A6" s="6"/>
      <c r="B6" s="51"/>
      <c r="C6" s="52"/>
      <c r="D6" s="38"/>
      <c r="E6" s="6"/>
      <c r="F6" s="238"/>
      <c r="G6" s="236"/>
      <c r="H6" s="237"/>
      <c r="I6" s="238"/>
      <c r="J6" s="236"/>
      <c r="K6" s="237"/>
      <c r="L6" s="238"/>
      <c r="M6" s="236"/>
      <c r="N6" s="237"/>
      <c r="O6" s="238"/>
      <c r="P6" s="236"/>
      <c r="Q6" s="237"/>
      <c r="R6" s="238"/>
      <c r="S6" s="38"/>
      <c r="T6" s="38"/>
    </row>
    <row r="7" spans="1:21">
      <c r="A7" s="36" t="s">
        <v>925</v>
      </c>
      <c r="B7" s="61"/>
      <c r="C7" s="37"/>
      <c r="D7" s="53"/>
      <c r="E7" s="36"/>
      <c r="F7" s="251"/>
      <c r="G7" s="240"/>
      <c r="H7" s="95"/>
      <c r="I7" s="251" t="s">
        <v>926</v>
      </c>
      <c r="J7" s="240"/>
      <c r="K7" s="95"/>
      <c r="L7" s="251" t="s">
        <v>927</v>
      </c>
      <c r="M7" s="240"/>
      <c r="N7" s="95"/>
      <c r="O7" s="251" t="s">
        <v>928</v>
      </c>
      <c r="P7" s="240"/>
      <c r="Q7" s="95"/>
      <c r="R7" s="251"/>
      <c r="S7" s="53"/>
      <c r="T7" s="36"/>
    </row>
    <row r="8" spans="1:21" ht="12" customHeight="1">
      <c r="A8" s="36" t="s">
        <v>2124</v>
      </c>
      <c r="B8" s="61" t="s">
        <v>929</v>
      </c>
      <c r="C8" s="37"/>
      <c r="D8" s="53"/>
      <c r="E8" s="36"/>
      <c r="F8" s="251" t="s">
        <v>930</v>
      </c>
      <c r="G8" s="240"/>
      <c r="H8" s="95"/>
      <c r="I8" s="251" t="s">
        <v>931</v>
      </c>
      <c r="J8" s="240"/>
      <c r="K8" s="95"/>
      <c r="L8" s="251" t="s">
        <v>932</v>
      </c>
      <c r="M8" s="240"/>
      <c r="N8" s="95"/>
      <c r="O8" s="251" t="s">
        <v>933</v>
      </c>
      <c r="P8" s="240"/>
      <c r="Q8" s="95"/>
      <c r="R8" s="251" t="s">
        <v>934</v>
      </c>
      <c r="S8" s="53"/>
    </row>
    <row r="9" spans="1:21" ht="11.25" customHeight="1">
      <c r="A9" s="36" t="s">
        <v>2125</v>
      </c>
      <c r="B9" s="54" t="s">
        <v>323</v>
      </c>
      <c r="C9" s="55"/>
      <c r="D9" s="56" t="s">
        <v>324</v>
      </c>
      <c r="E9" s="36"/>
      <c r="F9" s="246" t="s">
        <v>323</v>
      </c>
      <c r="G9" s="244" t="s">
        <v>324</v>
      </c>
      <c r="H9" s="95"/>
      <c r="I9" s="246" t="s">
        <v>323</v>
      </c>
      <c r="J9" s="244" t="s">
        <v>324</v>
      </c>
      <c r="K9" s="95"/>
      <c r="L9" s="246" t="s">
        <v>323</v>
      </c>
      <c r="M9" s="244" t="s">
        <v>324</v>
      </c>
      <c r="N9" s="95"/>
      <c r="O9" s="246" t="s">
        <v>323</v>
      </c>
      <c r="P9" s="244" t="s">
        <v>324</v>
      </c>
      <c r="Q9" s="95"/>
      <c r="R9" s="246" t="s">
        <v>323</v>
      </c>
      <c r="S9" s="56" t="s">
        <v>324</v>
      </c>
      <c r="T9" s="36"/>
    </row>
    <row r="10" spans="1:21" ht="7.5" customHeight="1" thickBot="1">
      <c r="A10" s="15"/>
      <c r="B10" s="58"/>
      <c r="C10" s="59"/>
      <c r="D10" s="60"/>
      <c r="E10" s="15"/>
      <c r="F10" s="250"/>
      <c r="G10" s="248"/>
      <c r="H10" s="249"/>
      <c r="I10" s="250"/>
      <c r="J10" s="248"/>
      <c r="K10" s="249"/>
      <c r="L10" s="250"/>
      <c r="M10" s="248"/>
      <c r="N10" s="249"/>
      <c r="O10" s="250"/>
      <c r="P10" s="248"/>
      <c r="Q10" s="249"/>
      <c r="R10" s="250"/>
      <c r="S10" s="60"/>
      <c r="T10" s="60"/>
    </row>
    <row r="11" spans="1:21" ht="5.25" customHeight="1">
      <c r="A11" s="36"/>
      <c r="B11" s="61"/>
      <c r="C11" s="37"/>
      <c r="D11" s="53"/>
      <c r="E11" s="36"/>
      <c r="F11" s="251"/>
      <c r="G11" s="240"/>
      <c r="H11" s="95"/>
      <c r="I11" s="251"/>
      <c r="J11" s="240"/>
      <c r="K11" s="95"/>
      <c r="L11" s="251"/>
      <c r="M11" s="240"/>
      <c r="N11" s="95"/>
      <c r="O11" s="251"/>
      <c r="P11" s="240"/>
      <c r="Q11" s="95"/>
      <c r="R11" s="251"/>
      <c r="S11" s="53"/>
      <c r="T11" s="53"/>
    </row>
    <row r="12" spans="1:21" ht="13.15" customHeight="1">
      <c r="A12" s="63" t="s">
        <v>149</v>
      </c>
      <c r="B12" s="50">
        <f t="shared" ref="B12:B20" si="0">IF($A12&lt;&gt;0,F12+I12+L12+O12+R12,"")</f>
        <v>2654</v>
      </c>
      <c r="D12" s="43">
        <f>D16+D22+D81+D86</f>
        <v>100</v>
      </c>
      <c r="E12" t="s">
        <v>253</v>
      </c>
      <c r="F12" s="295">
        <f>IF($A12&lt;&gt;0,F14+F86,"")</f>
        <v>120</v>
      </c>
      <c r="G12" s="296">
        <f t="shared" ref="G12:G75" si="1">IF($A12&lt;&gt;0,F12/$B12*100,"")</f>
        <v>4.5214770158251696</v>
      </c>
      <c r="H12" s="44"/>
      <c r="I12" s="295">
        <f>IF($A12&lt;&gt;0,I14+I86,"")</f>
        <v>1354</v>
      </c>
      <c r="J12" s="296">
        <f t="shared" ref="J12:J75" si="2">IF($A12&lt;&gt;0,I12/$B12*100,"")</f>
        <v>51.017332328560663</v>
      </c>
      <c r="K12" s="44"/>
      <c r="L12" s="295">
        <f>IF($A12&lt;&gt;0,L14+L86,"")</f>
        <v>841</v>
      </c>
      <c r="M12" s="296">
        <f t="shared" ref="M12:M75" si="3">IF($A12&lt;&gt;0,L12/$B12*100,"")</f>
        <v>31.688018085908066</v>
      </c>
      <c r="N12" s="44"/>
      <c r="O12" s="295">
        <f>IF($A12&lt;&gt;0,O14+O86,"")</f>
        <v>312</v>
      </c>
      <c r="P12" s="296">
        <f t="shared" ref="P12:P75" si="4">IF($A12&lt;&gt;0,O12/$B12*100,"")</f>
        <v>11.755840241145441</v>
      </c>
      <c r="Q12" s="44"/>
      <c r="R12" s="295">
        <f>IF($A12&lt;&gt;0,R14+R86,"")</f>
        <v>27</v>
      </c>
      <c r="S12" s="259">
        <f t="shared" ref="S12:S76" si="5">IF($A12&lt;&gt;0,R12/$B12*100,"")</f>
        <v>1.0173323285606632</v>
      </c>
      <c r="T12" s="45"/>
      <c r="U12" s="45"/>
    </row>
    <row r="13" spans="1:21" ht="6.75" customHeight="1">
      <c r="A13" s="63"/>
      <c r="B13" s="50" t="str">
        <f t="shared" si="0"/>
        <v/>
      </c>
      <c r="D13" s="43" t="str">
        <f t="shared" ref="D13:D60" si="6">IF(A13&lt;&gt;0,B13/$B$12*100,"")</f>
        <v/>
      </c>
      <c r="F13" s="295"/>
      <c r="G13" s="296" t="str">
        <f t="shared" si="1"/>
        <v/>
      </c>
      <c r="H13" s="44"/>
      <c r="I13" s="295"/>
      <c r="J13" s="296" t="str">
        <f t="shared" si="2"/>
        <v/>
      </c>
      <c r="K13" s="44"/>
      <c r="L13" s="295"/>
      <c r="M13" s="296" t="str">
        <f t="shared" si="3"/>
        <v/>
      </c>
      <c r="N13" s="44"/>
      <c r="O13" s="295"/>
      <c r="P13" s="296" t="str">
        <f t="shared" si="4"/>
        <v/>
      </c>
      <c r="Q13" s="44"/>
      <c r="R13" s="295"/>
      <c r="S13" s="259" t="str">
        <f t="shared" si="5"/>
        <v/>
      </c>
      <c r="T13" s="45"/>
      <c r="U13" s="45"/>
    </row>
    <row r="14" spans="1:21" ht="12.75" customHeight="1">
      <c r="A14" s="63" t="s">
        <v>326</v>
      </c>
      <c r="B14" s="50">
        <f t="shared" si="0"/>
        <v>2489</v>
      </c>
      <c r="D14" s="43">
        <f t="shared" si="6"/>
        <v>93.78296910324039</v>
      </c>
      <c r="F14" s="295">
        <f>IF($A14&lt;&gt;0,F22+F81+F16,"")</f>
        <v>116</v>
      </c>
      <c r="G14" s="296">
        <f t="shared" si="1"/>
        <v>4.6605062274005622</v>
      </c>
      <c r="H14" s="44"/>
      <c r="I14" s="297">
        <f>IF($A14&lt;&gt;0,I22+I81+I16,"")</f>
        <v>1275</v>
      </c>
      <c r="J14" s="296">
        <f t="shared" si="2"/>
        <v>51.225391723583769</v>
      </c>
      <c r="K14" s="44"/>
      <c r="L14" s="295">
        <f>IF($A14&lt;&gt;0,L22+L81+L16,"")</f>
        <v>777</v>
      </c>
      <c r="M14" s="296">
        <f t="shared" si="3"/>
        <v>31.217356368019285</v>
      </c>
      <c r="N14" s="44"/>
      <c r="O14" s="295">
        <f>IF($A14&lt;&gt;0,O22+O81+O16,"")</f>
        <v>294</v>
      </c>
      <c r="P14" s="296">
        <f t="shared" si="4"/>
        <v>11.811972679791079</v>
      </c>
      <c r="Q14" s="44"/>
      <c r="R14" s="295">
        <f>IF($A14&lt;&gt;0,R22+R81+R16,"")</f>
        <v>27</v>
      </c>
      <c r="S14" s="259">
        <f t="shared" si="5"/>
        <v>1.0847730012053034</v>
      </c>
      <c r="T14" s="45"/>
      <c r="U14" s="45"/>
    </row>
    <row r="15" spans="1:21" ht="6.75" customHeight="1">
      <c r="B15" s="50" t="str">
        <f t="shared" si="0"/>
        <v/>
      </c>
      <c r="D15" s="43" t="str">
        <f t="shared" si="6"/>
        <v/>
      </c>
      <c r="F15" s="295"/>
      <c r="G15" s="296" t="str">
        <f t="shared" si="1"/>
        <v/>
      </c>
      <c r="H15" s="44"/>
      <c r="I15" s="295"/>
      <c r="J15" s="296" t="str">
        <f t="shared" si="2"/>
        <v/>
      </c>
      <c r="K15" s="44"/>
      <c r="L15" s="295"/>
      <c r="M15" s="296" t="str">
        <f t="shared" si="3"/>
        <v/>
      </c>
      <c r="N15" s="44"/>
      <c r="O15" s="295"/>
      <c r="P15" s="296" t="str">
        <f t="shared" si="4"/>
        <v/>
      </c>
      <c r="Q15" s="44"/>
      <c r="R15" s="295"/>
      <c r="S15" s="259" t="str">
        <f t="shared" si="5"/>
        <v/>
      </c>
      <c r="T15" s="45"/>
      <c r="U15" s="45"/>
    </row>
    <row r="16" spans="1:21" ht="12.75" customHeight="1">
      <c r="A16" s="63" t="s">
        <v>819</v>
      </c>
      <c r="B16" s="50">
        <f t="shared" si="0"/>
        <v>76</v>
      </c>
      <c r="D16" s="43">
        <f t="shared" si="6"/>
        <v>2.8636021100226077</v>
      </c>
      <c r="F16" s="295">
        <f>SUM(F17:F20)</f>
        <v>5</v>
      </c>
      <c r="G16" s="296">
        <f t="shared" si="1"/>
        <v>6.5789473684210522</v>
      </c>
      <c r="H16" s="44"/>
      <c r="I16" s="295">
        <f>SUM(I17:I20)</f>
        <v>57</v>
      </c>
      <c r="J16" s="296">
        <f t="shared" si="2"/>
        <v>75</v>
      </c>
      <c r="K16" s="44"/>
      <c r="L16" s="295">
        <f>SUM(L17:L20)</f>
        <v>14</v>
      </c>
      <c r="M16" s="296">
        <f t="shared" si="3"/>
        <v>18.421052631578945</v>
      </c>
      <c r="N16" s="44"/>
      <c r="O16" s="295">
        <f>SUM(O17:O20)</f>
        <v>0</v>
      </c>
      <c r="P16" s="296">
        <f t="shared" si="4"/>
        <v>0</v>
      </c>
      <c r="Q16" s="44"/>
      <c r="R16" s="295">
        <f>SUM(R17:R20)</f>
        <v>0</v>
      </c>
      <c r="S16" s="259">
        <f t="shared" si="5"/>
        <v>0</v>
      </c>
      <c r="T16" s="45"/>
      <c r="U16" s="45"/>
    </row>
    <row r="17" spans="1:21" ht="12.75" customHeight="1">
      <c r="A17" t="s">
        <v>820</v>
      </c>
      <c r="B17" s="50">
        <f t="shared" si="0"/>
        <v>20</v>
      </c>
      <c r="D17" s="43">
        <f t="shared" si="6"/>
        <v>0.75357950263752826</v>
      </c>
      <c r="F17" s="260">
        <v>0</v>
      </c>
      <c r="G17" s="296">
        <f t="shared" si="1"/>
        <v>0</v>
      </c>
      <c r="H17" s="260"/>
      <c r="I17" s="261">
        <v>19</v>
      </c>
      <c r="J17" s="296">
        <f t="shared" si="2"/>
        <v>95</v>
      </c>
      <c r="K17" s="261"/>
      <c r="L17" s="261">
        <v>1</v>
      </c>
      <c r="M17" s="296">
        <f t="shared" si="3"/>
        <v>5</v>
      </c>
      <c r="N17" s="261"/>
      <c r="O17" s="261">
        <v>0</v>
      </c>
      <c r="P17" s="296">
        <f t="shared" si="4"/>
        <v>0</v>
      </c>
      <c r="Q17" s="261"/>
      <c r="R17" s="261">
        <v>0</v>
      </c>
      <c r="S17" s="259">
        <f t="shared" si="5"/>
        <v>0</v>
      </c>
      <c r="T17" s="45"/>
    </row>
    <row r="18" spans="1:21" ht="13.15" customHeight="1">
      <c r="A18" t="s">
        <v>821</v>
      </c>
      <c r="B18" s="50">
        <f t="shared" si="0"/>
        <v>11</v>
      </c>
      <c r="D18" s="43">
        <f t="shared" si="6"/>
        <v>0.41446872645064059</v>
      </c>
      <c r="F18" s="260">
        <v>2</v>
      </c>
      <c r="G18" s="296">
        <f t="shared" si="1"/>
        <v>18.181818181818183</v>
      </c>
      <c r="H18" s="260"/>
      <c r="I18" s="261">
        <v>1</v>
      </c>
      <c r="J18" s="296">
        <f t="shared" si="2"/>
        <v>9.0909090909090917</v>
      </c>
      <c r="K18" s="261"/>
      <c r="L18" s="261">
        <v>8</v>
      </c>
      <c r="M18" s="296">
        <f t="shared" si="3"/>
        <v>72.727272727272734</v>
      </c>
      <c r="N18" s="261"/>
      <c r="O18" s="261">
        <v>0</v>
      </c>
      <c r="P18" s="296">
        <f t="shared" si="4"/>
        <v>0</v>
      </c>
      <c r="Q18" s="261"/>
      <c r="R18" s="261">
        <v>0</v>
      </c>
      <c r="S18" s="296">
        <f t="shared" si="5"/>
        <v>0</v>
      </c>
      <c r="T18" s="45"/>
    </row>
    <row r="19" spans="1:21" ht="13.15" customHeight="1">
      <c r="A19" t="s">
        <v>822</v>
      </c>
      <c r="B19" s="50">
        <f t="shared" si="0"/>
        <v>38</v>
      </c>
      <c r="F19" s="260">
        <v>3</v>
      </c>
      <c r="G19" s="296">
        <f t="shared" si="1"/>
        <v>7.8947368421052628</v>
      </c>
      <c r="H19" s="260"/>
      <c r="I19" s="261">
        <v>34</v>
      </c>
      <c r="J19" s="296">
        <f t="shared" si="2"/>
        <v>89.473684210526315</v>
      </c>
      <c r="K19" s="261"/>
      <c r="L19" s="261">
        <v>1</v>
      </c>
      <c r="M19" s="296">
        <f t="shared" si="3"/>
        <v>2.6315789473684208</v>
      </c>
      <c r="N19" s="261"/>
      <c r="O19" s="261">
        <v>0</v>
      </c>
      <c r="P19" s="296">
        <f t="shared" si="4"/>
        <v>0</v>
      </c>
      <c r="Q19" s="261"/>
      <c r="R19" s="261">
        <v>0</v>
      </c>
      <c r="S19" s="296"/>
      <c r="T19" s="45"/>
    </row>
    <row r="20" spans="1:21" ht="12.75" customHeight="1">
      <c r="A20" t="s">
        <v>823</v>
      </c>
      <c r="B20" s="50">
        <f t="shared" si="0"/>
        <v>7</v>
      </c>
      <c r="D20" s="43">
        <f t="shared" si="6"/>
        <v>0.26375282592313487</v>
      </c>
      <c r="F20" s="260">
        <v>0</v>
      </c>
      <c r="G20" s="296">
        <f t="shared" si="1"/>
        <v>0</v>
      </c>
      <c r="H20" s="260"/>
      <c r="I20" s="261">
        <v>3</v>
      </c>
      <c r="J20" s="296">
        <f t="shared" si="2"/>
        <v>42.857142857142854</v>
      </c>
      <c r="K20" s="261"/>
      <c r="L20" s="261">
        <v>4</v>
      </c>
      <c r="M20" s="296">
        <f t="shared" si="3"/>
        <v>57.142857142857139</v>
      </c>
      <c r="N20" s="261"/>
      <c r="O20" s="261">
        <v>0</v>
      </c>
      <c r="P20" s="296">
        <f t="shared" si="4"/>
        <v>0</v>
      </c>
      <c r="Q20" s="261"/>
      <c r="R20" s="261">
        <v>0</v>
      </c>
      <c r="S20" s="259">
        <f t="shared" si="5"/>
        <v>0</v>
      </c>
      <c r="T20" s="45"/>
    </row>
    <row r="21" spans="1:21" ht="7.5" customHeight="1">
      <c r="D21" s="43" t="str">
        <f t="shared" si="6"/>
        <v/>
      </c>
      <c r="F21" s="295"/>
      <c r="G21" s="296" t="str">
        <f t="shared" si="1"/>
        <v/>
      </c>
      <c r="H21" s="44"/>
      <c r="I21" s="295"/>
      <c r="J21" s="296" t="str">
        <f t="shared" si="2"/>
        <v/>
      </c>
      <c r="K21" s="44"/>
      <c r="L21" s="295"/>
      <c r="M21" s="296" t="str">
        <f t="shared" si="3"/>
        <v/>
      </c>
      <c r="N21" s="44"/>
      <c r="O21" s="295"/>
      <c r="P21" s="296" t="str">
        <f t="shared" si="4"/>
        <v/>
      </c>
      <c r="Q21" s="44"/>
      <c r="R21" s="295"/>
      <c r="S21" s="259" t="str">
        <f t="shared" si="5"/>
        <v/>
      </c>
      <c r="T21" s="45"/>
      <c r="U21" s="45"/>
    </row>
    <row r="22" spans="1:21" ht="13.15" customHeight="1">
      <c r="A22" s="63" t="s">
        <v>824</v>
      </c>
      <c r="B22" s="50">
        <f t="shared" ref="B22:B85" si="7">IF($A22&lt;&gt;0,F22+I22+L22+O22+R22,"")</f>
        <v>2059</v>
      </c>
      <c r="D22" s="43">
        <f t="shared" si="6"/>
        <v>77.581009796533522</v>
      </c>
      <c r="F22" s="295">
        <f>SUM(F23:F79)</f>
        <v>46</v>
      </c>
      <c r="G22" s="296">
        <f t="shared" si="1"/>
        <v>2.2340942204953862</v>
      </c>
      <c r="H22" s="295"/>
      <c r="I22" s="295">
        <f>SUM(I23:I79)</f>
        <v>1050</v>
      </c>
      <c r="J22" s="296">
        <f t="shared" si="2"/>
        <v>50.995628946090335</v>
      </c>
      <c r="K22" s="295"/>
      <c r="L22" s="295">
        <f>SUM(L23:L79)</f>
        <v>699</v>
      </c>
      <c r="M22" s="296">
        <f t="shared" si="3"/>
        <v>33.94851869839728</v>
      </c>
      <c r="N22" s="295"/>
      <c r="O22" s="295">
        <f>SUM(O23:O79)</f>
        <v>239</v>
      </c>
      <c r="P22" s="296">
        <f t="shared" si="4"/>
        <v>11.607576493443419</v>
      </c>
      <c r="Q22" s="295"/>
      <c r="R22" s="295">
        <f>SUM(R23:R79)</f>
        <v>25</v>
      </c>
      <c r="S22" s="259">
        <f t="shared" si="5"/>
        <v>1.2141816415735796</v>
      </c>
      <c r="T22" s="45"/>
      <c r="U22" s="45"/>
    </row>
    <row r="23" spans="1:21" ht="12.75" customHeight="1">
      <c r="A23" t="s">
        <v>825</v>
      </c>
      <c r="B23" s="50">
        <f t="shared" si="7"/>
        <v>83</v>
      </c>
      <c r="D23" s="43">
        <f t="shared" si="6"/>
        <v>3.1273549359457418</v>
      </c>
      <c r="F23" s="260">
        <v>2</v>
      </c>
      <c r="G23" s="296">
        <f t="shared" si="1"/>
        <v>2.4096385542168677</v>
      </c>
      <c r="H23" s="260"/>
      <c r="I23" s="261">
        <v>48</v>
      </c>
      <c r="J23" s="296">
        <f t="shared" si="2"/>
        <v>57.831325301204814</v>
      </c>
      <c r="K23" s="261"/>
      <c r="L23" s="261">
        <v>32</v>
      </c>
      <c r="M23" s="296">
        <f t="shared" si="3"/>
        <v>38.554216867469883</v>
      </c>
      <c r="N23" s="261"/>
      <c r="O23" s="261">
        <v>1</v>
      </c>
      <c r="P23" s="296">
        <f t="shared" si="4"/>
        <v>1.2048192771084338</v>
      </c>
      <c r="Q23" s="261"/>
      <c r="R23" s="261">
        <v>0</v>
      </c>
      <c r="S23" s="259">
        <f t="shared" si="5"/>
        <v>0</v>
      </c>
      <c r="T23" s="45"/>
    </row>
    <row r="24" spans="1:21" ht="13.15" customHeight="1">
      <c r="A24" t="s">
        <v>826</v>
      </c>
      <c r="B24" s="50">
        <f t="shared" si="7"/>
        <v>10</v>
      </c>
      <c r="D24" s="43">
        <f t="shared" si="6"/>
        <v>0.37678975131876413</v>
      </c>
      <c r="F24" s="260">
        <v>0</v>
      </c>
      <c r="G24" s="296">
        <f t="shared" si="1"/>
        <v>0</v>
      </c>
      <c r="H24" s="260"/>
      <c r="I24" s="261">
        <v>9</v>
      </c>
      <c r="J24" s="296">
        <f t="shared" si="2"/>
        <v>90</v>
      </c>
      <c r="K24" s="261"/>
      <c r="L24" s="261">
        <v>1</v>
      </c>
      <c r="M24" s="296">
        <f t="shared" si="3"/>
        <v>10</v>
      </c>
      <c r="N24" s="261"/>
      <c r="O24" s="261">
        <v>0</v>
      </c>
      <c r="P24" s="296">
        <f t="shared" si="4"/>
        <v>0</v>
      </c>
      <c r="Q24" s="261"/>
      <c r="R24" s="261">
        <v>0</v>
      </c>
      <c r="S24" s="259">
        <f t="shared" si="5"/>
        <v>0</v>
      </c>
      <c r="T24" s="45"/>
    </row>
    <row r="25" spans="1:21" ht="13.15" customHeight="1">
      <c r="A25" t="s">
        <v>827</v>
      </c>
      <c r="B25" s="50">
        <f t="shared" si="7"/>
        <v>132</v>
      </c>
      <c r="D25" s="43">
        <f t="shared" si="6"/>
        <v>4.9736247174076871</v>
      </c>
      <c r="F25" s="260">
        <v>8</v>
      </c>
      <c r="G25" s="296">
        <f t="shared" si="1"/>
        <v>6.0606060606060606</v>
      </c>
      <c r="H25" s="260"/>
      <c r="I25" s="261">
        <v>92</v>
      </c>
      <c r="J25" s="296">
        <f t="shared" si="2"/>
        <v>69.696969696969703</v>
      </c>
      <c r="K25" s="261"/>
      <c r="L25" s="261">
        <v>32</v>
      </c>
      <c r="M25" s="296">
        <f t="shared" si="3"/>
        <v>24.242424242424242</v>
      </c>
      <c r="N25" s="261"/>
      <c r="O25" s="261">
        <v>0</v>
      </c>
      <c r="P25" s="296">
        <f t="shared" si="4"/>
        <v>0</v>
      </c>
      <c r="Q25" s="261"/>
      <c r="R25" s="261">
        <v>0</v>
      </c>
      <c r="S25" s="259">
        <f t="shared" si="5"/>
        <v>0</v>
      </c>
      <c r="T25" s="45"/>
    </row>
    <row r="26" spans="1:21" ht="13.15" customHeight="1">
      <c r="A26" t="s">
        <v>828</v>
      </c>
      <c r="B26" s="50">
        <f t="shared" si="7"/>
        <v>18</v>
      </c>
      <c r="D26" s="43">
        <f t="shared" si="6"/>
        <v>0.67822155237377535</v>
      </c>
      <c r="F26" s="260">
        <v>0</v>
      </c>
      <c r="G26" s="296">
        <f t="shared" si="1"/>
        <v>0</v>
      </c>
      <c r="H26" s="260"/>
      <c r="I26" s="261">
        <v>8</v>
      </c>
      <c r="J26" s="296">
        <f t="shared" si="2"/>
        <v>44.444444444444443</v>
      </c>
      <c r="K26" s="261"/>
      <c r="L26" s="261">
        <v>8</v>
      </c>
      <c r="M26" s="296">
        <f t="shared" si="3"/>
        <v>44.444444444444443</v>
      </c>
      <c r="N26" s="261"/>
      <c r="O26" s="261">
        <v>2</v>
      </c>
      <c r="P26" s="296">
        <f t="shared" si="4"/>
        <v>11.111111111111111</v>
      </c>
      <c r="Q26" s="261"/>
      <c r="R26" s="261">
        <v>0</v>
      </c>
      <c r="S26" s="259">
        <f t="shared" si="5"/>
        <v>0</v>
      </c>
      <c r="T26" s="45"/>
    </row>
    <row r="27" spans="1:21" ht="13.15" customHeight="1">
      <c r="A27" t="s">
        <v>829</v>
      </c>
      <c r="B27" s="50">
        <f t="shared" si="7"/>
        <v>40</v>
      </c>
      <c r="D27" s="43">
        <f t="shared" si="6"/>
        <v>1.5071590052750565</v>
      </c>
      <c r="F27" s="260">
        <v>0</v>
      </c>
      <c r="G27" s="296">
        <f t="shared" si="1"/>
        <v>0</v>
      </c>
      <c r="H27" s="260"/>
      <c r="I27" s="261">
        <v>19</v>
      </c>
      <c r="J27" s="296">
        <f t="shared" si="2"/>
        <v>47.5</v>
      </c>
      <c r="K27" s="261"/>
      <c r="L27" s="261">
        <v>14</v>
      </c>
      <c r="M27" s="296">
        <f t="shared" si="3"/>
        <v>35</v>
      </c>
      <c r="N27" s="261"/>
      <c r="O27" s="261">
        <v>7</v>
      </c>
      <c r="P27" s="296">
        <f t="shared" si="4"/>
        <v>17.5</v>
      </c>
      <c r="Q27" s="261"/>
      <c r="R27" s="261">
        <v>0</v>
      </c>
      <c r="S27" s="259">
        <f t="shared" si="5"/>
        <v>0</v>
      </c>
      <c r="T27" s="45"/>
    </row>
    <row r="28" spans="1:21" ht="13.15" customHeight="1">
      <c r="A28" t="s">
        <v>830</v>
      </c>
      <c r="B28" s="50">
        <f t="shared" si="7"/>
        <v>35</v>
      </c>
      <c r="D28" s="43">
        <f t="shared" si="6"/>
        <v>1.3187641296156745</v>
      </c>
      <c r="F28" s="260">
        <v>2</v>
      </c>
      <c r="G28" s="296">
        <f t="shared" si="1"/>
        <v>5.7142857142857144</v>
      </c>
      <c r="H28" s="260"/>
      <c r="I28" s="261">
        <v>15</v>
      </c>
      <c r="J28" s="296">
        <f t="shared" si="2"/>
        <v>42.857142857142854</v>
      </c>
      <c r="K28" s="261"/>
      <c r="L28" s="261">
        <v>13</v>
      </c>
      <c r="M28" s="296">
        <f t="shared" si="3"/>
        <v>37.142857142857146</v>
      </c>
      <c r="N28" s="261"/>
      <c r="O28" s="261">
        <v>5</v>
      </c>
      <c r="P28" s="296">
        <f t="shared" si="4"/>
        <v>14.285714285714285</v>
      </c>
      <c r="Q28" s="261"/>
      <c r="R28" s="261">
        <v>0</v>
      </c>
      <c r="S28" s="259">
        <f t="shared" si="5"/>
        <v>0</v>
      </c>
      <c r="T28" s="45"/>
    </row>
    <row r="29" spans="1:21" ht="13.15" customHeight="1">
      <c r="A29" t="s">
        <v>831</v>
      </c>
      <c r="B29" s="50">
        <f t="shared" si="7"/>
        <v>12</v>
      </c>
      <c r="D29" s="43">
        <f t="shared" si="6"/>
        <v>0.45214770158251694</v>
      </c>
      <c r="F29" s="260">
        <v>0</v>
      </c>
      <c r="G29" s="296">
        <f t="shared" si="1"/>
        <v>0</v>
      </c>
      <c r="H29" s="260"/>
      <c r="I29" s="261">
        <v>3</v>
      </c>
      <c r="J29" s="296">
        <f t="shared" si="2"/>
        <v>25</v>
      </c>
      <c r="K29" s="261"/>
      <c r="L29" s="261">
        <v>9</v>
      </c>
      <c r="M29" s="296">
        <f t="shared" si="3"/>
        <v>75</v>
      </c>
      <c r="N29" s="261"/>
      <c r="O29" s="261">
        <v>0</v>
      </c>
      <c r="P29" s="296">
        <f t="shared" si="4"/>
        <v>0</v>
      </c>
      <c r="Q29" s="261"/>
      <c r="R29" s="261">
        <v>0</v>
      </c>
      <c r="S29" s="259">
        <f t="shared" si="5"/>
        <v>0</v>
      </c>
      <c r="T29" s="45"/>
    </row>
    <row r="30" spans="1:21" ht="13.15" customHeight="1">
      <c r="A30" t="s">
        <v>832</v>
      </c>
      <c r="B30" s="50">
        <f t="shared" si="7"/>
        <v>57</v>
      </c>
      <c r="D30" s="43">
        <f t="shared" si="6"/>
        <v>2.1477015825169556</v>
      </c>
      <c r="F30" s="260">
        <v>0</v>
      </c>
      <c r="G30" s="296">
        <f t="shared" si="1"/>
        <v>0</v>
      </c>
      <c r="H30" s="260"/>
      <c r="I30" s="261">
        <v>17</v>
      </c>
      <c r="J30" s="296">
        <f t="shared" si="2"/>
        <v>29.82456140350877</v>
      </c>
      <c r="K30" s="261"/>
      <c r="L30" s="261">
        <v>27</v>
      </c>
      <c r="M30" s="296">
        <f t="shared" si="3"/>
        <v>47.368421052631575</v>
      </c>
      <c r="N30" s="261"/>
      <c r="O30" s="261">
        <v>11</v>
      </c>
      <c r="P30" s="296">
        <f t="shared" si="4"/>
        <v>19.298245614035086</v>
      </c>
      <c r="Q30" s="261"/>
      <c r="R30" s="261">
        <v>2</v>
      </c>
      <c r="S30" s="259">
        <f t="shared" si="5"/>
        <v>3.5087719298245612</v>
      </c>
      <c r="T30" s="45"/>
    </row>
    <row r="31" spans="1:21" ht="13.15" customHeight="1">
      <c r="A31" t="s">
        <v>833</v>
      </c>
      <c r="B31" s="50">
        <f t="shared" si="7"/>
        <v>24</v>
      </c>
      <c r="D31" s="43">
        <f t="shared" si="6"/>
        <v>0.90429540316503387</v>
      </c>
      <c r="F31" s="260">
        <v>0</v>
      </c>
      <c r="G31" s="296">
        <f t="shared" si="1"/>
        <v>0</v>
      </c>
      <c r="H31" s="260"/>
      <c r="I31" s="261">
        <v>18</v>
      </c>
      <c r="J31" s="296">
        <f t="shared" si="2"/>
        <v>75</v>
      </c>
      <c r="K31" s="261"/>
      <c r="L31" s="261">
        <v>5</v>
      </c>
      <c r="M31" s="296">
        <f t="shared" si="3"/>
        <v>20.833333333333336</v>
      </c>
      <c r="N31" s="261"/>
      <c r="O31" s="261">
        <v>1</v>
      </c>
      <c r="P31" s="296">
        <f t="shared" si="4"/>
        <v>4.1666666666666661</v>
      </c>
      <c r="Q31" s="261"/>
      <c r="R31" s="261">
        <v>0</v>
      </c>
      <c r="S31" s="259">
        <f t="shared" si="5"/>
        <v>0</v>
      </c>
      <c r="T31" s="45"/>
    </row>
    <row r="32" spans="1:21" ht="13.15" customHeight="1">
      <c r="A32" t="s">
        <v>834</v>
      </c>
      <c r="B32" s="50">
        <f t="shared" si="7"/>
        <v>56</v>
      </c>
      <c r="D32" s="43">
        <f t="shared" si="6"/>
        <v>2.110022607385079</v>
      </c>
      <c r="F32" s="260">
        <v>1</v>
      </c>
      <c r="G32" s="296">
        <f t="shared" si="1"/>
        <v>1.7857142857142856</v>
      </c>
      <c r="H32" s="260"/>
      <c r="I32" s="261">
        <v>26</v>
      </c>
      <c r="J32" s="296">
        <f t="shared" si="2"/>
        <v>46.428571428571431</v>
      </c>
      <c r="K32" s="261"/>
      <c r="L32" s="261">
        <v>27</v>
      </c>
      <c r="M32" s="296">
        <f t="shared" si="3"/>
        <v>48.214285714285715</v>
      </c>
      <c r="N32" s="261"/>
      <c r="O32" s="261">
        <v>1</v>
      </c>
      <c r="P32" s="296">
        <f t="shared" si="4"/>
        <v>1.7857142857142856</v>
      </c>
      <c r="Q32" s="261"/>
      <c r="R32" s="261">
        <v>1</v>
      </c>
      <c r="S32" s="259">
        <f t="shared" si="5"/>
        <v>1.7857142857142856</v>
      </c>
      <c r="T32" s="45"/>
    </row>
    <row r="33" spans="1:20" ht="13.15" customHeight="1">
      <c r="A33" t="s">
        <v>835</v>
      </c>
      <c r="B33" s="50">
        <f t="shared" si="7"/>
        <v>33</v>
      </c>
      <c r="D33" s="43">
        <f t="shared" si="6"/>
        <v>1.2434061793519218</v>
      </c>
      <c r="F33" s="260">
        <v>1</v>
      </c>
      <c r="G33" s="296">
        <f t="shared" si="1"/>
        <v>3.0303030303030303</v>
      </c>
      <c r="H33" s="260"/>
      <c r="I33" s="261">
        <v>25</v>
      </c>
      <c r="J33" s="296">
        <f t="shared" si="2"/>
        <v>75.757575757575751</v>
      </c>
      <c r="K33" s="261"/>
      <c r="L33" s="261">
        <v>4</v>
      </c>
      <c r="M33" s="296">
        <f t="shared" si="3"/>
        <v>12.121212121212121</v>
      </c>
      <c r="N33" s="261"/>
      <c r="O33" s="261">
        <v>2</v>
      </c>
      <c r="P33" s="296">
        <f t="shared" si="4"/>
        <v>6.0606060606060606</v>
      </c>
      <c r="Q33" s="261"/>
      <c r="R33" s="261">
        <v>1</v>
      </c>
      <c r="S33" s="259">
        <f t="shared" si="5"/>
        <v>3.0303030303030303</v>
      </c>
      <c r="T33" s="45"/>
    </row>
    <row r="34" spans="1:20" ht="13.15" customHeight="1">
      <c r="A34" t="s">
        <v>836</v>
      </c>
      <c r="B34" s="50">
        <f t="shared" si="7"/>
        <v>20</v>
      </c>
      <c r="D34" s="43">
        <f t="shared" si="6"/>
        <v>0.75357950263752826</v>
      </c>
      <c r="F34" s="260">
        <v>0</v>
      </c>
      <c r="G34" s="296">
        <f t="shared" si="1"/>
        <v>0</v>
      </c>
      <c r="H34" s="260"/>
      <c r="I34" s="261">
        <v>2</v>
      </c>
      <c r="J34" s="296">
        <f t="shared" si="2"/>
        <v>10</v>
      </c>
      <c r="K34" s="261"/>
      <c r="L34" s="261">
        <v>6</v>
      </c>
      <c r="M34" s="296">
        <f t="shared" si="3"/>
        <v>30</v>
      </c>
      <c r="N34" s="261"/>
      <c r="O34" s="261">
        <v>3</v>
      </c>
      <c r="P34" s="296">
        <f t="shared" si="4"/>
        <v>15</v>
      </c>
      <c r="Q34" s="261"/>
      <c r="R34" s="261">
        <v>9</v>
      </c>
      <c r="S34" s="259">
        <f t="shared" si="5"/>
        <v>45</v>
      </c>
      <c r="T34" s="45"/>
    </row>
    <row r="35" spans="1:20" ht="13.15" customHeight="1">
      <c r="A35" t="s">
        <v>837</v>
      </c>
      <c r="B35" s="50">
        <f t="shared" si="7"/>
        <v>27</v>
      </c>
      <c r="D35" s="43">
        <f t="shared" si="6"/>
        <v>1.0173323285606632</v>
      </c>
      <c r="F35" s="260">
        <v>0</v>
      </c>
      <c r="G35" s="296">
        <f t="shared" si="1"/>
        <v>0</v>
      </c>
      <c r="H35" s="260"/>
      <c r="I35" s="261">
        <v>14</v>
      </c>
      <c r="J35" s="296">
        <f t="shared" si="2"/>
        <v>51.851851851851848</v>
      </c>
      <c r="K35" s="261"/>
      <c r="L35" s="261">
        <v>6</v>
      </c>
      <c r="M35" s="296">
        <f t="shared" si="3"/>
        <v>22.222222222222221</v>
      </c>
      <c r="N35" s="261"/>
      <c r="O35" s="261">
        <v>7</v>
      </c>
      <c r="P35" s="296">
        <f t="shared" si="4"/>
        <v>25.925925925925924</v>
      </c>
      <c r="Q35" s="261"/>
      <c r="R35" s="261">
        <v>0</v>
      </c>
      <c r="S35" s="259">
        <f t="shared" si="5"/>
        <v>0</v>
      </c>
      <c r="T35" s="45"/>
    </row>
    <row r="36" spans="1:20" ht="13.15" customHeight="1">
      <c r="A36" t="s">
        <v>838</v>
      </c>
      <c r="B36" s="50">
        <f t="shared" si="7"/>
        <v>29</v>
      </c>
      <c r="D36" s="43">
        <f t="shared" si="6"/>
        <v>1.0926902788244159</v>
      </c>
      <c r="F36" s="260">
        <v>0</v>
      </c>
      <c r="G36" s="296">
        <f t="shared" si="1"/>
        <v>0</v>
      </c>
      <c r="H36" s="260"/>
      <c r="I36" s="261">
        <v>5</v>
      </c>
      <c r="J36" s="296">
        <f t="shared" si="2"/>
        <v>17.241379310344829</v>
      </c>
      <c r="K36" s="261"/>
      <c r="L36" s="261">
        <v>22</v>
      </c>
      <c r="M36" s="296">
        <f t="shared" si="3"/>
        <v>75.862068965517238</v>
      </c>
      <c r="N36" s="261"/>
      <c r="O36" s="261">
        <v>2</v>
      </c>
      <c r="P36" s="296">
        <f t="shared" si="4"/>
        <v>6.8965517241379306</v>
      </c>
      <c r="Q36" s="261"/>
      <c r="R36" s="261">
        <v>0</v>
      </c>
      <c r="S36" s="259">
        <f t="shared" si="5"/>
        <v>0</v>
      </c>
      <c r="T36" s="45"/>
    </row>
    <row r="37" spans="1:20" ht="13.15" customHeight="1">
      <c r="A37" t="s">
        <v>839</v>
      </c>
      <c r="B37" s="50">
        <f t="shared" si="7"/>
        <v>7</v>
      </c>
      <c r="D37" s="43">
        <f t="shared" si="6"/>
        <v>0.26375282592313487</v>
      </c>
      <c r="F37" s="260">
        <v>0</v>
      </c>
      <c r="G37" s="296">
        <f t="shared" si="1"/>
        <v>0</v>
      </c>
      <c r="H37" s="260"/>
      <c r="I37" s="261">
        <v>1</v>
      </c>
      <c r="J37" s="296">
        <f t="shared" si="2"/>
        <v>14.285714285714285</v>
      </c>
      <c r="K37" s="261"/>
      <c r="L37" s="261">
        <v>3</v>
      </c>
      <c r="M37" s="296">
        <f t="shared" si="3"/>
        <v>42.857142857142854</v>
      </c>
      <c r="N37" s="261"/>
      <c r="O37" s="261">
        <v>3</v>
      </c>
      <c r="P37" s="296">
        <f t="shared" si="4"/>
        <v>42.857142857142854</v>
      </c>
      <c r="Q37" s="261"/>
      <c r="R37" s="261">
        <v>0</v>
      </c>
      <c r="S37" s="259">
        <f t="shared" si="5"/>
        <v>0</v>
      </c>
      <c r="T37" s="45"/>
    </row>
    <row r="38" spans="1:20" ht="13.15" customHeight="1">
      <c r="A38" t="s">
        <v>840</v>
      </c>
      <c r="B38" s="50">
        <f t="shared" si="7"/>
        <v>93</v>
      </c>
      <c r="D38" s="43">
        <f t="shared" si="6"/>
        <v>3.5041446872645063</v>
      </c>
      <c r="F38" s="260">
        <v>0</v>
      </c>
      <c r="G38" s="296">
        <f t="shared" si="1"/>
        <v>0</v>
      </c>
      <c r="H38" s="260"/>
      <c r="I38" s="261">
        <v>59</v>
      </c>
      <c r="J38" s="296">
        <f t="shared" si="2"/>
        <v>63.44086021505376</v>
      </c>
      <c r="K38" s="261"/>
      <c r="L38" s="261">
        <v>31</v>
      </c>
      <c r="M38" s="296">
        <f t="shared" si="3"/>
        <v>33.333333333333329</v>
      </c>
      <c r="N38" s="261"/>
      <c r="O38" s="261">
        <v>2</v>
      </c>
      <c r="P38" s="296">
        <f t="shared" si="4"/>
        <v>2.1505376344086025</v>
      </c>
      <c r="Q38" s="261"/>
      <c r="R38" s="261">
        <v>1</v>
      </c>
      <c r="S38" s="259">
        <f t="shared" si="5"/>
        <v>1.0752688172043012</v>
      </c>
      <c r="T38" s="45"/>
    </row>
    <row r="39" spans="1:20" ht="13.15" customHeight="1">
      <c r="A39" t="s">
        <v>841</v>
      </c>
      <c r="B39" s="50">
        <f t="shared" si="7"/>
        <v>57</v>
      </c>
      <c r="D39" s="43">
        <f t="shared" si="6"/>
        <v>2.1477015825169556</v>
      </c>
      <c r="F39" s="260">
        <v>2</v>
      </c>
      <c r="G39" s="296">
        <f t="shared" si="1"/>
        <v>3.5087719298245612</v>
      </c>
      <c r="H39" s="260"/>
      <c r="I39" s="261">
        <v>35</v>
      </c>
      <c r="J39" s="296">
        <f t="shared" si="2"/>
        <v>61.403508771929829</v>
      </c>
      <c r="K39" s="261"/>
      <c r="L39" s="261">
        <v>18</v>
      </c>
      <c r="M39" s="296">
        <f t="shared" si="3"/>
        <v>31.578947368421051</v>
      </c>
      <c r="N39" s="261"/>
      <c r="O39" s="261">
        <v>2</v>
      </c>
      <c r="P39" s="296">
        <f t="shared" si="4"/>
        <v>3.5087719298245612</v>
      </c>
      <c r="Q39" s="261"/>
      <c r="R39" s="261">
        <v>0</v>
      </c>
      <c r="S39" s="259">
        <f t="shared" si="5"/>
        <v>0</v>
      </c>
      <c r="T39" s="45"/>
    </row>
    <row r="40" spans="1:20" ht="13.15" customHeight="1">
      <c r="A40" t="s">
        <v>842</v>
      </c>
      <c r="B40" s="50">
        <f t="shared" si="7"/>
        <v>35</v>
      </c>
      <c r="D40" s="43">
        <f t="shared" si="6"/>
        <v>1.3187641296156745</v>
      </c>
      <c r="F40" s="260">
        <v>5</v>
      </c>
      <c r="G40" s="296">
        <f t="shared" si="1"/>
        <v>14.285714285714285</v>
      </c>
      <c r="H40" s="260"/>
      <c r="I40" s="261">
        <v>21</v>
      </c>
      <c r="J40" s="296">
        <f t="shared" si="2"/>
        <v>60</v>
      </c>
      <c r="K40" s="261"/>
      <c r="L40" s="261">
        <v>9</v>
      </c>
      <c r="M40" s="296">
        <f t="shared" si="3"/>
        <v>25.714285714285712</v>
      </c>
      <c r="N40" s="261"/>
      <c r="O40" s="261">
        <v>0</v>
      </c>
      <c r="P40" s="296">
        <f t="shared" si="4"/>
        <v>0</v>
      </c>
      <c r="Q40" s="261"/>
      <c r="R40" s="261">
        <v>0</v>
      </c>
      <c r="S40" s="259">
        <f t="shared" si="5"/>
        <v>0</v>
      </c>
      <c r="T40" s="45"/>
    </row>
    <row r="41" spans="1:20" ht="13.15" customHeight="1">
      <c r="A41" t="s">
        <v>843</v>
      </c>
      <c r="B41" s="50">
        <f t="shared" si="7"/>
        <v>32</v>
      </c>
      <c r="D41" s="43">
        <f t="shared" si="6"/>
        <v>1.2057272042200453</v>
      </c>
      <c r="F41" s="260">
        <v>1</v>
      </c>
      <c r="G41" s="296">
        <f t="shared" si="1"/>
        <v>3.125</v>
      </c>
      <c r="H41" s="260"/>
      <c r="I41" s="261">
        <v>10</v>
      </c>
      <c r="J41" s="296">
        <f t="shared" si="2"/>
        <v>31.25</v>
      </c>
      <c r="K41" s="261"/>
      <c r="L41" s="261">
        <v>19</v>
      </c>
      <c r="M41" s="296">
        <f t="shared" si="3"/>
        <v>59.375</v>
      </c>
      <c r="N41" s="261"/>
      <c r="O41" s="261">
        <v>2</v>
      </c>
      <c r="P41" s="296">
        <f t="shared" si="4"/>
        <v>6.25</v>
      </c>
      <c r="Q41" s="261"/>
      <c r="R41" s="261">
        <v>0</v>
      </c>
      <c r="S41" s="259">
        <f t="shared" si="5"/>
        <v>0</v>
      </c>
      <c r="T41" s="45"/>
    </row>
    <row r="42" spans="1:20" ht="13.15" customHeight="1">
      <c r="A42" t="s">
        <v>844</v>
      </c>
      <c r="B42" s="50">
        <f t="shared" si="7"/>
        <v>25</v>
      </c>
      <c r="D42" s="43">
        <f t="shared" si="6"/>
        <v>0.94197437829691044</v>
      </c>
      <c r="F42" s="260">
        <v>2</v>
      </c>
      <c r="G42" s="296">
        <f t="shared" si="1"/>
        <v>8</v>
      </c>
      <c r="H42" s="260"/>
      <c r="I42" s="261">
        <v>21</v>
      </c>
      <c r="J42" s="296">
        <f t="shared" si="2"/>
        <v>84</v>
      </c>
      <c r="K42" s="261"/>
      <c r="L42" s="261">
        <v>2</v>
      </c>
      <c r="M42" s="296">
        <f t="shared" si="3"/>
        <v>8</v>
      </c>
      <c r="N42" s="261"/>
      <c r="O42" s="261">
        <v>0</v>
      </c>
      <c r="P42" s="296">
        <f t="shared" si="4"/>
        <v>0</v>
      </c>
      <c r="Q42" s="261"/>
      <c r="R42" s="261">
        <v>0</v>
      </c>
      <c r="S42" s="259">
        <f t="shared" si="5"/>
        <v>0</v>
      </c>
      <c r="T42" s="45"/>
    </row>
    <row r="43" spans="1:20" ht="13.15" customHeight="1">
      <c r="A43" t="s">
        <v>845</v>
      </c>
      <c r="B43" s="50">
        <f t="shared" si="7"/>
        <v>34</v>
      </c>
      <c r="D43" s="43">
        <f t="shared" si="6"/>
        <v>1.281085154483798</v>
      </c>
      <c r="F43" s="260">
        <v>0</v>
      </c>
      <c r="G43" s="296">
        <f t="shared" si="1"/>
        <v>0</v>
      </c>
      <c r="H43" s="260"/>
      <c r="I43" s="261">
        <v>25</v>
      </c>
      <c r="J43" s="296">
        <f t="shared" si="2"/>
        <v>73.529411764705884</v>
      </c>
      <c r="K43" s="261"/>
      <c r="L43" s="261">
        <v>9</v>
      </c>
      <c r="M43" s="296">
        <f t="shared" si="3"/>
        <v>26.47058823529412</v>
      </c>
      <c r="N43" s="261"/>
      <c r="O43" s="261">
        <v>0</v>
      </c>
      <c r="P43" s="296">
        <f t="shared" si="4"/>
        <v>0</v>
      </c>
      <c r="Q43" s="261"/>
      <c r="R43" s="261">
        <v>0</v>
      </c>
      <c r="S43" s="259">
        <f t="shared" si="5"/>
        <v>0</v>
      </c>
      <c r="T43" s="45"/>
    </row>
    <row r="44" spans="1:20" ht="11.25" customHeight="1">
      <c r="A44" t="s">
        <v>846</v>
      </c>
      <c r="B44" s="50">
        <f t="shared" si="7"/>
        <v>146</v>
      </c>
      <c r="D44" s="43">
        <f t="shared" si="6"/>
        <v>5.5011303692539562</v>
      </c>
      <c r="F44" s="260">
        <v>0</v>
      </c>
      <c r="G44" s="296">
        <f t="shared" si="1"/>
        <v>0</v>
      </c>
      <c r="H44" s="260"/>
      <c r="I44" s="261">
        <v>12</v>
      </c>
      <c r="J44" s="296">
        <f t="shared" si="2"/>
        <v>8.2191780821917799</v>
      </c>
      <c r="K44" s="261"/>
      <c r="L44" s="261">
        <v>67</v>
      </c>
      <c r="M44" s="296">
        <f t="shared" si="3"/>
        <v>45.890410958904113</v>
      </c>
      <c r="N44" s="261"/>
      <c r="O44" s="261">
        <v>67</v>
      </c>
      <c r="P44" s="296">
        <f t="shared" si="4"/>
        <v>45.890410958904113</v>
      </c>
      <c r="Q44" s="261"/>
      <c r="R44" s="261">
        <v>0</v>
      </c>
      <c r="S44" s="259">
        <f t="shared" si="5"/>
        <v>0</v>
      </c>
      <c r="T44" s="45"/>
    </row>
    <row r="45" spans="1:20" ht="13.15" customHeight="1">
      <c r="A45" t="s">
        <v>847</v>
      </c>
      <c r="B45" s="50">
        <f t="shared" si="7"/>
        <v>39</v>
      </c>
      <c r="D45" s="43">
        <f t="shared" si="6"/>
        <v>1.4694800301431801</v>
      </c>
      <c r="F45" s="260">
        <v>0</v>
      </c>
      <c r="G45" s="296">
        <f t="shared" si="1"/>
        <v>0</v>
      </c>
      <c r="H45" s="260"/>
      <c r="I45" s="261">
        <v>20</v>
      </c>
      <c r="J45" s="296">
        <f t="shared" si="2"/>
        <v>51.282051282051277</v>
      </c>
      <c r="K45" s="261"/>
      <c r="L45" s="261">
        <v>14</v>
      </c>
      <c r="M45" s="296">
        <f t="shared" si="3"/>
        <v>35.897435897435898</v>
      </c>
      <c r="N45" s="261"/>
      <c r="O45" s="261">
        <v>5</v>
      </c>
      <c r="P45" s="296">
        <f t="shared" si="4"/>
        <v>12.820512820512819</v>
      </c>
      <c r="Q45" s="261"/>
      <c r="R45" s="261">
        <v>0</v>
      </c>
      <c r="S45" s="259">
        <f t="shared" si="5"/>
        <v>0</v>
      </c>
      <c r="T45" s="45"/>
    </row>
    <row r="46" spans="1:20" ht="13.15" customHeight="1">
      <c r="A46" t="s">
        <v>848</v>
      </c>
      <c r="B46" s="50">
        <f t="shared" si="7"/>
        <v>15</v>
      </c>
      <c r="D46" s="43">
        <f t="shared" si="6"/>
        <v>0.5651846269781462</v>
      </c>
      <c r="F46" s="260">
        <v>0</v>
      </c>
      <c r="G46" s="296">
        <f t="shared" si="1"/>
        <v>0</v>
      </c>
      <c r="H46" s="260"/>
      <c r="I46" s="261">
        <v>8</v>
      </c>
      <c r="J46" s="296">
        <f t="shared" si="2"/>
        <v>53.333333333333336</v>
      </c>
      <c r="K46" s="261"/>
      <c r="L46" s="261">
        <v>7</v>
      </c>
      <c r="M46" s="296">
        <f t="shared" si="3"/>
        <v>46.666666666666664</v>
      </c>
      <c r="N46" s="261"/>
      <c r="O46" s="261">
        <v>0</v>
      </c>
      <c r="P46" s="296">
        <f t="shared" si="4"/>
        <v>0</v>
      </c>
      <c r="Q46" s="261"/>
      <c r="R46" s="261">
        <v>0</v>
      </c>
      <c r="S46" s="259">
        <f t="shared" si="5"/>
        <v>0</v>
      </c>
      <c r="T46" s="45"/>
    </row>
    <row r="47" spans="1:20" ht="13.15" customHeight="1">
      <c r="A47" t="s">
        <v>849</v>
      </c>
      <c r="B47" s="50">
        <f t="shared" si="7"/>
        <v>83</v>
      </c>
      <c r="D47" s="43">
        <f t="shared" si="6"/>
        <v>3.1273549359457418</v>
      </c>
      <c r="F47" s="260">
        <v>2</v>
      </c>
      <c r="G47" s="296">
        <f t="shared" si="1"/>
        <v>2.4096385542168677</v>
      </c>
      <c r="H47" s="260"/>
      <c r="I47" s="261">
        <v>61</v>
      </c>
      <c r="J47" s="296">
        <f t="shared" si="2"/>
        <v>73.493975903614455</v>
      </c>
      <c r="K47" s="261"/>
      <c r="L47" s="261">
        <v>18</v>
      </c>
      <c r="M47" s="296">
        <f t="shared" si="3"/>
        <v>21.686746987951807</v>
      </c>
      <c r="N47" s="261"/>
      <c r="O47" s="261">
        <v>2</v>
      </c>
      <c r="P47" s="296">
        <f t="shared" si="4"/>
        <v>2.4096385542168677</v>
      </c>
      <c r="Q47" s="261"/>
      <c r="R47" s="261">
        <v>0</v>
      </c>
      <c r="S47" s="259">
        <f t="shared" si="5"/>
        <v>0</v>
      </c>
      <c r="T47" s="45"/>
    </row>
    <row r="48" spans="1:20" ht="12.75" customHeight="1">
      <c r="A48" t="s">
        <v>851</v>
      </c>
      <c r="B48" s="50">
        <f t="shared" si="7"/>
        <v>2</v>
      </c>
      <c r="D48" s="43">
        <f t="shared" si="6"/>
        <v>7.5357950263752832E-2</v>
      </c>
      <c r="F48" s="260">
        <v>0</v>
      </c>
      <c r="G48" s="296">
        <f t="shared" si="1"/>
        <v>0</v>
      </c>
      <c r="H48" s="260"/>
      <c r="I48" s="261">
        <v>2</v>
      </c>
      <c r="J48" s="296">
        <f t="shared" si="2"/>
        <v>100</v>
      </c>
      <c r="K48" s="261"/>
      <c r="L48" s="261">
        <v>0</v>
      </c>
      <c r="M48" s="296">
        <f t="shared" si="3"/>
        <v>0</v>
      </c>
      <c r="N48" s="261"/>
      <c r="O48" s="261">
        <v>0</v>
      </c>
      <c r="P48" s="296">
        <f t="shared" si="4"/>
        <v>0</v>
      </c>
      <c r="Q48" s="261"/>
      <c r="R48" s="261">
        <v>0</v>
      </c>
      <c r="S48" s="259">
        <f t="shared" si="5"/>
        <v>0</v>
      </c>
      <c r="T48" s="45"/>
    </row>
    <row r="49" spans="1:20" ht="12.75" customHeight="1">
      <c r="A49" t="s">
        <v>850</v>
      </c>
      <c r="B49" s="50">
        <f t="shared" si="7"/>
        <v>10</v>
      </c>
      <c r="D49" s="43">
        <f t="shared" si="6"/>
        <v>0.37678975131876413</v>
      </c>
      <c r="F49" s="260">
        <v>0</v>
      </c>
      <c r="G49" s="296">
        <f t="shared" si="1"/>
        <v>0</v>
      </c>
      <c r="H49" s="260"/>
      <c r="I49" s="261">
        <v>3</v>
      </c>
      <c r="J49" s="296">
        <f t="shared" si="2"/>
        <v>30</v>
      </c>
      <c r="K49" s="261"/>
      <c r="L49" s="261">
        <v>0</v>
      </c>
      <c r="M49" s="296">
        <f t="shared" si="3"/>
        <v>0</v>
      </c>
      <c r="N49" s="261"/>
      <c r="O49" s="261">
        <v>6</v>
      </c>
      <c r="P49" s="296">
        <f t="shared" si="4"/>
        <v>60</v>
      </c>
      <c r="Q49" s="261"/>
      <c r="R49" s="261">
        <v>1</v>
      </c>
      <c r="S49" s="259"/>
      <c r="T49" s="45"/>
    </row>
    <row r="50" spans="1:20" ht="13.15" customHeight="1">
      <c r="A50" t="s">
        <v>852</v>
      </c>
      <c r="B50" s="50">
        <f t="shared" si="7"/>
        <v>42</v>
      </c>
      <c r="D50" s="43">
        <f t="shared" si="6"/>
        <v>1.5825169555388092</v>
      </c>
      <c r="F50" s="265">
        <v>0</v>
      </c>
      <c r="G50" s="296">
        <f t="shared" si="1"/>
        <v>0</v>
      </c>
      <c r="H50" s="265"/>
      <c r="I50" s="266">
        <v>40</v>
      </c>
      <c r="J50" s="296">
        <f t="shared" si="2"/>
        <v>95.238095238095227</v>
      </c>
      <c r="K50" s="266"/>
      <c r="L50" s="266">
        <v>1</v>
      </c>
      <c r="M50" s="296">
        <f t="shared" si="3"/>
        <v>2.3809523809523809</v>
      </c>
      <c r="N50" s="266"/>
      <c r="O50" s="266">
        <v>1</v>
      </c>
      <c r="P50" s="296">
        <f t="shared" si="4"/>
        <v>2.3809523809523809</v>
      </c>
      <c r="Q50" s="266"/>
      <c r="R50" s="266">
        <v>0</v>
      </c>
      <c r="S50" s="259">
        <f t="shared" si="5"/>
        <v>0</v>
      </c>
      <c r="T50" s="45"/>
    </row>
    <row r="51" spans="1:20" ht="13.15" customHeight="1">
      <c r="A51" t="s">
        <v>853</v>
      </c>
      <c r="B51" s="50">
        <f t="shared" si="7"/>
        <v>38</v>
      </c>
      <c r="D51" s="43">
        <f t="shared" si="6"/>
        <v>1.4318010550113038</v>
      </c>
      <c r="F51" s="260">
        <v>0</v>
      </c>
      <c r="G51" s="296">
        <f t="shared" si="1"/>
        <v>0</v>
      </c>
      <c r="H51" s="260"/>
      <c r="I51" s="261">
        <v>7</v>
      </c>
      <c r="J51" s="296">
        <f t="shared" si="2"/>
        <v>18.421052631578945</v>
      </c>
      <c r="K51" s="261"/>
      <c r="L51" s="261">
        <v>31</v>
      </c>
      <c r="M51" s="296">
        <f t="shared" si="3"/>
        <v>81.578947368421055</v>
      </c>
      <c r="N51" s="261"/>
      <c r="O51" s="261">
        <v>0</v>
      </c>
      <c r="P51" s="296">
        <f t="shared" si="4"/>
        <v>0</v>
      </c>
      <c r="Q51" s="261"/>
      <c r="R51" s="261">
        <v>0</v>
      </c>
      <c r="S51" s="259">
        <f t="shared" si="5"/>
        <v>0</v>
      </c>
      <c r="T51" s="45"/>
    </row>
    <row r="52" spans="1:20" ht="13.15" customHeight="1">
      <c r="A52" t="s">
        <v>854</v>
      </c>
      <c r="B52" s="50">
        <f t="shared" si="7"/>
        <v>23</v>
      </c>
      <c r="D52" s="43">
        <f t="shared" si="6"/>
        <v>0.86661642803315742</v>
      </c>
      <c r="F52" s="260">
        <v>0</v>
      </c>
      <c r="G52" s="296">
        <f t="shared" si="1"/>
        <v>0</v>
      </c>
      <c r="H52" s="260"/>
      <c r="I52" s="261">
        <v>10</v>
      </c>
      <c r="J52" s="296">
        <f t="shared" si="2"/>
        <v>43.478260869565219</v>
      </c>
      <c r="K52" s="261"/>
      <c r="L52" s="261">
        <v>1</v>
      </c>
      <c r="M52" s="296">
        <f t="shared" si="3"/>
        <v>4.3478260869565215</v>
      </c>
      <c r="N52" s="261"/>
      <c r="O52" s="261">
        <v>11</v>
      </c>
      <c r="P52" s="296">
        <f t="shared" si="4"/>
        <v>47.826086956521742</v>
      </c>
      <c r="Q52" s="261"/>
      <c r="R52" s="261">
        <v>1</v>
      </c>
      <c r="S52" s="259">
        <f t="shared" si="5"/>
        <v>4.3478260869565215</v>
      </c>
      <c r="T52" s="45"/>
    </row>
    <row r="53" spans="1:20" ht="13.15" customHeight="1">
      <c r="A53" t="s">
        <v>855</v>
      </c>
      <c r="B53" s="50">
        <f t="shared" si="7"/>
        <v>33</v>
      </c>
      <c r="D53" s="43">
        <f t="shared" si="6"/>
        <v>1.2434061793519218</v>
      </c>
      <c r="F53" s="260">
        <v>3</v>
      </c>
      <c r="G53" s="296">
        <f t="shared" si="1"/>
        <v>9.0909090909090917</v>
      </c>
      <c r="H53" s="260"/>
      <c r="I53" s="261">
        <v>17</v>
      </c>
      <c r="J53" s="296">
        <f t="shared" si="2"/>
        <v>51.515151515151516</v>
      </c>
      <c r="K53" s="261"/>
      <c r="L53" s="261">
        <v>10</v>
      </c>
      <c r="M53" s="296">
        <f t="shared" si="3"/>
        <v>30.303030303030305</v>
      </c>
      <c r="N53" s="261"/>
      <c r="O53" s="261">
        <v>2</v>
      </c>
      <c r="P53" s="296">
        <f t="shared" si="4"/>
        <v>6.0606060606060606</v>
      </c>
      <c r="Q53" s="261"/>
      <c r="R53" s="261">
        <v>1</v>
      </c>
      <c r="S53" s="259">
        <f t="shared" si="5"/>
        <v>3.0303030303030303</v>
      </c>
      <c r="T53" s="45"/>
    </row>
    <row r="54" spans="1:20" ht="13.15" customHeight="1">
      <c r="A54" t="s">
        <v>856</v>
      </c>
      <c r="B54" s="50">
        <f t="shared" si="7"/>
        <v>18</v>
      </c>
      <c r="D54" s="43">
        <f t="shared" si="6"/>
        <v>0.67822155237377535</v>
      </c>
      <c r="F54" s="260">
        <v>1</v>
      </c>
      <c r="G54" s="296">
        <f t="shared" si="1"/>
        <v>5.5555555555555554</v>
      </c>
      <c r="H54" s="260"/>
      <c r="I54" s="261">
        <v>7</v>
      </c>
      <c r="J54" s="296">
        <f t="shared" si="2"/>
        <v>38.888888888888893</v>
      </c>
      <c r="K54" s="261"/>
      <c r="L54" s="261">
        <v>5</v>
      </c>
      <c r="M54" s="296">
        <f t="shared" si="3"/>
        <v>27.777777777777779</v>
      </c>
      <c r="N54" s="261"/>
      <c r="O54" s="261">
        <v>5</v>
      </c>
      <c r="P54" s="296">
        <f t="shared" si="4"/>
        <v>27.777777777777779</v>
      </c>
      <c r="Q54" s="261"/>
      <c r="R54" s="261">
        <v>0</v>
      </c>
      <c r="S54" s="259">
        <f t="shared" si="5"/>
        <v>0</v>
      </c>
      <c r="T54" s="45"/>
    </row>
    <row r="55" spans="1:20" ht="13.15" customHeight="1">
      <c r="A55" t="s">
        <v>857</v>
      </c>
      <c r="B55" s="50">
        <f t="shared" si="7"/>
        <v>12</v>
      </c>
      <c r="D55" s="43">
        <f t="shared" si="6"/>
        <v>0.45214770158251694</v>
      </c>
      <c r="F55" s="260">
        <v>0</v>
      </c>
      <c r="G55" s="296">
        <f t="shared" si="1"/>
        <v>0</v>
      </c>
      <c r="H55" s="260"/>
      <c r="I55" s="261">
        <v>9</v>
      </c>
      <c r="J55" s="296">
        <f t="shared" si="2"/>
        <v>75</v>
      </c>
      <c r="K55" s="261"/>
      <c r="L55" s="261">
        <v>0</v>
      </c>
      <c r="M55" s="296">
        <f t="shared" si="3"/>
        <v>0</v>
      </c>
      <c r="N55" s="261"/>
      <c r="O55" s="261">
        <v>3</v>
      </c>
      <c r="P55" s="296">
        <f t="shared" si="4"/>
        <v>25</v>
      </c>
      <c r="Q55" s="261"/>
      <c r="R55" s="261">
        <v>0</v>
      </c>
      <c r="S55" s="259">
        <f t="shared" si="5"/>
        <v>0</v>
      </c>
      <c r="T55" s="45"/>
    </row>
    <row r="56" spans="1:20" ht="13.15" customHeight="1">
      <c r="A56" t="s">
        <v>858</v>
      </c>
      <c r="B56" s="50">
        <f t="shared" si="7"/>
        <v>16</v>
      </c>
      <c r="D56" s="43">
        <f t="shared" si="6"/>
        <v>0.60286360211002266</v>
      </c>
      <c r="F56" s="260">
        <v>0</v>
      </c>
      <c r="G56" s="296">
        <f t="shared" si="1"/>
        <v>0</v>
      </c>
      <c r="H56" s="260"/>
      <c r="I56" s="261">
        <v>4</v>
      </c>
      <c r="J56" s="296">
        <f t="shared" si="2"/>
        <v>25</v>
      </c>
      <c r="K56" s="261"/>
      <c r="L56" s="261">
        <v>0</v>
      </c>
      <c r="M56" s="296">
        <f t="shared" si="3"/>
        <v>0</v>
      </c>
      <c r="N56" s="261"/>
      <c r="O56" s="261">
        <v>11</v>
      </c>
      <c r="P56" s="296">
        <f t="shared" si="4"/>
        <v>68.75</v>
      </c>
      <c r="Q56" s="261"/>
      <c r="R56" s="261">
        <v>1</v>
      </c>
      <c r="S56" s="259">
        <f t="shared" si="5"/>
        <v>6.25</v>
      </c>
      <c r="T56" s="45"/>
    </row>
    <row r="57" spans="1:20" ht="13.15" customHeight="1">
      <c r="A57" t="s">
        <v>859</v>
      </c>
      <c r="B57" s="50">
        <f t="shared" si="7"/>
        <v>64</v>
      </c>
      <c r="D57" s="43">
        <f t="shared" si="6"/>
        <v>2.4114544084400906</v>
      </c>
      <c r="F57" s="260">
        <v>0</v>
      </c>
      <c r="G57" s="296">
        <f t="shared" si="1"/>
        <v>0</v>
      </c>
      <c r="H57" s="260"/>
      <c r="I57" s="261">
        <v>5</v>
      </c>
      <c r="J57" s="296">
        <f t="shared" si="2"/>
        <v>7.8125</v>
      </c>
      <c r="K57" s="261"/>
      <c r="L57" s="261">
        <v>52</v>
      </c>
      <c r="M57" s="296">
        <f t="shared" si="3"/>
        <v>81.25</v>
      </c>
      <c r="N57" s="261"/>
      <c r="O57" s="261">
        <v>7</v>
      </c>
      <c r="P57" s="296">
        <f t="shared" si="4"/>
        <v>10.9375</v>
      </c>
      <c r="Q57" s="261"/>
      <c r="R57" s="261">
        <v>0</v>
      </c>
      <c r="S57" s="259">
        <f t="shared" si="5"/>
        <v>0</v>
      </c>
      <c r="T57" s="45"/>
    </row>
    <row r="58" spans="1:20" ht="12.75" customHeight="1">
      <c r="A58" t="s">
        <v>860</v>
      </c>
      <c r="B58" s="50">
        <f t="shared" si="7"/>
        <v>16</v>
      </c>
      <c r="D58" s="43">
        <f t="shared" si="6"/>
        <v>0.60286360211002266</v>
      </c>
      <c r="F58" s="260">
        <v>2</v>
      </c>
      <c r="G58" s="296">
        <f t="shared" si="1"/>
        <v>12.5</v>
      </c>
      <c r="H58" s="260"/>
      <c r="I58" s="261">
        <v>3</v>
      </c>
      <c r="J58" s="296">
        <f t="shared" si="2"/>
        <v>18.75</v>
      </c>
      <c r="K58" s="261"/>
      <c r="L58" s="261">
        <v>1</v>
      </c>
      <c r="M58" s="296">
        <f t="shared" si="3"/>
        <v>6.25</v>
      </c>
      <c r="N58" s="261"/>
      <c r="O58" s="261">
        <v>10</v>
      </c>
      <c r="P58" s="296">
        <f t="shared" si="4"/>
        <v>62.5</v>
      </c>
      <c r="Q58" s="261"/>
      <c r="R58" s="261">
        <v>0</v>
      </c>
      <c r="S58" s="259">
        <f t="shared" si="5"/>
        <v>0</v>
      </c>
      <c r="T58" s="45"/>
    </row>
    <row r="59" spans="1:20" ht="11.25" customHeight="1">
      <c r="A59" t="s">
        <v>861</v>
      </c>
      <c r="B59" s="50">
        <f t="shared" si="7"/>
        <v>9</v>
      </c>
      <c r="D59" s="43">
        <f t="shared" si="6"/>
        <v>0.33911077618688767</v>
      </c>
      <c r="F59" s="260">
        <v>0</v>
      </c>
      <c r="G59" s="296">
        <f t="shared" si="1"/>
        <v>0</v>
      </c>
      <c r="H59" s="260"/>
      <c r="I59" s="261">
        <v>8</v>
      </c>
      <c r="J59" s="296">
        <f t="shared" si="2"/>
        <v>88.888888888888886</v>
      </c>
      <c r="K59" s="261"/>
      <c r="L59" s="261">
        <v>0</v>
      </c>
      <c r="M59" s="296">
        <f t="shared" si="3"/>
        <v>0</v>
      </c>
      <c r="N59" s="261"/>
      <c r="O59" s="261">
        <v>0</v>
      </c>
      <c r="P59" s="296">
        <f t="shared" si="4"/>
        <v>0</v>
      </c>
      <c r="Q59" s="261"/>
      <c r="R59" s="261">
        <v>1</v>
      </c>
      <c r="S59" s="259">
        <f t="shared" si="5"/>
        <v>11.111111111111111</v>
      </c>
      <c r="T59" s="45"/>
    </row>
    <row r="60" spans="1:20" ht="11.25" customHeight="1">
      <c r="A60" t="s">
        <v>862</v>
      </c>
      <c r="B60" s="50">
        <f t="shared" si="7"/>
        <v>1</v>
      </c>
      <c r="D60" s="43">
        <f t="shared" si="6"/>
        <v>3.7678975131876416E-2</v>
      </c>
      <c r="F60" s="260">
        <v>0</v>
      </c>
      <c r="G60" s="296">
        <f t="shared" si="1"/>
        <v>0</v>
      </c>
      <c r="H60" s="260"/>
      <c r="I60" s="261">
        <v>1</v>
      </c>
      <c r="J60" s="296">
        <f t="shared" si="2"/>
        <v>100</v>
      </c>
      <c r="K60" s="261"/>
      <c r="L60" s="261">
        <v>0</v>
      </c>
      <c r="M60" s="296">
        <f t="shared" si="3"/>
        <v>0</v>
      </c>
      <c r="N60" s="261"/>
      <c r="O60" s="261">
        <v>0</v>
      </c>
      <c r="P60" s="296">
        <f t="shared" si="4"/>
        <v>0</v>
      </c>
      <c r="Q60" s="261"/>
      <c r="R60" s="261">
        <v>0</v>
      </c>
      <c r="S60" s="259">
        <f t="shared" si="5"/>
        <v>0</v>
      </c>
      <c r="T60" s="45"/>
    </row>
    <row r="61" spans="1:20" ht="13.15" customHeight="1">
      <c r="A61" t="s">
        <v>863</v>
      </c>
      <c r="B61" s="50">
        <f t="shared" si="7"/>
        <v>28</v>
      </c>
      <c r="D61" s="43">
        <f>IF(A61&lt;&gt;0,B61/$B$12*100,"")</f>
        <v>1.0550113036925395</v>
      </c>
      <c r="F61" s="260">
        <v>0</v>
      </c>
      <c r="G61" s="296">
        <f t="shared" si="1"/>
        <v>0</v>
      </c>
      <c r="H61" s="260"/>
      <c r="I61" s="261">
        <v>28</v>
      </c>
      <c r="J61" s="296">
        <f t="shared" si="2"/>
        <v>100</v>
      </c>
      <c r="K61" s="261"/>
      <c r="L61" s="261">
        <v>0</v>
      </c>
      <c r="M61" s="296">
        <f t="shared" si="3"/>
        <v>0</v>
      </c>
      <c r="N61" s="261"/>
      <c r="O61" s="261">
        <v>0</v>
      </c>
      <c r="P61" s="296">
        <f t="shared" si="4"/>
        <v>0</v>
      </c>
      <c r="Q61" s="261"/>
      <c r="R61" s="261">
        <v>0</v>
      </c>
      <c r="S61" s="259">
        <f t="shared" si="5"/>
        <v>0</v>
      </c>
      <c r="T61" s="45"/>
    </row>
    <row r="62" spans="1:20" ht="13.15" customHeight="1">
      <c r="A62" t="s">
        <v>864</v>
      </c>
      <c r="B62" s="50">
        <f t="shared" si="7"/>
        <v>66</v>
      </c>
      <c r="D62" s="43">
        <f t="shared" ref="D62:D100" si="8">IF(A62&lt;&gt;0,B62/$B$12*100,"")</f>
        <v>2.4868123587038435</v>
      </c>
      <c r="F62" s="260">
        <v>0</v>
      </c>
      <c r="G62" s="296">
        <f t="shared" si="1"/>
        <v>0</v>
      </c>
      <c r="H62" s="260"/>
      <c r="I62" s="261">
        <v>34</v>
      </c>
      <c r="J62" s="296">
        <f t="shared" si="2"/>
        <v>51.515151515151516</v>
      </c>
      <c r="K62" s="261"/>
      <c r="L62" s="261">
        <v>25</v>
      </c>
      <c r="M62" s="296">
        <f t="shared" si="3"/>
        <v>37.878787878787875</v>
      </c>
      <c r="N62" s="261"/>
      <c r="O62" s="261">
        <v>7</v>
      </c>
      <c r="P62" s="296">
        <f t="shared" si="4"/>
        <v>10.606060606060606</v>
      </c>
      <c r="Q62" s="261"/>
      <c r="R62" s="261">
        <v>0</v>
      </c>
      <c r="S62" s="259">
        <f t="shared" si="5"/>
        <v>0</v>
      </c>
      <c r="T62" s="45"/>
    </row>
    <row r="63" spans="1:20" ht="13.15" customHeight="1">
      <c r="A63" t="s">
        <v>865</v>
      </c>
      <c r="B63" s="50">
        <f t="shared" si="7"/>
        <v>86</v>
      </c>
      <c r="D63" s="43">
        <f t="shared" si="8"/>
        <v>3.2403918613413714</v>
      </c>
      <c r="F63" s="260">
        <v>2</v>
      </c>
      <c r="G63" s="296">
        <f t="shared" si="1"/>
        <v>2.3255813953488373</v>
      </c>
      <c r="H63" s="260"/>
      <c r="I63" s="261">
        <v>50</v>
      </c>
      <c r="J63" s="296">
        <f t="shared" si="2"/>
        <v>58.139534883720934</v>
      </c>
      <c r="K63" s="261"/>
      <c r="L63" s="261">
        <v>28</v>
      </c>
      <c r="M63" s="296">
        <f t="shared" si="3"/>
        <v>32.558139534883722</v>
      </c>
      <c r="N63" s="261"/>
      <c r="O63" s="261">
        <v>6</v>
      </c>
      <c r="P63" s="296">
        <f t="shared" si="4"/>
        <v>6.9767441860465116</v>
      </c>
      <c r="Q63" s="261"/>
      <c r="R63" s="261">
        <v>0</v>
      </c>
      <c r="S63" s="259">
        <f t="shared" si="5"/>
        <v>0</v>
      </c>
      <c r="T63" s="45"/>
    </row>
    <row r="64" spans="1:20" ht="13.15" customHeight="1">
      <c r="A64" t="s">
        <v>866</v>
      </c>
      <c r="B64" s="50">
        <f t="shared" si="7"/>
        <v>6</v>
      </c>
      <c r="D64" s="43">
        <f t="shared" si="8"/>
        <v>0.22607385079125847</v>
      </c>
      <c r="F64" s="260">
        <v>0</v>
      </c>
      <c r="G64" s="296">
        <f t="shared" si="1"/>
        <v>0</v>
      </c>
      <c r="H64" s="260"/>
      <c r="I64" s="261">
        <v>0</v>
      </c>
      <c r="J64" s="296">
        <f t="shared" si="2"/>
        <v>0</v>
      </c>
      <c r="K64" s="261"/>
      <c r="L64" s="261">
        <v>0</v>
      </c>
      <c r="M64" s="296">
        <f t="shared" si="3"/>
        <v>0</v>
      </c>
      <c r="N64" s="261"/>
      <c r="O64" s="261">
        <v>5</v>
      </c>
      <c r="P64" s="296">
        <f t="shared" si="4"/>
        <v>83.333333333333343</v>
      </c>
      <c r="Q64" s="261"/>
      <c r="R64" s="261">
        <v>1</v>
      </c>
      <c r="S64" s="259">
        <f t="shared" si="5"/>
        <v>16.666666666666664</v>
      </c>
      <c r="T64" s="45"/>
    </row>
    <row r="65" spans="1:21" ht="13.15" customHeight="1">
      <c r="A65" t="s">
        <v>867</v>
      </c>
      <c r="B65" s="50">
        <f t="shared" si="7"/>
        <v>52</v>
      </c>
      <c r="D65" s="43">
        <f t="shared" si="8"/>
        <v>1.9593067068575734</v>
      </c>
      <c r="F65" s="260">
        <v>0</v>
      </c>
      <c r="G65" s="296">
        <f t="shared" si="1"/>
        <v>0</v>
      </c>
      <c r="H65" s="260"/>
      <c r="I65" s="261">
        <v>51</v>
      </c>
      <c r="J65" s="296">
        <f t="shared" si="2"/>
        <v>98.076923076923066</v>
      </c>
      <c r="K65" s="261"/>
      <c r="L65" s="261">
        <v>1</v>
      </c>
      <c r="M65" s="296">
        <f t="shared" si="3"/>
        <v>1.9230769230769231</v>
      </c>
      <c r="N65" s="261"/>
      <c r="O65" s="261">
        <v>0</v>
      </c>
      <c r="P65" s="296">
        <f t="shared" si="4"/>
        <v>0</v>
      </c>
      <c r="Q65" s="261"/>
      <c r="R65" s="261">
        <v>0</v>
      </c>
      <c r="S65" s="259">
        <f t="shared" si="5"/>
        <v>0</v>
      </c>
      <c r="T65" s="45"/>
    </row>
    <row r="66" spans="1:21" ht="13.15" customHeight="1">
      <c r="A66" t="s">
        <v>868</v>
      </c>
      <c r="B66" s="50">
        <f t="shared" si="7"/>
        <v>16</v>
      </c>
      <c r="D66" s="43">
        <f t="shared" si="8"/>
        <v>0.60286360211002266</v>
      </c>
      <c r="F66" s="260">
        <v>0</v>
      </c>
      <c r="G66" s="296">
        <f t="shared" si="1"/>
        <v>0</v>
      </c>
      <c r="H66" s="260"/>
      <c r="I66" s="261">
        <v>14</v>
      </c>
      <c r="J66" s="296">
        <f t="shared" si="2"/>
        <v>87.5</v>
      </c>
      <c r="K66" s="261"/>
      <c r="L66" s="261">
        <v>1</v>
      </c>
      <c r="M66" s="296">
        <f t="shared" si="3"/>
        <v>6.25</v>
      </c>
      <c r="N66" s="261"/>
      <c r="O66" s="261">
        <v>1</v>
      </c>
      <c r="P66" s="296">
        <f t="shared" si="4"/>
        <v>6.25</v>
      </c>
      <c r="Q66" s="261"/>
      <c r="R66" s="261">
        <v>0</v>
      </c>
      <c r="S66" s="259">
        <f t="shared" si="5"/>
        <v>0</v>
      </c>
      <c r="T66" s="45"/>
    </row>
    <row r="67" spans="1:21" ht="13.15" customHeight="1">
      <c r="A67" t="s">
        <v>869</v>
      </c>
      <c r="B67" s="50">
        <f t="shared" si="7"/>
        <v>9</v>
      </c>
      <c r="D67" s="43">
        <f t="shared" si="8"/>
        <v>0.33911077618688767</v>
      </c>
      <c r="F67" s="260">
        <v>1</v>
      </c>
      <c r="G67" s="296">
        <f t="shared" si="1"/>
        <v>11.111111111111111</v>
      </c>
      <c r="H67" s="260"/>
      <c r="I67" s="261">
        <v>7</v>
      </c>
      <c r="J67" s="296">
        <f t="shared" si="2"/>
        <v>77.777777777777786</v>
      </c>
      <c r="K67" s="261"/>
      <c r="L67" s="261">
        <v>1</v>
      </c>
      <c r="M67" s="296">
        <f t="shared" si="3"/>
        <v>11.111111111111111</v>
      </c>
      <c r="N67" s="261"/>
      <c r="O67" s="261">
        <v>0</v>
      </c>
      <c r="P67" s="296">
        <f t="shared" si="4"/>
        <v>0</v>
      </c>
      <c r="Q67" s="261"/>
      <c r="R67" s="261">
        <v>0</v>
      </c>
      <c r="S67" s="259">
        <f t="shared" si="5"/>
        <v>0</v>
      </c>
      <c r="T67" s="45"/>
    </row>
    <row r="68" spans="1:21" ht="13.15" customHeight="1">
      <c r="A68" t="s">
        <v>870</v>
      </c>
      <c r="B68" s="50">
        <f t="shared" si="7"/>
        <v>32</v>
      </c>
      <c r="D68" s="43">
        <f t="shared" si="8"/>
        <v>1.2057272042200453</v>
      </c>
      <c r="F68" s="260">
        <v>3</v>
      </c>
      <c r="G68" s="296">
        <f t="shared" si="1"/>
        <v>9.375</v>
      </c>
      <c r="H68" s="260"/>
      <c r="I68" s="261">
        <v>14</v>
      </c>
      <c r="J68" s="296">
        <f t="shared" si="2"/>
        <v>43.75</v>
      </c>
      <c r="K68" s="261"/>
      <c r="L68" s="261">
        <v>12</v>
      </c>
      <c r="M68" s="296">
        <f t="shared" si="3"/>
        <v>37.5</v>
      </c>
      <c r="N68" s="261"/>
      <c r="O68" s="261">
        <v>2</v>
      </c>
      <c r="P68" s="296">
        <f t="shared" si="4"/>
        <v>6.25</v>
      </c>
      <c r="Q68" s="261"/>
      <c r="R68" s="261">
        <v>1</v>
      </c>
      <c r="S68" s="259">
        <f t="shared" si="5"/>
        <v>3.125</v>
      </c>
      <c r="T68" s="45"/>
    </row>
    <row r="69" spans="1:21" ht="13.15" customHeight="1">
      <c r="A69" t="s">
        <v>871</v>
      </c>
      <c r="B69" s="50">
        <f t="shared" si="7"/>
        <v>88</v>
      </c>
      <c r="D69" s="43">
        <f t="shared" si="8"/>
        <v>3.3157498116051247</v>
      </c>
      <c r="F69" s="260">
        <v>2</v>
      </c>
      <c r="G69" s="296">
        <f t="shared" si="1"/>
        <v>2.2727272727272729</v>
      </c>
      <c r="H69" s="260"/>
      <c r="I69" s="261">
        <v>58</v>
      </c>
      <c r="J69" s="296">
        <f t="shared" si="2"/>
        <v>65.909090909090907</v>
      </c>
      <c r="K69" s="261"/>
      <c r="L69" s="261">
        <v>19</v>
      </c>
      <c r="M69" s="296">
        <f t="shared" si="3"/>
        <v>21.59090909090909</v>
      </c>
      <c r="N69" s="261"/>
      <c r="O69" s="261">
        <v>8</v>
      </c>
      <c r="P69" s="296">
        <f t="shared" si="4"/>
        <v>9.0909090909090917</v>
      </c>
      <c r="Q69" s="261"/>
      <c r="R69" s="261">
        <v>1</v>
      </c>
      <c r="S69" s="259">
        <f t="shared" si="5"/>
        <v>1.1363636363636365</v>
      </c>
      <c r="T69" s="45"/>
    </row>
    <row r="70" spans="1:21" ht="13.15" customHeight="1">
      <c r="A70" t="s">
        <v>872</v>
      </c>
      <c r="B70" s="50">
        <f t="shared" si="7"/>
        <v>24</v>
      </c>
      <c r="D70" s="43">
        <f t="shared" si="8"/>
        <v>0.90429540316503387</v>
      </c>
      <c r="F70" s="260">
        <v>0</v>
      </c>
      <c r="G70" s="296">
        <f t="shared" si="1"/>
        <v>0</v>
      </c>
      <c r="H70" s="260"/>
      <c r="I70" s="261">
        <v>15</v>
      </c>
      <c r="J70" s="296">
        <f t="shared" si="2"/>
        <v>62.5</v>
      </c>
      <c r="K70" s="261"/>
      <c r="L70" s="261">
        <v>7</v>
      </c>
      <c r="M70" s="296">
        <f t="shared" si="3"/>
        <v>29.166666666666668</v>
      </c>
      <c r="N70" s="261"/>
      <c r="O70" s="261">
        <v>1</v>
      </c>
      <c r="P70" s="296">
        <f t="shared" si="4"/>
        <v>4.1666666666666661</v>
      </c>
      <c r="Q70" s="261"/>
      <c r="R70" s="261">
        <v>1</v>
      </c>
      <c r="S70" s="259">
        <f t="shared" si="5"/>
        <v>4.1666666666666661</v>
      </c>
      <c r="T70" s="45"/>
    </row>
    <row r="71" spans="1:21" ht="13.15" customHeight="1">
      <c r="A71" t="s">
        <v>873</v>
      </c>
      <c r="B71" s="50">
        <f t="shared" si="7"/>
        <v>42</v>
      </c>
      <c r="D71" s="43">
        <f t="shared" si="8"/>
        <v>1.5825169555388092</v>
      </c>
      <c r="F71" s="260">
        <v>2</v>
      </c>
      <c r="G71" s="296">
        <f t="shared" si="1"/>
        <v>4.7619047619047619</v>
      </c>
      <c r="H71" s="260"/>
      <c r="I71" s="261">
        <v>25</v>
      </c>
      <c r="J71" s="296">
        <f t="shared" si="2"/>
        <v>59.523809523809526</v>
      </c>
      <c r="K71" s="261"/>
      <c r="L71" s="261">
        <v>13</v>
      </c>
      <c r="M71" s="296">
        <f t="shared" si="3"/>
        <v>30.952380952380953</v>
      </c>
      <c r="N71" s="261"/>
      <c r="O71" s="261">
        <v>0</v>
      </c>
      <c r="P71" s="296">
        <f t="shared" si="4"/>
        <v>0</v>
      </c>
      <c r="Q71" s="261"/>
      <c r="R71" s="261">
        <v>2</v>
      </c>
      <c r="S71" s="259">
        <f t="shared" si="5"/>
        <v>4.7619047619047619</v>
      </c>
      <c r="T71" s="45"/>
    </row>
    <row r="72" spans="1:21" ht="13.15" customHeight="1">
      <c r="A72" t="s">
        <v>874</v>
      </c>
      <c r="B72" s="50">
        <f t="shared" si="7"/>
        <v>9</v>
      </c>
      <c r="D72" s="43">
        <f t="shared" si="8"/>
        <v>0.33911077618688767</v>
      </c>
      <c r="F72" s="260">
        <v>0</v>
      </c>
      <c r="G72" s="296">
        <f t="shared" si="1"/>
        <v>0</v>
      </c>
      <c r="H72" s="260"/>
      <c r="I72" s="261">
        <v>0</v>
      </c>
      <c r="J72" s="296">
        <f t="shared" si="2"/>
        <v>0</v>
      </c>
      <c r="K72" s="261"/>
      <c r="L72" s="261">
        <v>9</v>
      </c>
      <c r="M72" s="296">
        <f t="shared" si="3"/>
        <v>100</v>
      </c>
      <c r="N72" s="261"/>
      <c r="O72" s="261">
        <v>0</v>
      </c>
      <c r="P72" s="296">
        <f t="shared" si="4"/>
        <v>0</v>
      </c>
      <c r="Q72" s="261"/>
      <c r="R72" s="261">
        <v>0</v>
      </c>
      <c r="S72" s="259">
        <f t="shared" si="5"/>
        <v>0</v>
      </c>
      <c r="T72" s="45"/>
    </row>
    <row r="73" spans="1:21" ht="13.15" customHeight="1">
      <c r="A73" t="s">
        <v>875</v>
      </c>
      <c r="B73" s="50">
        <f t="shared" si="7"/>
        <v>20</v>
      </c>
      <c r="D73" s="43">
        <f t="shared" si="8"/>
        <v>0.75357950263752826</v>
      </c>
      <c r="F73" s="260">
        <v>0</v>
      </c>
      <c r="G73" s="296">
        <f t="shared" si="1"/>
        <v>0</v>
      </c>
      <c r="H73" s="260"/>
      <c r="I73" s="261">
        <v>0</v>
      </c>
      <c r="J73" s="296">
        <f t="shared" si="2"/>
        <v>0</v>
      </c>
      <c r="K73" s="261"/>
      <c r="L73" s="261">
        <v>17</v>
      </c>
      <c r="M73" s="296">
        <f t="shared" si="3"/>
        <v>85</v>
      </c>
      <c r="N73" s="261"/>
      <c r="O73" s="261">
        <v>3</v>
      </c>
      <c r="P73" s="296">
        <f t="shared" si="4"/>
        <v>15</v>
      </c>
      <c r="Q73" s="261"/>
      <c r="R73" s="261">
        <v>0</v>
      </c>
      <c r="S73" s="259">
        <f t="shared" si="5"/>
        <v>0</v>
      </c>
      <c r="T73" s="45"/>
    </row>
    <row r="74" spans="1:21" ht="13.15" customHeight="1">
      <c r="A74" t="s">
        <v>876</v>
      </c>
      <c r="B74" s="50">
        <f t="shared" si="7"/>
        <v>1</v>
      </c>
      <c r="D74" s="43">
        <f t="shared" si="8"/>
        <v>3.7678975131876416E-2</v>
      </c>
      <c r="F74" s="260">
        <v>0</v>
      </c>
      <c r="G74" s="296">
        <f t="shared" si="1"/>
        <v>0</v>
      </c>
      <c r="H74" s="260"/>
      <c r="I74" s="261">
        <v>1</v>
      </c>
      <c r="J74" s="296">
        <f t="shared" si="2"/>
        <v>100</v>
      </c>
      <c r="K74" s="261"/>
      <c r="L74" s="261">
        <v>0</v>
      </c>
      <c r="M74" s="296">
        <f t="shared" si="3"/>
        <v>0</v>
      </c>
      <c r="N74" s="261"/>
      <c r="O74" s="261">
        <v>0</v>
      </c>
      <c r="P74" s="296">
        <f t="shared" si="4"/>
        <v>0</v>
      </c>
      <c r="Q74" s="261"/>
      <c r="R74" s="261">
        <v>0</v>
      </c>
      <c r="S74" s="259">
        <f t="shared" si="5"/>
        <v>0</v>
      </c>
      <c r="T74" s="45"/>
    </row>
    <row r="75" spans="1:21" ht="13.15" customHeight="1">
      <c r="A75" t="s">
        <v>877</v>
      </c>
      <c r="B75" s="50">
        <f t="shared" si="7"/>
        <v>78</v>
      </c>
      <c r="D75" s="43">
        <f t="shared" si="8"/>
        <v>2.9389600602863601</v>
      </c>
      <c r="F75" s="260">
        <v>2</v>
      </c>
      <c r="G75" s="296">
        <f t="shared" si="1"/>
        <v>2.5641025641025639</v>
      </c>
      <c r="H75" s="260"/>
      <c r="I75" s="261">
        <v>30</v>
      </c>
      <c r="J75" s="296">
        <f t="shared" si="2"/>
        <v>38.461538461538467</v>
      </c>
      <c r="K75" s="261"/>
      <c r="L75" s="261">
        <v>24</v>
      </c>
      <c r="M75" s="296">
        <f t="shared" si="3"/>
        <v>30.76923076923077</v>
      </c>
      <c r="N75" s="261"/>
      <c r="O75" s="261">
        <v>22</v>
      </c>
      <c r="P75" s="296">
        <f t="shared" si="4"/>
        <v>28.205128205128204</v>
      </c>
      <c r="Q75" s="261"/>
      <c r="R75" s="261">
        <v>0</v>
      </c>
      <c r="S75" s="259">
        <f t="shared" si="5"/>
        <v>0</v>
      </c>
      <c r="T75" s="45"/>
    </row>
    <row r="76" spans="1:21" ht="13.15" customHeight="1">
      <c r="A76" t="s">
        <v>878</v>
      </c>
      <c r="B76" s="50">
        <f t="shared" si="7"/>
        <v>33</v>
      </c>
      <c r="D76" s="43">
        <f t="shared" si="8"/>
        <v>1.2434061793519218</v>
      </c>
      <c r="F76" s="260">
        <v>0</v>
      </c>
      <c r="G76" s="296">
        <f t="shared" ref="G76:G100" si="9">IF($A76&lt;&gt;0,F76/$B76*100,"")</f>
        <v>0</v>
      </c>
      <c r="H76" s="260"/>
      <c r="I76" s="261">
        <v>16</v>
      </c>
      <c r="J76" s="296">
        <f t="shared" ref="J76:J100" si="10">IF($A76&lt;&gt;0,I76/$B76*100,"")</f>
        <v>48.484848484848484</v>
      </c>
      <c r="K76" s="261"/>
      <c r="L76" s="261">
        <v>15</v>
      </c>
      <c r="M76" s="296">
        <f t="shared" ref="M76:M100" si="11">IF($A76&lt;&gt;0,L76/$B76*100,"")</f>
        <v>45.454545454545453</v>
      </c>
      <c r="N76" s="261"/>
      <c r="O76" s="261">
        <v>2</v>
      </c>
      <c r="P76" s="296">
        <f t="shared" ref="P76:P100" si="12">IF($A76&lt;&gt;0,O76/$B76*100,"")</f>
        <v>6.0606060606060606</v>
      </c>
      <c r="Q76" s="261"/>
      <c r="R76" s="261">
        <v>0</v>
      </c>
      <c r="S76" s="259">
        <f t="shared" si="5"/>
        <v>0</v>
      </c>
      <c r="T76" s="45"/>
    </row>
    <row r="77" spans="1:21" ht="13.15" customHeight="1">
      <c r="A77" t="s">
        <v>879</v>
      </c>
      <c r="B77" s="50">
        <f t="shared" si="7"/>
        <v>15</v>
      </c>
      <c r="D77" s="43">
        <f t="shared" si="8"/>
        <v>0.5651846269781462</v>
      </c>
      <c r="F77" s="260">
        <v>1</v>
      </c>
      <c r="G77" s="296">
        <f t="shared" si="9"/>
        <v>6.666666666666667</v>
      </c>
      <c r="H77" s="260"/>
      <c r="I77" s="261">
        <v>14</v>
      </c>
      <c r="J77" s="296">
        <f t="shared" si="10"/>
        <v>93.333333333333329</v>
      </c>
      <c r="K77" s="261"/>
      <c r="L77" s="261">
        <v>0</v>
      </c>
      <c r="M77" s="296">
        <f t="shared" si="11"/>
        <v>0</v>
      </c>
      <c r="N77" s="261"/>
      <c r="O77" s="261">
        <v>0</v>
      </c>
      <c r="P77" s="296">
        <f t="shared" si="12"/>
        <v>0</v>
      </c>
      <c r="Q77" s="261"/>
      <c r="R77" s="261">
        <v>0</v>
      </c>
      <c r="S77" s="259">
        <f t="shared" ref="S77:S93" si="13">IF($A77&lt;&gt;0,R77/$B77*100,"")</f>
        <v>0</v>
      </c>
      <c r="T77" s="45"/>
    </row>
    <row r="78" spans="1:21" ht="13.15" customHeight="1">
      <c r="A78" t="s">
        <v>880</v>
      </c>
      <c r="B78" s="50">
        <f t="shared" si="7"/>
        <v>26</v>
      </c>
      <c r="D78" s="43">
        <f t="shared" si="8"/>
        <v>0.97965335342878668</v>
      </c>
      <c r="F78" s="260">
        <v>0</v>
      </c>
      <c r="G78" s="296">
        <f t="shared" si="9"/>
        <v>0</v>
      </c>
      <c r="H78" s="260"/>
      <c r="I78" s="261">
        <v>2</v>
      </c>
      <c r="J78" s="296">
        <f t="shared" si="10"/>
        <v>7.6923076923076925</v>
      </c>
      <c r="K78" s="261"/>
      <c r="L78" s="261">
        <v>23</v>
      </c>
      <c r="M78" s="296">
        <f t="shared" si="11"/>
        <v>88.461538461538453</v>
      </c>
      <c r="N78" s="261"/>
      <c r="O78" s="261">
        <v>1</v>
      </c>
      <c r="P78" s="296">
        <f t="shared" si="12"/>
        <v>3.8461538461538463</v>
      </c>
      <c r="Q78" s="261"/>
      <c r="R78" s="261">
        <v>0</v>
      </c>
      <c r="S78" s="259">
        <f t="shared" si="13"/>
        <v>0</v>
      </c>
      <c r="T78" s="45"/>
    </row>
    <row r="79" spans="1:21" ht="13.15" customHeight="1">
      <c r="A79" t="s">
        <v>881</v>
      </c>
      <c r="B79" s="50">
        <f t="shared" si="7"/>
        <v>2</v>
      </c>
      <c r="D79" s="43">
        <f t="shared" si="8"/>
        <v>7.5357950263752832E-2</v>
      </c>
      <c r="F79" s="260">
        <v>1</v>
      </c>
      <c r="G79" s="296">
        <f t="shared" si="9"/>
        <v>50</v>
      </c>
      <c r="H79" s="260"/>
      <c r="I79" s="261">
        <v>1</v>
      </c>
      <c r="J79" s="296">
        <f t="shared" si="10"/>
        <v>50</v>
      </c>
      <c r="K79" s="261"/>
      <c r="L79" s="261">
        <v>0</v>
      </c>
      <c r="M79" s="296">
        <f t="shared" si="11"/>
        <v>0</v>
      </c>
      <c r="N79" s="261"/>
      <c r="O79" s="261">
        <v>0</v>
      </c>
      <c r="P79" s="296">
        <f t="shared" si="12"/>
        <v>0</v>
      </c>
      <c r="Q79" s="261"/>
      <c r="R79" s="261">
        <v>0</v>
      </c>
      <c r="S79" s="259">
        <f t="shared" si="13"/>
        <v>0</v>
      </c>
      <c r="T79" s="45"/>
    </row>
    <row r="80" spans="1:21" ht="6.75" customHeight="1">
      <c r="B80" s="50" t="str">
        <f t="shared" si="7"/>
        <v/>
      </c>
      <c r="D80" s="43" t="str">
        <f t="shared" si="8"/>
        <v/>
      </c>
      <c r="F80" s="45"/>
      <c r="G80" s="296" t="str">
        <f t="shared" si="9"/>
        <v/>
      </c>
      <c r="H80"/>
      <c r="I80" s="45"/>
      <c r="J80" s="296" t="str">
        <f t="shared" si="10"/>
        <v/>
      </c>
      <c r="K80"/>
      <c r="L80" s="45"/>
      <c r="M80" s="296" t="str">
        <f t="shared" si="11"/>
        <v/>
      </c>
      <c r="N80"/>
      <c r="O80" s="45"/>
      <c r="P80" s="296" t="str">
        <f t="shared" si="12"/>
        <v/>
      </c>
      <c r="Q80"/>
      <c r="R80" s="45"/>
      <c r="S80" s="259" t="str">
        <f t="shared" si="13"/>
        <v/>
      </c>
      <c r="T80" s="45"/>
      <c r="U80" s="103"/>
    </row>
    <row r="81" spans="1:21" ht="13.15" customHeight="1">
      <c r="A81" s="63" t="s">
        <v>882</v>
      </c>
      <c r="B81" s="50">
        <f t="shared" si="7"/>
        <v>354</v>
      </c>
      <c r="D81" s="43">
        <f t="shared" si="8"/>
        <v>13.33835719668425</v>
      </c>
      <c r="F81" s="288">
        <f>SUM(F82:F84)</f>
        <v>65</v>
      </c>
      <c r="G81" s="296">
        <f t="shared" si="9"/>
        <v>18.361581920903955</v>
      </c>
      <c r="H81" s="288"/>
      <c r="I81" s="288">
        <f t="shared" ref="I81:R81" si="14">SUM(I82:I84)</f>
        <v>168</v>
      </c>
      <c r="J81" s="296">
        <f t="shared" si="10"/>
        <v>47.457627118644069</v>
      </c>
      <c r="K81" s="288"/>
      <c r="L81" s="288">
        <f t="shared" si="14"/>
        <v>64</v>
      </c>
      <c r="M81" s="296">
        <f t="shared" si="11"/>
        <v>18.07909604519774</v>
      </c>
      <c r="N81" s="288"/>
      <c r="O81" s="288">
        <f t="shared" si="14"/>
        <v>55</v>
      </c>
      <c r="P81" s="296">
        <f t="shared" si="12"/>
        <v>15.53672316384181</v>
      </c>
      <c r="Q81" s="288"/>
      <c r="R81" s="288">
        <f t="shared" si="14"/>
        <v>2</v>
      </c>
      <c r="S81" s="259">
        <f t="shared" si="13"/>
        <v>0.56497175141242939</v>
      </c>
      <c r="T81" s="45"/>
    </row>
    <row r="82" spans="1:21" ht="13.15" customHeight="1">
      <c r="A82" t="s">
        <v>883</v>
      </c>
      <c r="B82" s="50">
        <f t="shared" si="7"/>
        <v>119</v>
      </c>
      <c r="D82" s="43">
        <f t="shared" si="8"/>
        <v>4.4837980406932934</v>
      </c>
      <c r="F82" s="260">
        <v>5</v>
      </c>
      <c r="G82" s="296">
        <f t="shared" si="9"/>
        <v>4.2016806722689077</v>
      </c>
      <c r="H82" s="260"/>
      <c r="I82" s="261">
        <v>26</v>
      </c>
      <c r="J82" s="296">
        <f t="shared" si="10"/>
        <v>21.84873949579832</v>
      </c>
      <c r="K82" s="261"/>
      <c r="L82" s="261">
        <v>39</v>
      </c>
      <c r="M82" s="296">
        <f t="shared" si="11"/>
        <v>32.773109243697476</v>
      </c>
      <c r="N82" s="261"/>
      <c r="O82" s="261">
        <v>48</v>
      </c>
      <c r="P82" s="296">
        <f t="shared" si="12"/>
        <v>40.336134453781511</v>
      </c>
      <c r="Q82" s="261"/>
      <c r="R82" s="261">
        <v>1</v>
      </c>
      <c r="S82" s="259">
        <f t="shared" si="13"/>
        <v>0.84033613445378152</v>
      </c>
      <c r="T82" s="45"/>
    </row>
    <row r="83" spans="1:21" ht="13.15" customHeight="1">
      <c r="A83" t="s">
        <v>884</v>
      </c>
      <c r="B83" s="50">
        <f t="shared" si="7"/>
        <v>213</v>
      </c>
      <c r="D83" s="43">
        <f t="shared" si="8"/>
        <v>8.0256217030896764</v>
      </c>
      <c r="F83" s="260">
        <v>60</v>
      </c>
      <c r="G83" s="296">
        <f t="shared" si="9"/>
        <v>28.169014084507044</v>
      </c>
      <c r="H83" s="260"/>
      <c r="I83" s="261">
        <v>139</v>
      </c>
      <c r="J83" s="296">
        <f t="shared" si="10"/>
        <v>65.258215962441312</v>
      </c>
      <c r="K83" s="261"/>
      <c r="L83" s="261">
        <v>14</v>
      </c>
      <c r="M83" s="296">
        <f t="shared" si="11"/>
        <v>6.5727699530516439</v>
      </c>
      <c r="N83" s="261"/>
      <c r="O83" s="261">
        <v>0</v>
      </c>
      <c r="P83" s="296">
        <f t="shared" si="12"/>
        <v>0</v>
      </c>
      <c r="Q83" s="261"/>
      <c r="R83" s="261">
        <v>0</v>
      </c>
      <c r="S83" s="259">
        <f t="shared" si="13"/>
        <v>0</v>
      </c>
      <c r="T83" s="45"/>
    </row>
    <row r="84" spans="1:21" ht="13.15" customHeight="1">
      <c r="A84" t="s">
        <v>935</v>
      </c>
      <c r="B84" s="50">
        <f t="shared" si="7"/>
        <v>22</v>
      </c>
      <c r="D84" s="43">
        <f t="shared" si="8"/>
        <v>0.82893745290128118</v>
      </c>
      <c r="F84" s="260">
        <v>0</v>
      </c>
      <c r="G84" s="296">
        <f t="shared" si="9"/>
        <v>0</v>
      </c>
      <c r="H84" s="260"/>
      <c r="I84" s="261">
        <v>3</v>
      </c>
      <c r="J84" s="296">
        <f t="shared" si="10"/>
        <v>13.636363636363635</v>
      </c>
      <c r="K84" s="261"/>
      <c r="L84" s="261">
        <v>11</v>
      </c>
      <c r="M84" s="296">
        <f t="shared" si="11"/>
        <v>50</v>
      </c>
      <c r="N84" s="261"/>
      <c r="O84" s="261">
        <v>7</v>
      </c>
      <c r="P84" s="296">
        <f t="shared" si="12"/>
        <v>31.818181818181817</v>
      </c>
      <c r="Q84" s="261"/>
      <c r="R84" s="261">
        <v>1</v>
      </c>
      <c r="S84" s="259">
        <f t="shared" si="13"/>
        <v>4.5454545454545459</v>
      </c>
      <c r="T84" s="45"/>
    </row>
    <row r="85" spans="1:21" ht="5.25" customHeight="1">
      <c r="B85" s="50" t="str">
        <f t="shared" si="7"/>
        <v/>
      </c>
      <c r="D85" s="43" t="str">
        <f t="shared" si="8"/>
        <v/>
      </c>
      <c r="F85" s="295"/>
      <c r="G85" s="296" t="str">
        <f t="shared" si="9"/>
        <v/>
      </c>
      <c r="H85" s="44"/>
      <c r="I85" s="295"/>
      <c r="J85" s="296" t="str">
        <f t="shared" si="10"/>
        <v/>
      </c>
      <c r="K85" s="44"/>
      <c r="L85" s="295"/>
      <c r="M85" s="296" t="str">
        <f t="shared" si="11"/>
        <v/>
      </c>
      <c r="N85" s="44"/>
      <c r="O85" s="295"/>
      <c r="P85" s="296" t="str">
        <f t="shared" si="12"/>
        <v/>
      </c>
      <c r="Q85" s="44"/>
      <c r="R85" s="295"/>
      <c r="S85" s="259" t="str">
        <f t="shared" si="13"/>
        <v/>
      </c>
      <c r="T85" s="45"/>
      <c r="U85" s="45"/>
    </row>
    <row r="86" spans="1:21" ht="13.15" customHeight="1">
      <c r="A86" s="90" t="s">
        <v>346</v>
      </c>
      <c r="B86" s="50">
        <f t="shared" ref="B86:B100" si="15">IF($A86&lt;&gt;0,F86+I86+L86+O86+R86,"")</f>
        <v>165</v>
      </c>
      <c r="D86" s="43">
        <f t="shared" si="8"/>
        <v>6.2170308967596082</v>
      </c>
      <c r="F86" s="295">
        <f>SUM(F88)</f>
        <v>4</v>
      </c>
      <c r="G86" s="296">
        <f t="shared" si="9"/>
        <v>2.4242424242424243</v>
      </c>
      <c r="H86" s="44"/>
      <c r="I86" s="295">
        <f>SUM(I88)</f>
        <v>79</v>
      </c>
      <c r="J86" s="296">
        <f t="shared" si="10"/>
        <v>47.878787878787875</v>
      </c>
      <c r="K86" s="44"/>
      <c r="L86" s="295">
        <f>SUM(L88)</f>
        <v>64</v>
      </c>
      <c r="M86" s="296">
        <f t="shared" si="11"/>
        <v>38.787878787878789</v>
      </c>
      <c r="N86" s="44"/>
      <c r="O86" s="295">
        <f>SUM(O88)</f>
        <v>18</v>
      </c>
      <c r="P86" s="296">
        <f t="shared" si="12"/>
        <v>10.909090909090908</v>
      </c>
      <c r="Q86" s="44"/>
      <c r="R86" s="295">
        <f>SUM(R88)</f>
        <v>0</v>
      </c>
      <c r="S86" s="259">
        <f t="shared" si="13"/>
        <v>0</v>
      </c>
      <c r="T86" s="45"/>
      <c r="U86" s="45"/>
    </row>
    <row r="87" spans="1:21" ht="4.5" customHeight="1">
      <c r="A87" s="90"/>
      <c r="B87" s="50" t="str">
        <f t="shared" si="15"/>
        <v/>
      </c>
      <c r="D87" s="43" t="str">
        <f t="shared" si="8"/>
        <v/>
      </c>
      <c r="F87" s="295"/>
      <c r="G87" s="296" t="str">
        <f t="shared" si="9"/>
        <v/>
      </c>
      <c r="H87" s="44"/>
      <c r="I87" s="295"/>
      <c r="J87" s="296" t="str">
        <f t="shared" si="10"/>
        <v/>
      </c>
      <c r="K87" s="44"/>
      <c r="L87" s="295"/>
      <c r="M87" s="296" t="str">
        <f t="shared" si="11"/>
        <v/>
      </c>
      <c r="N87" s="44"/>
      <c r="O87" s="295"/>
      <c r="P87" s="296" t="str">
        <f t="shared" si="12"/>
        <v/>
      </c>
      <c r="Q87" s="44"/>
      <c r="R87" s="295"/>
      <c r="S87" s="259" t="str">
        <f t="shared" si="13"/>
        <v/>
      </c>
      <c r="T87" s="45"/>
      <c r="U87" s="45"/>
    </row>
    <row r="88" spans="1:21" ht="13.15" customHeight="1">
      <c r="A88" s="63" t="s">
        <v>824</v>
      </c>
      <c r="B88" s="50">
        <f t="shared" si="15"/>
        <v>165</v>
      </c>
      <c r="D88" s="43">
        <f t="shared" si="8"/>
        <v>6.2170308967596082</v>
      </c>
      <c r="F88" s="295">
        <f>SUM(F89:F100)</f>
        <v>4</v>
      </c>
      <c r="G88" s="296">
        <f t="shared" si="9"/>
        <v>2.4242424242424243</v>
      </c>
      <c r="H88" s="44"/>
      <c r="I88" s="295">
        <f>SUM(I89:I100)</f>
        <v>79</v>
      </c>
      <c r="J88" s="296">
        <f t="shared" si="10"/>
        <v>47.878787878787875</v>
      </c>
      <c r="K88" s="295"/>
      <c r="L88" s="295">
        <f>SUM(L89:L100)</f>
        <v>64</v>
      </c>
      <c r="M88" s="296">
        <f t="shared" si="11"/>
        <v>38.787878787878789</v>
      </c>
      <c r="N88" s="295"/>
      <c r="O88" s="295">
        <f>SUM(O89:O100)</f>
        <v>18</v>
      </c>
      <c r="P88" s="296">
        <f t="shared" si="12"/>
        <v>10.909090909090908</v>
      </c>
      <c r="Q88" s="295"/>
      <c r="R88" s="295">
        <f>SUM(R89:R100)</f>
        <v>0</v>
      </c>
      <c r="S88" s="259">
        <f t="shared" si="13"/>
        <v>0</v>
      </c>
      <c r="T88" s="45"/>
      <c r="U88" s="45"/>
    </row>
    <row r="89" spans="1:21" ht="13.15" customHeight="1">
      <c r="A89" s="36" t="s">
        <v>38</v>
      </c>
      <c r="B89" s="50">
        <f t="shared" si="15"/>
        <v>16</v>
      </c>
      <c r="D89" s="43">
        <f t="shared" si="8"/>
        <v>0.60286360211002266</v>
      </c>
      <c r="F89" s="298">
        <v>0</v>
      </c>
      <c r="G89" s="296">
        <f t="shared" si="9"/>
        <v>0</v>
      </c>
      <c r="H89" s="298"/>
      <c r="I89" s="299">
        <v>1</v>
      </c>
      <c r="J89" s="296">
        <f t="shared" si="10"/>
        <v>6.25</v>
      </c>
      <c r="K89" s="299"/>
      <c r="L89" s="299">
        <v>15</v>
      </c>
      <c r="M89" s="296">
        <f t="shared" si="11"/>
        <v>93.75</v>
      </c>
      <c r="N89" s="299"/>
      <c r="O89" s="299">
        <v>0</v>
      </c>
      <c r="P89" s="296">
        <f t="shared" si="12"/>
        <v>0</v>
      </c>
      <c r="Q89" s="262"/>
      <c r="R89" s="262"/>
      <c r="S89" s="259">
        <f t="shared" si="13"/>
        <v>0</v>
      </c>
      <c r="T89" s="45"/>
      <c r="U89" s="45"/>
    </row>
    <row r="90" spans="1:21" ht="13.15" customHeight="1">
      <c r="A90" s="36" t="s">
        <v>886</v>
      </c>
      <c r="B90" s="50">
        <f t="shared" si="15"/>
        <v>19</v>
      </c>
      <c r="D90" s="43">
        <f t="shared" si="8"/>
        <v>0.71590052750565192</v>
      </c>
      <c r="F90" s="298">
        <v>1</v>
      </c>
      <c r="G90" s="296">
        <f t="shared" si="9"/>
        <v>5.2631578947368416</v>
      </c>
      <c r="H90" s="298"/>
      <c r="I90" s="299">
        <v>16</v>
      </c>
      <c r="J90" s="296">
        <f t="shared" si="10"/>
        <v>84.210526315789465</v>
      </c>
      <c r="K90" s="299"/>
      <c r="L90" s="299">
        <v>2</v>
      </c>
      <c r="M90" s="296">
        <f t="shared" si="11"/>
        <v>10.526315789473683</v>
      </c>
      <c r="N90" s="299"/>
      <c r="O90" s="299">
        <v>0</v>
      </c>
      <c r="P90" s="296">
        <f t="shared" si="12"/>
        <v>0</v>
      </c>
      <c r="Q90" s="262"/>
      <c r="R90" s="262">
        <v>0</v>
      </c>
      <c r="S90" s="259">
        <f t="shared" si="13"/>
        <v>0</v>
      </c>
      <c r="T90" s="45"/>
      <c r="U90" s="45"/>
    </row>
    <row r="91" spans="1:21" ht="13.15" customHeight="1">
      <c r="A91" s="36" t="s">
        <v>887</v>
      </c>
      <c r="B91" s="50">
        <f t="shared" si="15"/>
        <v>11</v>
      </c>
      <c r="D91" s="43">
        <f t="shared" si="8"/>
        <v>0.41446872645064059</v>
      </c>
      <c r="F91" s="298">
        <v>0</v>
      </c>
      <c r="G91" s="296">
        <f t="shared" si="9"/>
        <v>0</v>
      </c>
      <c r="H91" s="298"/>
      <c r="I91" s="299">
        <v>3</v>
      </c>
      <c r="J91" s="296">
        <f t="shared" si="10"/>
        <v>27.27272727272727</v>
      </c>
      <c r="K91" s="299"/>
      <c r="L91" s="299">
        <v>2</v>
      </c>
      <c r="M91" s="296">
        <f t="shared" si="11"/>
        <v>18.181818181818183</v>
      </c>
      <c r="N91" s="299"/>
      <c r="O91" s="299">
        <v>6</v>
      </c>
      <c r="P91" s="296">
        <f t="shared" si="12"/>
        <v>54.54545454545454</v>
      </c>
      <c r="Q91" s="262"/>
      <c r="R91" s="262">
        <v>0</v>
      </c>
      <c r="S91" s="259">
        <f t="shared" si="13"/>
        <v>0</v>
      </c>
      <c r="T91" s="45"/>
      <c r="U91" s="45"/>
    </row>
    <row r="92" spans="1:21" ht="13.15" customHeight="1">
      <c r="A92" s="36" t="s">
        <v>888</v>
      </c>
      <c r="B92" s="50">
        <f t="shared" si="15"/>
        <v>26</v>
      </c>
      <c r="D92" s="43">
        <f t="shared" si="8"/>
        <v>0.97965335342878668</v>
      </c>
      <c r="F92" s="298">
        <v>0</v>
      </c>
      <c r="G92" s="296">
        <f t="shared" si="9"/>
        <v>0</v>
      </c>
      <c r="H92" s="298"/>
      <c r="I92" s="299">
        <v>12</v>
      </c>
      <c r="J92" s="296">
        <f t="shared" si="10"/>
        <v>46.153846153846153</v>
      </c>
      <c r="K92" s="299"/>
      <c r="L92" s="299">
        <v>2</v>
      </c>
      <c r="M92" s="296">
        <f t="shared" si="11"/>
        <v>7.6923076923076925</v>
      </c>
      <c r="N92" s="299"/>
      <c r="O92" s="299">
        <v>12</v>
      </c>
      <c r="P92" s="296">
        <f t="shared" si="12"/>
        <v>46.153846153846153</v>
      </c>
      <c r="Q92" s="262"/>
      <c r="R92" s="262">
        <v>0</v>
      </c>
      <c r="S92" s="259">
        <f t="shared" si="13"/>
        <v>0</v>
      </c>
      <c r="T92" s="45"/>
      <c r="U92" s="45"/>
    </row>
    <row r="93" spans="1:21" ht="13.15" customHeight="1">
      <c r="A93" s="36" t="s">
        <v>889</v>
      </c>
      <c r="B93" s="50">
        <f t="shared" si="15"/>
        <v>20</v>
      </c>
      <c r="D93" s="43">
        <f t="shared" si="8"/>
        <v>0.75357950263752826</v>
      </c>
      <c r="F93" s="298">
        <v>1</v>
      </c>
      <c r="G93" s="296">
        <f t="shared" si="9"/>
        <v>5</v>
      </c>
      <c r="H93" s="298"/>
      <c r="I93" s="299">
        <v>5</v>
      </c>
      <c r="J93" s="296">
        <f t="shared" si="10"/>
        <v>25</v>
      </c>
      <c r="K93" s="299"/>
      <c r="L93" s="299">
        <v>14</v>
      </c>
      <c r="M93" s="296">
        <f t="shared" si="11"/>
        <v>70</v>
      </c>
      <c r="N93" s="299"/>
      <c r="O93" s="299">
        <v>0</v>
      </c>
      <c r="P93" s="296">
        <f t="shared" si="12"/>
        <v>0</v>
      </c>
      <c r="Q93" s="262"/>
      <c r="R93" s="262">
        <v>0</v>
      </c>
      <c r="S93" s="259">
        <f t="shared" si="13"/>
        <v>0</v>
      </c>
      <c r="T93" s="45"/>
      <c r="U93" s="45"/>
    </row>
    <row r="94" spans="1:21" ht="13.15" customHeight="1">
      <c r="A94" s="36" t="s">
        <v>890</v>
      </c>
      <c r="B94" s="50">
        <f t="shared" si="15"/>
        <v>11</v>
      </c>
      <c r="D94" s="43">
        <f t="shared" si="8"/>
        <v>0.41446872645064059</v>
      </c>
      <c r="F94" s="298">
        <v>0</v>
      </c>
      <c r="G94" s="296">
        <f t="shared" si="9"/>
        <v>0</v>
      </c>
      <c r="H94" s="298"/>
      <c r="I94" s="299">
        <v>0</v>
      </c>
      <c r="J94" s="296">
        <f t="shared" si="10"/>
        <v>0</v>
      </c>
      <c r="K94" s="299"/>
      <c r="L94" s="299">
        <v>11</v>
      </c>
      <c r="M94" s="296">
        <f t="shared" si="11"/>
        <v>100</v>
      </c>
      <c r="N94" s="299"/>
      <c r="O94" s="299">
        <v>0</v>
      </c>
      <c r="P94" s="296">
        <f t="shared" si="12"/>
        <v>0</v>
      </c>
      <c r="Q94" s="262"/>
      <c r="R94" s="262">
        <v>0</v>
      </c>
      <c r="S94" s="259"/>
      <c r="T94" s="45"/>
      <c r="U94" s="45"/>
    </row>
    <row r="95" spans="1:21" ht="13.15" customHeight="1">
      <c r="A95" s="64" t="s">
        <v>891</v>
      </c>
      <c r="B95" s="50">
        <f>IF($A95&lt;&gt;0,F95+I95+L95+O95+R95,"")</f>
        <v>8</v>
      </c>
      <c r="D95" s="43">
        <f>IF(A95&lt;&gt;0,B95/$B$12*100,"")</f>
        <v>0.30143180105501133</v>
      </c>
      <c r="F95" s="298">
        <v>0</v>
      </c>
      <c r="G95" s="296">
        <f t="shared" si="9"/>
        <v>0</v>
      </c>
      <c r="H95" s="298"/>
      <c r="I95" s="299">
        <v>8</v>
      </c>
      <c r="J95" s="296">
        <f t="shared" si="10"/>
        <v>100</v>
      </c>
      <c r="K95" s="299"/>
      <c r="L95" s="299">
        <v>0</v>
      </c>
      <c r="M95" s="296">
        <f t="shared" si="11"/>
        <v>0</v>
      </c>
      <c r="N95" s="299"/>
      <c r="O95" s="299">
        <v>0</v>
      </c>
      <c r="P95" s="296">
        <f t="shared" si="12"/>
        <v>0</v>
      </c>
      <c r="Q95" s="262"/>
      <c r="R95" s="262"/>
      <c r="S95" s="259"/>
      <c r="T95" s="45"/>
      <c r="U95" s="45"/>
    </row>
    <row r="96" spans="1:21" ht="13.15" customHeight="1">
      <c r="A96" s="36" t="s">
        <v>26</v>
      </c>
      <c r="B96" s="50">
        <f>IF($A96&lt;&gt;0,F96+I96+L96+O96+R96,"")</f>
        <v>7</v>
      </c>
      <c r="D96" s="43">
        <f>IF(A96&lt;&gt;0,B96/$B$12*100,"")</f>
        <v>0.26375282592313487</v>
      </c>
      <c r="F96" s="300">
        <v>1</v>
      </c>
      <c r="G96" s="296">
        <f t="shared" si="9"/>
        <v>14.285714285714285</v>
      </c>
      <c r="H96" s="300"/>
      <c r="I96" s="301">
        <v>6</v>
      </c>
      <c r="J96" s="296">
        <f t="shared" si="10"/>
        <v>85.714285714285708</v>
      </c>
      <c r="K96" s="301"/>
      <c r="L96" s="301">
        <v>0</v>
      </c>
      <c r="M96" s="296">
        <f t="shared" si="11"/>
        <v>0</v>
      </c>
      <c r="N96" s="301"/>
      <c r="O96" s="301">
        <v>0</v>
      </c>
      <c r="P96" s="296">
        <f t="shared" si="12"/>
        <v>0</v>
      </c>
      <c r="Q96" s="267"/>
      <c r="R96" s="267">
        <v>0</v>
      </c>
      <c r="S96" s="259"/>
      <c r="T96" s="45"/>
      <c r="U96" s="45"/>
    </row>
    <row r="97" spans="1:21" ht="13.15" customHeight="1">
      <c r="A97" s="64" t="s">
        <v>812</v>
      </c>
      <c r="B97" s="50">
        <f>IF($A97&lt;&gt;0,F97+I97+L97+O97+R97,"")</f>
        <v>26</v>
      </c>
      <c r="D97" s="43">
        <f>IF(A97&lt;&gt;0,B97/$B$12*100,"")</f>
        <v>0.97965335342878668</v>
      </c>
      <c r="F97" s="298">
        <v>0</v>
      </c>
      <c r="G97" s="296">
        <f t="shared" si="9"/>
        <v>0</v>
      </c>
      <c r="H97" s="298"/>
      <c r="I97" s="299">
        <v>26</v>
      </c>
      <c r="J97" s="296">
        <f t="shared" si="10"/>
        <v>100</v>
      </c>
      <c r="K97" s="299"/>
      <c r="L97" s="299">
        <v>0</v>
      </c>
      <c r="M97" s="296">
        <f t="shared" si="11"/>
        <v>0</v>
      </c>
      <c r="N97" s="299"/>
      <c r="O97" s="299">
        <v>0</v>
      </c>
      <c r="P97" s="296">
        <f t="shared" si="12"/>
        <v>0</v>
      </c>
      <c r="Q97" s="267"/>
      <c r="R97" s="267"/>
      <c r="S97" s="259"/>
      <c r="T97" s="45"/>
      <c r="U97" s="45"/>
    </row>
    <row r="98" spans="1:21" ht="13.15" customHeight="1">
      <c r="A98" t="s">
        <v>892</v>
      </c>
      <c r="B98" s="50">
        <f t="shared" si="15"/>
        <v>13</v>
      </c>
      <c r="D98" s="43">
        <f t="shared" si="8"/>
        <v>0.48982667671439334</v>
      </c>
      <c r="F98" s="298">
        <v>1</v>
      </c>
      <c r="G98" s="296">
        <f t="shared" si="9"/>
        <v>7.6923076923076925</v>
      </c>
      <c r="H98" s="298"/>
      <c r="I98" s="299">
        <v>1</v>
      </c>
      <c r="J98" s="296">
        <f t="shared" si="10"/>
        <v>7.6923076923076925</v>
      </c>
      <c r="K98" s="299"/>
      <c r="L98" s="299">
        <v>11</v>
      </c>
      <c r="M98" s="296">
        <f t="shared" si="11"/>
        <v>84.615384615384613</v>
      </c>
      <c r="N98" s="299"/>
      <c r="O98" s="299">
        <v>0</v>
      </c>
      <c r="P98" s="296">
        <f t="shared" si="12"/>
        <v>0</v>
      </c>
      <c r="Q98" s="262"/>
      <c r="R98" s="262">
        <v>0</v>
      </c>
      <c r="S98" s="259"/>
      <c r="T98" s="45"/>
      <c r="U98" s="45"/>
    </row>
    <row r="99" spans="1:21" ht="13.15" customHeight="1">
      <c r="A99" t="s">
        <v>47</v>
      </c>
      <c r="B99" s="50">
        <f t="shared" si="15"/>
        <v>1</v>
      </c>
      <c r="D99" s="43">
        <f t="shared" si="8"/>
        <v>3.7678975131876416E-2</v>
      </c>
      <c r="F99" s="298">
        <v>0</v>
      </c>
      <c r="G99" s="296">
        <f t="shared" si="9"/>
        <v>0</v>
      </c>
      <c r="H99" s="298"/>
      <c r="I99" s="299">
        <v>1</v>
      </c>
      <c r="J99" s="296">
        <f t="shared" si="10"/>
        <v>100</v>
      </c>
      <c r="K99" s="299"/>
      <c r="L99" s="299">
        <v>0</v>
      </c>
      <c r="M99" s="296">
        <f t="shared" si="11"/>
        <v>0</v>
      </c>
      <c r="N99" s="299"/>
      <c r="O99" s="299">
        <v>0</v>
      </c>
      <c r="P99" s="296">
        <f t="shared" si="12"/>
        <v>0</v>
      </c>
      <c r="Q99" s="262"/>
      <c r="R99" s="262">
        <v>0</v>
      </c>
      <c r="S99" s="259"/>
      <c r="T99" s="45"/>
      <c r="U99" s="45"/>
    </row>
    <row r="100" spans="1:21" ht="13.15" customHeight="1">
      <c r="A100" t="s">
        <v>46</v>
      </c>
      <c r="B100" s="50">
        <f t="shared" si="15"/>
        <v>7</v>
      </c>
      <c r="D100" s="43">
        <f t="shared" si="8"/>
        <v>0.26375282592313487</v>
      </c>
      <c r="F100" s="298">
        <v>0</v>
      </c>
      <c r="G100" s="296">
        <f t="shared" si="9"/>
        <v>0</v>
      </c>
      <c r="H100" s="298"/>
      <c r="I100" s="299">
        <v>0</v>
      </c>
      <c r="J100" s="296">
        <f t="shared" si="10"/>
        <v>0</v>
      </c>
      <c r="K100" s="299"/>
      <c r="L100" s="299">
        <v>7</v>
      </c>
      <c r="M100" s="296">
        <f t="shared" si="11"/>
        <v>100</v>
      </c>
      <c r="N100" s="299"/>
      <c r="O100" s="299">
        <v>0</v>
      </c>
      <c r="P100" s="296">
        <f t="shared" si="12"/>
        <v>0</v>
      </c>
      <c r="Q100" s="262"/>
      <c r="R100" s="262">
        <v>0</v>
      </c>
      <c r="S100" s="259"/>
      <c r="T100" s="45"/>
      <c r="U100" s="45"/>
    </row>
    <row r="101" spans="1:21" ht="9" customHeight="1" thickBot="1">
      <c r="A101" s="59"/>
      <c r="B101" s="58"/>
      <c r="C101" s="60"/>
      <c r="D101" s="15"/>
      <c r="E101" s="59"/>
      <c r="F101" s="302"/>
      <c r="G101" s="303"/>
      <c r="H101" s="304"/>
      <c r="I101" s="302"/>
      <c r="J101" s="303"/>
      <c r="K101" s="304"/>
      <c r="L101" s="302"/>
      <c r="M101" s="303"/>
      <c r="N101" s="304"/>
      <c r="O101" s="302"/>
      <c r="P101" s="303"/>
      <c r="Q101" s="304"/>
      <c r="R101" s="302"/>
      <c r="S101" s="305"/>
      <c r="T101" s="45"/>
      <c r="U101" s="45"/>
    </row>
    <row r="102" spans="1:21" ht="7.5" customHeight="1">
      <c r="A102" s="97"/>
    </row>
    <row r="103" spans="1:21">
      <c r="A103" s="256" t="s">
        <v>810</v>
      </c>
      <c r="C103" s="43"/>
      <c r="D103"/>
      <c r="E103" s="41"/>
      <c r="F103" s="94"/>
      <c r="G103" s="42"/>
      <c r="H103" s="93"/>
      <c r="I103" s="94"/>
      <c r="J103" s="42"/>
      <c r="K103" s="93"/>
      <c r="L103" s="94"/>
      <c r="M103" s="42"/>
      <c r="N103" s="93"/>
      <c r="O103" s="94"/>
      <c r="P103" s="42"/>
      <c r="Q103" s="93"/>
      <c r="R103" s="94"/>
      <c r="S103"/>
    </row>
    <row r="104" spans="1:21">
      <c r="A104" s="256" t="s">
        <v>922</v>
      </c>
      <c r="C104" s="43"/>
      <c r="D104"/>
      <c r="E104" s="41"/>
      <c r="F104" s="94"/>
      <c r="G104" s="42"/>
      <c r="H104" s="93"/>
      <c r="I104" s="94"/>
      <c r="J104" s="42"/>
      <c r="K104" s="93"/>
      <c r="L104" s="94"/>
      <c r="M104" s="42"/>
      <c r="N104" s="93"/>
      <c r="O104" s="94"/>
      <c r="P104" s="42"/>
      <c r="Q104" s="93"/>
      <c r="R104" s="94"/>
      <c r="S104"/>
    </row>
    <row r="105" spans="1:21" ht="4.5" customHeight="1"/>
    <row r="106" spans="1:21">
      <c r="A106" s="4" t="s">
        <v>811</v>
      </c>
    </row>
    <row r="107" spans="1:21">
      <c r="A107" t="s">
        <v>683</v>
      </c>
    </row>
    <row r="108" spans="1:21" ht="12" customHeight="1"/>
    <row r="109" spans="1:21" ht="13.5" customHeight="1"/>
  </sheetData>
  <printOptions horizontalCentered="1" verticalCentered="1"/>
  <pageMargins left="0" right="0" top="0" bottom="0" header="0.31496062992125984" footer="0.31496062992125984"/>
  <pageSetup paperSize="9" scale="60" orientation="portrait" r:id="rId1"/>
  <drawing r:id="rId2"/>
</worksheet>
</file>

<file path=xl/worksheets/sheet46.xml><?xml version="1.0" encoding="utf-8"?>
<worksheet xmlns="http://schemas.openxmlformats.org/spreadsheetml/2006/main" xmlns:r="http://schemas.openxmlformats.org/officeDocument/2006/relationships">
  <dimension ref="A1:S117"/>
  <sheetViews>
    <sheetView topLeftCell="A76" workbookViewId="0">
      <selection activeCell="A109" sqref="A109"/>
    </sheetView>
  </sheetViews>
  <sheetFormatPr baseColWidth="10" defaultColWidth="8.85546875" defaultRowHeight="15"/>
  <cols>
    <col min="1" max="1" width="35.7109375" customWidth="1"/>
    <col min="2" max="3" width="8.28515625" style="65" customWidth="1"/>
    <col min="4" max="4" width="2.7109375" style="239" customWidth="1"/>
    <col min="5" max="6" width="8.42578125" style="93" customWidth="1"/>
    <col min="7" max="7" width="2.7109375" style="251" customWidth="1"/>
    <col min="8" max="9" width="8.28515625" style="93" customWidth="1"/>
    <col min="10" max="10" width="2.7109375" style="251" customWidth="1"/>
    <col min="11" max="12" width="8.28515625" style="93" customWidth="1"/>
    <col min="13" max="13" width="2.7109375" style="251" customWidth="1"/>
    <col min="14" max="15" width="8.28515625" style="93" customWidth="1"/>
    <col min="16" max="16" width="2.7109375" style="251" customWidth="1"/>
    <col min="17" max="17" width="6.5703125" style="93" customWidth="1"/>
    <col min="18" max="18" width="6.7109375" style="93" customWidth="1"/>
    <col min="19" max="19" width="2.7109375" customWidth="1"/>
    <col min="257" max="257" width="35.7109375" customWidth="1"/>
    <col min="258" max="259" width="8.28515625" customWidth="1"/>
    <col min="260" max="260" width="2.7109375" customWidth="1"/>
    <col min="261" max="262" width="8.42578125" customWidth="1"/>
    <col min="263" max="263" width="2.7109375" customWidth="1"/>
    <col min="264" max="265" width="8.28515625" customWidth="1"/>
    <col min="266" max="266" width="2.7109375" customWidth="1"/>
    <col min="267" max="268" width="8.28515625" customWidth="1"/>
    <col min="269" max="269" width="2.7109375" customWidth="1"/>
    <col min="270" max="271" width="8.28515625" customWidth="1"/>
    <col min="272" max="272" width="2.7109375" customWidth="1"/>
    <col min="273" max="274" width="8.28515625" customWidth="1"/>
    <col min="275" max="275" width="2.7109375" customWidth="1"/>
    <col min="513" max="513" width="35.7109375" customWidth="1"/>
    <col min="514" max="515" width="8.28515625" customWidth="1"/>
    <col min="516" max="516" width="2.7109375" customWidth="1"/>
    <col min="517" max="518" width="8.42578125" customWidth="1"/>
    <col min="519" max="519" width="2.7109375" customWidth="1"/>
    <col min="520" max="521" width="8.28515625" customWidth="1"/>
    <col min="522" max="522" width="2.7109375" customWidth="1"/>
    <col min="523" max="524" width="8.28515625" customWidth="1"/>
    <col min="525" max="525" width="2.7109375" customWidth="1"/>
    <col min="526" max="527" width="8.28515625" customWidth="1"/>
    <col min="528" max="528" width="2.7109375" customWidth="1"/>
    <col min="529" max="530" width="8.28515625" customWidth="1"/>
    <col min="531" max="531" width="2.7109375" customWidth="1"/>
    <col min="769" max="769" width="35.7109375" customWidth="1"/>
    <col min="770" max="771" width="8.28515625" customWidth="1"/>
    <col min="772" max="772" width="2.7109375" customWidth="1"/>
    <col min="773" max="774" width="8.42578125" customWidth="1"/>
    <col min="775" max="775" width="2.7109375" customWidth="1"/>
    <col min="776" max="777" width="8.28515625" customWidth="1"/>
    <col min="778" max="778" width="2.7109375" customWidth="1"/>
    <col min="779" max="780" width="8.28515625" customWidth="1"/>
    <col min="781" max="781" width="2.7109375" customWidth="1"/>
    <col min="782" max="783" width="8.28515625" customWidth="1"/>
    <col min="784" max="784" width="2.7109375" customWidth="1"/>
    <col min="785" max="786" width="8.28515625" customWidth="1"/>
    <col min="787" max="787" width="2.7109375" customWidth="1"/>
    <col min="1025" max="1025" width="35.7109375" customWidth="1"/>
    <col min="1026" max="1027" width="8.28515625" customWidth="1"/>
    <col min="1028" max="1028" width="2.7109375" customWidth="1"/>
    <col min="1029" max="1030" width="8.42578125" customWidth="1"/>
    <col min="1031" max="1031" width="2.7109375" customWidth="1"/>
    <col min="1032" max="1033" width="8.28515625" customWidth="1"/>
    <col min="1034" max="1034" width="2.7109375" customWidth="1"/>
    <col min="1035" max="1036" width="8.28515625" customWidth="1"/>
    <col min="1037" max="1037" width="2.7109375" customWidth="1"/>
    <col min="1038" max="1039" width="8.28515625" customWidth="1"/>
    <col min="1040" max="1040" width="2.7109375" customWidth="1"/>
    <col min="1041" max="1042" width="8.28515625" customWidth="1"/>
    <col min="1043" max="1043" width="2.7109375" customWidth="1"/>
    <col min="1281" max="1281" width="35.7109375" customWidth="1"/>
    <col min="1282" max="1283" width="8.28515625" customWidth="1"/>
    <col min="1284" max="1284" width="2.7109375" customWidth="1"/>
    <col min="1285" max="1286" width="8.42578125" customWidth="1"/>
    <col min="1287" max="1287" width="2.7109375" customWidth="1"/>
    <col min="1288" max="1289" width="8.28515625" customWidth="1"/>
    <col min="1290" max="1290" width="2.7109375" customWidth="1"/>
    <col min="1291" max="1292" width="8.28515625" customWidth="1"/>
    <col min="1293" max="1293" width="2.7109375" customWidth="1"/>
    <col min="1294" max="1295" width="8.28515625" customWidth="1"/>
    <col min="1296" max="1296" width="2.7109375" customWidth="1"/>
    <col min="1297" max="1298" width="8.28515625" customWidth="1"/>
    <col min="1299" max="1299" width="2.7109375" customWidth="1"/>
    <col min="1537" max="1537" width="35.7109375" customWidth="1"/>
    <col min="1538" max="1539" width="8.28515625" customWidth="1"/>
    <col min="1540" max="1540" width="2.7109375" customWidth="1"/>
    <col min="1541" max="1542" width="8.42578125" customWidth="1"/>
    <col min="1543" max="1543" width="2.7109375" customWidth="1"/>
    <col min="1544" max="1545" width="8.28515625" customWidth="1"/>
    <col min="1546" max="1546" width="2.7109375" customWidth="1"/>
    <col min="1547" max="1548" width="8.28515625" customWidth="1"/>
    <col min="1549" max="1549" width="2.7109375" customWidth="1"/>
    <col min="1550" max="1551" width="8.28515625" customWidth="1"/>
    <col min="1552" max="1552" width="2.7109375" customWidth="1"/>
    <col min="1553" max="1554" width="8.28515625" customWidth="1"/>
    <col min="1555" max="1555" width="2.7109375" customWidth="1"/>
    <col min="1793" max="1793" width="35.7109375" customWidth="1"/>
    <col min="1794" max="1795" width="8.28515625" customWidth="1"/>
    <col min="1796" max="1796" width="2.7109375" customWidth="1"/>
    <col min="1797" max="1798" width="8.42578125" customWidth="1"/>
    <col min="1799" max="1799" width="2.7109375" customWidth="1"/>
    <col min="1800" max="1801" width="8.28515625" customWidth="1"/>
    <col min="1802" max="1802" width="2.7109375" customWidth="1"/>
    <col min="1803" max="1804" width="8.28515625" customWidth="1"/>
    <col min="1805" max="1805" width="2.7109375" customWidth="1"/>
    <col min="1806" max="1807" width="8.28515625" customWidth="1"/>
    <col min="1808" max="1808" width="2.7109375" customWidth="1"/>
    <col min="1809" max="1810" width="8.28515625" customWidth="1"/>
    <col min="1811" max="1811" width="2.7109375" customWidth="1"/>
    <col min="2049" max="2049" width="35.7109375" customWidth="1"/>
    <col min="2050" max="2051" width="8.28515625" customWidth="1"/>
    <col min="2052" max="2052" width="2.7109375" customWidth="1"/>
    <col min="2053" max="2054" width="8.42578125" customWidth="1"/>
    <col min="2055" max="2055" width="2.7109375" customWidth="1"/>
    <col min="2056" max="2057" width="8.28515625" customWidth="1"/>
    <col min="2058" max="2058" width="2.7109375" customWidth="1"/>
    <col min="2059" max="2060" width="8.28515625" customWidth="1"/>
    <col min="2061" max="2061" width="2.7109375" customWidth="1"/>
    <col min="2062" max="2063" width="8.28515625" customWidth="1"/>
    <col min="2064" max="2064" width="2.7109375" customWidth="1"/>
    <col min="2065" max="2066" width="8.28515625" customWidth="1"/>
    <col min="2067" max="2067" width="2.7109375" customWidth="1"/>
    <col min="2305" max="2305" width="35.7109375" customWidth="1"/>
    <col min="2306" max="2307" width="8.28515625" customWidth="1"/>
    <col min="2308" max="2308" width="2.7109375" customWidth="1"/>
    <col min="2309" max="2310" width="8.42578125" customWidth="1"/>
    <col min="2311" max="2311" width="2.7109375" customWidth="1"/>
    <col min="2312" max="2313" width="8.28515625" customWidth="1"/>
    <col min="2314" max="2314" width="2.7109375" customWidth="1"/>
    <col min="2315" max="2316" width="8.28515625" customWidth="1"/>
    <col min="2317" max="2317" width="2.7109375" customWidth="1"/>
    <col min="2318" max="2319" width="8.28515625" customWidth="1"/>
    <col min="2320" max="2320" width="2.7109375" customWidth="1"/>
    <col min="2321" max="2322" width="8.28515625" customWidth="1"/>
    <col min="2323" max="2323" width="2.7109375" customWidth="1"/>
    <col min="2561" max="2561" width="35.7109375" customWidth="1"/>
    <col min="2562" max="2563" width="8.28515625" customWidth="1"/>
    <col min="2564" max="2564" width="2.7109375" customWidth="1"/>
    <col min="2565" max="2566" width="8.42578125" customWidth="1"/>
    <col min="2567" max="2567" width="2.7109375" customWidth="1"/>
    <col min="2568" max="2569" width="8.28515625" customWidth="1"/>
    <col min="2570" max="2570" width="2.7109375" customWidth="1"/>
    <col min="2571" max="2572" width="8.28515625" customWidth="1"/>
    <col min="2573" max="2573" width="2.7109375" customWidth="1"/>
    <col min="2574" max="2575" width="8.28515625" customWidth="1"/>
    <col min="2576" max="2576" width="2.7109375" customWidth="1"/>
    <col min="2577" max="2578" width="8.28515625" customWidth="1"/>
    <col min="2579" max="2579" width="2.7109375" customWidth="1"/>
    <col min="2817" max="2817" width="35.7109375" customWidth="1"/>
    <col min="2818" max="2819" width="8.28515625" customWidth="1"/>
    <col min="2820" max="2820" width="2.7109375" customWidth="1"/>
    <col min="2821" max="2822" width="8.42578125" customWidth="1"/>
    <col min="2823" max="2823" width="2.7109375" customWidth="1"/>
    <col min="2824" max="2825" width="8.28515625" customWidth="1"/>
    <col min="2826" max="2826" width="2.7109375" customWidth="1"/>
    <col min="2827" max="2828" width="8.28515625" customWidth="1"/>
    <col min="2829" max="2829" width="2.7109375" customWidth="1"/>
    <col min="2830" max="2831" width="8.28515625" customWidth="1"/>
    <col min="2832" max="2832" width="2.7109375" customWidth="1"/>
    <col min="2833" max="2834" width="8.28515625" customWidth="1"/>
    <col min="2835" max="2835" width="2.7109375" customWidth="1"/>
    <col min="3073" max="3073" width="35.7109375" customWidth="1"/>
    <col min="3074" max="3075" width="8.28515625" customWidth="1"/>
    <col min="3076" max="3076" width="2.7109375" customWidth="1"/>
    <col min="3077" max="3078" width="8.42578125" customWidth="1"/>
    <col min="3079" max="3079" width="2.7109375" customWidth="1"/>
    <col min="3080" max="3081" width="8.28515625" customWidth="1"/>
    <col min="3082" max="3082" width="2.7109375" customWidth="1"/>
    <col min="3083" max="3084" width="8.28515625" customWidth="1"/>
    <col min="3085" max="3085" width="2.7109375" customWidth="1"/>
    <col min="3086" max="3087" width="8.28515625" customWidth="1"/>
    <col min="3088" max="3088" width="2.7109375" customWidth="1"/>
    <col min="3089" max="3090" width="8.28515625" customWidth="1"/>
    <col min="3091" max="3091" width="2.7109375" customWidth="1"/>
    <col min="3329" max="3329" width="35.7109375" customWidth="1"/>
    <col min="3330" max="3331" width="8.28515625" customWidth="1"/>
    <col min="3332" max="3332" width="2.7109375" customWidth="1"/>
    <col min="3333" max="3334" width="8.42578125" customWidth="1"/>
    <col min="3335" max="3335" width="2.7109375" customWidth="1"/>
    <col min="3336" max="3337" width="8.28515625" customWidth="1"/>
    <col min="3338" max="3338" width="2.7109375" customWidth="1"/>
    <col min="3339" max="3340" width="8.28515625" customWidth="1"/>
    <col min="3341" max="3341" width="2.7109375" customWidth="1"/>
    <col min="3342" max="3343" width="8.28515625" customWidth="1"/>
    <col min="3344" max="3344" width="2.7109375" customWidth="1"/>
    <col min="3345" max="3346" width="8.28515625" customWidth="1"/>
    <col min="3347" max="3347" width="2.7109375" customWidth="1"/>
    <col min="3585" max="3585" width="35.7109375" customWidth="1"/>
    <col min="3586" max="3587" width="8.28515625" customWidth="1"/>
    <col min="3588" max="3588" width="2.7109375" customWidth="1"/>
    <col min="3589" max="3590" width="8.42578125" customWidth="1"/>
    <col min="3591" max="3591" width="2.7109375" customWidth="1"/>
    <col min="3592" max="3593" width="8.28515625" customWidth="1"/>
    <col min="3594" max="3594" width="2.7109375" customWidth="1"/>
    <col min="3595" max="3596" width="8.28515625" customWidth="1"/>
    <col min="3597" max="3597" width="2.7109375" customWidth="1"/>
    <col min="3598" max="3599" width="8.28515625" customWidth="1"/>
    <col min="3600" max="3600" width="2.7109375" customWidth="1"/>
    <col min="3601" max="3602" width="8.28515625" customWidth="1"/>
    <col min="3603" max="3603" width="2.7109375" customWidth="1"/>
    <col min="3841" max="3841" width="35.7109375" customWidth="1"/>
    <col min="3842" max="3843" width="8.28515625" customWidth="1"/>
    <col min="3844" max="3844" width="2.7109375" customWidth="1"/>
    <col min="3845" max="3846" width="8.42578125" customWidth="1"/>
    <col min="3847" max="3847" width="2.7109375" customWidth="1"/>
    <col min="3848" max="3849" width="8.28515625" customWidth="1"/>
    <col min="3850" max="3850" width="2.7109375" customWidth="1"/>
    <col min="3851" max="3852" width="8.28515625" customWidth="1"/>
    <col min="3853" max="3853" width="2.7109375" customWidth="1"/>
    <col min="3854" max="3855" width="8.28515625" customWidth="1"/>
    <col min="3856" max="3856" width="2.7109375" customWidth="1"/>
    <col min="3857" max="3858" width="8.28515625" customWidth="1"/>
    <col min="3859" max="3859" width="2.7109375" customWidth="1"/>
    <col min="4097" max="4097" width="35.7109375" customWidth="1"/>
    <col min="4098" max="4099" width="8.28515625" customWidth="1"/>
    <col min="4100" max="4100" width="2.7109375" customWidth="1"/>
    <col min="4101" max="4102" width="8.42578125" customWidth="1"/>
    <col min="4103" max="4103" width="2.7109375" customWidth="1"/>
    <col min="4104" max="4105" width="8.28515625" customWidth="1"/>
    <col min="4106" max="4106" width="2.7109375" customWidth="1"/>
    <col min="4107" max="4108" width="8.28515625" customWidth="1"/>
    <col min="4109" max="4109" width="2.7109375" customWidth="1"/>
    <col min="4110" max="4111" width="8.28515625" customWidth="1"/>
    <col min="4112" max="4112" width="2.7109375" customWidth="1"/>
    <col min="4113" max="4114" width="8.28515625" customWidth="1"/>
    <col min="4115" max="4115" width="2.7109375" customWidth="1"/>
    <col min="4353" max="4353" width="35.7109375" customWidth="1"/>
    <col min="4354" max="4355" width="8.28515625" customWidth="1"/>
    <col min="4356" max="4356" width="2.7109375" customWidth="1"/>
    <col min="4357" max="4358" width="8.42578125" customWidth="1"/>
    <col min="4359" max="4359" width="2.7109375" customWidth="1"/>
    <col min="4360" max="4361" width="8.28515625" customWidth="1"/>
    <col min="4362" max="4362" width="2.7109375" customWidth="1"/>
    <col min="4363" max="4364" width="8.28515625" customWidth="1"/>
    <col min="4365" max="4365" width="2.7109375" customWidth="1"/>
    <col min="4366" max="4367" width="8.28515625" customWidth="1"/>
    <col min="4368" max="4368" width="2.7109375" customWidth="1"/>
    <col min="4369" max="4370" width="8.28515625" customWidth="1"/>
    <col min="4371" max="4371" width="2.7109375" customWidth="1"/>
    <col min="4609" max="4609" width="35.7109375" customWidth="1"/>
    <col min="4610" max="4611" width="8.28515625" customWidth="1"/>
    <col min="4612" max="4612" width="2.7109375" customWidth="1"/>
    <col min="4613" max="4614" width="8.42578125" customWidth="1"/>
    <col min="4615" max="4615" width="2.7109375" customWidth="1"/>
    <col min="4616" max="4617" width="8.28515625" customWidth="1"/>
    <col min="4618" max="4618" width="2.7109375" customWidth="1"/>
    <col min="4619" max="4620" width="8.28515625" customWidth="1"/>
    <col min="4621" max="4621" width="2.7109375" customWidth="1"/>
    <col min="4622" max="4623" width="8.28515625" customWidth="1"/>
    <col min="4624" max="4624" width="2.7109375" customWidth="1"/>
    <col min="4625" max="4626" width="8.28515625" customWidth="1"/>
    <col min="4627" max="4627" width="2.7109375" customWidth="1"/>
    <col min="4865" max="4865" width="35.7109375" customWidth="1"/>
    <col min="4866" max="4867" width="8.28515625" customWidth="1"/>
    <col min="4868" max="4868" width="2.7109375" customWidth="1"/>
    <col min="4869" max="4870" width="8.42578125" customWidth="1"/>
    <col min="4871" max="4871" width="2.7109375" customWidth="1"/>
    <col min="4872" max="4873" width="8.28515625" customWidth="1"/>
    <col min="4874" max="4874" width="2.7109375" customWidth="1"/>
    <col min="4875" max="4876" width="8.28515625" customWidth="1"/>
    <col min="4877" max="4877" width="2.7109375" customWidth="1"/>
    <col min="4878" max="4879" width="8.28515625" customWidth="1"/>
    <col min="4880" max="4880" width="2.7109375" customWidth="1"/>
    <col min="4881" max="4882" width="8.28515625" customWidth="1"/>
    <col min="4883" max="4883" width="2.7109375" customWidth="1"/>
    <col min="5121" max="5121" width="35.7109375" customWidth="1"/>
    <col min="5122" max="5123" width="8.28515625" customWidth="1"/>
    <col min="5124" max="5124" width="2.7109375" customWidth="1"/>
    <col min="5125" max="5126" width="8.42578125" customWidth="1"/>
    <col min="5127" max="5127" width="2.7109375" customWidth="1"/>
    <col min="5128" max="5129" width="8.28515625" customWidth="1"/>
    <col min="5130" max="5130" width="2.7109375" customWidth="1"/>
    <col min="5131" max="5132" width="8.28515625" customWidth="1"/>
    <col min="5133" max="5133" width="2.7109375" customWidth="1"/>
    <col min="5134" max="5135" width="8.28515625" customWidth="1"/>
    <col min="5136" max="5136" width="2.7109375" customWidth="1"/>
    <col min="5137" max="5138" width="8.28515625" customWidth="1"/>
    <col min="5139" max="5139" width="2.7109375" customWidth="1"/>
    <col min="5377" max="5377" width="35.7109375" customWidth="1"/>
    <col min="5378" max="5379" width="8.28515625" customWidth="1"/>
    <col min="5380" max="5380" width="2.7109375" customWidth="1"/>
    <col min="5381" max="5382" width="8.42578125" customWidth="1"/>
    <col min="5383" max="5383" width="2.7109375" customWidth="1"/>
    <col min="5384" max="5385" width="8.28515625" customWidth="1"/>
    <col min="5386" max="5386" width="2.7109375" customWidth="1"/>
    <col min="5387" max="5388" width="8.28515625" customWidth="1"/>
    <col min="5389" max="5389" width="2.7109375" customWidth="1"/>
    <col min="5390" max="5391" width="8.28515625" customWidth="1"/>
    <col min="5392" max="5392" width="2.7109375" customWidth="1"/>
    <col min="5393" max="5394" width="8.28515625" customWidth="1"/>
    <col min="5395" max="5395" width="2.7109375" customWidth="1"/>
    <col min="5633" max="5633" width="35.7109375" customWidth="1"/>
    <col min="5634" max="5635" width="8.28515625" customWidth="1"/>
    <col min="5636" max="5636" width="2.7109375" customWidth="1"/>
    <col min="5637" max="5638" width="8.42578125" customWidth="1"/>
    <col min="5639" max="5639" width="2.7109375" customWidth="1"/>
    <col min="5640" max="5641" width="8.28515625" customWidth="1"/>
    <col min="5642" max="5642" width="2.7109375" customWidth="1"/>
    <col min="5643" max="5644" width="8.28515625" customWidth="1"/>
    <col min="5645" max="5645" width="2.7109375" customWidth="1"/>
    <col min="5646" max="5647" width="8.28515625" customWidth="1"/>
    <col min="5648" max="5648" width="2.7109375" customWidth="1"/>
    <col min="5649" max="5650" width="8.28515625" customWidth="1"/>
    <col min="5651" max="5651" width="2.7109375" customWidth="1"/>
    <col min="5889" max="5889" width="35.7109375" customWidth="1"/>
    <col min="5890" max="5891" width="8.28515625" customWidth="1"/>
    <col min="5892" max="5892" width="2.7109375" customWidth="1"/>
    <col min="5893" max="5894" width="8.42578125" customWidth="1"/>
    <col min="5895" max="5895" width="2.7109375" customWidth="1"/>
    <col min="5896" max="5897" width="8.28515625" customWidth="1"/>
    <col min="5898" max="5898" width="2.7109375" customWidth="1"/>
    <col min="5899" max="5900" width="8.28515625" customWidth="1"/>
    <col min="5901" max="5901" width="2.7109375" customWidth="1"/>
    <col min="5902" max="5903" width="8.28515625" customWidth="1"/>
    <col min="5904" max="5904" width="2.7109375" customWidth="1"/>
    <col min="5905" max="5906" width="8.28515625" customWidth="1"/>
    <col min="5907" max="5907" width="2.7109375" customWidth="1"/>
    <col min="6145" max="6145" width="35.7109375" customWidth="1"/>
    <col min="6146" max="6147" width="8.28515625" customWidth="1"/>
    <col min="6148" max="6148" width="2.7109375" customWidth="1"/>
    <col min="6149" max="6150" width="8.42578125" customWidth="1"/>
    <col min="6151" max="6151" width="2.7109375" customWidth="1"/>
    <col min="6152" max="6153" width="8.28515625" customWidth="1"/>
    <col min="6154" max="6154" width="2.7109375" customWidth="1"/>
    <col min="6155" max="6156" width="8.28515625" customWidth="1"/>
    <col min="6157" max="6157" width="2.7109375" customWidth="1"/>
    <col min="6158" max="6159" width="8.28515625" customWidth="1"/>
    <col min="6160" max="6160" width="2.7109375" customWidth="1"/>
    <col min="6161" max="6162" width="8.28515625" customWidth="1"/>
    <col min="6163" max="6163" width="2.7109375" customWidth="1"/>
    <col min="6401" max="6401" width="35.7109375" customWidth="1"/>
    <col min="6402" max="6403" width="8.28515625" customWidth="1"/>
    <col min="6404" max="6404" width="2.7109375" customWidth="1"/>
    <col min="6405" max="6406" width="8.42578125" customWidth="1"/>
    <col min="6407" max="6407" width="2.7109375" customWidth="1"/>
    <col min="6408" max="6409" width="8.28515625" customWidth="1"/>
    <col min="6410" max="6410" width="2.7109375" customWidth="1"/>
    <col min="6411" max="6412" width="8.28515625" customWidth="1"/>
    <col min="6413" max="6413" width="2.7109375" customWidth="1"/>
    <col min="6414" max="6415" width="8.28515625" customWidth="1"/>
    <col min="6416" max="6416" width="2.7109375" customWidth="1"/>
    <col min="6417" max="6418" width="8.28515625" customWidth="1"/>
    <col min="6419" max="6419" width="2.7109375" customWidth="1"/>
    <col min="6657" max="6657" width="35.7109375" customWidth="1"/>
    <col min="6658" max="6659" width="8.28515625" customWidth="1"/>
    <col min="6660" max="6660" width="2.7109375" customWidth="1"/>
    <col min="6661" max="6662" width="8.42578125" customWidth="1"/>
    <col min="6663" max="6663" width="2.7109375" customWidth="1"/>
    <col min="6664" max="6665" width="8.28515625" customWidth="1"/>
    <col min="6666" max="6666" width="2.7109375" customWidth="1"/>
    <col min="6667" max="6668" width="8.28515625" customWidth="1"/>
    <col min="6669" max="6669" width="2.7109375" customWidth="1"/>
    <col min="6670" max="6671" width="8.28515625" customWidth="1"/>
    <col min="6672" max="6672" width="2.7109375" customWidth="1"/>
    <col min="6673" max="6674" width="8.28515625" customWidth="1"/>
    <col min="6675" max="6675" width="2.7109375" customWidth="1"/>
    <col min="6913" max="6913" width="35.7109375" customWidth="1"/>
    <col min="6914" max="6915" width="8.28515625" customWidth="1"/>
    <col min="6916" max="6916" width="2.7109375" customWidth="1"/>
    <col min="6917" max="6918" width="8.42578125" customWidth="1"/>
    <col min="6919" max="6919" width="2.7109375" customWidth="1"/>
    <col min="6920" max="6921" width="8.28515625" customWidth="1"/>
    <col min="6922" max="6922" width="2.7109375" customWidth="1"/>
    <col min="6923" max="6924" width="8.28515625" customWidth="1"/>
    <col min="6925" max="6925" width="2.7109375" customWidth="1"/>
    <col min="6926" max="6927" width="8.28515625" customWidth="1"/>
    <col min="6928" max="6928" width="2.7109375" customWidth="1"/>
    <col min="6929" max="6930" width="8.28515625" customWidth="1"/>
    <col min="6931" max="6931" width="2.7109375" customWidth="1"/>
    <col min="7169" max="7169" width="35.7109375" customWidth="1"/>
    <col min="7170" max="7171" width="8.28515625" customWidth="1"/>
    <col min="7172" max="7172" width="2.7109375" customWidth="1"/>
    <col min="7173" max="7174" width="8.42578125" customWidth="1"/>
    <col min="7175" max="7175" width="2.7109375" customWidth="1"/>
    <col min="7176" max="7177" width="8.28515625" customWidth="1"/>
    <col min="7178" max="7178" width="2.7109375" customWidth="1"/>
    <col min="7179" max="7180" width="8.28515625" customWidth="1"/>
    <col min="7181" max="7181" width="2.7109375" customWidth="1"/>
    <col min="7182" max="7183" width="8.28515625" customWidth="1"/>
    <col min="7184" max="7184" width="2.7109375" customWidth="1"/>
    <col min="7185" max="7186" width="8.28515625" customWidth="1"/>
    <col min="7187" max="7187" width="2.7109375" customWidth="1"/>
    <col min="7425" max="7425" width="35.7109375" customWidth="1"/>
    <col min="7426" max="7427" width="8.28515625" customWidth="1"/>
    <col min="7428" max="7428" width="2.7109375" customWidth="1"/>
    <col min="7429" max="7430" width="8.42578125" customWidth="1"/>
    <col min="7431" max="7431" width="2.7109375" customWidth="1"/>
    <col min="7432" max="7433" width="8.28515625" customWidth="1"/>
    <col min="7434" max="7434" width="2.7109375" customWidth="1"/>
    <col min="7435" max="7436" width="8.28515625" customWidth="1"/>
    <col min="7437" max="7437" width="2.7109375" customWidth="1"/>
    <col min="7438" max="7439" width="8.28515625" customWidth="1"/>
    <col min="7440" max="7440" width="2.7109375" customWidth="1"/>
    <col min="7441" max="7442" width="8.28515625" customWidth="1"/>
    <col min="7443" max="7443" width="2.7109375" customWidth="1"/>
    <col min="7681" max="7681" width="35.7109375" customWidth="1"/>
    <col min="7682" max="7683" width="8.28515625" customWidth="1"/>
    <col min="7684" max="7684" width="2.7109375" customWidth="1"/>
    <col min="7685" max="7686" width="8.42578125" customWidth="1"/>
    <col min="7687" max="7687" width="2.7109375" customWidth="1"/>
    <col min="7688" max="7689" width="8.28515625" customWidth="1"/>
    <col min="7690" max="7690" width="2.7109375" customWidth="1"/>
    <col min="7691" max="7692" width="8.28515625" customWidth="1"/>
    <col min="7693" max="7693" width="2.7109375" customWidth="1"/>
    <col min="7694" max="7695" width="8.28515625" customWidth="1"/>
    <col min="7696" max="7696" width="2.7109375" customWidth="1"/>
    <col min="7697" max="7698" width="8.28515625" customWidth="1"/>
    <col min="7699" max="7699" width="2.7109375" customWidth="1"/>
    <col min="7937" max="7937" width="35.7109375" customWidth="1"/>
    <col min="7938" max="7939" width="8.28515625" customWidth="1"/>
    <col min="7940" max="7940" width="2.7109375" customWidth="1"/>
    <col min="7941" max="7942" width="8.42578125" customWidth="1"/>
    <col min="7943" max="7943" width="2.7109375" customWidth="1"/>
    <col min="7944" max="7945" width="8.28515625" customWidth="1"/>
    <col min="7946" max="7946" width="2.7109375" customWidth="1"/>
    <col min="7947" max="7948" width="8.28515625" customWidth="1"/>
    <col min="7949" max="7949" width="2.7109375" customWidth="1"/>
    <col min="7950" max="7951" width="8.28515625" customWidth="1"/>
    <col min="7952" max="7952" width="2.7109375" customWidth="1"/>
    <col min="7953" max="7954" width="8.28515625" customWidth="1"/>
    <col min="7955" max="7955" width="2.7109375" customWidth="1"/>
    <col min="8193" max="8193" width="35.7109375" customWidth="1"/>
    <col min="8194" max="8195" width="8.28515625" customWidth="1"/>
    <col min="8196" max="8196" width="2.7109375" customWidth="1"/>
    <col min="8197" max="8198" width="8.42578125" customWidth="1"/>
    <col min="8199" max="8199" width="2.7109375" customWidth="1"/>
    <col min="8200" max="8201" width="8.28515625" customWidth="1"/>
    <col min="8202" max="8202" width="2.7109375" customWidth="1"/>
    <col min="8203" max="8204" width="8.28515625" customWidth="1"/>
    <col min="8205" max="8205" width="2.7109375" customWidth="1"/>
    <col min="8206" max="8207" width="8.28515625" customWidth="1"/>
    <col min="8208" max="8208" width="2.7109375" customWidth="1"/>
    <col min="8209" max="8210" width="8.28515625" customWidth="1"/>
    <col min="8211" max="8211" width="2.7109375" customWidth="1"/>
    <col min="8449" max="8449" width="35.7109375" customWidth="1"/>
    <col min="8450" max="8451" width="8.28515625" customWidth="1"/>
    <col min="8452" max="8452" width="2.7109375" customWidth="1"/>
    <col min="8453" max="8454" width="8.42578125" customWidth="1"/>
    <col min="8455" max="8455" width="2.7109375" customWidth="1"/>
    <col min="8456" max="8457" width="8.28515625" customWidth="1"/>
    <col min="8458" max="8458" width="2.7109375" customWidth="1"/>
    <col min="8459" max="8460" width="8.28515625" customWidth="1"/>
    <col min="8461" max="8461" width="2.7109375" customWidth="1"/>
    <col min="8462" max="8463" width="8.28515625" customWidth="1"/>
    <col min="8464" max="8464" width="2.7109375" customWidth="1"/>
    <col min="8465" max="8466" width="8.28515625" customWidth="1"/>
    <col min="8467" max="8467" width="2.7109375" customWidth="1"/>
    <col min="8705" max="8705" width="35.7109375" customWidth="1"/>
    <col min="8706" max="8707" width="8.28515625" customWidth="1"/>
    <col min="8708" max="8708" width="2.7109375" customWidth="1"/>
    <col min="8709" max="8710" width="8.42578125" customWidth="1"/>
    <col min="8711" max="8711" width="2.7109375" customWidth="1"/>
    <col min="8712" max="8713" width="8.28515625" customWidth="1"/>
    <col min="8714" max="8714" width="2.7109375" customWidth="1"/>
    <col min="8715" max="8716" width="8.28515625" customWidth="1"/>
    <col min="8717" max="8717" width="2.7109375" customWidth="1"/>
    <col min="8718" max="8719" width="8.28515625" customWidth="1"/>
    <col min="8720" max="8720" width="2.7109375" customWidth="1"/>
    <col min="8721" max="8722" width="8.28515625" customWidth="1"/>
    <col min="8723" max="8723" width="2.7109375" customWidth="1"/>
    <col min="8961" max="8961" width="35.7109375" customWidth="1"/>
    <col min="8962" max="8963" width="8.28515625" customWidth="1"/>
    <col min="8964" max="8964" width="2.7109375" customWidth="1"/>
    <col min="8965" max="8966" width="8.42578125" customWidth="1"/>
    <col min="8967" max="8967" width="2.7109375" customWidth="1"/>
    <col min="8968" max="8969" width="8.28515625" customWidth="1"/>
    <col min="8970" max="8970" width="2.7109375" customWidth="1"/>
    <col min="8971" max="8972" width="8.28515625" customWidth="1"/>
    <col min="8973" max="8973" width="2.7109375" customWidth="1"/>
    <col min="8974" max="8975" width="8.28515625" customWidth="1"/>
    <col min="8976" max="8976" width="2.7109375" customWidth="1"/>
    <col min="8977" max="8978" width="8.28515625" customWidth="1"/>
    <col min="8979" max="8979" width="2.7109375" customWidth="1"/>
    <col min="9217" max="9217" width="35.7109375" customWidth="1"/>
    <col min="9218" max="9219" width="8.28515625" customWidth="1"/>
    <col min="9220" max="9220" width="2.7109375" customWidth="1"/>
    <col min="9221" max="9222" width="8.42578125" customWidth="1"/>
    <col min="9223" max="9223" width="2.7109375" customWidth="1"/>
    <col min="9224" max="9225" width="8.28515625" customWidth="1"/>
    <col min="9226" max="9226" width="2.7109375" customWidth="1"/>
    <col min="9227" max="9228" width="8.28515625" customWidth="1"/>
    <col min="9229" max="9229" width="2.7109375" customWidth="1"/>
    <col min="9230" max="9231" width="8.28515625" customWidth="1"/>
    <col min="9232" max="9232" width="2.7109375" customWidth="1"/>
    <col min="9233" max="9234" width="8.28515625" customWidth="1"/>
    <col min="9235" max="9235" width="2.7109375" customWidth="1"/>
    <col min="9473" max="9473" width="35.7109375" customWidth="1"/>
    <col min="9474" max="9475" width="8.28515625" customWidth="1"/>
    <col min="9476" max="9476" width="2.7109375" customWidth="1"/>
    <col min="9477" max="9478" width="8.42578125" customWidth="1"/>
    <col min="9479" max="9479" width="2.7109375" customWidth="1"/>
    <col min="9480" max="9481" width="8.28515625" customWidth="1"/>
    <col min="9482" max="9482" width="2.7109375" customWidth="1"/>
    <col min="9483" max="9484" width="8.28515625" customWidth="1"/>
    <col min="9485" max="9485" width="2.7109375" customWidth="1"/>
    <col min="9486" max="9487" width="8.28515625" customWidth="1"/>
    <col min="9488" max="9488" width="2.7109375" customWidth="1"/>
    <col min="9489" max="9490" width="8.28515625" customWidth="1"/>
    <col min="9491" max="9491" width="2.7109375" customWidth="1"/>
    <col min="9729" max="9729" width="35.7109375" customWidth="1"/>
    <col min="9730" max="9731" width="8.28515625" customWidth="1"/>
    <col min="9732" max="9732" width="2.7109375" customWidth="1"/>
    <col min="9733" max="9734" width="8.42578125" customWidth="1"/>
    <col min="9735" max="9735" width="2.7109375" customWidth="1"/>
    <col min="9736" max="9737" width="8.28515625" customWidth="1"/>
    <col min="9738" max="9738" width="2.7109375" customWidth="1"/>
    <col min="9739" max="9740" width="8.28515625" customWidth="1"/>
    <col min="9741" max="9741" width="2.7109375" customWidth="1"/>
    <col min="9742" max="9743" width="8.28515625" customWidth="1"/>
    <col min="9744" max="9744" width="2.7109375" customWidth="1"/>
    <col min="9745" max="9746" width="8.28515625" customWidth="1"/>
    <col min="9747" max="9747" width="2.7109375" customWidth="1"/>
    <col min="9985" max="9985" width="35.7109375" customWidth="1"/>
    <col min="9986" max="9987" width="8.28515625" customWidth="1"/>
    <col min="9988" max="9988" width="2.7109375" customWidth="1"/>
    <col min="9989" max="9990" width="8.42578125" customWidth="1"/>
    <col min="9991" max="9991" width="2.7109375" customWidth="1"/>
    <col min="9992" max="9993" width="8.28515625" customWidth="1"/>
    <col min="9994" max="9994" width="2.7109375" customWidth="1"/>
    <col min="9995" max="9996" width="8.28515625" customWidth="1"/>
    <col min="9997" max="9997" width="2.7109375" customWidth="1"/>
    <col min="9998" max="9999" width="8.28515625" customWidth="1"/>
    <col min="10000" max="10000" width="2.7109375" customWidth="1"/>
    <col min="10001" max="10002" width="8.28515625" customWidth="1"/>
    <col min="10003" max="10003" width="2.7109375" customWidth="1"/>
    <col min="10241" max="10241" width="35.7109375" customWidth="1"/>
    <col min="10242" max="10243" width="8.28515625" customWidth="1"/>
    <col min="10244" max="10244" width="2.7109375" customWidth="1"/>
    <col min="10245" max="10246" width="8.42578125" customWidth="1"/>
    <col min="10247" max="10247" width="2.7109375" customWidth="1"/>
    <col min="10248" max="10249" width="8.28515625" customWidth="1"/>
    <col min="10250" max="10250" width="2.7109375" customWidth="1"/>
    <col min="10251" max="10252" width="8.28515625" customWidth="1"/>
    <col min="10253" max="10253" width="2.7109375" customWidth="1"/>
    <col min="10254" max="10255" width="8.28515625" customWidth="1"/>
    <col min="10256" max="10256" width="2.7109375" customWidth="1"/>
    <col min="10257" max="10258" width="8.28515625" customWidth="1"/>
    <col min="10259" max="10259" width="2.7109375" customWidth="1"/>
    <col min="10497" max="10497" width="35.7109375" customWidth="1"/>
    <col min="10498" max="10499" width="8.28515625" customWidth="1"/>
    <col min="10500" max="10500" width="2.7109375" customWidth="1"/>
    <col min="10501" max="10502" width="8.42578125" customWidth="1"/>
    <col min="10503" max="10503" width="2.7109375" customWidth="1"/>
    <col min="10504" max="10505" width="8.28515625" customWidth="1"/>
    <col min="10506" max="10506" width="2.7109375" customWidth="1"/>
    <col min="10507" max="10508" width="8.28515625" customWidth="1"/>
    <col min="10509" max="10509" width="2.7109375" customWidth="1"/>
    <col min="10510" max="10511" width="8.28515625" customWidth="1"/>
    <col min="10512" max="10512" width="2.7109375" customWidth="1"/>
    <col min="10513" max="10514" width="8.28515625" customWidth="1"/>
    <col min="10515" max="10515" width="2.7109375" customWidth="1"/>
    <col min="10753" max="10753" width="35.7109375" customWidth="1"/>
    <col min="10754" max="10755" width="8.28515625" customWidth="1"/>
    <col min="10756" max="10756" width="2.7109375" customWidth="1"/>
    <col min="10757" max="10758" width="8.42578125" customWidth="1"/>
    <col min="10759" max="10759" width="2.7109375" customWidth="1"/>
    <col min="10760" max="10761" width="8.28515625" customWidth="1"/>
    <col min="10762" max="10762" width="2.7109375" customWidth="1"/>
    <col min="10763" max="10764" width="8.28515625" customWidth="1"/>
    <col min="10765" max="10765" width="2.7109375" customWidth="1"/>
    <col min="10766" max="10767" width="8.28515625" customWidth="1"/>
    <col min="10768" max="10768" width="2.7109375" customWidth="1"/>
    <col min="10769" max="10770" width="8.28515625" customWidth="1"/>
    <col min="10771" max="10771" width="2.7109375" customWidth="1"/>
    <col min="11009" max="11009" width="35.7109375" customWidth="1"/>
    <col min="11010" max="11011" width="8.28515625" customWidth="1"/>
    <col min="11012" max="11012" width="2.7109375" customWidth="1"/>
    <col min="11013" max="11014" width="8.42578125" customWidth="1"/>
    <col min="11015" max="11015" width="2.7109375" customWidth="1"/>
    <col min="11016" max="11017" width="8.28515625" customWidth="1"/>
    <col min="11018" max="11018" width="2.7109375" customWidth="1"/>
    <col min="11019" max="11020" width="8.28515625" customWidth="1"/>
    <col min="11021" max="11021" width="2.7109375" customWidth="1"/>
    <col min="11022" max="11023" width="8.28515625" customWidth="1"/>
    <col min="11024" max="11024" width="2.7109375" customWidth="1"/>
    <col min="11025" max="11026" width="8.28515625" customWidth="1"/>
    <col min="11027" max="11027" width="2.7109375" customWidth="1"/>
    <col min="11265" max="11265" width="35.7109375" customWidth="1"/>
    <col min="11266" max="11267" width="8.28515625" customWidth="1"/>
    <col min="11268" max="11268" width="2.7109375" customWidth="1"/>
    <col min="11269" max="11270" width="8.42578125" customWidth="1"/>
    <col min="11271" max="11271" width="2.7109375" customWidth="1"/>
    <col min="11272" max="11273" width="8.28515625" customWidth="1"/>
    <col min="11274" max="11274" width="2.7109375" customWidth="1"/>
    <col min="11275" max="11276" width="8.28515625" customWidth="1"/>
    <col min="11277" max="11277" width="2.7109375" customWidth="1"/>
    <col min="11278" max="11279" width="8.28515625" customWidth="1"/>
    <col min="11280" max="11280" width="2.7109375" customWidth="1"/>
    <col min="11281" max="11282" width="8.28515625" customWidth="1"/>
    <col min="11283" max="11283" width="2.7109375" customWidth="1"/>
    <col min="11521" max="11521" width="35.7109375" customWidth="1"/>
    <col min="11522" max="11523" width="8.28515625" customWidth="1"/>
    <col min="11524" max="11524" width="2.7109375" customWidth="1"/>
    <col min="11525" max="11526" width="8.42578125" customWidth="1"/>
    <col min="11527" max="11527" width="2.7109375" customWidth="1"/>
    <col min="11528" max="11529" width="8.28515625" customWidth="1"/>
    <col min="11530" max="11530" width="2.7109375" customWidth="1"/>
    <col min="11531" max="11532" width="8.28515625" customWidth="1"/>
    <col min="11533" max="11533" width="2.7109375" customWidth="1"/>
    <col min="11534" max="11535" width="8.28515625" customWidth="1"/>
    <col min="11536" max="11536" width="2.7109375" customWidth="1"/>
    <col min="11537" max="11538" width="8.28515625" customWidth="1"/>
    <col min="11539" max="11539" width="2.7109375" customWidth="1"/>
    <col min="11777" max="11777" width="35.7109375" customWidth="1"/>
    <col min="11778" max="11779" width="8.28515625" customWidth="1"/>
    <col min="11780" max="11780" width="2.7109375" customWidth="1"/>
    <col min="11781" max="11782" width="8.42578125" customWidth="1"/>
    <col min="11783" max="11783" width="2.7109375" customWidth="1"/>
    <col min="11784" max="11785" width="8.28515625" customWidth="1"/>
    <col min="11786" max="11786" width="2.7109375" customWidth="1"/>
    <col min="11787" max="11788" width="8.28515625" customWidth="1"/>
    <col min="11789" max="11789" width="2.7109375" customWidth="1"/>
    <col min="11790" max="11791" width="8.28515625" customWidth="1"/>
    <col min="11792" max="11792" width="2.7109375" customWidth="1"/>
    <col min="11793" max="11794" width="8.28515625" customWidth="1"/>
    <col min="11795" max="11795" width="2.7109375" customWidth="1"/>
    <col min="12033" max="12033" width="35.7109375" customWidth="1"/>
    <col min="12034" max="12035" width="8.28515625" customWidth="1"/>
    <col min="12036" max="12036" width="2.7109375" customWidth="1"/>
    <col min="12037" max="12038" width="8.42578125" customWidth="1"/>
    <col min="12039" max="12039" width="2.7109375" customWidth="1"/>
    <col min="12040" max="12041" width="8.28515625" customWidth="1"/>
    <col min="12042" max="12042" width="2.7109375" customWidth="1"/>
    <col min="12043" max="12044" width="8.28515625" customWidth="1"/>
    <col min="12045" max="12045" width="2.7109375" customWidth="1"/>
    <col min="12046" max="12047" width="8.28515625" customWidth="1"/>
    <col min="12048" max="12048" width="2.7109375" customWidth="1"/>
    <col min="12049" max="12050" width="8.28515625" customWidth="1"/>
    <col min="12051" max="12051" width="2.7109375" customWidth="1"/>
    <col min="12289" max="12289" width="35.7109375" customWidth="1"/>
    <col min="12290" max="12291" width="8.28515625" customWidth="1"/>
    <col min="12292" max="12292" width="2.7109375" customWidth="1"/>
    <col min="12293" max="12294" width="8.42578125" customWidth="1"/>
    <col min="12295" max="12295" width="2.7109375" customWidth="1"/>
    <col min="12296" max="12297" width="8.28515625" customWidth="1"/>
    <col min="12298" max="12298" width="2.7109375" customWidth="1"/>
    <col min="12299" max="12300" width="8.28515625" customWidth="1"/>
    <col min="12301" max="12301" width="2.7109375" customWidth="1"/>
    <col min="12302" max="12303" width="8.28515625" customWidth="1"/>
    <col min="12304" max="12304" width="2.7109375" customWidth="1"/>
    <col min="12305" max="12306" width="8.28515625" customWidth="1"/>
    <col min="12307" max="12307" width="2.7109375" customWidth="1"/>
    <col min="12545" max="12545" width="35.7109375" customWidth="1"/>
    <col min="12546" max="12547" width="8.28515625" customWidth="1"/>
    <col min="12548" max="12548" width="2.7109375" customWidth="1"/>
    <col min="12549" max="12550" width="8.42578125" customWidth="1"/>
    <col min="12551" max="12551" width="2.7109375" customWidth="1"/>
    <col min="12552" max="12553" width="8.28515625" customWidth="1"/>
    <col min="12554" max="12554" width="2.7109375" customWidth="1"/>
    <col min="12555" max="12556" width="8.28515625" customWidth="1"/>
    <col min="12557" max="12557" width="2.7109375" customWidth="1"/>
    <col min="12558" max="12559" width="8.28515625" customWidth="1"/>
    <col min="12560" max="12560" width="2.7109375" customWidth="1"/>
    <col min="12561" max="12562" width="8.28515625" customWidth="1"/>
    <col min="12563" max="12563" width="2.7109375" customWidth="1"/>
    <col min="12801" max="12801" width="35.7109375" customWidth="1"/>
    <col min="12802" max="12803" width="8.28515625" customWidth="1"/>
    <col min="12804" max="12804" width="2.7109375" customWidth="1"/>
    <col min="12805" max="12806" width="8.42578125" customWidth="1"/>
    <col min="12807" max="12807" width="2.7109375" customWidth="1"/>
    <col min="12808" max="12809" width="8.28515625" customWidth="1"/>
    <col min="12810" max="12810" width="2.7109375" customWidth="1"/>
    <col min="12811" max="12812" width="8.28515625" customWidth="1"/>
    <col min="12813" max="12813" width="2.7109375" customWidth="1"/>
    <col min="12814" max="12815" width="8.28515625" customWidth="1"/>
    <col min="12816" max="12816" width="2.7109375" customWidth="1"/>
    <col min="12817" max="12818" width="8.28515625" customWidth="1"/>
    <col min="12819" max="12819" width="2.7109375" customWidth="1"/>
    <col min="13057" max="13057" width="35.7109375" customWidth="1"/>
    <col min="13058" max="13059" width="8.28515625" customWidth="1"/>
    <col min="13060" max="13060" width="2.7109375" customWidth="1"/>
    <col min="13061" max="13062" width="8.42578125" customWidth="1"/>
    <col min="13063" max="13063" width="2.7109375" customWidth="1"/>
    <col min="13064" max="13065" width="8.28515625" customWidth="1"/>
    <col min="13066" max="13066" width="2.7109375" customWidth="1"/>
    <col min="13067" max="13068" width="8.28515625" customWidth="1"/>
    <col min="13069" max="13069" width="2.7109375" customWidth="1"/>
    <col min="13070" max="13071" width="8.28515625" customWidth="1"/>
    <col min="13072" max="13072" width="2.7109375" customWidth="1"/>
    <col min="13073" max="13074" width="8.28515625" customWidth="1"/>
    <col min="13075" max="13075" width="2.7109375" customWidth="1"/>
    <col min="13313" max="13313" width="35.7109375" customWidth="1"/>
    <col min="13314" max="13315" width="8.28515625" customWidth="1"/>
    <col min="13316" max="13316" width="2.7109375" customWidth="1"/>
    <col min="13317" max="13318" width="8.42578125" customWidth="1"/>
    <col min="13319" max="13319" width="2.7109375" customWidth="1"/>
    <col min="13320" max="13321" width="8.28515625" customWidth="1"/>
    <col min="13322" max="13322" width="2.7109375" customWidth="1"/>
    <col min="13323" max="13324" width="8.28515625" customWidth="1"/>
    <col min="13325" max="13325" width="2.7109375" customWidth="1"/>
    <col min="13326" max="13327" width="8.28515625" customWidth="1"/>
    <col min="13328" max="13328" width="2.7109375" customWidth="1"/>
    <col min="13329" max="13330" width="8.28515625" customWidth="1"/>
    <col min="13331" max="13331" width="2.7109375" customWidth="1"/>
    <col min="13569" max="13569" width="35.7109375" customWidth="1"/>
    <col min="13570" max="13571" width="8.28515625" customWidth="1"/>
    <col min="13572" max="13572" width="2.7109375" customWidth="1"/>
    <col min="13573" max="13574" width="8.42578125" customWidth="1"/>
    <col min="13575" max="13575" width="2.7109375" customWidth="1"/>
    <col min="13576" max="13577" width="8.28515625" customWidth="1"/>
    <col min="13578" max="13578" width="2.7109375" customWidth="1"/>
    <col min="13579" max="13580" width="8.28515625" customWidth="1"/>
    <col min="13581" max="13581" width="2.7109375" customWidth="1"/>
    <col min="13582" max="13583" width="8.28515625" customWidth="1"/>
    <col min="13584" max="13584" width="2.7109375" customWidth="1"/>
    <col min="13585" max="13586" width="8.28515625" customWidth="1"/>
    <col min="13587" max="13587" width="2.7109375" customWidth="1"/>
    <col min="13825" max="13825" width="35.7109375" customWidth="1"/>
    <col min="13826" max="13827" width="8.28515625" customWidth="1"/>
    <col min="13828" max="13828" width="2.7109375" customWidth="1"/>
    <col min="13829" max="13830" width="8.42578125" customWidth="1"/>
    <col min="13831" max="13831" width="2.7109375" customWidth="1"/>
    <col min="13832" max="13833" width="8.28515625" customWidth="1"/>
    <col min="13834" max="13834" width="2.7109375" customWidth="1"/>
    <col min="13835" max="13836" width="8.28515625" customWidth="1"/>
    <col min="13837" max="13837" width="2.7109375" customWidth="1"/>
    <col min="13838" max="13839" width="8.28515625" customWidth="1"/>
    <col min="13840" max="13840" width="2.7109375" customWidth="1"/>
    <col min="13841" max="13842" width="8.28515625" customWidth="1"/>
    <col min="13843" max="13843" width="2.7109375" customWidth="1"/>
    <col min="14081" max="14081" width="35.7109375" customWidth="1"/>
    <col min="14082" max="14083" width="8.28515625" customWidth="1"/>
    <col min="14084" max="14084" width="2.7109375" customWidth="1"/>
    <col min="14085" max="14086" width="8.42578125" customWidth="1"/>
    <col min="14087" max="14087" width="2.7109375" customWidth="1"/>
    <col min="14088" max="14089" width="8.28515625" customWidth="1"/>
    <col min="14090" max="14090" width="2.7109375" customWidth="1"/>
    <col min="14091" max="14092" width="8.28515625" customWidth="1"/>
    <col min="14093" max="14093" width="2.7109375" customWidth="1"/>
    <col min="14094" max="14095" width="8.28515625" customWidth="1"/>
    <col min="14096" max="14096" width="2.7109375" customWidth="1"/>
    <col min="14097" max="14098" width="8.28515625" customWidth="1"/>
    <col min="14099" max="14099" width="2.7109375" customWidth="1"/>
    <col min="14337" max="14337" width="35.7109375" customWidth="1"/>
    <col min="14338" max="14339" width="8.28515625" customWidth="1"/>
    <col min="14340" max="14340" width="2.7109375" customWidth="1"/>
    <col min="14341" max="14342" width="8.42578125" customWidth="1"/>
    <col min="14343" max="14343" width="2.7109375" customWidth="1"/>
    <col min="14344" max="14345" width="8.28515625" customWidth="1"/>
    <col min="14346" max="14346" width="2.7109375" customWidth="1"/>
    <col min="14347" max="14348" width="8.28515625" customWidth="1"/>
    <col min="14349" max="14349" width="2.7109375" customWidth="1"/>
    <col min="14350" max="14351" width="8.28515625" customWidth="1"/>
    <col min="14352" max="14352" width="2.7109375" customWidth="1"/>
    <col min="14353" max="14354" width="8.28515625" customWidth="1"/>
    <col min="14355" max="14355" width="2.7109375" customWidth="1"/>
    <col min="14593" max="14593" width="35.7109375" customWidth="1"/>
    <col min="14594" max="14595" width="8.28515625" customWidth="1"/>
    <col min="14596" max="14596" width="2.7109375" customWidth="1"/>
    <col min="14597" max="14598" width="8.42578125" customWidth="1"/>
    <col min="14599" max="14599" width="2.7109375" customWidth="1"/>
    <col min="14600" max="14601" width="8.28515625" customWidth="1"/>
    <col min="14602" max="14602" width="2.7109375" customWidth="1"/>
    <col min="14603" max="14604" width="8.28515625" customWidth="1"/>
    <col min="14605" max="14605" width="2.7109375" customWidth="1"/>
    <col min="14606" max="14607" width="8.28515625" customWidth="1"/>
    <col min="14608" max="14608" width="2.7109375" customWidth="1"/>
    <col min="14609" max="14610" width="8.28515625" customWidth="1"/>
    <col min="14611" max="14611" width="2.7109375" customWidth="1"/>
    <col min="14849" max="14849" width="35.7109375" customWidth="1"/>
    <col min="14850" max="14851" width="8.28515625" customWidth="1"/>
    <col min="14852" max="14852" width="2.7109375" customWidth="1"/>
    <col min="14853" max="14854" width="8.42578125" customWidth="1"/>
    <col min="14855" max="14855" width="2.7109375" customWidth="1"/>
    <col min="14856" max="14857" width="8.28515625" customWidth="1"/>
    <col min="14858" max="14858" width="2.7109375" customWidth="1"/>
    <col min="14859" max="14860" width="8.28515625" customWidth="1"/>
    <col min="14861" max="14861" width="2.7109375" customWidth="1"/>
    <col min="14862" max="14863" width="8.28515625" customWidth="1"/>
    <col min="14864" max="14864" width="2.7109375" customWidth="1"/>
    <col min="14865" max="14866" width="8.28515625" customWidth="1"/>
    <col min="14867" max="14867" width="2.7109375" customWidth="1"/>
    <col min="15105" max="15105" width="35.7109375" customWidth="1"/>
    <col min="15106" max="15107" width="8.28515625" customWidth="1"/>
    <col min="15108" max="15108" width="2.7109375" customWidth="1"/>
    <col min="15109" max="15110" width="8.42578125" customWidth="1"/>
    <col min="15111" max="15111" width="2.7109375" customWidth="1"/>
    <col min="15112" max="15113" width="8.28515625" customWidth="1"/>
    <col min="15114" max="15114" width="2.7109375" customWidth="1"/>
    <col min="15115" max="15116" width="8.28515625" customWidth="1"/>
    <col min="15117" max="15117" width="2.7109375" customWidth="1"/>
    <col min="15118" max="15119" width="8.28515625" customWidth="1"/>
    <col min="15120" max="15120" width="2.7109375" customWidth="1"/>
    <col min="15121" max="15122" width="8.28515625" customWidth="1"/>
    <col min="15123" max="15123" width="2.7109375" customWidth="1"/>
    <col min="15361" max="15361" width="35.7109375" customWidth="1"/>
    <col min="15362" max="15363" width="8.28515625" customWidth="1"/>
    <col min="15364" max="15364" width="2.7109375" customWidth="1"/>
    <col min="15365" max="15366" width="8.42578125" customWidth="1"/>
    <col min="15367" max="15367" width="2.7109375" customWidth="1"/>
    <col min="15368" max="15369" width="8.28515625" customWidth="1"/>
    <col min="15370" max="15370" width="2.7109375" customWidth="1"/>
    <col min="15371" max="15372" width="8.28515625" customWidth="1"/>
    <col min="15373" max="15373" width="2.7109375" customWidth="1"/>
    <col min="15374" max="15375" width="8.28515625" customWidth="1"/>
    <col min="15376" max="15376" width="2.7109375" customWidth="1"/>
    <col min="15377" max="15378" width="8.28515625" customWidth="1"/>
    <col min="15379" max="15379" width="2.7109375" customWidth="1"/>
    <col min="15617" max="15617" width="35.7109375" customWidth="1"/>
    <col min="15618" max="15619" width="8.28515625" customWidth="1"/>
    <col min="15620" max="15620" width="2.7109375" customWidth="1"/>
    <col min="15621" max="15622" width="8.42578125" customWidth="1"/>
    <col min="15623" max="15623" width="2.7109375" customWidth="1"/>
    <col min="15624" max="15625" width="8.28515625" customWidth="1"/>
    <col min="15626" max="15626" width="2.7109375" customWidth="1"/>
    <col min="15627" max="15628" width="8.28515625" customWidth="1"/>
    <col min="15629" max="15629" width="2.7109375" customWidth="1"/>
    <col min="15630" max="15631" width="8.28515625" customWidth="1"/>
    <col min="15632" max="15632" width="2.7109375" customWidth="1"/>
    <col min="15633" max="15634" width="8.28515625" customWidth="1"/>
    <col min="15635" max="15635" width="2.7109375" customWidth="1"/>
    <col min="15873" max="15873" width="35.7109375" customWidth="1"/>
    <col min="15874" max="15875" width="8.28515625" customWidth="1"/>
    <col min="15876" max="15876" width="2.7109375" customWidth="1"/>
    <col min="15877" max="15878" width="8.42578125" customWidth="1"/>
    <col min="15879" max="15879" width="2.7109375" customWidth="1"/>
    <col min="15880" max="15881" width="8.28515625" customWidth="1"/>
    <col min="15882" max="15882" width="2.7109375" customWidth="1"/>
    <col min="15883" max="15884" width="8.28515625" customWidth="1"/>
    <col min="15885" max="15885" width="2.7109375" customWidth="1"/>
    <col min="15886" max="15887" width="8.28515625" customWidth="1"/>
    <col min="15888" max="15888" width="2.7109375" customWidth="1"/>
    <col min="15889" max="15890" width="8.28515625" customWidth="1"/>
    <col min="15891" max="15891" width="2.7109375" customWidth="1"/>
    <col min="16129" max="16129" width="35.7109375" customWidth="1"/>
    <col min="16130" max="16131" width="8.28515625" customWidth="1"/>
    <col min="16132" max="16132" width="2.7109375" customWidth="1"/>
    <col min="16133" max="16134" width="8.42578125" customWidth="1"/>
    <col min="16135" max="16135" width="2.7109375" customWidth="1"/>
    <col min="16136" max="16137" width="8.28515625" customWidth="1"/>
    <col min="16138" max="16138" width="2.7109375" customWidth="1"/>
    <col min="16139" max="16140" width="8.28515625" customWidth="1"/>
    <col min="16141" max="16141" width="2.7109375" customWidth="1"/>
    <col min="16142" max="16143" width="8.28515625" customWidth="1"/>
    <col min="16144" max="16144" width="2.7109375" customWidth="1"/>
    <col min="16145" max="16146" width="8.28515625" customWidth="1"/>
    <col min="16147" max="16147" width="2.7109375" customWidth="1"/>
  </cols>
  <sheetData>
    <row r="1" spans="1:19">
      <c r="A1" t="s">
        <v>936</v>
      </c>
      <c r="H1" s="42"/>
      <c r="I1" s="42"/>
      <c r="J1" s="95"/>
    </row>
    <row r="2" spans="1:19">
      <c r="A2" t="s">
        <v>937</v>
      </c>
    </row>
    <row r="3" spans="1:19" ht="7.5" customHeight="1"/>
    <row r="4" spans="1:19">
      <c r="A4" s="42" t="s">
        <v>2162</v>
      </c>
    </row>
    <row r="5" spans="1:19" ht="9" customHeight="1" thickBot="1">
      <c r="D5" s="65"/>
      <c r="E5" s="65"/>
      <c r="F5" s="65"/>
      <c r="G5" s="65"/>
      <c r="H5" s="65"/>
      <c r="I5" s="65"/>
      <c r="J5" s="65"/>
      <c r="K5" s="65"/>
      <c r="L5" s="65"/>
      <c r="M5" s="65"/>
      <c r="N5" s="65"/>
      <c r="O5" s="65"/>
      <c r="P5" s="65"/>
      <c r="Q5" s="65"/>
      <c r="R5" s="65"/>
      <c r="S5" s="65"/>
    </row>
    <row r="6" spans="1:19">
      <c r="A6" s="6"/>
      <c r="B6" s="235"/>
      <c r="C6" s="235"/>
      <c r="D6" s="235"/>
      <c r="E6" s="235"/>
      <c r="F6" s="235"/>
      <c r="G6" s="235"/>
      <c r="H6" s="235"/>
      <c r="I6" s="235"/>
      <c r="J6" s="235"/>
      <c r="K6" s="235"/>
      <c r="L6" s="235"/>
      <c r="M6" s="235"/>
      <c r="N6" s="235"/>
      <c r="O6" s="235"/>
      <c r="P6" s="235"/>
      <c r="Q6" s="235"/>
      <c r="R6" s="235"/>
      <c r="S6" s="235"/>
    </row>
    <row r="7" spans="1:19">
      <c r="A7" t="s">
        <v>4</v>
      </c>
      <c r="B7" s="239"/>
      <c r="C7" s="239"/>
      <c r="E7" s="251"/>
      <c r="F7" s="251"/>
      <c r="H7" s="251" t="s">
        <v>926</v>
      </c>
      <c r="I7" s="251"/>
      <c r="K7" s="251" t="s">
        <v>927</v>
      </c>
      <c r="L7" s="251"/>
      <c r="N7" s="251" t="s">
        <v>928</v>
      </c>
      <c r="O7" s="251"/>
      <c r="Q7" s="251"/>
      <c r="R7" s="251"/>
    </row>
    <row r="8" spans="1:19">
      <c r="A8" s="36" t="s">
        <v>938</v>
      </c>
      <c r="B8" s="239" t="s">
        <v>939</v>
      </c>
      <c r="C8" s="239"/>
      <c r="E8" s="306" t="s">
        <v>940</v>
      </c>
      <c r="F8" s="306"/>
      <c r="G8" s="306"/>
      <c r="H8" s="251" t="s">
        <v>931</v>
      </c>
      <c r="I8" s="251"/>
      <c r="K8" s="251" t="s">
        <v>932</v>
      </c>
      <c r="L8" s="251"/>
      <c r="N8" s="251" t="s">
        <v>933</v>
      </c>
      <c r="O8" s="251"/>
      <c r="Q8" s="1268" t="s">
        <v>917</v>
      </c>
      <c r="R8" s="1268"/>
    </row>
    <row r="9" spans="1:19" s="279" customFormat="1">
      <c r="A9" s="307" t="s">
        <v>941</v>
      </c>
      <c r="B9" s="243" t="s">
        <v>323</v>
      </c>
      <c r="C9" s="246" t="s">
        <v>10</v>
      </c>
      <c r="D9" s="284"/>
      <c r="E9" s="246" t="s">
        <v>323</v>
      </c>
      <c r="F9" s="246" t="s">
        <v>10</v>
      </c>
      <c r="G9" s="245"/>
      <c r="H9" s="246" t="s">
        <v>323</v>
      </c>
      <c r="I9" s="246" t="s">
        <v>10</v>
      </c>
      <c r="J9" s="245"/>
      <c r="K9" s="246" t="s">
        <v>323</v>
      </c>
      <c r="L9" s="246" t="s">
        <v>10</v>
      </c>
      <c r="M9" s="245"/>
      <c r="N9" s="246" t="s">
        <v>323</v>
      </c>
      <c r="O9" s="246" t="s">
        <v>10</v>
      </c>
      <c r="P9" s="245"/>
      <c r="Q9" s="246" t="s">
        <v>323</v>
      </c>
      <c r="R9" s="246" t="s">
        <v>10</v>
      </c>
    </row>
    <row r="10" spans="1:19" s="279" customFormat="1" ht="15.75" thickBot="1">
      <c r="A10" s="308"/>
      <c r="B10" s="309"/>
      <c r="C10" s="309"/>
      <c r="D10" s="309"/>
      <c r="E10" s="309"/>
      <c r="F10" s="309"/>
      <c r="G10" s="309"/>
      <c r="H10" s="309"/>
      <c r="I10" s="309"/>
      <c r="J10" s="309"/>
      <c r="K10" s="309"/>
      <c r="L10" s="309"/>
      <c r="M10" s="309"/>
      <c r="N10" s="309"/>
      <c r="O10" s="309"/>
      <c r="P10" s="309"/>
      <c r="Q10" s="309"/>
      <c r="R10" s="309"/>
      <c r="S10" s="309"/>
    </row>
    <row r="11" spans="1:19" ht="9" customHeight="1">
      <c r="A11" s="36"/>
      <c r="B11" s="239"/>
      <c r="C11" s="239"/>
      <c r="E11" s="251"/>
      <c r="F11" s="251"/>
      <c r="H11" s="251"/>
      <c r="I11" s="251"/>
      <c r="K11" s="251"/>
      <c r="L11" s="251"/>
      <c r="N11" s="251"/>
      <c r="O11" s="251"/>
      <c r="Q11" s="251"/>
      <c r="R11" s="251"/>
    </row>
    <row r="12" spans="1:19" ht="13.15" customHeight="1">
      <c r="A12" s="63" t="s">
        <v>325</v>
      </c>
      <c r="B12" s="65">
        <f>B14+B99</f>
        <v>40395</v>
      </c>
      <c r="C12" s="94">
        <f>C14+C99</f>
        <v>100</v>
      </c>
      <c r="E12" s="93">
        <f>E14+E99</f>
        <v>5723</v>
      </c>
      <c r="F12" s="94">
        <f t="shared" ref="F12:F75" si="0">IF($A12&lt;&gt;"",E12/$B12*100,"")</f>
        <v>14.167594999381111</v>
      </c>
      <c r="H12" s="93">
        <f>H14+H99</f>
        <v>9061</v>
      </c>
      <c r="I12" s="94">
        <f t="shared" ref="I12:I75" si="1">IF($A12&lt;&gt;"",H12/$B12*100,"")</f>
        <v>22.430993934892932</v>
      </c>
      <c r="K12" s="93">
        <f>K14+K99</f>
        <v>11453</v>
      </c>
      <c r="L12" s="94">
        <f t="shared" ref="L12:L75" si="2">IF($A12&lt;&gt;"",K12/$B12*100,"")</f>
        <v>28.352518876098525</v>
      </c>
      <c r="N12" s="93">
        <f>N14+N99</f>
        <v>12629</v>
      </c>
      <c r="O12" s="94">
        <f t="shared" ref="O12:O75" si="3">IF($A12&lt;&gt;"",N12/$B12*100,"")</f>
        <v>31.263770268597597</v>
      </c>
      <c r="Q12" s="93">
        <f>Q14+Q99</f>
        <v>1529</v>
      </c>
      <c r="R12" s="94">
        <f>IF($A12&lt;&gt;"",Q12/$B12*100,"")</f>
        <v>3.7851219210298304</v>
      </c>
    </row>
    <row r="13" spans="1:19" ht="9" customHeight="1">
      <c r="F13" s="94" t="str">
        <f t="shared" si="0"/>
        <v/>
      </c>
      <c r="I13" s="94" t="str">
        <f t="shared" si="1"/>
        <v/>
      </c>
      <c r="L13" s="94" t="str">
        <f t="shared" si="2"/>
        <v/>
      </c>
      <c r="O13" s="94" t="str">
        <f t="shared" si="3"/>
        <v/>
      </c>
      <c r="R13" s="94" t="str">
        <f t="shared" ref="R13:R76" si="4">IF($A13&lt;&gt;"",Q13/$B13*100,"")</f>
        <v/>
      </c>
    </row>
    <row r="14" spans="1:19" ht="13.15" customHeight="1">
      <c r="A14" s="63" t="s">
        <v>326</v>
      </c>
      <c r="B14" s="65">
        <f>B94+B16+B27+B35+B75+B82+B61+B106+B96+B97</f>
        <v>30922</v>
      </c>
      <c r="C14" s="94">
        <f>IF(A14&lt;&gt;0,B14/$B$12*100,"")</f>
        <v>76.549077856170328</v>
      </c>
      <c r="E14" s="93">
        <f>E94+E16+E27+E35+E75+E82+E61+E106+E96+E97</f>
        <v>4771</v>
      </c>
      <c r="F14" s="94">
        <f t="shared" si="0"/>
        <v>15.429144298557663</v>
      </c>
      <c r="H14" s="93">
        <f>H94+H16+H27+H35+H75+H82+H61+H106+H96+H97</f>
        <v>7167</v>
      </c>
      <c r="I14" s="94">
        <f t="shared" si="1"/>
        <v>23.177672854278509</v>
      </c>
      <c r="K14" s="93">
        <f>K94+K16+K27+K35+K75+K82+K61+K106+K96+K97</f>
        <v>8620</v>
      </c>
      <c r="L14" s="94">
        <f t="shared" si="2"/>
        <v>27.876592717159305</v>
      </c>
      <c r="N14" s="93">
        <f>N94+N16+N27+N35+N75+N82+N61+N106+N96+N97</f>
        <v>9076</v>
      </c>
      <c r="O14" s="94">
        <f t="shared" si="3"/>
        <v>29.351270939783973</v>
      </c>
      <c r="Q14" s="93">
        <f>Q94+Q16+Q27+Q35+Q75+Q82+Q61+Q106+Q96+Q97</f>
        <v>1288</v>
      </c>
      <c r="R14" s="94">
        <f t="shared" si="4"/>
        <v>4.1653191902205551</v>
      </c>
    </row>
    <row r="15" spans="1:19" ht="9" customHeight="1">
      <c r="C15" s="94" t="str">
        <f t="shared" ref="C15:C78" si="5">IF(A15&lt;&gt;0,B15/$B$12*100,"")</f>
        <v/>
      </c>
      <c r="F15" s="94" t="str">
        <f t="shared" si="0"/>
        <v/>
      </c>
      <c r="I15" s="94" t="str">
        <f t="shared" si="1"/>
        <v/>
      </c>
      <c r="L15" s="94" t="str">
        <f t="shared" si="2"/>
        <v/>
      </c>
      <c r="O15" s="94" t="str">
        <f t="shared" si="3"/>
        <v/>
      </c>
      <c r="R15" s="94" t="str">
        <f t="shared" si="4"/>
        <v/>
      </c>
    </row>
    <row r="16" spans="1:19" ht="13.15" customHeight="1">
      <c r="A16" s="63" t="s">
        <v>327</v>
      </c>
      <c r="B16" s="65">
        <f>SUM(B17+B22)</f>
        <v>3095</v>
      </c>
      <c r="C16" s="94">
        <f t="shared" si="5"/>
        <v>7.6618393365515525</v>
      </c>
      <c r="E16" s="93">
        <f>SUM(E17+E22)</f>
        <v>406</v>
      </c>
      <c r="F16" s="94">
        <f t="shared" si="0"/>
        <v>13.117932148626817</v>
      </c>
      <c r="H16" s="93">
        <f>SUM(H17+H22)</f>
        <v>931</v>
      </c>
      <c r="I16" s="94">
        <f t="shared" si="1"/>
        <v>30.080775444264944</v>
      </c>
      <c r="K16" s="93">
        <f>SUM(K17+K22)</f>
        <v>901</v>
      </c>
      <c r="L16" s="94">
        <f t="shared" si="2"/>
        <v>29.111470113085623</v>
      </c>
      <c r="N16" s="93">
        <f>SUM(N17+N22)</f>
        <v>780</v>
      </c>
      <c r="O16" s="94">
        <f t="shared" si="3"/>
        <v>25.20193861066236</v>
      </c>
      <c r="Q16" s="93">
        <f>SUM(Q17+Q22)</f>
        <v>77</v>
      </c>
      <c r="R16" s="94">
        <f t="shared" si="4"/>
        <v>2.4878836833602582</v>
      </c>
    </row>
    <row r="17" spans="1:18" ht="13.15" customHeight="1">
      <c r="A17" t="s">
        <v>20</v>
      </c>
      <c r="B17" s="65">
        <f>SUM(E17+H17+K17+N17+Q17)</f>
        <v>1067</v>
      </c>
      <c r="C17" s="94">
        <f t="shared" si="5"/>
        <v>2.6414160168337664</v>
      </c>
      <c r="E17" s="93">
        <f>SUM(E18:E20)</f>
        <v>119</v>
      </c>
      <c r="F17" s="94">
        <f t="shared" si="0"/>
        <v>11.152764761012184</v>
      </c>
      <c r="H17" s="93">
        <f>SUM(H18:H20)</f>
        <v>306</v>
      </c>
      <c r="I17" s="94">
        <f t="shared" si="1"/>
        <v>28.678537956888473</v>
      </c>
      <c r="K17" s="93">
        <f>SUM(K18:K20)</f>
        <v>346</v>
      </c>
      <c r="L17" s="94">
        <f t="shared" si="2"/>
        <v>32.427366447985008</v>
      </c>
      <c r="N17" s="93">
        <f>SUM(N18:N20)</f>
        <v>269</v>
      </c>
      <c r="O17" s="94">
        <f t="shared" si="3"/>
        <v>25.210871602624181</v>
      </c>
      <c r="Q17" s="93">
        <f>SUM(Q18:Q20)</f>
        <v>27</v>
      </c>
      <c r="R17" s="94">
        <f t="shared" si="4"/>
        <v>2.5304592314901591</v>
      </c>
    </row>
    <row r="18" spans="1:18" ht="13.15" customHeight="1">
      <c r="A18" t="s">
        <v>21</v>
      </c>
      <c r="B18" s="65">
        <f>SUM(E18+H18+K18+N18+Q18)</f>
        <v>161</v>
      </c>
      <c r="C18" s="94">
        <f t="shared" si="5"/>
        <v>0.39856417873499195</v>
      </c>
      <c r="E18" s="310">
        <v>14</v>
      </c>
      <c r="F18" s="94">
        <f t="shared" si="0"/>
        <v>8.695652173913043</v>
      </c>
      <c r="G18" s="310"/>
      <c r="H18" s="311">
        <v>33</v>
      </c>
      <c r="I18" s="94">
        <f t="shared" si="1"/>
        <v>20.496894409937887</v>
      </c>
      <c r="J18" s="311"/>
      <c r="K18" s="311">
        <v>66</v>
      </c>
      <c r="L18" s="94">
        <f t="shared" si="2"/>
        <v>40.993788819875775</v>
      </c>
      <c r="M18" s="311"/>
      <c r="N18" s="311">
        <v>47</v>
      </c>
      <c r="O18" s="94">
        <f t="shared" si="3"/>
        <v>29.19254658385093</v>
      </c>
      <c r="P18" s="311"/>
      <c r="Q18" s="311">
        <v>1</v>
      </c>
      <c r="R18" s="94">
        <f>IF($A18&lt;&gt;"",Q18/$B18*100,"")</f>
        <v>0.6211180124223602</v>
      </c>
    </row>
    <row r="19" spans="1:18" ht="13.15" customHeight="1">
      <c r="A19" t="s">
        <v>22</v>
      </c>
      <c r="B19" s="65">
        <f>SUM(E19+H19+K19+N19+Q19)</f>
        <v>221</v>
      </c>
      <c r="C19" s="94">
        <f t="shared" si="5"/>
        <v>0.5470974130461691</v>
      </c>
      <c r="E19" s="310">
        <v>15</v>
      </c>
      <c r="F19" s="94">
        <f t="shared" si="0"/>
        <v>6.7873303167420813</v>
      </c>
      <c r="G19" s="310"/>
      <c r="H19" s="311">
        <v>54</v>
      </c>
      <c r="I19" s="94">
        <f t="shared" si="1"/>
        <v>24.434389140271492</v>
      </c>
      <c r="J19" s="311"/>
      <c r="K19" s="311">
        <v>80</v>
      </c>
      <c r="L19" s="94">
        <f t="shared" si="2"/>
        <v>36.199095022624434</v>
      </c>
      <c r="M19" s="311"/>
      <c r="N19" s="311">
        <v>55</v>
      </c>
      <c r="O19" s="94">
        <f t="shared" si="3"/>
        <v>24.886877828054299</v>
      </c>
      <c r="P19" s="311"/>
      <c r="Q19" s="311">
        <v>17</v>
      </c>
      <c r="R19" s="94">
        <f>IF($A19&lt;&gt;"",Q19/$B19*100,"")</f>
        <v>7.6923076923076925</v>
      </c>
    </row>
    <row r="20" spans="1:18" ht="13.15" customHeight="1">
      <c r="A20" t="s">
        <v>23</v>
      </c>
      <c r="B20" s="65">
        <f>SUM(E20+H20+K20+N20+Q20)</f>
        <v>685</v>
      </c>
      <c r="C20" s="94">
        <f t="shared" si="5"/>
        <v>1.6957544250526055</v>
      </c>
      <c r="E20" s="310">
        <v>90</v>
      </c>
      <c r="F20" s="94">
        <f t="shared" si="0"/>
        <v>13.138686131386862</v>
      </c>
      <c r="G20" s="310"/>
      <c r="H20" s="311">
        <v>219</v>
      </c>
      <c r="I20" s="94">
        <f t="shared" si="1"/>
        <v>31.970802919708031</v>
      </c>
      <c r="J20" s="311"/>
      <c r="K20" s="311">
        <v>200</v>
      </c>
      <c r="L20" s="94">
        <f t="shared" si="2"/>
        <v>29.197080291970799</v>
      </c>
      <c r="M20" s="311"/>
      <c r="N20" s="311">
        <v>167</v>
      </c>
      <c r="O20" s="94">
        <f t="shared" si="3"/>
        <v>24.379562043795623</v>
      </c>
      <c r="P20" s="311"/>
      <c r="Q20" s="311">
        <v>9</v>
      </c>
      <c r="R20" s="94">
        <f>IF($A20&lt;&gt;"",Q20/$B20*100,"")</f>
        <v>1.3138686131386861</v>
      </c>
    </row>
    <row r="21" spans="1:18" ht="9" customHeight="1">
      <c r="C21" s="94" t="str">
        <f t="shared" si="5"/>
        <v/>
      </c>
      <c r="F21" s="94" t="str">
        <f t="shared" si="0"/>
        <v/>
      </c>
      <c r="I21" s="94" t="str">
        <f t="shared" si="1"/>
        <v/>
      </c>
      <c r="L21" s="94" t="str">
        <f t="shared" si="2"/>
        <v/>
      </c>
      <c r="N21" s="312"/>
      <c r="O21" s="94" t="str">
        <f t="shared" si="3"/>
        <v/>
      </c>
      <c r="P21" s="312"/>
      <c r="R21" s="94" t="str">
        <f t="shared" si="4"/>
        <v/>
      </c>
    </row>
    <row r="22" spans="1:18" ht="13.15" customHeight="1">
      <c r="A22" t="s">
        <v>24</v>
      </c>
      <c r="B22" s="65">
        <f>SUM(E22+H22+K22+N22+Q22)</f>
        <v>2028</v>
      </c>
      <c r="C22" s="94">
        <f t="shared" si="5"/>
        <v>5.0204233197177865</v>
      </c>
      <c r="E22" s="93">
        <f>SUM(E23:E25)</f>
        <v>287</v>
      </c>
      <c r="F22" s="94">
        <f t="shared" si="0"/>
        <v>14.151873767258383</v>
      </c>
      <c r="H22" s="93">
        <f>SUM(H23:H25)</f>
        <v>625</v>
      </c>
      <c r="I22" s="94">
        <f t="shared" si="1"/>
        <v>30.818540433925051</v>
      </c>
      <c r="K22" s="93">
        <f>SUM(K23:K25)</f>
        <v>555</v>
      </c>
      <c r="L22" s="94">
        <f t="shared" si="2"/>
        <v>27.366863905325445</v>
      </c>
      <c r="N22" s="93">
        <f>SUM(N23:N25)</f>
        <v>511</v>
      </c>
      <c r="O22" s="94">
        <f t="shared" si="3"/>
        <v>25.19723865877712</v>
      </c>
      <c r="Q22" s="93">
        <f>SUM(Q23:Q25)</f>
        <v>50</v>
      </c>
      <c r="R22" s="94">
        <f t="shared" si="4"/>
        <v>2.4654832347140041</v>
      </c>
    </row>
    <row r="23" spans="1:18" ht="13.15" customHeight="1">
      <c r="A23" t="s">
        <v>25</v>
      </c>
      <c r="B23" s="65">
        <f>SUM(E23+H23+K23+N23+Q23)</f>
        <v>651</v>
      </c>
      <c r="C23" s="94">
        <f t="shared" si="5"/>
        <v>1.6115855922762718</v>
      </c>
      <c r="E23" s="310">
        <v>87</v>
      </c>
      <c r="F23" s="94">
        <f t="shared" si="0"/>
        <v>13.364055299539171</v>
      </c>
      <c r="G23" s="310"/>
      <c r="H23" s="311">
        <v>212</v>
      </c>
      <c r="I23" s="94">
        <f t="shared" si="1"/>
        <v>32.565284178187405</v>
      </c>
      <c r="J23" s="311"/>
      <c r="K23" s="311">
        <v>200</v>
      </c>
      <c r="L23" s="94">
        <f t="shared" si="2"/>
        <v>30.721966205837177</v>
      </c>
      <c r="M23" s="311"/>
      <c r="N23" s="311">
        <v>138</v>
      </c>
      <c r="O23" s="94">
        <f t="shared" si="3"/>
        <v>21.198156682027651</v>
      </c>
      <c r="P23" s="311"/>
      <c r="Q23" s="311">
        <v>14</v>
      </c>
      <c r="R23" s="94">
        <f t="shared" si="4"/>
        <v>2.1505376344086025</v>
      </c>
    </row>
    <row r="24" spans="1:18" ht="13.15" customHeight="1">
      <c r="A24" t="s">
        <v>26</v>
      </c>
      <c r="B24" s="65">
        <f>SUM(E24+H24+K24+N24+Q24)</f>
        <v>332</v>
      </c>
      <c r="C24" s="94">
        <f t="shared" si="5"/>
        <v>0.82188389652184668</v>
      </c>
      <c r="E24" s="310">
        <v>65</v>
      </c>
      <c r="F24" s="94">
        <f t="shared" si="0"/>
        <v>19.578313253012048</v>
      </c>
      <c r="G24" s="310"/>
      <c r="H24" s="311">
        <v>117</v>
      </c>
      <c r="I24" s="94">
        <f t="shared" si="1"/>
        <v>35.24096385542169</v>
      </c>
      <c r="J24" s="311"/>
      <c r="K24" s="311">
        <v>84</v>
      </c>
      <c r="L24" s="94">
        <f t="shared" si="2"/>
        <v>25.301204819277107</v>
      </c>
      <c r="M24" s="311"/>
      <c r="N24" s="311">
        <v>59</v>
      </c>
      <c r="O24" s="94">
        <f t="shared" si="3"/>
        <v>17.771084337349397</v>
      </c>
      <c r="P24" s="311"/>
      <c r="Q24" s="311">
        <v>7</v>
      </c>
      <c r="R24" s="94">
        <f t="shared" si="4"/>
        <v>2.1084337349397591</v>
      </c>
    </row>
    <row r="25" spans="1:18" ht="13.15" customHeight="1">
      <c r="A25" t="s">
        <v>27</v>
      </c>
      <c r="B25" s="65">
        <f>SUM(E25+H25+K25+N25+Q25)</f>
        <v>1045</v>
      </c>
      <c r="C25" s="94">
        <f t="shared" si="5"/>
        <v>2.5869538309196685</v>
      </c>
      <c r="E25" s="310">
        <v>135</v>
      </c>
      <c r="F25" s="94">
        <f t="shared" si="0"/>
        <v>12.918660287081341</v>
      </c>
      <c r="G25" s="310"/>
      <c r="H25" s="311">
        <v>296</v>
      </c>
      <c r="I25" s="94">
        <f t="shared" si="1"/>
        <v>28.325358851674643</v>
      </c>
      <c r="J25" s="311"/>
      <c r="K25" s="311">
        <v>271</v>
      </c>
      <c r="L25" s="94">
        <f t="shared" si="2"/>
        <v>25.933014354066984</v>
      </c>
      <c r="M25" s="311"/>
      <c r="N25" s="311">
        <v>314</v>
      </c>
      <c r="O25" s="94">
        <f t="shared" si="3"/>
        <v>30.047846889952151</v>
      </c>
      <c r="P25" s="311"/>
      <c r="Q25" s="311">
        <v>29</v>
      </c>
      <c r="R25" s="94">
        <f t="shared" si="4"/>
        <v>2.7751196172248802</v>
      </c>
    </row>
    <row r="26" spans="1:18" ht="9" customHeight="1">
      <c r="C26" s="94" t="str">
        <f t="shared" si="5"/>
        <v/>
      </c>
      <c r="F26" s="94" t="str">
        <f t="shared" si="0"/>
        <v/>
      </c>
      <c r="I26" s="94" t="str">
        <f t="shared" si="1"/>
        <v/>
      </c>
      <c r="L26" s="94" t="str">
        <f t="shared" si="2"/>
        <v/>
      </c>
      <c r="O26" s="94" t="str">
        <f t="shared" si="3"/>
        <v/>
      </c>
      <c r="R26" s="94" t="str">
        <f t="shared" si="4"/>
        <v/>
      </c>
    </row>
    <row r="27" spans="1:18" ht="13.15" customHeight="1">
      <c r="A27" s="63" t="s">
        <v>375</v>
      </c>
      <c r="B27" s="65">
        <f>SUM(B28)</f>
        <v>1940</v>
      </c>
      <c r="C27" s="94">
        <f t="shared" si="5"/>
        <v>4.8025745760613932</v>
      </c>
      <c r="E27" s="93">
        <f>SUM(E28)</f>
        <v>314</v>
      </c>
      <c r="F27" s="94">
        <f t="shared" si="0"/>
        <v>16.185567010309278</v>
      </c>
      <c r="H27" s="93">
        <f>SUM(H28)</f>
        <v>586</v>
      </c>
      <c r="I27" s="94">
        <f t="shared" si="1"/>
        <v>30.206185567010309</v>
      </c>
      <c r="K27" s="93">
        <f>SUM(K28)</f>
        <v>612</v>
      </c>
      <c r="L27" s="94">
        <f t="shared" si="2"/>
        <v>31.546391752577318</v>
      </c>
      <c r="N27" s="93">
        <f>SUM(N28)</f>
        <v>398</v>
      </c>
      <c r="O27" s="94">
        <f t="shared" si="3"/>
        <v>20.515463917525771</v>
      </c>
      <c r="Q27" s="93">
        <f>SUM(Q28)</f>
        <v>30</v>
      </c>
      <c r="R27" s="94">
        <f t="shared" si="4"/>
        <v>1.5463917525773196</v>
      </c>
    </row>
    <row r="28" spans="1:18" ht="13.15" customHeight="1">
      <c r="A28" t="s">
        <v>29</v>
      </c>
      <c r="B28" s="65">
        <f t="shared" ref="B28:B33" si="6">SUM(E28+H28+K28+N28+Q28)</f>
        <v>1940</v>
      </c>
      <c r="C28" s="94">
        <f t="shared" si="5"/>
        <v>4.8025745760613932</v>
      </c>
      <c r="E28" s="93">
        <f>SUM(E29:E33)</f>
        <v>314</v>
      </c>
      <c r="F28" s="94">
        <f t="shared" si="0"/>
        <v>16.185567010309278</v>
      </c>
      <c r="H28" s="93">
        <f>SUM(H29:H33)</f>
        <v>586</v>
      </c>
      <c r="I28" s="94">
        <f t="shared" si="1"/>
        <v>30.206185567010309</v>
      </c>
      <c r="K28" s="93">
        <f>SUM(K29:K33)</f>
        <v>612</v>
      </c>
      <c r="L28" s="94">
        <f t="shared" si="2"/>
        <v>31.546391752577318</v>
      </c>
      <c r="N28" s="93">
        <f>SUM(N29:N33)</f>
        <v>398</v>
      </c>
      <c r="O28" s="94">
        <f t="shared" si="3"/>
        <v>20.515463917525771</v>
      </c>
      <c r="Q28" s="93">
        <f>SUM(Q29:Q33)</f>
        <v>30</v>
      </c>
      <c r="R28" s="94">
        <f t="shared" si="4"/>
        <v>1.5463917525773196</v>
      </c>
    </row>
    <row r="29" spans="1:18" ht="13.15" customHeight="1">
      <c r="A29" t="s">
        <v>30</v>
      </c>
      <c r="B29" s="65">
        <f t="shared" si="6"/>
        <v>343</v>
      </c>
      <c r="C29" s="94">
        <f t="shared" si="5"/>
        <v>0.84911498947889597</v>
      </c>
      <c r="E29" s="310">
        <v>36</v>
      </c>
      <c r="F29" s="94">
        <f t="shared" si="0"/>
        <v>10.495626822157435</v>
      </c>
      <c r="G29" s="310"/>
      <c r="H29" s="311">
        <v>79</v>
      </c>
      <c r="I29" s="94">
        <f t="shared" si="1"/>
        <v>23.03206997084548</v>
      </c>
      <c r="J29" s="311"/>
      <c r="K29" s="311">
        <v>118</v>
      </c>
      <c r="L29" s="94">
        <f t="shared" si="2"/>
        <v>34.402332361516038</v>
      </c>
      <c r="M29" s="311"/>
      <c r="N29" s="311">
        <v>105</v>
      </c>
      <c r="O29" s="94">
        <f t="shared" si="3"/>
        <v>30.612244897959183</v>
      </c>
      <c r="P29" s="311"/>
      <c r="Q29" s="311">
        <v>5</v>
      </c>
      <c r="R29" s="94">
        <f t="shared" si="4"/>
        <v>1.4577259475218658</v>
      </c>
    </row>
    <row r="30" spans="1:18" ht="13.15" customHeight="1">
      <c r="A30" t="s">
        <v>31</v>
      </c>
      <c r="B30" s="65">
        <f t="shared" si="6"/>
        <v>499</v>
      </c>
      <c r="C30" s="94">
        <f t="shared" si="5"/>
        <v>1.2353013986879564</v>
      </c>
      <c r="E30" s="310">
        <v>78</v>
      </c>
      <c r="F30" s="94">
        <f t="shared" si="0"/>
        <v>15.631262525050099</v>
      </c>
      <c r="G30" s="310"/>
      <c r="H30" s="311">
        <v>195</v>
      </c>
      <c r="I30" s="94">
        <f t="shared" si="1"/>
        <v>39.078156312625254</v>
      </c>
      <c r="J30" s="311"/>
      <c r="K30" s="311">
        <v>141</v>
      </c>
      <c r="L30" s="94">
        <f t="shared" si="2"/>
        <v>28.256513026052104</v>
      </c>
      <c r="M30" s="311"/>
      <c r="N30" s="311">
        <v>77</v>
      </c>
      <c r="O30" s="94">
        <f t="shared" si="3"/>
        <v>15.430861723446892</v>
      </c>
      <c r="P30" s="311"/>
      <c r="Q30" s="311">
        <v>8</v>
      </c>
      <c r="R30" s="94">
        <f t="shared" si="4"/>
        <v>1.6032064128256511</v>
      </c>
    </row>
    <row r="31" spans="1:18" ht="13.15" customHeight="1">
      <c r="A31" t="s">
        <v>32</v>
      </c>
      <c r="B31" s="65">
        <f t="shared" si="6"/>
        <v>349</v>
      </c>
      <c r="C31" s="94">
        <f t="shared" si="5"/>
        <v>0.86396831291001353</v>
      </c>
      <c r="E31" s="310">
        <v>68</v>
      </c>
      <c r="F31" s="94">
        <f t="shared" si="0"/>
        <v>19.484240687679083</v>
      </c>
      <c r="G31" s="310"/>
      <c r="H31" s="311">
        <v>97</v>
      </c>
      <c r="I31" s="94">
        <f t="shared" si="1"/>
        <v>27.793696275071632</v>
      </c>
      <c r="J31" s="311"/>
      <c r="K31" s="311">
        <v>105</v>
      </c>
      <c r="L31" s="94">
        <f t="shared" si="2"/>
        <v>30.085959885386821</v>
      </c>
      <c r="M31" s="311"/>
      <c r="N31" s="311">
        <v>75</v>
      </c>
      <c r="O31" s="94">
        <f t="shared" si="3"/>
        <v>21.48997134670487</v>
      </c>
      <c r="P31" s="311"/>
      <c r="Q31" s="311">
        <v>4</v>
      </c>
      <c r="R31" s="94">
        <f t="shared" si="4"/>
        <v>1.1461318051575931</v>
      </c>
    </row>
    <row r="32" spans="1:18" ht="13.15" customHeight="1">
      <c r="A32" t="s">
        <v>33</v>
      </c>
      <c r="B32" s="65">
        <f t="shared" si="6"/>
        <v>371</v>
      </c>
      <c r="C32" s="94">
        <f t="shared" si="5"/>
        <v>0.91843049882411187</v>
      </c>
      <c r="E32" s="310">
        <v>73</v>
      </c>
      <c r="F32" s="94">
        <f t="shared" si="0"/>
        <v>19.676549865229109</v>
      </c>
      <c r="G32" s="310"/>
      <c r="H32" s="311">
        <v>112</v>
      </c>
      <c r="I32" s="94">
        <f t="shared" si="1"/>
        <v>30.188679245283019</v>
      </c>
      <c r="J32" s="311"/>
      <c r="K32" s="311">
        <v>101</v>
      </c>
      <c r="L32" s="94">
        <f t="shared" si="2"/>
        <v>27.223719676549869</v>
      </c>
      <c r="M32" s="311"/>
      <c r="N32" s="311">
        <v>76</v>
      </c>
      <c r="O32" s="94">
        <f t="shared" si="3"/>
        <v>20.485175202156334</v>
      </c>
      <c r="P32" s="311"/>
      <c r="Q32" s="311">
        <v>9</v>
      </c>
      <c r="R32" s="94">
        <f t="shared" si="4"/>
        <v>2.4258760107816713</v>
      </c>
    </row>
    <row r="33" spans="1:18" ht="13.15" customHeight="1">
      <c r="A33" t="s">
        <v>34</v>
      </c>
      <c r="B33" s="65">
        <f t="shared" si="6"/>
        <v>378</v>
      </c>
      <c r="C33" s="94">
        <f t="shared" si="5"/>
        <v>0.93575937616041593</v>
      </c>
      <c r="E33" s="310">
        <v>59</v>
      </c>
      <c r="F33" s="94">
        <f t="shared" si="0"/>
        <v>15.608465608465607</v>
      </c>
      <c r="G33" s="310"/>
      <c r="H33" s="311">
        <v>103</v>
      </c>
      <c r="I33" s="94">
        <f t="shared" si="1"/>
        <v>27.24867724867725</v>
      </c>
      <c r="J33" s="311"/>
      <c r="K33" s="311">
        <v>147</v>
      </c>
      <c r="L33" s="94">
        <f t="shared" si="2"/>
        <v>38.888888888888893</v>
      </c>
      <c r="M33" s="311"/>
      <c r="N33" s="311">
        <v>65</v>
      </c>
      <c r="O33" s="94">
        <f t="shared" si="3"/>
        <v>17.195767195767196</v>
      </c>
      <c r="P33" s="311"/>
      <c r="Q33" s="311">
        <v>4</v>
      </c>
      <c r="R33" s="94">
        <f t="shared" si="4"/>
        <v>1.0582010582010581</v>
      </c>
    </row>
    <row r="34" spans="1:18" ht="9" customHeight="1">
      <c r="C34" s="94" t="str">
        <f t="shared" si="5"/>
        <v/>
      </c>
      <c r="F34" s="94" t="str">
        <f t="shared" si="0"/>
        <v/>
      </c>
      <c r="I34" s="94" t="str">
        <f t="shared" si="1"/>
        <v/>
      </c>
      <c r="L34" s="94" t="str">
        <f t="shared" si="2"/>
        <v/>
      </c>
      <c r="O34" s="94" t="str">
        <f t="shared" si="3"/>
        <v/>
      </c>
      <c r="R34" s="94" t="str">
        <f t="shared" si="4"/>
        <v/>
      </c>
    </row>
    <row r="35" spans="1:18" ht="13.15" customHeight="1">
      <c r="A35" s="63" t="s">
        <v>329</v>
      </c>
      <c r="B35" s="65">
        <f>SUM(B36+B42+B52+B54)</f>
        <v>13568</v>
      </c>
      <c r="C35" s="94">
        <f t="shared" si="5"/>
        <v>33.588315385567519</v>
      </c>
      <c r="E35" s="93">
        <f>SUM(E36+E42+E52+E54)</f>
        <v>2370</v>
      </c>
      <c r="F35" s="94">
        <f t="shared" si="0"/>
        <v>17.467570754716981</v>
      </c>
      <c r="H35" s="93">
        <f>SUM(H36+H42+H52+H54)</f>
        <v>3077</v>
      </c>
      <c r="I35" s="94">
        <f t="shared" si="1"/>
        <v>22.678360849056602</v>
      </c>
      <c r="K35" s="93">
        <f>SUM(K36+K42+K52+K54)</f>
        <v>3355</v>
      </c>
      <c r="L35" s="94">
        <f t="shared" si="2"/>
        <v>24.727299528301888</v>
      </c>
      <c r="N35" s="93">
        <f>SUM(N36+N42+N52+N54)</f>
        <v>4137</v>
      </c>
      <c r="O35" s="94">
        <f t="shared" si="3"/>
        <v>30.490860849056606</v>
      </c>
      <c r="Q35" s="93">
        <f>SUM(Q36+Q42+Q52+Q54)</f>
        <v>629</v>
      </c>
      <c r="R35" s="94">
        <f t="shared" si="4"/>
        <v>4.6359080188679247</v>
      </c>
    </row>
    <row r="36" spans="1:18" ht="17.25" customHeight="1">
      <c r="A36" t="s">
        <v>36</v>
      </c>
      <c r="B36" s="65">
        <f>SUM(E36+H36+K36+N36+Q36)</f>
        <v>4953</v>
      </c>
      <c r="C36" s="94">
        <f t="shared" si="5"/>
        <v>12.261418492387671</v>
      </c>
      <c r="E36" s="93">
        <f>SUM(E37:E40)</f>
        <v>929</v>
      </c>
      <c r="F36" s="94">
        <f t="shared" si="0"/>
        <v>18.756309307490408</v>
      </c>
      <c r="H36" s="93">
        <f>SUM(H37:H40)</f>
        <v>1207</v>
      </c>
      <c r="I36" s="94">
        <f t="shared" si="1"/>
        <v>24.369069250959015</v>
      </c>
      <c r="K36" s="93">
        <f>SUM(K37:K40)</f>
        <v>1269</v>
      </c>
      <c r="L36" s="94">
        <f t="shared" si="2"/>
        <v>25.620835857056328</v>
      </c>
      <c r="N36" s="93">
        <f>SUM(N37:N40)</f>
        <v>1351</v>
      </c>
      <c r="O36" s="94">
        <f t="shared" si="3"/>
        <v>27.276398142539875</v>
      </c>
      <c r="Q36" s="93">
        <f>SUM(Q37:Q40)</f>
        <v>197</v>
      </c>
      <c r="R36" s="94">
        <f t="shared" si="4"/>
        <v>3.9773874419543711</v>
      </c>
    </row>
    <row r="37" spans="1:18" ht="13.15" customHeight="1">
      <c r="A37" t="s">
        <v>37</v>
      </c>
      <c r="B37" s="65">
        <f>SUM(E37+H37+K37+N37+Q37)</f>
        <v>2884</v>
      </c>
      <c r="C37" s="94">
        <f t="shared" si="5"/>
        <v>7.1394974625572472</v>
      </c>
      <c r="E37" s="310">
        <v>588</v>
      </c>
      <c r="F37" s="94">
        <f t="shared" si="0"/>
        <v>20.388349514563107</v>
      </c>
      <c r="G37" s="310"/>
      <c r="H37" s="311">
        <v>762</v>
      </c>
      <c r="I37" s="94">
        <f t="shared" si="1"/>
        <v>26.421636615811373</v>
      </c>
      <c r="J37" s="311"/>
      <c r="K37" s="311">
        <v>769</v>
      </c>
      <c r="L37" s="94">
        <f t="shared" si="2"/>
        <v>26.664355062413314</v>
      </c>
      <c r="M37" s="311"/>
      <c r="N37" s="311">
        <v>716</v>
      </c>
      <c r="O37" s="94">
        <f t="shared" si="3"/>
        <v>24.826629680998614</v>
      </c>
      <c r="P37" s="311"/>
      <c r="Q37" s="311">
        <v>49</v>
      </c>
      <c r="R37" s="94">
        <f t="shared" si="4"/>
        <v>1.6990291262135921</v>
      </c>
    </row>
    <row r="38" spans="1:18" ht="13.15" customHeight="1">
      <c r="A38" t="s">
        <v>38</v>
      </c>
      <c r="B38" s="65">
        <f>SUM(E38+H38+K38+N38+Q38)</f>
        <v>1133</v>
      </c>
      <c r="C38" s="94">
        <f t="shared" si="5"/>
        <v>2.8048025745760614</v>
      </c>
      <c r="E38" s="310">
        <v>189</v>
      </c>
      <c r="F38" s="94">
        <f t="shared" si="0"/>
        <v>16.681376875551631</v>
      </c>
      <c r="G38" s="310"/>
      <c r="H38" s="311">
        <v>221</v>
      </c>
      <c r="I38" s="94">
        <f t="shared" si="1"/>
        <v>19.505736981465134</v>
      </c>
      <c r="J38" s="311"/>
      <c r="K38" s="311">
        <v>189</v>
      </c>
      <c r="L38" s="94">
        <f t="shared" si="2"/>
        <v>16.681376875551631</v>
      </c>
      <c r="M38" s="311"/>
      <c r="N38" s="311">
        <v>416</v>
      </c>
      <c r="O38" s="94">
        <f t="shared" si="3"/>
        <v>36.716681376875556</v>
      </c>
      <c r="P38" s="311"/>
      <c r="Q38" s="311">
        <v>118</v>
      </c>
      <c r="R38" s="94">
        <f t="shared" si="4"/>
        <v>10.414827890556046</v>
      </c>
    </row>
    <row r="39" spans="1:18" ht="13.15" customHeight="1">
      <c r="A39" t="s">
        <v>39</v>
      </c>
      <c r="B39" s="65">
        <f>SUM(E39+H39+K39+N39+Q39)</f>
        <v>511</v>
      </c>
      <c r="C39" s="94">
        <f t="shared" si="5"/>
        <v>1.2650080455501918</v>
      </c>
      <c r="E39" s="310">
        <v>96</v>
      </c>
      <c r="F39" s="94">
        <f t="shared" si="0"/>
        <v>18.786692759295498</v>
      </c>
      <c r="G39" s="310"/>
      <c r="H39" s="311">
        <v>99</v>
      </c>
      <c r="I39" s="94">
        <f t="shared" si="1"/>
        <v>19.373776908023483</v>
      </c>
      <c r="J39" s="311"/>
      <c r="K39" s="311">
        <v>169</v>
      </c>
      <c r="L39" s="94">
        <f t="shared" si="2"/>
        <v>33.072407045009783</v>
      </c>
      <c r="M39" s="311"/>
      <c r="N39" s="311">
        <v>129</v>
      </c>
      <c r="O39" s="94">
        <f t="shared" si="3"/>
        <v>25.244618395303327</v>
      </c>
      <c r="P39" s="311"/>
      <c r="Q39" s="311">
        <v>18</v>
      </c>
      <c r="R39" s="94">
        <f t="shared" si="4"/>
        <v>3.5225048923679059</v>
      </c>
    </row>
    <row r="40" spans="1:18" ht="13.15" customHeight="1">
      <c r="A40" t="s">
        <v>40</v>
      </c>
      <c r="B40" s="65">
        <f>SUM(E40+H40+K40+N40+Q40)</f>
        <v>425</v>
      </c>
      <c r="C40" s="94">
        <f t="shared" si="5"/>
        <v>1.0521104097041714</v>
      </c>
      <c r="E40" s="310">
        <v>56</v>
      </c>
      <c r="F40" s="94">
        <f t="shared" si="0"/>
        <v>13.176470588235295</v>
      </c>
      <c r="G40" s="310"/>
      <c r="H40" s="311">
        <v>125</v>
      </c>
      <c r="I40" s="94">
        <f t="shared" si="1"/>
        <v>29.411764705882355</v>
      </c>
      <c r="J40" s="311"/>
      <c r="K40" s="311">
        <v>142</v>
      </c>
      <c r="L40" s="94">
        <f t="shared" si="2"/>
        <v>33.411764705882355</v>
      </c>
      <c r="M40" s="311"/>
      <c r="N40" s="311">
        <v>90</v>
      </c>
      <c r="O40" s="94">
        <f t="shared" si="3"/>
        <v>21.176470588235293</v>
      </c>
      <c r="P40" s="311"/>
      <c r="Q40" s="311">
        <v>12</v>
      </c>
      <c r="R40" s="94">
        <f t="shared" si="4"/>
        <v>2.8235294117647061</v>
      </c>
    </row>
    <row r="41" spans="1:18" ht="9" customHeight="1">
      <c r="C41" s="94" t="str">
        <f t="shared" si="5"/>
        <v/>
      </c>
      <c r="F41" s="94" t="str">
        <f t="shared" si="0"/>
        <v/>
      </c>
      <c r="I41" s="94" t="str">
        <f t="shared" si="1"/>
        <v/>
      </c>
      <c r="L41" s="94" t="str">
        <f t="shared" si="2"/>
        <v/>
      </c>
      <c r="O41" s="94" t="str">
        <f t="shared" si="3"/>
        <v/>
      </c>
      <c r="R41" s="94" t="str">
        <f t="shared" si="4"/>
        <v/>
      </c>
    </row>
    <row r="42" spans="1:18" ht="13.15" customHeight="1">
      <c r="A42" t="s">
        <v>41</v>
      </c>
      <c r="B42" s="65">
        <f t="shared" ref="B42:B50" si="7">SUM(E42+H42+K42+N42+Q42)</f>
        <v>3954</v>
      </c>
      <c r="C42" s="94">
        <f t="shared" si="5"/>
        <v>9.7883401411065734</v>
      </c>
      <c r="E42" s="93">
        <f>SUM(E43:E50)</f>
        <v>664</v>
      </c>
      <c r="F42" s="94">
        <f t="shared" si="0"/>
        <v>16.793120890237734</v>
      </c>
      <c r="H42" s="93">
        <f>SUM(H43:H50)</f>
        <v>842</v>
      </c>
      <c r="I42" s="94">
        <f t="shared" si="1"/>
        <v>21.29489124936773</v>
      </c>
      <c r="K42" s="93">
        <f>SUM(K43:K50)</f>
        <v>939</v>
      </c>
      <c r="L42" s="94">
        <f t="shared" si="2"/>
        <v>23.748103186646432</v>
      </c>
      <c r="N42" s="93">
        <f>SUM(N43:N50)</f>
        <v>1285</v>
      </c>
      <c r="O42" s="94">
        <f t="shared" si="3"/>
        <v>32.49873545776429</v>
      </c>
      <c r="Q42" s="93">
        <f>SUM(Q43:Q50)</f>
        <v>224</v>
      </c>
      <c r="R42" s="94">
        <f t="shared" si="4"/>
        <v>5.6651492159838144</v>
      </c>
    </row>
    <row r="43" spans="1:18" ht="13.15" customHeight="1">
      <c r="A43" t="s">
        <v>330</v>
      </c>
      <c r="B43" s="65">
        <f t="shared" si="7"/>
        <v>461</v>
      </c>
      <c r="C43" s="94">
        <f t="shared" si="5"/>
        <v>1.1412303502908776</v>
      </c>
      <c r="E43" s="310">
        <v>76</v>
      </c>
      <c r="F43" s="94">
        <f t="shared" si="0"/>
        <v>16.485900216919742</v>
      </c>
      <c r="G43" s="310"/>
      <c r="H43" s="311">
        <v>106</v>
      </c>
      <c r="I43" s="94">
        <f t="shared" si="1"/>
        <v>22.993492407809111</v>
      </c>
      <c r="J43" s="311"/>
      <c r="K43" s="311">
        <v>153</v>
      </c>
      <c r="L43" s="94">
        <f t="shared" si="2"/>
        <v>33.188720173535792</v>
      </c>
      <c r="M43" s="311"/>
      <c r="N43" s="311">
        <v>120</v>
      </c>
      <c r="O43" s="94">
        <f t="shared" si="3"/>
        <v>26.030368763557483</v>
      </c>
      <c r="P43" s="311"/>
      <c r="Q43" s="311">
        <v>6</v>
      </c>
      <c r="R43" s="94">
        <f t="shared" si="4"/>
        <v>1.3015184381778742</v>
      </c>
    </row>
    <row r="44" spans="1:18" ht="13.15" customHeight="1">
      <c r="A44" t="s">
        <v>42</v>
      </c>
      <c r="B44" s="65">
        <f t="shared" si="7"/>
        <v>420</v>
      </c>
      <c r="C44" s="94">
        <f t="shared" si="5"/>
        <v>1.0397326401782399</v>
      </c>
      <c r="E44" s="310">
        <v>79</v>
      </c>
      <c r="F44" s="94">
        <f t="shared" si="0"/>
        <v>18.80952380952381</v>
      </c>
      <c r="G44" s="310"/>
      <c r="H44" s="311">
        <v>88</v>
      </c>
      <c r="I44" s="94">
        <f t="shared" si="1"/>
        <v>20.952380952380953</v>
      </c>
      <c r="J44" s="311"/>
      <c r="K44" s="311">
        <v>121</v>
      </c>
      <c r="L44" s="94">
        <f t="shared" si="2"/>
        <v>28.809523809523807</v>
      </c>
      <c r="M44" s="311"/>
      <c r="N44" s="311">
        <v>116</v>
      </c>
      <c r="O44" s="94">
        <f t="shared" si="3"/>
        <v>27.61904761904762</v>
      </c>
      <c r="P44" s="311"/>
      <c r="Q44" s="311">
        <v>16</v>
      </c>
      <c r="R44" s="94">
        <f t="shared" si="4"/>
        <v>3.8095238095238098</v>
      </c>
    </row>
    <row r="45" spans="1:18" ht="13.15" customHeight="1">
      <c r="A45" t="s">
        <v>43</v>
      </c>
      <c r="B45" s="65">
        <f t="shared" si="7"/>
        <v>491</v>
      </c>
      <c r="C45" s="94">
        <f t="shared" si="5"/>
        <v>1.2154969674464662</v>
      </c>
      <c r="E45" s="310">
        <v>67</v>
      </c>
      <c r="F45" s="94">
        <f t="shared" si="0"/>
        <v>13.645621181262729</v>
      </c>
      <c r="G45" s="310"/>
      <c r="H45" s="311">
        <v>101</v>
      </c>
      <c r="I45" s="94">
        <f t="shared" si="1"/>
        <v>20.570264765784113</v>
      </c>
      <c r="J45" s="311"/>
      <c r="K45" s="311">
        <v>99</v>
      </c>
      <c r="L45" s="94">
        <f t="shared" si="2"/>
        <v>20.162932790224033</v>
      </c>
      <c r="M45" s="311"/>
      <c r="N45" s="311">
        <v>157</v>
      </c>
      <c r="O45" s="94">
        <f t="shared" si="3"/>
        <v>31.975560081466398</v>
      </c>
      <c r="P45" s="311"/>
      <c r="Q45" s="311">
        <v>67</v>
      </c>
      <c r="R45" s="94">
        <f t="shared" si="4"/>
        <v>13.645621181262729</v>
      </c>
    </row>
    <row r="46" spans="1:18" ht="13.15" customHeight="1">
      <c r="A46" t="s">
        <v>44</v>
      </c>
      <c r="B46" s="65">
        <f t="shared" si="7"/>
        <v>544</v>
      </c>
      <c r="C46" s="94">
        <f t="shared" si="5"/>
        <v>1.3467013244213393</v>
      </c>
      <c r="E46" s="310">
        <v>85</v>
      </c>
      <c r="F46" s="94">
        <f t="shared" si="0"/>
        <v>15.625</v>
      </c>
      <c r="G46" s="310"/>
      <c r="H46" s="311">
        <v>116</v>
      </c>
      <c r="I46" s="94">
        <f t="shared" si="1"/>
        <v>21.323529411764707</v>
      </c>
      <c r="J46" s="311"/>
      <c r="K46" s="311">
        <v>123</v>
      </c>
      <c r="L46" s="94">
        <f t="shared" si="2"/>
        <v>22.610294117647058</v>
      </c>
      <c r="M46" s="311"/>
      <c r="N46" s="311">
        <v>194</v>
      </c>
      <c r="O46" s="94">
        <f t="shared" si="3"/>
        <v>35.661764705882355</v>
      </c>
      <c r="P46" s="311"/>
      <c r="Q46" s="311">
        <v>26</v>
      </c>
      <c r="R46" s="94">
        <f t="shared" si="4"/>
        <v>4.7794117647058822</v>
      </c>
    </row>
    <row r="47" spans="1:18" ht="13.15" customHeight="1">
      <c r="A47" t="s">
        <v>331</v>
      </c>
      <c r="B47" s="65">
        <f t="shared" si="7"/>
        <v>685</v>
      </c>
      <c r="C47" s="94">
        <f t="shared" si="5"/>
        <v>1.6957544250526055</v>
      </c>
      <c r="E47" s="310">
        <v>124</v>
      </c>
      <c r="F47" s="94">
        <f t="shared" si="0"/>
        <v>18.102189781021899</v>
      </c>
      <c r="G47" s="310"/>
      <c r="H47" s="311">
        <v>179</v>
      </c>
      <c r="I47" s="94">
        <f t="shared" si="1"/>
        <v>26.131386861313871</v>
      </c>
      <c r="J47" s="311"/>
      <c r="K47" s="311">
        <v>179</v>
      </c>
      <c r="L47" s="94">
        <f t="shared" si="2"/>
        <v>26.131386861313871</v>
      </c>
      <c r="M47" s="311"/>
      <c r="N47" s="311">
        <v>188</v>
      </c>
      <c r="O47" s="94">
        <f t="shared" si="3"/>
        <v>27.445255474452559</v>
      </c>
      <c r="P47" s="311"/>
      <c r="Q47" s="311">
        <v>15</v>
      </c>
      <c r="R47" s="94">
        <f t="shared" si="4"/>
        <v>2.1897810218978102</v>
      </c>
    </row>
    <row r="48" spans="1:18" ht="13.15" customHeight="1">
      <c r="A48" t="s">
        <v>48</v>
      </c>
      <c r="B48" s="65">
        <f t="shared" si="7"/>
        <v>292</v>
      </c>
      <c r="C48" s="94">
        <f t="shared" si="5"/>
        <v>0.72286174031439532</v>
      </c>
      <c r="E48" s="310">
        <v>39</v>
      </c>
      <c r="F48" s="94">
        <f t="shared" si="0"/>
        <v>13.356164383561644</v>
      </c>
      <c r="G48" s="310"/>
      <c r="H48" s="311">
        <v>55</v>
      </c>
      <c r="I48" s="94">
        <f t="shared" si="1"/>
        <v>18.835616438356166</v>
      </c>
      <c r="J48" s="311"/>
      <c r="K48" s="311">
        <v>88</v>
      </c>
      <c r="L48" s="94">
        <f t="shared" si="2"/>
        <v>30.136986301369863</v>
      </c>
      <c r="M48" s="311"/>
      <c r="N48" s="311">
        <v>106</v>
      </c>
      <c r="O48" s="94">
        <f t="shared" si="3"/>
        <v>36.301369863013697</v>
      </c>
      <c r="P48" s="311"/>
      <c r="Q48" s="311">
        <v>4</v>
      </c>
      <c r="R48" s="94">
        <f t="shared" si="4"/>
        <v>1.3698630136986301</v>
      </c>
    </row>
    <row r="49" spans="1:18" ht="13.15" customHeight="1">
      <c r="A49" t="s">
        <v>47</v>
      </c>
      <c r="B49" s="65">
        <f t="shared" si="7"/>
        <v>583</v>
      </c>
      <c r="C49" s="94">
        <f t="shared" si="5"/>
        <v>1.4432479267236045</v>
      </c>
      <c r="E49" s="310">
        <v>101</v>
      </c>
      <c r="F49" s="94">
        <f t="shared" si="0"/>
        <v>17.324185248713551</v>
      </c>
      <c r="G49" s="310"/>
      <c r="H49" s="311">
        <v>117</v>
      </c>
      <c r="I49" s="94">
        <f t="shared" si="1"/>
        <v>20.068610634648369</v>
      </c>
      <c r="J49" s="311"/>
      <c r="K49" s="311">
        <v>99</v>
      </c>
      <c r="L49" s="94">
        <f t="shared" si="2"/>
        <v>16.981132075471699</v>
      </c>
      <c r="M49" s="311"/>
      <c r="N49" s="311">
        <v>202</v>
      </c>
      <c r="O49" s="94">
        <f t="shared" si="3"/>
        <v>34.648370497427102</v>
      </c>
      <c r="P49" s="311"/>
      <c r="Q49" s="311">
        <v>64</v>
      </c>
      <c r="R49" s="94">
        <f t="shared" si="4"/>
        <v>10.977701543739279</v>
      </c>
    </row>
    <row r="50" spans="1:18" ht="13.15" customHeight="1">
      <c r="A50" t="s">
        <v>46</v>
      </c>
      <c r="B50" s="65">
        <f t="shared" si="7"/>
        <v>478</v>
      </c>
      <c r="C50" s="94">
        <f t="shared" si="5"/>
        <v>1.1833147666790444</v>
      </c>
      <c r="E50" s="310">
        <v>93</v>
      </c>
      <c r="F50" s="94">
        <f t="shared" si="0"/>
        <v>19.456066945606697</v>
      </c>
      <c r="G50" s="310"/>
      <c r="H50" s="311">
        <v>80</v>
      </c>
      <c r="I50" s="94">
        <f t="shared" si="1"/>
        <v>16.736401673640167</v>
      </c>
      <c r="J50" s="311"/>
      <c r="K50" s="311">
        <v>77</v>
      </c>
      <c r="L50" s="94">
        <f t="shared" si="2"/>
        <v>16.10878661087866</v>
      </c>
      <c r="M50" s="311"/>
      <c r="N50" s="311">
        <v>202</v>
      </c>
      <c r="O50" s="94">
        <f t="shared" si="3"/>
        <v>42.25941422594142</v>
      </c>
      <c r="P50" s="311"/>
      <c r="Q50" s="311">
        <v>26</v>
      </c>
      <c r="R50" s="94">
        <f t="shared" si="4"/>
        <v>5.439330543933055</v>
      </c>
    </row>
    <row r="51" spans="1:18" ht="5.25" customHeight="1">
      <c r="C51" s="94" t="str">
        <f t="shared" si="5"/>
        <v/>
      </c>
      <c r="E51" s="313"/>
      <c r="F51" s="94" t="str">
        <f t="shared" si="0"/>
        <v/>
      </c>
      <c r="G51" s="313"/>
      <c r="H51" s="313"/>
      <c r="I51" s="94" t="str">
        <f t="shared" si="1"/>
        <v/>
      </c>
      <c r="J51" s="313"/>
      <c r="K51" s="313"/>
      <c r="L51" s="94" t="str">
        <f t="shared" si="2"/>
        <v/>
      </c>
      <c r="M51" s="313"/>
      <c r="N51" s="313"/>
      <c r="O51" s="94" t="str">
        <f t="shared" si="3"/>
        <v/>
      </c>
      <c r="P51" s="313"/>
      <c r="Q51" s="313"/>
      <c r="R51" s="94" t="str">
        <f t="shared" si="4"/>
        <v/>
      </c>
    </row>
    <row r="52" spans="1:18" ht="13.15" customHeight="1">
      <c r="A52" t="s">
        <v>50</v>
      </c>
      <c r="B52" s="65">
        <f>SUM(E52+H52+K52+N52+Q52)</f>
        <v>1406</v>
      </c>
      <c r="C52" s="94">
        <f t="shared" si="5"/>
        <v>3.4806287906919171</v>
      </c>
      <c r="E52" s="310">
        <v>302</v>
      </c>
      <c r="F52" s="94">
        <f t="shared" si="0"/>
        <v>21.47937411095306</v>
      </c>
      <c r="G52" s="310"/>
      <c r="H52" s="311">
        <v>278</v>
      </c>
      <c r="I52" s="94">
        <f t="shared" si="1"/>
        <v>19.7724039829303</v>
      </c>
      <c r="J52" s="311"/>
      <c r="K52" s="311">
        <v>284</v>
      </c>
      <c r="L52" s="94">
        <f t="shared" si="2"/>
        <v>20.19914651493599</v>
      </c>
      <c r="M52" s="311"/>
      <c r="N52" s="311">
        <v>478</v>
      </c>
      <c r="O52" s="94">
        <f t="shared" si="3"/>
        <v>33.997155049786635</v>
      </c>
      <c r="P52" s="311"/>
      <c r="Q52" s="311">
        <v>64</v>
      </c>
      <c r="R52" s="94">
        <f t="shared" si="4"/>
        <v>4.5519203413940259</v>
      </c>
    </row>
    <row r="53" spans="1:18" ht="6.75" customHeight="1">
      <c r="C53" s="94" t="str">
        <f t="shared" si="5"/>
        <v/>
      </c>
      <c r="F53" s="94" t="str">
        <f t="shared" si="0"/>
        <v/>
      </c>
      <c r="I53" s="94" t="str">
        <f t="shared" si="1"/>
        <v/>
      </c>
      <c r="L53" s="94" t="str">
        <f t="shared" si="2"/>
        <v/>
      </c>
      <c r="O53" s="94" t="str">
        <f t="shared" si="3"/>
        <v/>
      </c>
      <c r="R53" s="94" t="str">
        <f t="shared" si="4"/>
        <v/>
      </c>
    </row>
    <row r="54" spans="1:18" ht="13.15" customHeight="1">
      <c r="A54" t="s">
        <v>51</v>
      </c>
      <c r="B54" s="65">
        <f t="shared" ref="B54:B59" si="8">SUM(E54+H54+K54+N54+Q54)</f>
        <v>3255</v>
      </c>
      <c r="C54" s="94">
        <f t="shared" si="5"/>
        <v>8.0579279613813579</v>
      </c>
      <c r="E54" s="93">
        <f>SUM(E55:E59)</f>
        <v>475</v>
      </c>
      <c r="F54" s="94">
        <f t="shared" si="0"/>
        <v>14.592933947772657</v>
      </c>
      <c r="H54" s="93">
        <f>SUM(H55:H59)</f>
        <v>750</v>
      </c>
      <c r="I54" s="94">
        <f t="shared" si="1"/>
        <v>23.041474654377879</v>
      </c>
      <c r="K54" s="93">
        <f>SUM(K55:K59)</f>
        <v>863</v>
      </c>
      <c r="L54" s="94">
        <f t="shared" si="2"/>
        <v>26.513056835637482</v>
      </c>
      <c r="N54" s="93">
        <f>SUM(N55:N59)</f>
        <v>1023</v>
      </c>
      <c r="O54" s="94">
        <f t="shared" si="3"/>
        <v>31.428571428571427</v>
      </c>
      <c r="Q54" s="93">
        <f>SUM(Q55:Q59)</f>
        <v>144</v>
      </c>
      <c r="R54" s="94">
        <f t="shared" si="4"/>
        <v>4.4239631336405534</v>
      </c>
    </row>
    <row r="55" spans="1:18" ht="13.15" customHeight="1">
      <c r="A55" t="s">
        <v>52</v>
      </c>
      <c r="B55" s="65">
        <f t="shared" si="8"/>
        <v>124</v>
      </c>
      <c r="C55" s="94">
        <f t="shared" si="5"/>
        <v>0.30696868424309937</v>
      </c>
      <c r="E55" s="310">
        <v>44</v>
      </c>
      <c r="F55" s="94">
        <f t="shared" si="0"/>
        <v>35.483870967741936</v>
      </c>
      <c r="G55" s="310"/>
      <c r="H55" s="311">
        <v>47</v>
      </c>
      <c r="I55" s="94">
        <f t="shared" si="1"/>
        <v>37.903225806451616</v>
      </c>
      <c r="J55" s="311"/>
      <c r="K55" s="311">
        <v>25</v>
      </c>
      <c r="L55" s="94">
        <f t="shared" si="2"/>
        <v>20.161290322580644</v>
      </c>
      <c r="M55" s="311"/>
      <c r="N55" s="311">
        <v>7</v>
      </c>
      <c r="O55" s="94">
        <f t="shared" si="3"/>
        <v>5.6451612903225801</v>
      </c>
      <c r="P55" s="311"/>
      <c r="Q55" s="311">
        <v>1</v>
      </c>
      <c r="R55" s="94">
        <f t="shared" si="4"/>
        <v>0.80645161290322576</v>
      </c>
    </row>
    <row r="56" spans="1:18" ht="13.15" customHeight="1">
      <c r="A56" t="s">
        <v>53</v>
      </c>
      <c r="B56" s="65">
        <f t="shared" si="8"/>
        <v>2017</v>
      </c>
      <c r="C56" s="94">
        <f t="shared" si="5"/>
        <v>4.9931922267607378</v>
      </c>
      <c r="E56" s="310">
        <v>293</v>
      </c>
      <c r="F56" s="94">
        <f t="shared" si="0"/>
        <v>14.526524541398118</v>
      </c>
      <c r="G56" s="310"/>
      <c r="H56" s="311">
        <v>509</v>
      </c>
      <c r="I56" s="94">
        <f t="shared" si="1"/>
        <v>25.23549826474963</v>
      </c>
      <c r="J56" s="311"/>
      <c r="K56" s="311">
        <v>565</v>
      </c>
      <c r="L56" s="94">
        <f t="shared" si="2"/>
        <v>28.011898859692614</v>
      </c>
      <c r="M56" s="311"/>
      <c r="N56" s="311">
        <v>588</v>
      </c>
      <c r="O56" s="94">
        <f t="shared" si="3"/>
        <v>29.15220624690134</v>
      </c>
      <c r="P56" s="311"/>
      <c r="Q56" s="311">
        <v>62</v>
      </c>
      <c r="R56" s="94">
        <f t="shared" si="4"/>
        <v>3.0738720872583043</v>
      </c>
    </row>
    <row r="57" spans="1:18" ht="13.15" customHeight="1">
      <c r="A57" t="s">
        <v>54</v>
      </c>
      <c r="B57" s="65">
        <f t="shared" si="8"/>
        <v>380</v>
      </c>
      <c r="C57" s="94">
        <f t="shared" si="5"/>
        <v>0.94071048397078838</v>
      </c>
      <c r="E57" s="310">
        <v>54</v>
      </c>
      <c r="F57" s="94">
        <f t="shared" si="0"/>
        <v>14.210526315789473</v>
      </c>
      <c r="G57" s="310"/>
      <c r="H57" s="311">
        <v>39</v>
      </c>
      <c r="I57" s="94">
        <f t="shared" si="1"/>
        <v>10.263157894736842</v>
      </c>
      <c r="J57" s="311"/>
      <c r="K57" s="311">
        <v>48</v>
      </c>
      <c r="L57" s="94">
        <f t="shared" si="2"/>
        <v>12.631578947368421</v>
      </c>
      <c r="M57" s="311"/>
      <c r="N57" s="311">
        <v>190</v>
      </c>
      <c r="O57" s="94">
        <f t="shared" si="3"/>
        <v>50</v>
      </c>
      <c r="P57" s="311"/>
      <c r="Q57" s="311">
        <v>49</v>
      </c>
      <c r="R57" s="94">
        <f t="shared" si="4"/>
        <v>12.894736842105264</v>
      </c>
    </row>
    <row r="58" spans="1:18" ht="13.15" customHeight="1">
      <c r="A58" t="s">
        <v>332</v>
      </c>
      <c r="B58" s="65">
        <f t="shared" si="8"/>
        <v>472</v>
      </c>
      <c r="C58" s="94">
        <f t="shared" si="5"/>
        <v>1.1684614432479268</v>
      </c>
      <c r="E58" s="310">
        <v>63</v>
      </c>
      <c r="F58" s="94">
        <f t="shared" si="0"/>
        <v>13.347457627118645</v>
      </c>
      <c r="G58" s="310"/>
      <c r="H58" s="311">
        <v>75</v>
      </c>
      <c r="I58" s="94">
        <f t="shared" si="1"/>
        <v>15.889830508474576</v>
      </c>
      <c r="J58" s="311"/>
      <c r="K58" s="311">
        <v>113</v>
      </c>
      <c r="L58" s="94">
        <f t="shared" si="2"/>
        <v>23.940677966101696</v>
      </c>
      <c r="M58" s="311"/>
      <c r="N58" s="311">
        <v>191</v>
      </c>
      <c r="O58" s="94">
        <f t="shared" si="3"/>
        <v>40.466101694915253</v>
      </c>
      <c r="P58" s="311"/>
      <c r="Q58" s="311">
        <v>30</v>
      </c>
      <c r="R58" s="94">
        <f t="shared" si="4"/>
        <v>6.3559322033898304</v>
      </c>
    </row>
    <row r="59" spans="1:18" ht="13.15" customHeight="1">
      <c r="A59" t="s">
        <v>56</v>
      </c>
      <c r="B59" s="65">
        <f t="shared" si="8"/>
        <v>262</v>
      </c>
      <c r="C59" s="94">
        <f t="shared" si="5"/>
        <v>0.64859512315880674</v>
      </c>
      <c r="E59" s="310">
        <v>21</v>
      </c>
      <c r="F59" s="94">
        <f t="shared" si="0"/>
        <v>8.015267175572518</v>
      </c>
      <c r="G59" s="310"/>
      <c r="H59" s="311">
        <v>80</v>
      </c>
      <c r="I59" s="94">
        <f t="shared" si="1"/>
        <v>30.534351145038169</v>
      </c>
      <c r="J59" s="311"/>
      <c r="K59" s="311">
        <v>112</v>
      </c>
      <c r="L59" s="94">
        <f t="shared" si="2"/>
        <v>42.748091603053432</v>
      </c>
      <c r="M59" s="311"/>
      <c r="N59" s="311">
        <v>47</v>
      </c>
      <c r="O59" s="94">
        <f t="shared" si="3"/>
        <v>17.938931297709924</v>
      </c>
      <c r="P59" s="311"/>
      <c r="Q59" s="311">
        <v>2</v>
      </c>
      <c r="R59" s="94">
        <f t="shared" si="4"/>
        <v>0.76335877862595414</v>
      </c>
    </row>
    <row r="60" spans="1:18" ht="4.5" customHeight="1">
      <c r="C60" s="94" t="str">
        <f t="shared" si="5"/>
        <v/>
      </c>
      <c r="F60" s="94" t="str">
        <f t="shared" si="0"/>
        <v/>
      </c>
      <c r="I60" s="94" t="str">
        <f t="shared" si="1"/>
        <v/>
      </c>
      <c r="L60" s="94" t="str">
        <f t="shared" si="2"/>
        <v/>
      </c>
      <c r="O60" s="94" t="str">
        <f t="shared" si="3"/>
        <v/>
      </c>
      <c r="R60" s="94" t="str">
        <f t="shared" si="4"/>
        <v/>
      </c>
    </row>
    <row r="61" spans="1:18" ht="13.15" customHeight="1">
      <c r="A61" s="63" t="s">
        <v>333</v>
      </c>
      <c r="B61" s="65">
        <f>SUM(B62+B64+B71+B73)</f>
        <v>3902</v>
      </c>
      <c r="C61" s="94">
        <f t="shared" si="5"/>
        <v>9.6596113380368855</v>
      </c>
      <c r="E61" s="93">
        <f>SUM(E62+E64+E71+E73)</f>
        <v>403</v>
      </c>
      <c r="F61" s="94">
        <f t="shared" si="0"/>
        <v>10.328036904151718</v>
      </c>
      <c r="H61" s="93">
        <f>SUM(H62+H64+H71+H73)</f>
        <v>581</v>
      </c>
      <c r="I61" s="94">
        <f t="shared" si="1"/>
        <v>14.889800102511533</v>
      </c>
      <c r="K61" s="93">
        <f>SUM(K62+K64+K71+K73)</f>
        <v>1053</v>
      </c>
      <c r="L61" s="94">
        <f t="shared" si="2"/>
        <v>26.986160943106096</v>
      </c>
      <c r="N61" s="93">
        <f>SUM(N62+N64+N71+N73)</f>
        <v>1462</v>
      </c>
      <c r="O61" s="94">
        <f t="shared" si="3"/>
        <v>37.467965146078939</v>
      </c>
      <c r="Q61" s="93">
        <f>SUM(Q62+Q64+Q71+Q73)</f>
        <v>403</v>
      </c>
      <c r="R61" s="94">
        <f t="shared" si="4"/>
        <v>10.328036904151718</v>
      </c>
    </row>
    <row r="62" spans="1:18" ht="13.15" customHeight="1">
      <c r="A62" t="s">
        <v>334</v>
      </c>
      <c r="B62" s="65">
        <f>SUM(E62+H62+K62+N62+Q62)</f>
        <v>550</v>
      </c>
      <c r="C62" s="94">
        <f t="shared" si="5"/>
        <v>1.3615546478524569</v>
      </c>
      <c r="E62" s="310">
        <v>61</v>
      </c>
      <c r="F62" s="94">
        <f t="shared" si="0"/>
        <v>11.090909090909092</v>
      </c>
      <c r="G62" s="310"/>
      <c r="H62" s="311">
        <v>85</v>
      </c>
      <c r="I62" s="94">
        <f t="shared" si="1"/>
        <v>15.454545454545453</v>
      </c>
      <c r="J62" s="311"/>
      <c r="K62" s="311">
        <v>192</v>
      </c>
      <c r="L62" s="94">
        <f t="shared" si="2"/>
        <v>34.909090909090914</v>
      </c>
      <c r="M62" s="311"/>
      <c r="N62" s="311">
        <v>183</v>
      </c>
      <c r="O62" s="94">
        <f t="shared" si="3"/>
        <v>33.272727272727273</v>
      </c>
      <c r="P62" s="311"/>
      <c r="Q62" s="311">
        <v>29</v>
      </c>
      <c r="R62" s="94">
        <f t="shared" si="4"/>
        <v>5.2727272727272725</v>
      </c>
    </row>
    <row r="63" spans="1:18" ht="6" customHeight="1">
      <c r="C63" s="94" t="str">
        <f t="shared" si="5"/>
        <v/>
      </c>
      <c r="F63" s="94" t="str">
        <f t="shared" si="0"/>
        <v/>
      </c>
      <c r="I63" s="94" t="str">
        <f t="shared" si="1"/>
        <v/>
      </c>
      <c r="L63" s="94" t="str">
        <f t="shared" si="2"/>
        <v/>
      </c>
      <c r="O63" s="94" t="str">
        <f t="shared" si="3"/>
        <v/>
      </c>
      <c r="R63" s="94" t="str">
        <f t="shared" si="4"/>
        <v/>
      </c>
    </row>
    <row r="64" spans="1:18" ht="13.15" customHeight="1">
      <c r="A64" t="s">
        <v>60</v>
      </c>
      <c r="B64" s="65">
        <f t="shared" ref="B64:B69" si="9">SUM(E64+H64+K64+N64+Q64)</f>
        <v>2266</v>
      </c>
      <c r="C64" s="94">
        <f t="shared" si="5"/>
        <v>5.6096051491521228</v>
      </c>
      <c r="E64" s="93">
        <f>SUM(E65:E69)</f>
        <v>262</v>
      </c>
      <c r="F64" s="94">
        <f t="shared" si="0"/>
        <v>11.562224183583407</v>
      </c>
      <c r="H64" s="93">
        <f>SUM(H65:H69)</f>
        <v>275</v>
      </c>
      <c r="I64" s="94">
        <f t="shared" si="1"/>
        <v>12.135922330097088</v>
      </c>
      <c r="K64" s="93">
        <f>SUM(K65:K69)</f>
        <v>492</v>
      </c>
      <c r="L64" s="94">
        <f t="shared" si="2"/>
        <v>21.712268314210061</v>
      </c>
      <c r="N64" s="93">
        <f>SUM(N65:N69)</f>
        <v>929</v>
      </c>
      <c r="O64" s="94">
        <f t="shared" si="3"/>
        <v>40.997352162400709</v>
      </c>
      <c r="Q64" s="93">
        <f>SUM(Q65:Q69)</f>
        <v>308</v>
      </c>
      <c r="R64" s="94">
        <f t="shared" si="4"/>
        <v>13.592233009708737</v>
      </c>
    </row>
    <row r="65" spans="1:18" ht="13.15" customHeight="1">
      <c r="A65" t="s">
        <v>61</v>
      </c>
      <c r="B65" s="65">
        <f t="shared" si="9"/>
        <v>680</v>
      </c>
      <c r="C65" s="94">
        <f t="shared" si="5"/>
        <v>1.6833766555266743</v>
      </c>
      <c r="E65" s="310">
        <v>28</v>
      </c>
      <c r="F65" s="94">
        <f t="shared" si="0"/>
        <v>4.117647058823529</v>
      </c>
      <c r="G65" s="310"/>
      <c r="H65" s="311">
        <v>60</v>
      </c>
      <c r="I65" s="94">
        <f t="shared" si="1"/>
        <v>8.8235294117647065</v>
      </c>
      <c r="J65" s="311"/>
      <c r="K65" s="311">
        <v>143</v>
      </c>
      <c r="L65" s="94">
        <f t="shared" si="2"/>
        <v>21.029411764705884</v>
      </c>
      <c r="M65" s="311"/>
      <c r="N65" s="311">
        <v>224</v>
      </c>
      <c r="O65" s="94">
        <f t="shared" si="3"/>
        <v>32.941176470588232</v>
      </c>
      <c r="P65" s="311"/>
      <c r="Q65" s="311">
        <v>225</v>
      </c>
      <c r="R65" s="94">
        <f t="shared" si="4"/>
        <v>33.088235294117645</v>
      </c>
    </row>
    <row r="66" spans="1:18" ht="13.15" customHeight="1">
      <c r="A66" t="s">
        <v>62</v>
      </c>
      <c r="B66" s="65">
        <f t="shared" si="9"/>
        <v>370</v>
      </c>
      <c r="C66" s="94">
        <f t="shared" si="5"/>
        <v>0.9159549449189256</v>
      </c>
      <c r="E66" s="310">
        <v>52</v>
      </c>
      <c r="F66" s="94">
        <f t="shared" si="0"/>
        <v>14.054054054054054</v>
      </c>
      <c r="G66" s="310"/>
      <c r="H66" s="311">
        <v>30</v>
      </c>
      <c r="I66" s="94">
        <f t="shared" si="1"/>
        <v>8.1081081081081088</v>
      </c>
      <c r="J66" s="311"/>
      <c r="K66" s="311">
        <v>85</v>
      </c>
      <c r="L66" s="94">
        <f t="shared" si="2"/>
        <v>22.972972972972975</v>
      </c>
      <c r="M66" s="311"/>
      <c r="N66" s="311">
        <v>197</v>
      </c>
      <c r="O66" s="94">
        <f t="shared" si="3"/>
        <v>53.243243243243242</v>
      </c>
      <c r="P66" s="311"/>
      <c r="Q66" s="311">
        <v>6</v>
      </c>
      <c r="R66" s="94">
        <f t="shared" si="4"/>
        <v>1.6216216216216217</v>
      </c>
    </row>
    <row r="67" spans="1:18" ht="13.15" customHeight="1">
      <c r="A67" t="s">
        <v>65</v>
      </c>
      <c r="B67" s="65">
        <f t="shared" si="9"/>
        <v>781</v>
      </c>
      <c r="C67" s="94">
        <f t="shared" si="5"/>
        <v>1.9334075999504887</v>
      </c>
      <c r="E67" s="310">
        <v>110</v>
      </c>
      <c r="F67" s="94">
        <f t="shared" si="0"/>
        <v>14.084507042253522</v>
      </c>
      <c r="G67" s="310"/>
      <c r="H67" s="311">
        <v>131</v>
      </c>
      <c r="I67" s="94">
        <f t="shared" si="1"/>
        <v>16.773367477592828</v>
      </c>
      <c r="J67" s="311"/>
      <c r="K67" s="311">
        <v>167</v>
      </c>
      <c r="L67" s="94">
        <f t="shared" si="2"/>
        <v>21.382842509603073</v>
      </c>
      <c r="M67" s="311"/>
      <c r="N67" s="311">
        <v>317</v>
      </c>
      <c r="O67" s="94">
        <f t="shared" si="3"/>
        <v>40.588988476312423</v>
      </c>
      <c r="P67" s="311"/>
      <c r="Q67" s="311">
        <v>56</v>
      </c>
      <c r="R67" s="94">
        <f t="shared" si="4"/>
        <v>7.1702944942381563</v>
      </c>
    </row>
    <row r="68" spans="1:18" ht="13.15" customHeight="1">
      <c r="A68" t="s">
        <v>63</v>
      </c>
      <c r="B68" s="65">
        <f t="shared" si="9"/>
        <v>141</v>
      </c>
      <c r="C68" s="94">
        <f t="shared" si="5"/>
        <v>0.34905310063126627</v>
      </c>
      <c r="E68" s="310">
        <v>23</v>
      </c>
      <c r="F68" s="94">
        <f t="shared" si="0"/>
        <v>16.312056737588655</v>
      </c>
      <c r="G68" s="310"/>
      <c r="H68" s="311">
        <v>16</v>
      </c>
      <c r="I68" s="94">
        <f t="shared" si="1"/>
        <v>11.347517730496454</v>
      </c>
      <c r="J68" s="311"/>
      <c r="K68" s="311">
        <v>22</v>
      </c>
      <c r="L68" s="94">
        <f t="shared" si="2"/>
        <v>15.602836879432624</v>
      </c>
      <c r="M68" s="311"/>
      <c r="N68" s="311">
        <v>67</v>
      </c>
      <c r="O68" s="94">
        <f t="shared" si="3"/>
        <v>47.5177304964539</v>
      </c>
      <c r="P68" s="311"/>
      <c r="Q68" s="311">
        <v>13</v>
      </c>
      <c r="R68" s="94">
        <f t="shared" si="4"/>
        <v>9.2198581560283674</v>
      </c>
    </row>
    <row r="69" spans="1:18" ht="13.15" customHeight="1">
      <c r="A69" t="s">
        <v>64</v>
      </c>
      <c r="B69" s="65">
        <f t="shared" si="9"/>
        <v>294</v>
      </c>
      <c r="C69" s="94">
        <f t="shared" si="5"/>
        <v>0.72781284812476787</v>
      </c>
      <c r="E69" s="310">
        <v>49</v>
      </c>
      <c r="F69" s="94">
        <f t="shared" si="0"/>
        <v>16.666666666666664</v>
      </c>
      <c r="G69" s="310"/>
      <c r="H69" s="311">
        <v>38</v>
      </c>
      <c r="I69" s="94">
        <f t="shared" si="1"/>
        <v>12.925170068027212</v>
      </c>
      <c r="J69" s="311"/>
      <c r="K69" s="311">
        <v>75</v>
      </c>
      <c r="L69" s="94">
        <f t="shared" si="2"/>
        <v>25.510204081632654</v>
      </c>
      <c r="M69" s="311"/>
      <c r="N69" s="311">
        <v>124</v>
      </c>
      <c r="O69" s="94">
        <f t="shared" si="3"/>
        <v>42.176870748299322</v>
      </c>
      <c r="P69" s="311"/>
      <c r="Q69" s="311">
        <v>8</v>
      </c>
      <c r="R69" s="94">
        <f t="shared" si="4"/>
        <v>2.7210884353741496</v>
      </c>
    </row>
    <row r="70" spans="1:18" ht="6.75" customHeight="1">
      <c r="C70" s="94" t="str">
        <f t="shared" si="5"/>
        <v/>
      </c>
      <c r="E70" s="314"/>
      <c r="F70" s="94" t="str">
        <f t="shared" si="0"/>
        <v/>
      </c>
      <c r="G70" s="314"/>
      <c r="H70" s="314"/>
      <c r="I70" s="94" t="str">
        <f t="shared" si="1"/>
        <v/>
      </c>
      <c r="J70" s="314"/>
      <c r="K70" s="314"/>
      <c r="L70" s="94" t="str">
        <f t="shared" si="2"/>
        <v/>
      </c>
      <c r="M70" s="314"/>
      <c r="N70" s="314"/>
      <c r="O70" s="94" t="str">
        <f t="shared" si="3"/>
        <v/>
      </c>
      <c r="P70" s="314"/>
      <c r="Q70" s="314"/>
      <c r="R70" s="94" t="str">
        <f t="shared" si="4"/>
        <v/>
      </c>
    </row>
    <row r="71" spans="1:18" ht="13.15" customHeight="1">
      <c r="A71" t="s">
        <v>66</v>
      </c>
      <c r="B71" s="65">
        <f>SUM(E71+H71+K71+N71+Q71)</f>
        <v>472</v>
      </c>
      <c r="C71" s="94">
        <f t="shared" si="5"/>
        <v>1.1684614432479268</v>
      </c>
      <c r="E71" s="310">
        <v>53</v>
      </c>
      <c r="F71" s="94">
        <f t="shared" si="0"/>
        <v>11.228813559322035</v>
      </c>
      <c r="G71" s="310"/>
      <c r="H71" s="311">
        <v>82</v>
      </c>
      <c r="I71" s="94">
        <f t="shared" si="1"/>
        <v>17.372881355932204</v>
      </c>
      <c r="J71" s="311"/>
      <c r="K71" s="311">
        <v>96</v>
      </c>
      <c r="L71" s="94">
        <f t="shared" si="2"/>
        <v>20.33898305084746</v>
      </c>
      <c r="M71" s="311"/>
      <c r="N71" s="311">
        <v>215</v>
      </c>
      <c r="O71" s="94">
        <f t="shared" si="3"/>
        <v>45.550847457627121</v>
      </c>
      <c r="P71" s="311"/>
      <c r="Q71" s="311">
        <v>26</v>
      </c>
      <c r="R71" s="94">
        <f t="shared" si="4"/>
        <v>5.508474576271186</v>
      </c>
    </row>
    <row r="72" spans="1:18" ht="6.75" customHeight="1">
      <c r="C72" s="94" t="str">
        <f t="shared" si="5"/>
        <v/>
      </c>
      <c r="E72" s="314"/>
      <c r="F72" s="94" t="str">
        <f t="shared" si="0"/>
        <v/>
      </c>
      <c r="G72" s="314"/>
      <c r="H72" s="314"/>
      <c r="I72" s="94" t="str">
        <f t="shared" si="1"/>
        <v/>
      </c>
      <c r="J72" s="314"/>
      <c r="K72" s="314"/>
      <c r="L72" s="94" t="str">
        <f t="shared" si="2"/>
        <v/>
      </c>
      <c r="M72" s="314"/>
      <c r="N72" s="314"/>
      <c r="O72" s="94" t="str">
        <f t="shared" si="3"/>
        <v/>
      </c>
      <c r="P72" s="314"/>
      <c r="Q72" s="314"/>
      <c r="R72" s="94" t="str">
        <f t="shared" si="4"/>
        <v/>
      </c>
    </row>
    <row r="73" spans="1:18" ht="13.15" customHeight="1">
      <c r="A73" t="s">
        <v>67</v>
      </c>
      <c r="B73" s="65">
        <f>SUM(E73+H73+K73+N73+Q73)</f>
        <v>614</v>
      </c>
      <c r="C73" s="94">
        <f t="shared" si="5"/>
        <v>1.5199900977843792</v>
      </c>
      <c r="E73" s="310">
        <v>27</v>
      </c>
      <c r="F73" s="94">
        <f t="shared" si="0"/>
        <v>4.3973941368078178</v>
      </c>
      <c r="G73" s="310"/>
      <c r="H73" s="311">
        <v>139</v>
      </c>
      <c r="I73" s="94">
        <f t="shared" si="1"/>
        <v>22.638436482084689</v>
      </c>
      <c r="J73" s="311"/>
      <c r="K73" s="311">
        <v>273</v>
      </c>
      <c r="L73" s="94">
        <f t="shared" si="2"/>
        <v>44.462540716612374</v>
      </c>
      <c r="M73" s="311"/>
      <c r="N73" s="311">
        <v>135</v>
      </c>
      <c r="O73" s="94">
        <f t="shared" si="3"/>
        <v>21.986970684039086</v>
      </c>
      <c r="P73" s="311"/>
      <c r="Q73" s="311">
        <v>40</v>
      </c>
      <c r="R73" s="94">
        <f t="shared" si="4"/>
        <v>6.5146579804560263</v>
      </c>
    </row>
    <row r="74" spans="1:18" ht="6" customHeight="1">
      <c r="C74" s="94" t="str">
        <f t="shared" si="5"/>
        <v/>
      </c>
      <c r="F74" s="94" t="str">
        <f t="shared" si="0"/>
        <v/>
      </c>
      <c r="I74" s="94" t="str">
        <f t="shared" si="1"/>
        <v/>
      </c>
      <c r="L74" s="94" t="str">
        <f t="shared" si="2"/>
        <v/>
      </c>
      <c r="O74" s="94" t="str">
        <f t="shared" si="3"/>
        <v/>
      </c>
      <c r="R74" s="94" t="str">
        <f t="shared" si="4"/>
        <v/>
      </c>
    </row>
    <row r="75" spans="1:18" ht="13.15" customHeight="1">
      <c r="A75" s="63" t="s">
        <v>336</v>
      </c>
      <c r="B75" s="65">
        <f>SUM(B76)</f>
        <v>1332</v>
      </c>
      <c r="C75" s="94">
        <f t="shared" si="5"/>
        <v>3.2974378017081323</v>
      </c>
      <c r="E75" s="93">
        <f>SUM(E76)</f>
        <v>210</v>
      </c>
      <c r="F75" s="94">
        <f t="shared" si="0"/>
        <v>15.765765765765765</v>
      </c>
      <c r="H75" s="93">
        <f>SUM(H76)</f>
        <v>298</v>
      </c>
      <c r="I75" s="94">
        <f t="shared" si="1"/>
        <v>22.372372372372375</v>
      </c>
      <c r="K75" s="93">
        <f>SUM(K76)</f>
        <v>441</v>
      </c>
      <c r="L75" s="94">
        <f t="shared" si="2"/>
        <v>33.108108108108105</v>
      </c>
      <c r="N75" s="93">
        <f>SUM(N76)</f>
        <v>367</v>
      </c>
      <c r="O75" s="94">
        <f t="shared" si="3"/>
        <v>27.552552552552552</v>
      </c>
      <c r="Q75" s="93">
        <f>SUM(Q76)</f>
        <v>16</v>
      </c>
      <c r="R75" s="94">
        <f t="shared" si="4"/>
        <v>1.2012012012012012</v>
      </c>
    </row>
    <row r="76" spans="1:18" ht="13.15" customHeight="1">
      <c r="A76" t="s">
        <v>337</v>
      </c>
      <c r="B76" s="65">
        <f>SUM(E76+H76+K76+N76+Q76)</f>
        <v>1332</v>
      </c>
      <c r="C76" s="94">
        <f t="shared" si="5"/>
        <v>3.2974378017081323</v>
      </c>
      <c r="E76" s="93">
        <f>SUM(E77:E80)</f>
        <v>210</v>
      </c>
      <c r="F76" s="94">
        <f t="shared" ref="F76:F106" si="10">IF($A76&lt;&gt;"",E76/$B76*100,"")</f>
        <v>15.765765765765765</v>
      </c>
      <c r="H76" s="93">
        <f>SUM(H77:H80)</f>
        <v>298</v>
      </c>
      <c r="I76" s="94">
        <f t="shared" ref="I76:I106" si="11">IF($A76&lt;&gt;"",H76/$B76*100,"")</f>
        <v>22.372372372372375</v>
      </c>
      <c r="K76" s="93">
        <f>SUM(K77:K80)</f>
        <v>441</v>
      </c>
      <c r="L76" s="94">
        <f t="shared" ref="L76:L106" si="12">IF($A76&lt;&gt;"",K76/$B76*100,"")</f>
        <v>33.108108108108105</v>
      </c>
      <c r="N76" s="93">
        <f>SUM(N77:N80)</f>
        <v>367</v>
      </c>
      <c r="O76" s="94">
        <f t="shared" ref="O76:O106" si="13">IF($A76&lt;&gt;"",N76/$B76*100,"")</f>
        <v>27.552552552552552</v>
      </c>
      <c r="Q76" s="93">
        <f>SUM(Q77:Q80)</f>
        <v>16</v>
      </c>
      <c r="R76" s="94">
        <f t="shared" si="4"/>
        <v>1.2012012012012012</v>
      </c>
    </row>
    <row r="77" spans="1:18" ht="13.15" customHeight="1">
      <c r="A77" t="s">
        <v>70</v>
      </c>
      <c r="B77" s="65">
        <f>SUM(E77+H77+K77+N77+Q77)</f>
        <v>323</v>
      </c>
      <c r="C77" s="94">
        <f t="shared" si="5"/>
        <v>0.79960391137517028</v>
      </c>
      <c r="E77" s="310">
        <v>43</v>
      </c>
      <c r="F77" s="94">
        <f t="shared" si="10"/>
        <v>13.312693498452013</v>
      </c>
      <c r="G77" s="310"/>
      <c r="H77" s="311">
        <v>60</v>
      </c>
      <c r="I77" s="94">
        <f t="shared" si="11"/>
        <v>18.575851393188856</v>
      </c>
      <c r="J77" s="311"/>
      <c r="K77" s="311">
        <v>121</v>
      </c>
      <c r="L77" s="94">
        <f t="shared" si="12"/>
        <v>37.461300309597526</v>
      </c>
      <c r="M77" s="311"/>
      <c r="N77" s="311">
        <v>98</v>
      </c>
      <c r="O77" s="94">
        <f t="shared" si="13"/>
        <v>30.340557275541798</v>
      </c>
      <c r="P77" s="311"/>
      <c r="Q77" s="311">
        <v>1</v>
      </c>
      <c r="R77" s="94">
        <f t="shared" ref="R77:R106" si="14">IF($A77&lt;&gt;"",Q77/$B77*100,"")</f>
        <v>0.30959752321981426</v>
      </c>
    </row>
    <row r="78" spans="1:18" ht="13.15" customHeight="1">
      <c r="A78" t="s">
        <v>71</v>
      </c>
      <c r="B78" s="65">
        <f>SUM(E78+H78+K78+N78+Q78)</f>
        <v>449</v>
      </c>
      <c r="C78" s="94">
        <f t="shared" si="5"/>
        <v>1.111523703428642</v>
      </c>
      <c r="E78" s="310">
        <v>76</v>
      </c>
      <c r="F78" s="94">
        <f t="shared" si="10"/>
        <v>16.926503340757236</v>
      </c>
      <c r="G78" s="310"/>
      <c r="H78" s="311">
        <v>110</v>
      </c>
      <c r="I78" s="94">
        <f t="shared" si="11"/>
        <v>24.498886414253899</v>
      </c>
      <c r="J78" s="311"/>
      <c r="K78" s="311">
        <v>146</v>
      </c>
      <c r="L78" s="94">
        <f t="shared" si="12"/>
        <v>32.516703786191535</v>
      </c>
      <c r="M78" s="311"/>
      <c r="N78" s="311">
        <v>116</v>
      </c>
      <c r="O78" s="94">
        <f t="shared" si="13"/>
        <v>25.83518930957684</v>
      </c>
      <c r="P78" s="311"/>
      <c r="Q78" s="311">
        <v>1</v>
      </c>
      <c r="R78" s="94">
        <f t="shared" si="14"/>
        <v>0.22271714922048996</v>
      </c>
    </row>
    <row r="79" spans="1:18" ht="13.15" customHeight="1">
      <c r="A79" t="s">
        <v>72</v>
      </c>
      <c r="B79" s="65">
        <f>SUM(E79+H79+K79+N79+Q79)</f>
        <v>330</v>
      </c>
      <c r="C79" s="94">
        <f t="shared" ref="C79:C106" si="15">IF(A79&lt;&gt;0,B79/$B$12*100,"")</f>
        <v>0.81693278871147412</v>
      </c>
      <c r="E79" s="310">
        <v>47</v>
      </c>
      <c r="F79" s="94">
        <f t="shared" si="10"/>
        <v>14.242424242424242</v>
      </c>
      <c r="G79" s="310"/>
      <c r="H79" s="311">
        <v>83</v>
      </c>
      <c r="I79" s="94">
        <f t="shared" si="11"/>
        <v>25.151515151515152</v>
      </c>
      <c r="J79" s="311"/>
      <c r="K79" s="311">
        <v>115</v>
      </c>
      <c r="L79" s="94">
        <f t="shared" si="12"/>
        <v>34.848484848484851</v>
      </c>
      <c r="M79" s="311"/>
      <c r="N79" s="311">
        <v>74</v>
      </c>
      <c r="O79" s="94">
        <f t="shared" si="13"/>
        <v>22.424242424242426</v>
      </c>
      <c r="P79" s="311"/>
      <c r="Q79" s="311">
        <v>11</v>
      </c>
      <c r="R79" s="94">
        <f t="shared" si="14"/>
        <v>3.3333333333333335</v>
      </c>
    </row>
    <row r="80" spans="1:18" ht="13.15" customHeight="1">
      <c r="A80" t="s">
        <v>73</v>
      </c>
      <c r="B80" s="65">
        <f>SUM(E80+H80+K80+N80+Q80)</f>
        <v>230</v>
      </c>
      <c r="C80" s="94">
        <f t="shared" si="15"/>
        <v>0.56937739819284561</v>
      </c>
      <c r="E80" s="310">
        <v>44</v>
      </c>
      <c r="F80" s="94">
        <f t="shared" si="10"/>
        <v>19.130434782608695</v>
      </c>
      <c r="G80" s="310"/>
      <c r="H80" s="311">
        <v>45</v>
      </c>
      <c r="I80" s="94">
        <f t="shared" si="11"/>
        <v>19.565217391304348</v>
      </c>
      <c r="J80" s="311"/>
      <c r="K80" s="311">
        <v>59</v>
      </c>
      <c r="L80" s="94">
        <f t="shared" si="12"/>
        <v>25.65217391304348</v>
      </c>
      <c r="M80" s="311"/>
      <c r="N80" s="311">
        <v>79</v>
      </c>
      <c r="O80" s="94">
        <f t="shared" si="13"/>
        <v>34.347826086956523</v>
      </c>
      <c r="P80" s="311"/>
      <c r="Q80" s="311">
        <v>3</v>
      </c>
      <c r="R80" s="94">
        <f t="shared" si="14"/>
        <v>1.3043478260869565</v>
      </c>
    </row>
    <row r="81" spans="1:18" ht="6" customHeight="1">
      <c r="C81" s="94" t="str">
        <f t="shared" si="15"/>
        <v/>
      </c>
      <c r="F81" s="94" t="str">
        <f t="shared" si="10"/>
        <v/>
      </c>
      <c r="I81" s="94" t="str">
        <f t="shared" si="11"/>
        <v/>
      </c>
      <c r="L81" s="94" t="str">
        <f t="shared" si="12"/>
        <v/>
      </c>
      <c r="O81" s="94" t="str">
        <f t="shared" si="13"/>
        <v/>
      </c>
      <c r="R81" s="94" t="str">
        <f t="shared" si="14"/>
        <v/>
      </c>
    </row>
    <row r="82" spans="1:18" ht="10.5" customHeight="1">
      <c r="A82" s="63" t="s">
        <v>74</v>
      </c>
      <c r="B82" s="65">
        <f>SUM(B83)</f>
        <v>5981</v>
      </c>
      <c r="C82" s="94">
        <f t="shared" si="15"/>
        <v>14.806287906919174</v>
      </c>
      <c r="E82" s="93">
        <f>SUM(E83)</f>
        <v>948</v>
      </c>
      <c r="F82" s="94">
        <f t="shared" si="10"/>
        <v>15.850192275539207</v>
      </c>
      <c r="H82" s="93">
        <f>SUM(H83)</f>
        <v>1409</v>
      </c>
      <c r="I82" s="94">
        <f t="shared" si="11"/>
        <v>23.557933455943822</v>
      </c>
      <c r="K82" s="93">
        <f>SUM(K83)</f>
        <v>1896</v>
      </c>
      <c r="L82" s="94">
        <f t="shared" si="12"/>
        <v>31.700384551078415</v>
      </c>
      <c r="N82" s="93">
        <f>SUM(N83)</f>
        <v>1614</v>
      </c>
      <c r="O82" s="94">
        <f t="shared" si="13"/>
        <v>26.985453937468652</v>
      </c>
      <c r="Q82" s="93">
        <f>SUM(Q83)</f>
        <v>114</v>
      </c>
      <c r="R82" s="94">
        <f t="shared" si="14"/>
        <v>1.9060357799699046</v>
      </c>
    </row>
    <row r="83" spans="1:18" ht="13.15" customHeight="1">
      <c r="A83" t="s">
        <v>75</v>
      </c>
      <c r="B83" s="65">
        <f t="shared" ref="B83:B92" si="16">SUM(E83+H83+K83+N83+Q83)</f>
        <v>5981</v>
      </c>
      <c r="C83" s="94">
        <f t="shared" si="15"/>
        <v>14.806287906919174</v>
      </c>
      <c r="E83" s="93">
        <f>SUM(E84:E92)</f>
        <v>948</v>
      </c>
      <c r="F83" s="94">
        <f t="shared" si="10"/>
        <v>15.850192275539207</v>
      </c>
      <c r="H83" s="93">
        <f>SUM(H84:H92)</f>
        <v>1409</v>
      </c>
      <c r="I83" s="94">
        <f t="shared" si="11"/>
        <v>23.557933455943822</v>
      </c>
      <c r="K83" s="93">
        <f>SUM(K84:K92)</f>
        <v>1896</v>
      </c>
      <c r="L83" s="94">
        <f t="shared" si="12"/>
        <v>31.700384551078415</v>
      </c>
      <c r="N83" s="93">
        <f>SUM(N84:N92)</f>
        <v>1614</v>
      </c>
      <c r="O83" s="94">
        <f t="shared" si="13"/>
        <v>26.985453937468652</v>
      </c>
      <c r="Q83" s="93">
        <f>SUM(Q84:Q92)</f>
        <v>114</v>
      </c>
      <c r="R83" s="94">
        <f t="shared" si="14"/>
        <v>1.9060357799699046</v>
      </c>
    </row>
    <row r="84" spans="1:18" ht="13.15" customHeight="1">
      <c r="A84" t="s">
        <v>338</v>
      </c>
      <c r="B84" s="65">
        <f t="shared" si="16"/>
        <v>436</v>
      </c>
      <c r="C84" s="94">
        <f t="shared" si="15"/>
        <v>1.0793415026612205</v>
      </c>
      <c r="E84" s="310">
        <v>60</v>
      </c>
      <c r="F84" s="94">
        <f t="shared" si="10"/>
        <v>13.761467889908257</v>
      </c>
      <c r="G84" s="310"/>
      <c r="H84" s="311">
        <v>125</v>
      </c>
      <c r="I84" s="94">
        <f t="shared" si="11"/>
        <v>28.669724770642201</v>
      </c>
      <c r="J84" s="311"/>
      <c r="K84" s="311">
        <v>167</v>
      </c>
      <c r="L84" s="94">
        <f t="shared" si="12"/>
        <v>38.302752293577981</v>
      </c>
      <c r="M84" s="311"/>
      <c r="N84" s="311">
        <v>83</v>
      </c>
      <c r="O84" s="94">
        <f t="shared" si="13"/>
        <v>19.036697247706421</v>
      </c>
      <c r="P84" s="311"/>
      <c r="Q84" s="311">
        <v>1</v>
      </c>
      <c r="R84" s="94">
        <f t="shared" si="14"/>
        <v>0.22935779816513763</v>
      </c>
    </row>
    <row r="85" spans="1:18" ht="13.15" customHeight="1">
      <c r="A85" t="s">
        <v>76</v>
      </c>
      <c r="B85" s="65">
        <f t="shared" si="16"/>
        <v>866</v>
      </c>
      <c r="C85" s="94">
        <f t="shared" si="15"/>
        <v>2.1438296818913232</v>
      </c>
      <c r="E85" s="310">
        <v>141</v>
      </c>
      <c r="F85" s="94">
        <f t="shared" si="10"/>
        <v>16.28175519630485</v>
      </c>
      <c r="G85" s="310"/>
      <c r="H85" s="311">
        <v>158</v>
      </c>
      <c r="I85" s="94">
        <f t="shared" si="11"/>
        <v>18.244803695150118</v>
      </c>
      <c r="J85" s="311"/>
      <c r="K85" s="311">
        <v>271</v>
      </c>
      <c r="L85" s="94">
        <f t="shared" si="12"/>
        <v>31.293302540415702</v>
      </c>
      <c r="M85" s="311"/>
      <c r="N85" s="311">
        <v>276</v>
      </c>
      <c r="O85" s="94">
        <f t="shared" si="13"/>
        <v>31.87066974595843</v>
      </c>
      <c r="P85" s="311"/>
      <c r="Q85" s="311">
        <v>20</v>
      </c>
      <c r="R85" s="94">
        <f t="shared" si="14"/>
        <v>2.3094688221709005</v>
      </c>
    </row>
    <row r="86" spans="1:18" ht="13.15" customHeight="1">
      <c r="A86" t="s">
        <v>78</v>
      </c>
      <c r="B86" s="65">
        <f t="shared" si="16"/>
        <v>1077</v>
      </c>
      <c r="C86" s="94">
        <f t="shared" si="15"/>
        <v>2.6661715558856294</v>
      </c>
      <c r="E86" s="310">
        <v>152</v>
      </c>
      <c r="F86" s="94">
        <f t="shared" si="10"/>
        <v>14.113277623026926</v>
      </c>
      <c r="G86" s="310"/>
      <c r="H86" s="311">
        <v>305</v>
      </c>
      <c r="I86" s="94">
        <f t="shared" si="11"/>
        <v>28.319405756731662</v>
      </c>
      <c r="J86" s="311"/>
      <c r="K86" s="311">
        <v>393</v>
      </c>
      <c r="L86" s="94">
        <f t="shared" si="12"/>
        <v>36.49025069637883</v>
      </c>
      <c r="M86" s="311"/>
      <c r="N86" s="311">
        <v>209</v>
      </c>
      <c r="O86" s="94">
        <f t="shared" si="13"/>
        <v>19.405756731662024</v>
      </c>
      <c r="P86" s="311"/>
      <c r="Q86" s="311">
        <v>18</v>
      </c>
      <c r="R86" s="94">
        <f t="shared" si="14"/>
        <v>1.6713091922005572</v>
      </c>
    </row>
    <row r="87" spans="1:18" ht="13.15" customHeight="1">
      <c r="A87" t="s">
        <v>80</v>
      </c>
      <c r="B87" s="65">
        <f t="shared" si="16"/>
        <v>519</v>
      </c>
      <c r="C87" s="94">
        <f t="shared" si="15"/>
        <v>1.2848124767916822</v>
      </c>
      <c r="E87" s="310">
        <v>101</v>
      </c>
      <c r="F87" s="94">
        <f t="shared" si="10"/>
        <v>19.460500963391137</v>
      </c>
      <c r="G87" s="310"/>
      <c r="H87" s="311">
        <v>78</v>
      </c>
      <c r="I87" s="94">
        <f t="shared" si="11"/>
        <v>15.028901734104046</v>
      </c>
      <c r="J87" s="311"/>
      <c r="K87" s="311">
        <v>108</v>
      </c>
      <c r="L87" s="94">
        <f t="shared" si="12"/>
        <v>20.809248554913296</v>
      </c>
      <c r="M87" s="311"/>
      <c r="N87" s="311">
        <v>209</v>
      </c>
      <c r="O87" s="94">
        <f t="shared" si="13"/>
        <v>40.26974951830443</v>
      </c>
      <c r="P87" s="311"/>
      <c r="Q87" s="311">
        <v>23</v>
      </c>
      <c r="R87" s="94">
        <f t="shared" si="14"/>
        <v>4.4315992292870909</v>
      </c>
    </row>
    <row r="88" spans="1:18" ht="13.15" customHeight="1">
      <c r="A88" t="s">
        <v>79</v>
      </c>
      <c r="B88" s="65">
        <f t="shared" si="16"/>
        <v>531</v>
      </c>
      <c r="C88" s="94">
        <f t="shared" si="15"/>
        <v>1.3145191236539175</v>
      </c>
      <c r="E88" s="310">
        <v>61</v>
      </c>
      <c r="F88" s="94">
        <f t="shared" si="10"/>
        <v>11.487758945386064</v>
      </c>
      <c r="G88" s="310"/>
      <c r="H88" s="311">
        <v>146</v>
      </c>
      <c r="I88" s="94">
        <f t="shared" si="11"/>
        <v>27.49529190207156</v>
      </c>
      <c r="J88" s="311"/>
      <c r="K88" s="311">
        <v>178</v>
      </c>
      <c r="L88" s="94">
        <f t="shared" si="12"/>
        <v>33.52165725047081</v>
      </c>
      <c r="M88" s="311"/>
      <c r="N88" s="311">
        <v>137</v>
      </c>
      <c r="O88" s="94">
        <f t="shared" si="13"/>
        <v>25.800376647834273</v>
      </c>
      <c r="P88" s="311"/>
      <c r="Q88" s="311">
        <v>9</v>
      </c>
      <c r="R88" s="94">
        <f t="shared" si="14"/>
        <v>1.6949152542372881</v>
      </c>
    </row>
    <row r="89" spans="1:18" ht="13.15" customHeight="1">
      <c r="A89" t="s">
        <v>77</v>
      </c>
      <c r="B89" s="65">
        <f t="shared" si="16"/>
        <v>758</v>
      </c>
      <c r="C89" s="94">
        <f t="shared" si="15"/>
        <v>1.8764698601312044</v>
      </c>
      <c r="E89" s="310">
        <v>141</v>
      </c>
      <c r="F89" s="94">
        <f t="shared" si="10"/>
        <v>18.601583113456467</v>
      </c>
      <c r="G89" s="310"/>
      <c r="H89" s="311">
        <v>140</v>
      </c>
      <c r="I89" s="94">
        <f t="shared" si="11"/>
        <v>18.469656992084431</v>
      </c>
      <c r="J89" s="311"/>
      <c r="K89" s="311">
        <v>222</v>
      </c>
      <c r="L89" s="94">
        <f t="shared" si="12"/>
        <v>29.287598944591032</v>
      </c>
      <c r="M89" s="311"/>
      <c r="N89" s="311">
        <v>244</v>
      </c>
      <c r="O89" s="94">
        <f t="shared" si="13"/>
        <v>32.189973614775724</v>
      </c>
      <c r="P89" s="311"/>
      <c r="Q89" s="311">
        <v>11</v>
      </c>
      <c r="R89" s="94">
        <f t="shared" si="14"/>
        <v>1.4511873350923483</v>
      </c>
    </row>
    <row r="90" spans="1:18" ht="13.15" customHeight="1">
      <c r="A90" t="s">
        <v>81</v>
      </c>
      <c r="B90" s="65">
        <f t="shared" si="16"/>
        <v>728</v>
      </c>
      <c r="C90" s="94">
        <f t="shared" si="15"/>
        <v>1.8022032429756158</v>
      </c>
      <c r="E90" s="310">
        <v>129</v>
      </c>
      <c r="F90" s="94">
        <f t="shared" si="10"/>
        <v>17.719780219780219</v>
      </c>
      <c r="G90" s="310"/>
      <c r="H90" s="311">
        <v>184</v>
      </c>
      <c r="I90" s="94">
        <f t="shared" si="11"/>
        <v>25.274725274725274</v>
      </c>
      <c r="J90" s="311"/>
      <c r="K90" s="311">
        <v>236</v>
      </c>
      <c r="L90" s="94">
        <f t="shared" si="12"/>
        <v>32.417582417582416</v>
      </c>
      <c r="M90" s="311"/>
      <c r="N90" s="311">
        <v>172</v>
      </c>
      <c r="O90" s="94">
        <f t="shared" si="13"/>
        <v>23.626373626373624</v>
      </c>
      <c r="P90" s="311"/>
      <c r="Q90" s="311">
        <v>7</v>
      </c>
      <c r="R90" s="94">
        <f t="shared" si="14"/>
        <v>0.96153846153846156</v>
      </c>
    </row>
    <row r="91" spans="1:18" ht="13.15" customHeight="1">
      <c r="A91" t="s">
        <v>84</v>
      </c>
      <c r="B91" s="65">
        <f t="shared" si="16"/>
        <v>384</v>
      </c>
      <c r="C91" s="94">
        <f t="shared" si="15"/>
        <v>0.95061269959153361</v>
      </c>
      <c r="E91" s="310">
        <v>60</v>
      </c>
      <c r="F91" s="94">
        <f t="shared" si="10"/>
        <v>15.625</v>
      </c>
      <c r="G91" s="310"/>
      <c r="H91" s="311">
        <v>117</v>
      </c>
      <c r="I91" s="94">
        <f t="shared" si="11"/>
        <v>30.46875</v>
      </c>
      <c r="J91" s="311"/>
      <c r="K91" s="311">
        <v>126</v>
      </c>
      <c r="L91" s="94">
        <f t="shared" si="12"/>
        <v>32.8125</v>
      </c>
      <c r="M91" s="311"/>
      <c r="N91" s="311">
        <v>78</v>
      </c>
      <c r="O91" s="94">
        <f t="shared" si="13"/>
        <v>20.3125</v>
      </c>
      <c r="P91" s="311"/>
      <c r="Q91" s="311">
        <v>3</v>
      </c>
      <c r="R91" s="94">
        <f t="shared" si="14"/>
        <v>0.78125</v>
      </c>
    </row>
    <row r="92" spans="1:18" ht="13.15" customHeight="1">
      <c r="A92" t="s">
        <v>83</v>
      </c>
      <c r="B92" s="65">
        <f t="shared" si="16"/>
        <v>682</v>
      </c>
      <c r="C92" s="94">
        <f t="shared" si="15"/>
        <v>1.6883277633370466</v>
      </c>
      <c r="E92" s="310">
        <v>103</v>
      </c>
      <c r="F92" s="94">
        <f t="shared" si="10"/>
        <v>15.102639296187684</v>
      </c>
      <c r="G92" s="310"/>
      <c r="H92" s="311">
        <v>156</v>
      </c>
      <c r="I92" s="94">
        <f t="shared" si="11"/>
        <v>22.873900293255129</v>
      </c>
      <c r="J92" s="311"/>
      <c r="K92" s="311">
        <v>195</v>
      </c>
      <c r="L92" s="94">
        <f t="shared" si="12"/>
        <v>28.592375366568916</v>
      </c>
      <c r="M92" s="311"/>
      <c r="N92" s="311">
        <v>206</v>
      </c>
      <c r="O92" s="94">
        <f t="shared" si="13"/>
        <v>30.205278592375368</v>
      </c>
      <c r="P92" s="311"/>
      <c r="Q92" s="311">
        <v>22</v>
      </c>
      <c r="R92" s="94">
        <f t="shared" si="14"/>
        <v>3.225806451612903</v>
      </c>
    </row>
    <row r="93" spans="1:18" ht="6.75" customHeight="1">
      <c r="C93" s="94" t="str">
        <f t="shared" si="15"/>
        <v/>
      </c>
      <c r="E93" s="314"/>
      <c r="F93" s="94" t="str">
        <f t="shared" si="10"/>
        <v/>
      </c>
      <c r="G93" s="314"/>
      <c r="H93" s="314"/>
      <c r="I93" s="94" t="str">
        <f t="shared" si="11"/>
        <v/>
      </c>
      <c r="J93" s="314"/>
      <c r="K93" s="314"/>
      <c r="L93" s="94" t="str">
        <f t="shared" si="12"/>
        <v/>
      </c>
      <c r="M93" s="314"/>
      <c r="N93" s="314"/>
      <c r="O93" s="94" t="str">
        <f t="shared" si="13"/>
        <v/>
      </c>
      <c r="P93" s="314"/>
      <c r="Q93" s="314"/>
      <c r="R93" s="94" t="str">
        <f t="shared" si="14"/>
        <v/>
      </c>
    </row>
    <row r="94" spans="1:18" ht="13.15" customHeight="1">
      <c r="A94" t="s">
        <v>919</v>
      </c>
      <c r="B94" s="65">
        <f t="shared" ref="B94:B104" si="17">SUM(E94+H94+K94+N94+Q94)</f>
        <v>47</v>
      </c>
      <c r="C94" s="94">
        <f t="shared" si="15"/>
        <v>0.11635103354375542</v>
      </c>
      <c r="E94" s="310">
        <v>3</v>
      </c>
      <c r="F94" s="94">
        <f t="shared" si="10"/>
        <v>6.3829787234042552</v>
      </c>
      <c r="G94" s="310"/>
      <c r="H94" s="311">
        <v>26</v>
      </c>
      <c r="I94" s="94">
        <f t="shared" si="11"/>
        <v>55.319148936170215</v>
      </c>
      <c r="J94" s="311"/>
      <c r="K94" s="311">
        <v>18</v>
      </c>
      <c r="L94" s="94">
        <f t="shared" si="12"/>
        <v>38.297872340425535</v>
      </c>
      <c r="M94" s="311"/>
      <c r="N94" s="311">
        <v>0</v>
      </c>
      <c r="O94" s="94">
        <f t="shared" si="13"/>
        <v>0</v>
      </c>
      <c r="P94" s="311"/>
      <c r="Q94" s="311">
        <v>0</v>
      </c>
      <c r="R94" s="94">
        <f t="shared" si="14"/>
        <v>0</v>
      </c>
    </row>
    <row r="95" spans="1:18" ht="8.25" customHeight="1">
      <c r="C95" s="94" t="str">
        <f t="shared" si="15"/>
        <v/>
      </c>
      <c r="E95" s="313"/>
      <c r="F95" s="94" t="str">
        <f t="shared" si="10"/>
        <v/>
      </c>
      <c r="G95" s="313"/>
      <c r="H95" s="313"/>
      <c r="I95" s="94" t="str">
        <f t="shared" si="11"/>
        <v/>
      </c>
      <c r="J95" s="313"/>
      <c r="K95" s="313"/>
      <c r="L95" s="94" t="str">
        <f t="shared" si="12"/>
        <v/>
      </c>
      <c r="M95" s="313"/>
      <c r="N95" s="313"/>
      <c r="O95" s="94" t="str">
        <f t="shared" si="13"/>
        <v/>
      </c>
      <c r="P95" s="313"/>
      <c r="Q95" s="313"/>
      <c r="R95" s="94" t="str">
        <f t="shared" si="14"/>
        <v/>
      </c>
    </row>
    <row r="96" spans="1:18" ht="13.15" customHeight="1">
      <c r="A96" t="s">
        <v>443</v>
      </c>
      <c r="B96" s="65">
        <f t="shared" si="17"/>
        <v>291</v>
      </c>
      <c r="C96" s="94">
        <f t="shared" si="15"/>
        <v>0.72038618640920904</v>
      </c>
      <c r="E96" s="310">
        <v>17</v>
      </c>
      <c r="F96" s="94">
        <f t="shared" si="10"/>
        <v>5.8419243986254292</v>
      </c>
      <c r="G96" s="310"/>
      <c r="H96" s="311">
        <v>42</v>
      </c>
      <c r="I96" s="94">
        <f t="shared" si="11"/>
        <v>14.432989690721648</v>
      </c>
      <c r="J96" s="311"/>
      <c r="K96" s="311">
        <v>92</v>
      </c>
      <c r="L96" s="94">
        <f t="shared" si="12"/>
        <v>31.615120274914087</v>
      </c>
      <c r="M96" s="311"/>
      <c r="N96" s="311">
        <v>126</v>
      </c>
      <c r="O96" s="94">
        <f t="shared" si="13"/>
        <v>43.298969072164951</v>
      </c>
      <c r="P96" s="311"/>
      <c r="Q96" s="311">
        <v>14</v>
      </c>
      <c r="R96" s="94">
        <f t="shared" si="14"/>
        <v>4.8109965635738838</v>
      </c>
    </row>
    <row r="97" spans="1:19" ht="13.15" customHeight="1">
      <c r="A97" t="s">
        <v>920</v>
      </c>
      <c r="B97" s="65">
        <f t="shared" si="17"/>
        <v>684</v>
      </c>
      <c r="C97" s="94">
        <f t="shared" si="15"/>
        <v>1.6932788711474194</v>
      </c>
      <c r="E97" s="310">
        <v>96</v>
      </c>
      <c r="F97" s="94">
        <f t="shared" si="10"/>
        <v>14.035087719298245</v>
      </c>
      <c r="G97" s="310"/>
      <c r="H97" s="311">
        <v>165</v>
      </c>
      <c r="I97" s="94">
        <f t="shared" si="11"/>
        <v>24.12280701754386</v>
      </c>
      <c r="J97" s="311"/>
      <c r="K97" s="311">
        <v>226</v>
      </c>
      <c r="L97" s="94">
        <f t="shared" si="12"/>
        <v>33.040935672514621</v>
      </c>
      <c r="M97" s="311"/>
      <c r="N97" s="311">
        <v>192</v>
      </c>
      <c r="O97" s="94">
        <f t="shared" si="13"/>
        <v>28.07017543859649</v>
      </c>
      <c r="P97" s="311"/>
      <c r="Q97" s="311">
        <v>5</v>
      </c>
      <c r="R97" s="94">
        <f t="shared" si="14"/>
        <v>0.73099415204678353</v>
      </c>
    </row>
    <row r="98" spans="1:19" ht="5.25" customHeight="1">
      <c r="C98" s="94" t="str">
        <f t="shared" si="15"/>
        <v/>
      </c>
      <c r="F98" s="94" t="str">
        <f t="shared" si="10"/>
        <v/>
      </c>
      <c r="I98" s="94" t="str">
        <f t="shared" si="11"/>
        <v/>
      </c>
      <c r="L98" s="94" t="str">
        <f t="shared" si="12"/>
        <v/>
      </c>
      <c r="O98" s="94" t="str">
        <f t="shared" si="13"/>
        <v/>
      </c>
      <c r="R98" s="94" t="str">
        <f t="shared" si="14"/>
        <v/>
      </c>
    </row>
    <row r="99" spans="1:19" ht="13.15" customHeight="1">
      <c r="A99" s="63" t="s">
        <v>942</v>
      </c>
      <c r="B99" s="65">
        <f t="shared" si="17"/>
        <v>9473</v>
      </c>
      <c r="C99" s="94">
        <f t="shared" si="15"/>
        <v>23.450922143829679</v>
      </c>
      <c r="E99" s="93">
        <f>SUM(E100:E104)</f>
        <v>952</v>
      </c>
      <c r="F99" s="94">
        <f t="shared" si="10"/>
        <v>10.049614694394595</v>
      </c>
      <c r="H99" s="93">
        <f>SUM(H100:H104)</f>
        <v>1894</v>
      </c>
      <c r="I99" s="94">
        <f t="shared" si="11"/>
        <v>19.99366620922622</v>
      </c>
      <c r="K99" s="93">
        <f>SUM(K100:K104)</f>
        <v>2833</v>
      </c>
      <c r="L99" s="94">
        <f t="shared" si="12"/>
        <v>29.90604877018896</v>
      </c>
      <c r="N99" s="93">
        <f>SUM(N100:N104)</f>
        <v>3553</v>
      </c>
      <c r="O99" s="94">
        <f t="shared" si="13"/>
        <v>37.506597698722686</v>
      </c>
      <c r="Q99" s="93">
        <f>SUM(Q100:Q104)</f>
        <v>241</v>
      </c>
      <c r="R99" s="94">
        <f t="shared" si="14"/>
        <v>2.5440726274675396</v>
      </c>
    </row>
    <row r="100" spans="1:19" ht="13.15" customHeight="1">
      <c r="A100" t="s">
        <v>347</v>
      </c>
      <c r="B100" s="65">
        <f t="shared" si="17"/>
        <v>3120</v>
      </c>
      <c r="C100" s="94">
        <f t="shared" si="15"/>
        <v>7.7237281841812111</v>
      </c>
      <c r="E100" s="310">
        <v>410</v>
      </c>
      <c r="F100" s="94">
        <f t="shared" si="10"/>
        <v>13.141025641025642</v>
      </c>
      <c r="G100" s="310"/>
      <c r="H100" s="310">
        <v>556</v>
      </c>
      <c r="I100" s="94">
        <f t="shared" si="11"/>
        <v>17.820512820512821</v>
      </c>
      <c r="J100" s="310"/>
      <c r="K100" s="310">
        <v>862</v>
      </c>
      <c r="L100" s="94">
        <f t="shared" si="12"/>
        <v>27.628205128205131</v>
      </c>
      <c r="M100" s="310"/>
      <c r="N100" s="310">
        <v>1229</v>
      </c>
      <c r="O100" s="94">
        <f t="shared" si="13"/>
        <v>39.391025641025642</v>
      </c>
      <c r="P100" s="310"/>
      <c r="Q100" s="310">
        <v>63</v>
      </c>
      <c r="R100" s="94">
        <f t="shared" si="14"/>
        <v>2.0192307692307692</v>
      </c>
    </row>
    <row r="101" spans="1:19" ht="13.15" customHeight="1">
      <c r="A101" t="s">
        <v>348</v>
      </c>
      <c r="B101" s="65">
        <f t="shared" si="17"/>
        <v>1864</v>
      </c>
      <c r="C101" s="94">
        <f t="shared" si="15"/>
        <v>4.6144324792672355</v>
      </c>
      <c r="E101" s="310">
        <v>134</v>
      </c>
      <c r="F101" s="94">
        <f t="shared" si="10"/>
        <v>7.1888412017167376</v>
      </c>
      <c r="G101" s="310"/>
      <c r="H101" s="310">
        <v>398</v>
      </c>
      <c r="I101" s="94">
        <f t="shared" si="11"/>
        <v>21.351931330472105</v>
      </c>
      <c r="J101" s="310"/>
      <c r="K101" s="310">
        <v>620</v>
      </c>
      <c r="L101" s="94">
        <f t="shared" si="12"/>
        <v>33.261802575107296</v>
      </c>
      <c r="M101" s="310"/>
      <c r="N101" s="310">
        <v>673</v>
      </c>
      <c r="O101" s="94">
        <f t="shared" si="13"/>
        <v>36.105150214592271</v>
      </c>
      <c r="P101" s="310"/>
      <c r="Q101" s="310">
        <v>39</v>
      </c>
      <c r="R101" s="94">
        <f t="shared" si="14"/>
        <v>2.092274678111588</v>
      </c>
    </row>
    <row r="102" spans="1:19" ht="13.15" customHeight="1">
      <c r="A102" t="s">
        <v>349</v>
      </c>
      <c r="B102" s="65">
        <f t="shared" si="17"/>
        <v>1974</v>
      </c>
      <c r="C102" s="94">
        <f t="shared" si="15"/>
        <v>4.8867434088377273</v>
      </c>
      <c r="E102" s="310">
        <v>155</v>
      </c>
      <c r="F102" s="94">
        <f t="shared" si="10"/>
        <v>7.8520770010131722</v>
      </c>
      <c r="G102" s="310"/>
      <c r="H102" s="310">
        <v>443</v>
      </c>
      <c r="I102" s="94">
        <f t="shared" si="11"/>
        <v>22.441742654508612</v>
      </c>
      <c r="J102" s="310"/>
      <c r="K102" s="310">
        <v>649</v>
      </c>
      <c r="L102" s="94">
        <f t="shared" si="12"/>
        <v>32.877406281661607</v>
      </c>
      <c r="M102" s="310"/>
      <c r="N102" s="310">
        <v>658</v>
      </c>
      <c r="O102" s="94">
        <f t="shared" si="13"/>
        <v>33.333333333333329</v>
      </c>
      <c r="P102" s="310"/>
      <c r="Q102" s="310">
        <v>69</v>
      </c>
      <c r="R102" s="94">
        <f t="shared" si="14"/>
        <v>3.4954407294832825</v>
      </c>
    </row>
    <row r="103" spans="1:19" ht="13.15" customHeight="1">
      <c r="A103" s="42" t="s">
        <v>943</v>
      </c>
      <c r="B103" s="65">
        <f t="shared" si="17"/>
        <v>1356</v>
      </c>
      <c r="C103" s="94">
        <f t="shared" si="15"/>
        <v>3.356851095432603</v>
      </c>
      <c r="E103" s="310">
        <v>158</v>
      </c>
      <c r="F103" s="94">
        <f t="shared" si="10"/>
        <v>11.651917404129794</v>
      </c>
      <c r="G103" s="310"/>
      <c r="H103" s="310">
        <v>270</v>
      </c>
      <c r="I103" s="94">
        <f t="shared" si="11"/>
        <v>19.911504424778762</v>
      </c>
      <c r="J103" s="310"/>
      <c r="K103" s="310">
        <v>395</v>
      </c>
      <c r="L103" s="94">
        <f t="shared" si="12"/>
        <v>29.129793510324486</v>
      </c>
      <c r="M103" s="310"/>
      <c r="N103" s="310">
        <v>501</v>
      </c>
      <c r="O103" s="94">
        <f t="shared" si="13"/>
        <v>36.946902654867259</v>
      </c>
      <c r="P103" s="310"/>
      <c r="Q103" s="310">
        <v>32</v>
      </c>
      <c r="R103" s="94">
        <f t="shared" si="14"/>
        <v>2.359882005899705</v>
      </c>
    </row>
    <row r="104" spans="1:19" ht="13.15" customHeight="1">
      <c r="A104" t="s">
        <v>808</v>
      </c>
      <c r="B104" s="65">
        <f t="shared" si="17"/>
        <v>1159</v>
      </c>
      <c r="C104" s="94">
        <f t="shared" si="15"/>
        <v>2.8691669761109049</v>
      </c>
      <c r="E104" s="310">
        <v>95</v>
      </c>
      <c r="F104" s="94">
        <f t="shared" si="10"/>
        <v>8.1967213114754092</v>
      </c>
      <c r="G104" s="310"/>
      <c r="H104" s="311">
        <v>227</v>
      </c>
      <c r="I104" s="94">
        <f t="shared" si="11"/>
        <v>19.585849870578084</v>
      </c>
      <c r="J104" s="311"/>
      <c r="K104" s="311">
        <v>307</v>
      </c>
      <c r="L104" s="94">
        <f t="shared" si="12"/>
        <v>26.488352027610006</v>
      </c>
      <c r="M104" s="311"/>
      <c r="N104" s="311">
        <v>492</v>
      </c>
      <c r="O104" s="94">
        <f t="shared" si="13"/>
        <v>42.450388265746334</v>
      </c>
      <c r="P104" s="311"/>
      <c r="Q104" s="311">
        <v>38</v>
      </c>
      <c r="R104" s="94">
        <f t="shared" si="14"/>
        <v>3.278688524590164</v>
      </c>
    </row>
    <row r="105" spans="1:19" ht="6" customHeight="1">
      <c r="C105" s="94" t="str">
        <f t="shared" si="15"/>
        <v/>
      </c>
      <c r="E105" s="313"/>
      <c r="F105" s="94" t="str">
        <f t="shared" si="10"/>
        <v/>
      </c>
      <c r="G105" s="313"/>
      <c r="H105" s="313"/>
      <c r="I105" s="94" t="str">
        <f t="shared" si="11"/>
        <v/>
      </c>
      <c r="J105" s="313"/>
      <c r="K105" s="313"/>
      <c r="L105" s="94" t="str">
        <f t="shared" si="12"/>
        <v/>
      </c>
      <c r="M105" s="313"/>
      <c r="N105" s="313"/>
      <c r="O105" s="94" t="str">
        <f t="shared" si="13"/>
        <v/>
      </c>
      <c r="P105" s="313"/>
      <c r="Q105" s="313"/>
      <c r="R105" s="94" t="str">
        <f t="shared" si="14"/>
        <v/>
      </c>
    </row>
    <row r="106" spans="1:19" ht="13.15" customHeight="1">
      <c r="A106" t="s">
        <v>944</v>
      </c>
      <c r="B106" s="65">
        <f>SUM(E106+H106+K106+N106+Q106)</f>
        <v>82</v>
      </c>
      <c r="C106" s="94">
        <f t="shared" si="15"/>
        <v>0.20299542022527542</v>
      </c>
      <c r="E106" s="310">
        <v>4</v>
      </c>
      <c r="F106" s="94">
        <f t="shared" si="10"/>
        <v>4.8780487804878048</v>
      </c>
      <c r="G106" s="310"/>
      <c r="H106" s="311">
        <v>52</v>
      </c>
      <c r="I106" s="94">
        <f t="shared" si="11"/>
        <v>63.414634146341463</v>
      </c>
      <c r="J106" s="311"/>
      <c r="K106" s="311">
        <v>26</v>
      </c>
      <c r="L106" s="94">
        <f t="shared" si="12"/>
        <v>31.707317073170731</v>
      </c>
      <c r="M106" s="311"/>
      <c r="N106" s="311">
        <v>0</v>
      </c>
      <c r="O106" s="94">
        <f t="shared" si="13"/>
        <v>0</v>
      </c>
      <c r="P106" s="311"/>
      <c r="Q106" s="311">
        <v>0</v>
      </c>
      <c r="R106" s="94">
        <f t="shared" si="14"/>
        <v>0</v>
      </c>
    </row>
    <row r="107" spans="1:19" ht="9" customHeight="1" thickBot="1">
      <c r="A107" s="15"/>
      <c r="B107" s="247"/>
      <c r="C107" s="247"/>
      <c r="D107" s="247"/>
      <c r="E107" s="247"/>
      <c r="F107" s="247"/>
      <c r="G107" s="247"/>
      <c r="H107" s="247"/>
      <c r="I107" s="247"/>
      <c r="J107" s="247"/>
      <c r="K107" s="247"/>
      <c r="L107" s="247"/>
      <c r="M107" s="247"/>
      <c r="N107" s="247"/>
      <c r="O107" s="247"/>
      <c r="P107" s="247"/>
      <c r="Q107" s="247"/>
      <c r="R107" s="247"/>
      <c r="S107" s="247"/>
    </row>
    <row r="108" spans="1:19" ht="9" customHeight="1"/>
    <row r="109" spans="1:19" ht="11.25" customHeight="1">
      <c r="A109" s="36" t="s">
        <v>2286</v>
      </c>
    </row>
    <row r="110" spans="1:19" ht="4.5" customHeight="1"/>
    <row r="111" spans="1:19" ht="14.25" customHeight="1">
      <c r="A111" s="256" t="s">
        <v>945</v>
      </c>
    </row>
    <row r="112" spans="1:19" ht="12.75" customHeight="1">
      <c r="A112" s="256" t="s">
        <v>946</v>
      </c>
    </row>
    <row r="113" spans="1:18" ht="9" customHeight="1"/>
    <row r="114" spans="1:18" s="847" customFormat="1">
      <c r="A114" s="855" t="s">
        <v>947</v>
      </c>
      <c r="B114" s="856"/>
      <c r="C114" s="856"/>
      <c r="D114" s="857"/>
      <c r="E114" s="858"/>
      <c r="F114" s="858"/>
      <c r="G114" s="859"/>
      <c r="H114" s="858"/>
      <c r="I114" s="858"/>
      <c r="J114" s="859"/>
      <c r="K114" s="858"/>
      <c r="L114" s="858"/>
      <c r="M114" s="859"/>
      <c r="N114" s="858"/>
      <c r="O114" s="858"/>
      <c r="P114" s="859"/>
      <c r="Q114" s="858"/>
      <c r="R114" s="858"/>
    </row>
    <row r="115" spans="1:18" s="569" customFormat="1">
      <c r="A115" s="569" t="s">
        <v>365</v>
      </c>
      <c r="B115" s="860"/>
      <c r="C115" s="860"/>
      <c r="D115" s="861"/>
      <c r="E115" s="862"/>
      <c r="F115" s="862"/>
      <c r="G115" s="863"/>
      <c r="H115" s="862"/>
      <c r="I115" s="862"/>
      <c r="J115" s="863"/>
      <c r="K115" s="862"/>
      <c r="L115" s="862"/>
      <c r="M115" s="863"/>
      <c r="N115" s="862"/>
      <c r="O115" s="862"/>
      <c r="P115" s="863"/>
      <c r="Q115" s="862"/>
      <c r="R115" s="862"/>
    </row>
    <row r="116" spans="1:18" s="279" customFormat="1">
      <c r="B116" s="280"/>
      <c r="C116" s="280"/>
      <c r="D116" s="315"/>
      <c r="E116" s="283"/>
      <c r="F116" s="283"/>
      <c r="G116" s="316"/>
      <c r="H116" s="283"/>
      <c r="I116" s="283"/>
      <c r="J116" s="316"/>
      <c r="K116" s="283"/>
      <c r="L116" s="283"/>
      <c r="M116" s="316"/>
      <c r="N116" s="283"/>
      <c r="O116" s="283"/>
      <c r="P116" s="316"/>
      <c r="Q116" s="283"/>
      <c r="R116" s="283"/>
    </row>
    <row r="117" spans="1:18" s="279" customFormat="1">
      <c r="B117" s="280"/>
      <c r="C117" s="280"/>
      <c r="D117" s="315"/>
      <c r="E117" s="283"/>
      <c r="F117" s="283"/>
      <c r="G117" s="316"/>
      <c r="H117" s="283"/>
      <c r="I117" s="283"/>
      <c r="J117" s="316"/>
      <c r="K117" s="283"/>
      <c r="L117" s="283"/>
      <c r="M117" s="316"/>
      <c r="N117" s="283"/>
      <c r="O117" s="283"/>
      <c r="P117" s="316"/>
      <c r="Q117" s="283"/>
      <c r="R117" s="283"/>
    </row>
  </sheetData>
  <mergeCells count="1">
    <mergeCell ref="Q8:R8"/>
  </mergeCells>
  <printOptions horizontalCentered="1" verticalCentered="1"/>
  <pageMargins left="0" right="0" top="0" bottom="0" header="0.31496062992125984" footer="0.31496062992125984"/>
  <pageSetup paperSize="9" scale="60" orientation="portrait" r:id="rId1"/>
  <drawing r:id="rId2"/>
</worksheet>
</file>

<file path=xl/worksheets/sheet47.xml><?xml version="1.0" encoding="utf-8"?>
<worksheet xmlns="http://schemas.openxmlformats.org/spreadsheetml/2006/main" xmlns:r="http://schemas.openxmlformats.org/officeDocument/2006/relationships">
  <dimension ref="A1:U138"/>
  <sheetViews>
    <sheetView topLeftCell="A73" workbookViewId="0">
      <selection activeCell="A103" sqref="A103"/>
    </sheetView>
  </sheetViews>
  <sheetFormatPr baseColWidth="10" defaultColWidth="8.85546875" defaultRowHeight="15"/>
  <cols>
    <col min="1" max="1" width="33.85546875" style="854" customWidth="1"/>
    <col min="2" max="2" width="7.28515625" style="911" customWidth="1"/>
    <col min="3" max="3" width="2.5703125" style="912" customWidth="1"/>
    <col min="4" max="4" width="7.28515625" style="913" customWidth="1"/>
    <col min="5" max="5" width="2.7109375" style="914" customWidth="1"/>
    <col min="6" max="6" width="8.42578125" style="922" customWidth="1"/>
    <col min="7" max="7" width="8.28515625" style="923" customWidth="1"/>
    <col min="8" max="8" width="2.7109375" style="914" customWidth="1"/>
    <col min="9" max="9" width="8.28515625" style="922" customWidth="1"/>
    <col min="10" max="10" width="8.28515625" style="923" customWidth="1"/>
    <col min="11" max="11" width="2.7109375" style="914" customWidth="1"/>
    <col min="12" max="12" width="8.28515625" style="922" customWidth="1"/>
    <col min="13" max="13" width="8.28515625" style="923" customWidth="1"/>
    <col min="14" max="14" width="2.7109375" style="914" customWidth="1"/>
    <col min="15" max="15" width="8.28515625" style="922" customWidth="1"/>
    <col min="16" max="16" width="8.28515625" style="923" customWidth="1"/>
    <col min="17" max="17" width="2.7109375" style="914" customWidth="1"/>
    <col min="18" max="18" width="5.85546875" style="922" customWidth="1"/>
    <col min="19" max="19" width="5.85546875" style="923" customWidth="1"/>
    <col min="20" max="20" width="2.7109375" style="914" customWidth="1"/>
    <col min="21" max="21" width="4.140625" style="914" customWidth="1"/>
    <col min="22" max="256" width="8.85546875" style="854"/>
    <col min="257" max="257" width="33.85546875" style="854" customWidth="1"/>
    <col min="258" max="258" width="8.5703125" style="854" customWidth="1"/>
    <col min="259" max="259" width="2.5703125" style="854" customWidth="1"/>
    <col min="260" max="260" width="8.28515625" style="854" customWidth="1"/>
    <col min="261" max="261" width="2.7109375" style="854" customWidth="1"/>
    <col min="262" max="262" width="8.42578125" style="854" customWidth="1"/>
    <col min="263" max="263" width="8.28515625" style="854" customWidth="1"/>
    <col min="264" max="264" width="2.7109375" style="854" customWidth="1"/>
    <col min="265" max="266" width="8.28515625" style="854" customWidth="1"/>
    <col min="267" max="267" width="2.7109375" style="854" customWidth="1"/>
    <col min="268" max="269" width="8.28515625" style="854" customWidth="1"/>
    <col min="270" max="270" width="2.7109375" style="854" customWidth="1"/>
    <col min="271" max="272" width="8.28515625" style="854" customWidth="1"/>
    <col min="273" max="273" width="2.7109375" style="854" customWidth="1"/>
    <col min="274" max="275" width="8.28515625" style="854" customWidth="1"/>
    <col min="276" max="276" width="2.7109375" style="854" customWidth="1"/>
    <col min="277" max="277" width="4.140625" style="854" customWidth="1"/>
    <col min="278" max="512" width="8.85546875" style="854"/>
    <col min="513" max="513" width="33.85546875" style="854" customWidth="1"/>
    <col min="514" max="514" width="8.5703125" style="854" customWidth="1"/>
    <col min="515" max="515" width="2.5703125" style="854" customWidth="1"/>
    <col min="516" max="516" width="8.28515625" style="854" customWidth="1"/>
    <col min="517" max="517" width="2.7109375" style="854" customWidth="1"/>
    <col min="518" max="518" width="8.42578125" style="854" customWidth="1"/>
    <col min="519" max="519" width="8.28515625" style="854" customWidth="1"/>
    <col min="520" max="520" width="2.7109375" style="854" customWidth="1"/>
    <col min="521" max="522" width="8.28515625" style="854" customWidth="1"/>
    <col min="523" max="523" width="2.7109375" style="854" customWidth="1"/>
    <col min="524" max="525" width="8.28515625" style="854" customWidth="1"/>
    <col min="526" max="526" width="2.7109375" style="854" customWidth="1"/>
    <col min="527" max="528" width="8.28515625" style="854" customWidth="1"/>
    <col min="529" max="529" width="2.7109375" style="854" customWidth="1"/>
    <col min="530" max="531" width="8.28515625" style="854" customWidth="1"/>
    <col min="532" max="532" width="2.7109375" style="854" customWidth="1"/>
    <col min="533" max="533" width="4.140625" style="854" customWidth="1"/>
    <col min="534" max="768" width="8.85546875" style="854"/>
    <col min="769" max="769" width="33.85546875" style="854" customWidth="1"/>
    <col min="770" max="770" width="8.5703125" style="854" customWidth="1"/>
    <col min="771" max="771" width="2.5703125" style="854" customWidth="1"/>
    <col min="772" max="772" width="8.28515625" style="854" customWidth="1"/>
    <col min="773" max="773" width="2.7109375" style="854" customWidth="1"/>
    <col min="774" max="774" width="8.42578125" style="854" customWidth="1"/>
    <col min="775" max="775" width="8.28515625" style="854" customWidth="1"/>
    <col min="776" max="776" width="2.7109375" style="854" customWidth="1"/>
    <col min="777" max="778" width="8.28515625" style="854" customWidth="1"/>
    <col min="779" max="779" width="2.7109375" style="854" customWidth="1"/>
    <col min="780" max="781" width="8.28515625" style="854" customWidth="1"/>
    <col min="782" max="782" width="2.7109375" style="854" customWidth="1"/>
    <col min="783" max="784" width="8.28515625" style="854" customWidth="1"/>
    <col min="785" max="785" width="2.7109375" style="854" customWidth="1"/>
    <col min="786" max="787" width="8.28515625" style="854" customWidth="1"/>
    <col min="788" max="788" width="2.7109375" style="854" customWidth="1"/>
    <col min="789" max="789" width="4.140625" style="854" customWidth="1"/>
    <col min="790" max="1024" width="8.85546875" style="854"/>
    <col min="1025" max="1025" width="33.85546875" style="854" customWidth="1"/>
    <col min="1026" max="1026" width="8.5703125" style="854" customWidth="1"/>
    <col min="1027" max="1027" width="2.5703125" style="854" customWidth="1"/>
    <col min="1028" max="1028" width="8.28515625" style="854" customWidth="1"/>
    <col min="1029" max="1029" width="2.7109375" style="854" customWidth="1"/>
    <col min="1030" max="1030" width="8.42578125" style="854" customWidth="1"/>
    <col min="1031" max="1031" width="8.28515625" style="854" customWidth="1"/>
    <col min="1032" max="1032" width="2.7109375" style="854" customWidth="1"/>
    <col min="1033" max="1034" width="8.28515625" style="854" customWidth="1"/>
    <col min="1035" max="1035" width="2.7109375" style="854" customWidth="1"/>
    <col min="1036" max="1037" width="8.28515625" style="854" customWidth="1"/>
    <col min="1038" max="1038" width="2.7109375" style="854" customWidth="1"/>
    <col min="1039" max="1040" width="8.28515625" style="854" customWidth="1"/>
    <col min="1041" max="1041" width="2.7109375" style="854" customWidth="1"/>
    <col min="1042" max="1043" width="8.28515625" style="854" customWidth="1"/>
    <col min="1044" max="1044" width="2.7109375" style="854" customWidth="1"/>
    <col min="1045" max="1045" width="4.140625" style="854" customWidth="1"/>
    <col min="1046" max="1280" width="8.85546875" style="854"/>
    <col min="1281" max="1281" width="33.85546875" style="854" customWidth="1"/>
    <col min="1282" max="1282" width="8.5703125" style="854" customWidth="1"/>
    <col min="1283" max="1283" width="2.5703125" style="854" customWidth="1"/>
    <col min="1284" max="1284" width="8.28515625" style="854" customWidth="1"/>
    <col min="1285" max="1285" width="2.7109375" style="854" customWidth="1"/>
    <col min="1286" max="1286" width="8.42578125" style="854" customWidth="1"/>
    <col min="1287" max="1287" width="8.28515625" style="854" customWidth="1"/>
    <col min="1288" max="1288" width="2.7109375" style="854" customWidth="1"/>
    <col min="1289" max="1290" width="8.28515625" style="854" customWidth="1"/>
    <col min="1291" max="1291" width="2.7109375" style="854" customWidth="1"/>
    <col min="1292" max="1293" width="8.28515625" style="854" customWidth="1"/>
    <col min="1294" max="1294" width="2.7109375" style="854" customWidth="1"/>
    <col min="1295" max="1296" width="8.28515625" style="854" customWidth="1"/>
    <col min="1297" max="1297" width="2.7109375" style="854" customWidth="1"/>
    <col min="1298" max="1299" width="8.28515625" style="854" customWidth="1"/>
    <col min="1300" max="1300" width="2.7109375" style="854" customWidth="1"/>
    <col min="1301" max="1301" width="4.140625" style="854" customWidth="1"/>
    <col min="1302" max="1536" width="8.85546875" style="854"/>
    <col min="1537" max="1537" width="33.85546875" style="854" customWidth="1"/>
    <col min="1538" max="1538" width="8.5703125" style="854" customWidth="1"/>
    <col min="1539" max="1539" width="2.5703125" style="854" customWidth="1"/>
    <col min="1540" max="1540" width="8.28515625" style="854" customWidth="1"/>
    <col min="1541" max="1541" width="2.7109375" style="854" customWidth="1"/>
    <col min="1542" max="1542" width="8.42578125" style="854" customWidth="1"/>
    <col min="1543" max="1543" width="8.28515625" style="854" customWidth="1"/>
    <col min="1544" max="1544" width="2.7109375" style="854" customWidth="1"/>
    <col min="1545" max="1546" width="8.28515625" style="854" customWidth="1"/>
    <col min="1547" max="1547" width="2.7109375" style="854" customWidth="1"/>
    <col min="1548" max="1549" width="8.28515625" style="854" customWidth="1"/>
    <col min="1550" max="1550" width="2.7109375" style="854" customWidth="1"/>
    <col min="1551" max="1552" width="8.28515625" style="854" customWidth="1"/>
    <col min="1553" max="1553" width="2.7109375" style="854" customWidth="1"/>
    <col min="1554" max="1555" width="8.28515625" style="854" customWidth="1"/>
    <col min="1556" max="1556" width="2.7109375" style="854" customWidth="1"/>
    <col min="1557" max="1557" width="4.140625" style="854" customWidth="1"/>
    <col min="1558" max="1792" width="8.85546875" style="854"/>
    <col min="1793" max="1793" width="33.85546875" style="854" customWidth="1"/>
    <col min="1794" max="1794" width="8.5703125" style="854" customWidth="1"/>
    <col min="1795" max="1795" width="2.5703125" style="854" customWidth="1"/>
    <col min="1796" max="1796" width="8.28515625" style="854" customWidth="1"/>
    <col min="1797" max="1797" width="2.7109375" style="854" customWidth="1"/>
    <col min="1798" max="1798" width="8.42578125" style="854" customWidth="1"/>
    <col min="1799" max="1799" width="8.28515625" style="854" customWidth="1"/>
    <col min="1800" max="1800" width="2.7109375" style="854" customWidth="1"/>
    <col min="1801" max="1802" width="8.28515625" style="854" customWidth="1"/>
    <col min="1803" max="1803" width="2.7109375" style="854" customWidth="1"/>
    <col min="1804" max="1805" width="8.28515625" style="854" customWidth="1"/>
    <col min="1806" max="1806" width="2.7109375" style="854" customWidth="1"/>
    <col min="1807" max="1808" width="8.28515625" style="854" customWidth="1"/>
    <col min="1809" max="1809" width="2.7109375" style="854" customWidth="1"/>
    <col min="1810" max="1811" width="8.28515625" style="854" customWidth="1"/>
    <col min="1812" max="1812" width="2.7109375" style="854" customWidth="1"/>
    <col min="1813" max="1813" width="4.140625" style="854" customWidth="1"/>
    <col min="1814" max="2048" width="8.85546875" style="854"/>
    <col min="2049" max="2049" width="33.85546875" style="854" customWidth="1"/>
    <col min="2050" max="2050" width="8.5703125" style="854" customWidth="1"/>
    <col min="2051" max="2051" width="2.5703125" style="854" customWidth="1"/>
    <col min="2052" max="2052" width="8.28515625" style="854" customWidth="1"/>
    <col min="2053" max="2053" width="2.7109375" style="854" customWidth="1"/>
    <col min="2054" max="2054" width="8.42578125" style="854" customWidth="1"/>
    <col min="2055" max="2055" width="8.28515625" style="854" customWidth="1"/>
    <col min="2056" max="2056" width="2.7109375" style="854" customWidth="1"/>
    <col min="2057" max="2058" width="8.28515625" style="854" customWidth="1"/>
    <col min="2059" max="2059" width="2.7109375" style="854" customWidth="1"/>
    <col min="2060" max="2061" width="8.28515625" style="854" customWidth="1"/>
    <col min="2062" max="2062" width="2.7109375" style="854" customWidth="1"/>
    <col min="2063" max="2064" width="8.28515625" style="854" customWidth="1"/>
    <col min="2065" max="2065" width="2.7109375" style="854" customWidth="1"/>
    <col min="2066" max="2067" width="8.28515625" style="854" customWidth="1"/>
    <col min="2068" max="2068" width="2.7109375" style="854" customWidth="1"/>
    <col min="2069" max="2069" width="4.140625" style="854" customWidth="1"/>
    <col min="2070" max="2304" width="8.85546875" style="854"/>
    <col min="2305" max="2305" width="33.85546875" style="854" customWidth="1"/>
    <col min="2306" max="2306" width="8.5703125" style="854" customWidth="1"/>
    <col min="2307" max="2307" width="2.5703125" style="854" customWidth="1"/>
    <col min="2308" max="2308" width="8.28515625" style="854" customWidth="1"/>
    <col min="2309" max="2309" width="2.7109375" style="854" customWidth="1"/>
    <col min="2310" max="2310" width="8.42578125" style="854" customWidth="1"/>
    <col min="2311" max="2311" width="8.28515625" style="854" customWidth="1"/>
    <col min="2312" max="2312" width="2.7109375" style="854" customWidth="1"/>
    <col min="2313" max="2314" width="8.28515625" style="854" customWidth="1"/>
    <col min="2315" max="2315" width="2.7109375" style="854" customWidth="1"/>
    <col min="2316" max="2317" width="8.28515625" style="854" customWidth="1"/>
    <col min="2318" max="2318" width="2.7109375" style="854" customWidth="1"/>
    <col min="2319" max="2320" width="8.28515625" style="854" customWidth="1"/>
    <col min="2321" max="2321" width="2.7109375" style="854" customWidth="1"/>
    <col min="2322" max="2323" width="8.28515625" style="854" customWidth="1"/>
    <col min="2324" max="2324" width="2.7109375" style="854" customWidth="1"/>
    <col min="2325" max="2325" width="4.140625" style="854" customWidth="1"/>
    <col min="2326" max="2560" width="8.85546875" style="854"/>
    <col min="2561" max="2561" width="33.85546875" style="854" customWidth="1"/>
    <col min="2562" max="2562" width="8.5703125" style="854" customWidth="1"/>
    <col min="2563" max="2563" width="2.5703125" style="854" customWidth="1"/>
    <col min="2564" max="2564" width="8.28515625" style="854" customWidth="1"/>
    <col min="2565" max="2565" width="2.7109375" style="854" customWidth="1"/>
    <col min="2566" max="2566" width="8.42578125" style="854" customWidth="1"/>
    <col min="2567" max="2567" width="8.28515625" style="854" customWidth="1"/>
    <col min="2568" max="2568" width="2.7109375" style="854" customWidth="1"/>
    <col min="2569" max="2570" width="8.28515625" style="854" customWidth="1"/>
    <col min="2571" max="2571" width="2.7109375" style="854" customWidth="1"/>
    <col min="2572" max="2573" width="8.28515625" style="854" customWidth="1"/>
    <col min="2574" max="2574" width="2.7109375" style="854" customWidth="1"/>
    <col min="2575" max="2576" width="8.28515625" style="854" customWidth="1"/>
    <col min="2577" max="2577" width="2.7109375" style="854" customWidth="1"/>
    <col min="2578" max="2579" width="8.28515625" style="854" customWidth="1"/>
    <col min="2580" max="2580" width="2.7109375" style="854" customWidth="1"/>
    <col min="2581" max="2581" width="4.140625" style="854" customWidth="1"/>
    <col min="2582" max="2816" width="8.85546875" style="854"/>
    <col min="2817" max="2817" width="33.85546875" style="854" customWidth="1"/>
    <col min="2818" max="2818" width="8.5703125" style="854" customWidth="1"/>
    <col min="2819" max="2819" width="2.5703125" style="854" customWidth="1"/>
    <col min="2820" max="2820" width="8.28515625" style="854" customWidth="1"/>
    <col min="2821" max="2821" width="2.7109375" style="854" customWidth="1"/>
    <col min="2822" max="2822" width="8.42578125" style="854" customWidth="1"/>
    <col min="2823" max="2823" width="8.28515625" style="854" customWidth="1"/>
    <col min="2824" max="2824" width="2.7109375" style="854" customWidth="1"/>
    <col min="2825" max="2826" width="8.28515625" style="854" customWidth="1"/>
    <col min="2827" max="2827" width="2.7109375" style="854" customWidth="1"/>
    <col min="2828" max="2829" width="8.28515625" style="854" customWidth="1"/>
    <col min="2830" max="2830" width="2.7109375" style="854" customWidth="1"/>
    <col min="2831" max="2832" width="8.28515625" style="854" customWidth="1"/>
    <col min="2833" max="2833" width="2.7109375" style="854" customWidth="1"/>
    <col min="2834" max="2835" width="8.28515625" style="854" customWidth="1"/>
    <col min="2836" max="2836" width="2.7109375" style="854" customWidth="1"/>
    <col min="2837" max="2837" width="4.140625" style="854" customWidth="1"/>
    <col min="2838" max="3072" width="8.85546875" style="854"/>
    <col min="3073" max="3073" width="33.85546875" style="854" customWidth="1"/>
    <col min="3074" max="3074" width="8.5703125" style="854" customWidth="1"/>
    <col min="3075" max="3075" width="2.5703125" style="854" customWidth="1"/>
    <col min="3076" max="3076" width="8.28515625" style="854" customWidth="1"/>
    <col min="3077" max="3077" width="2.7109375" style="854" customWidth="1"/>
    <col min="3078" max="3078" width="8.42578125" style="854" customWidth="1"/>
    <col min="3079" max="3079" width="8.28515625" style="854" customWidth="1"/>
    <col min="3080" max="3080" width="2.7109375" style="854" customWidth="1"/>
    <col min="3081" max="3082" width="8.28515625" style="854" customWidth="1"/>
    <col min="3083" max="3083" width="2.7109375" style="854" customWidth="1"/>
    <col min="3084" max="3085" width="8.28515625" style="854" customWidth="1"/>
    <col min="3086" max="3086" width="2.7109375" style="854" customWidth="1"/>
    <col min="3087" max="3088" width="8.28515625" style="854" customWidth="1"/>
    <col min="3089" max="3089" width="2.7109375" style="854" customWidth="1"/>
    <col min="3090" max="3091" width="8.28515625" style="854" customWidth="1"/>
    <col min="3092" max="3092" width="2.7109375" style="854" customWidth="1"/>
    <col min="3093" max="3093" width="4.140625" style="854" customWidth="1"/>
    <col min="3094" max="3328" width="8.85546875" style="854"/>
    <col min="3329" max="3329" width="33.85546875" style="854" customWidth="1"/>
    <col min="3330" max="3330" width="8.5703125" style="854" customWidth="1"/>
    <col min="3331" max="3331" width="2.5703125" style="854" customWidth="1"/>
    <col min="3332" max="3332" width="8.28515625" style="854" customWidth="1"/>
    <col min="3333" max="3333" width="2.7109375" style="854" customWidth="1"/>
    <col min="3334" max="3334" width="8.42578125" style="854" customWidth="1"/>
    <col min="3335" max="3335" width="8.28515625" style="854" customWidth="1"/>
    <col min="3336" max="3336" width="2.7109375" style="854" customWidth="1"/>
    <col min="3337" max="3338" width="8.28515625" style="854" customWidth="1"/>
    <col min="3339" max="3339" width="2.7109375" style="854" customWidth="1"/>
    <col min="3340" max="3341" width="8.28515625" style="854" customWidth="1"/>
    <col min="3342" max="3342" width="2.7109375" style="854" customWidth="1"/>
    <col min="3343" max="3344" width="8.28515625" style="854" customWidth="1"/>
    <col min="3345" max="3345" width="2.7109375" style="854" customWidth="1"/>
    <col min="3346" max="3347" width="8.28515625" style="854" customWidth="1"/>
    <col min="3348" max="3348" width="2.7109375" style="854" customWidth="1"/>
    <col min="3349" max="3349" width="4.140625" style="854" customWidth="1"/>
    <col min="3350" max="3584" width="8.85546875" style="854"/>
    <col min="3585" max="3585" width="33.85546875" style="854" customWidth="1"/>
    <col min="3586" max="3586" width="8.5703125" style="854" customWidth="1"/>
    <col min="3587" max="3587" width="2.5703125" style="854" customWidth="1"/>
    <col min="3588" max="3588" width="8.28515625" style="854" customWidth="1"/>
    <col min="3589" max="3589" width="2.7109375" style="854" customWidth="1"/>
    <col min="3590" max="3590" width="8.42578125" style="854" customWidth="1"/>
    <col min="3591" max="3591" width="8.28515625" style="854" customWidth="1"/>
    <col min="3592" max="3592" width="2.7109375" style="854" customWidth="1"/>
    <col min="3593" max="3594" width="8.28515625" style="854" customWidth="1"/>
    <col min="3595" max="3595" width="2.7109375" style="854" customWidth="1"/>
    <col min="3596" max="3597" width="8.28515625" style="854" customWidth="1"/>
    <col min="3598" max="3598" width="2.7109375" style="854" customWidth="1"/>
    <col min="3599" max="3600" width="8.28515625" style="854" customWidth="1"/>
    <col min="3601" max="3601" width="2.7109375" style="854" customWidth="1"/>
    <col min="3602" max="3603" width="8.28515625" style="854" customWidth="1"/>
    <col min="3604" max="3604" width="2.7109375" style="854" customWidth="1"/>
    <col min="3605" max="3605" width="4.140625" style="854" customWidth="1"/>
    <col min="3606" max="3840" width="8.85546875" style="854"/>
    <col min="3841" max="3841" width="33.85546875" style="854" customWidth="1"/>
    <col min="3842" max="3842" width="8.5703125" style="854" customWidth="1"/>
    <col min="3843" max="3843" width="2.5703125" style="854" customWidth="1"/>
    <col min="3844" max="3844" width="8.28515625" style="854" customWidth="1"/>
    <col min="3845" max="3845" width="2.7109375" style="854" customWidth="1"/>
    <col min="3846" max="3846" width="8.42578125" style="854" customWidth="1"/>
    <col min="3847" max="3847" width="8.28515625" style="854" customWidth="1"/>
    <col min="3848" max="3848" width="2.7109375" style="854" customWidth="1"/>
    <col min="3849" max="3850" width="8.28515625" style="854" customWidth="1"/>
    <col min="3851" max="3851" width="2.7109375" style="854" customWidth="1"/>
    <col min="3852" max="3853" width="8.28515625" style="854" customWidth="1"/>
    <col min="3854" max="3854" width="2.7109375" style="854" customWidth="1"/>
    <col min="3855" max="3856" width="8.28515625" style="854" customWidth="1"/>
    <col min="3857" max="3857" width="2.7109375" style="854" customWidth="1"/>
    <col min="3858" max="3859" width="8.28515625" style="854" customWidth="1"/>
    <col min="3860" max="3860" width="2.7109375" style="854" customWidth="1"/>
    <col min="3861" max="3861" width="4.140625" style="854" customWidth="1"/>
    <col min="3862" max="4096" width="8.85546875" style="854"/>
    <col min="4097" max="4097" width="33.85546875" style="854" customWidth="1"/>
    <col min="4098" max="4098" width="8.5703125" style="854" customWidth="1"/>
    <col min="4099" max="4099" width="2.5703125" style="854" customWidth="1"/>
    <col min="4100" max="4100" width="8.28515625" style="854" customWidth="1"/>
    <col min="4101" max="4101" width="2.7109375" style="854" customWidth="1"/>
    <col min="4102" max="4102" width="8.42578125" style="854" customWidth="1"/>
    <col min="4103" max="4103" width="8.28515625" style="854" customWidth="1"/>
    <col min="4104" max="4104" width="2.7109375" style="854" customWidth="1"/>
    <col min="4105" max="4106" width="8.28515625" style="854" customWidth="1"/>
    <col min="4107" max="4107" width="2.7109375" style="854" customWidth="1"/>
    <col min="4108" max="4109" width="8.28515625" style="854" customWidth="1"/>
    <col min="4110" max="4110" width="2.7109375" style="854" customWidth="1"/>
    <col min="4111" max="4112" width="8.28515625" style="854" customWidth="1"/>
    <col min="4113" max="4113" width="2.7109375" style="854" customWidth="1"/>
    <col min="4114" max="4115" width="8.28515625" style="854" customWidth="1"/>
    <col min="4116" max="4116" width="2.7109375" style="854" customWidth="1"/>
    <col min="4117" max="4117" width="4.140625" style="854" customWidth="1"/>
    <col min="4118" max="4352" width="8.85546875" style="854"/>
    <col min="4353" max="4353" width="33.85546875" style="854" customWidth="1"/>
    <col min="4354" max="4354" width="8.5703125" style="854" customWidth="1"/>
    <col min="4355" max="4355" width="2.5703125" style="854" customWidth="1"/>
    <col min="4356" max="4356" width="8.28515625" style="854" customWidth="1"/>
    <col min="4357" max="4357" width="2.7109375" style="854" customWidth="1"/>
    <col min="4358" max="4358" width="8.42578125" style="854" customWidth="1"/>
    <col min="4359" max="4359" width="8.28515625" style="854" customWidth="1"/>
    <col min="4360" max="4360" width="2.7109375" style="854" customWidth="1"/>
    <col min="4361" max="4362" width="8.28515625" style="854" customWidth="1"/>
    <col min="4363" max="4363" width="2.7109375" style="854" customWidth="1"/>
    <col min="4364" max="4365" width="8.28515625" style="854" customWidth="1"/>
    <col min="4366" max="4366" width="2.7109375" style="854" customWidth="1"/>
    <col min="4367" max="4368" width="8.28515625" style="854" customWidth="1"/>
    <col min="4369" max="4369" width="2.7109375" style="854" customWidth="1"/>
    <col min="4370" max="4371" width="8.28515625" style="854" customWidth="1"/>
    <col min="4372" max="4372" width="2.7109375" style="854" customWidth="1"/>
    <col min="4373" max="4373" width="4.140625" style="854" customWidth="1"/>
    <col min="4374" max="4608" width="8.85546875" style="854"/>
    <col min="4609" max="4609" width="33.85546875" style="854" customWidth="1"/>
    <col min="4610" max="4610" width="8.5703125" style="854" customWidth="1"/>
    <col min="4611" max="4611" width="2.5703125" style="854" customWidth="1"/>
    <col min="4612" max="4612" width="8.28515625" style="854" customWidth="1"/>
    <col min="4613" max="4613" width="2.7109375" style="854" customWidth="1"/>
    <col min="4614" max="4614" width="8.42578125" style="854" customWidth="1"/>
    <col min="4615" max="4615" width="8.28515625" style="854" customWidth="1"/>
    <col min="4616" max="4616" width="2.7109375" style="854" customWidth="1"/>
    <col min="4617" max="4618" width="8.28515625" style="854" customWidth="1"/>
    <col min="4619" max="4619" width="2.7109375" style="854" customWidth="1"/>
    <col min="4620" max="4621" width="8.28515625" style="854" customWidth="1"/>
    <col min="4622" max="4622" width="2.7109375" style="854" customWidth="1"/>
    <col min="4623" max="4624" width="8.28515625" style="854" customWidth="1"/>
    <col min="4625" max="4625" width="2.7109375" style="854" customWidth="1"/>
    <col min="4626" max="4627" width="8.28515625" style="854" customWidth="1"/>
    <col min="4628" max="4628" width="2.7109375" style="854" customWidth="1"/>
    <col min="4629" max="4629" width="4.140625" style="854" customWidth="1"/>
    <col min="4630" max="4864" width="8.85546875" style="854"/>
    <col min="4865" max="4865" width="33.85546875" style="854" customWidth="1"/>
    <col min="4866" max="4866" width="8.5703125" style="854" customWidth="1"/>
    <col min="4867" max="4867" width="2.5703125" style="854" customWidth="1"/>
    <col min="4868" max="4868" width="8.28515625" style="854" customWidth="1"/>
    <col min="4869" max="4869" width="2.7109375" style="854" customWidth="1"/>
    <col min="4870" max="4870" width="8.42578125" style="854" customWidth="1"/>
    <col min="4871" max="4871" width="8.28515625" style="854" customWidth="1"/>
    <col min="4872" max="4872" width="2.7109375" style="854" customWidth="1"/>
    <col min="4873" max="4874" width="8.28515625" style="854" customWidth="1"/>
    <col min="4875" max="4875" width="2.7109375" style="854" customWidth="1"/>
    <col min="4876" max="4877" width="8.28515625" style="854" customWidth="1"/>
    <col min="4878" max="4878" width="2.7109375" style="854" customWidth="1"/>
    <col min="4879" max="4880" width="8.28515625" style="854" customWidth="1"/>
    <col min="4881" max="4881" width="2.7109375" style="854" customWidth="1"/>
    <col min="4882" max="4883" width="8.28515625" style="854" customWidth="1"/>
    <col min="4884" max="4884" width="2.7109375" style="854" customWidth="1"/>
    <col min="4885" max="4885" width="4.140625" style="854" customWidth="1"/>
    <col min="4886" max="5120" width="8.85546875" style="854"/>
    <col min="5121" max="5121" width="33.85546875" style="854" customWidth="1"/>
    <col min="5122" max="5122" width="8.5703125" style="854" customWidth="1"/>
    <col min="5123" max="5123" width="2.5703125" style="854" customWidth="1"/>
    <col min="5124" max="5124" width="8.28515625" style="854" customWidth="1"/>
    <col min="5125" max="5125" width="2.7109375" style="854" customWidth="1"/>
    <col min="5126" max="5126" width="8.42578125" style="854" customWidth="1"/>
    <col min="5127" max="5127" width="8.28515625" style="854" customWidth="1"/>
    <col min="5128" max="5128" width="2.7109375" style="854" customWidth="1"/>
    <col min="5129" max="5130" width="8.28515625" style="854" customWidth="1"/>
    <col min="5131" max="5131" width="2.7109375" style="854" customWidth="1"/>
    <col min="5132" max="5133" width="8.28515625" style="854" customWidth="1"/>
    <col min="5134" max="5134" width="2.7109375" style="854" customWidth="1"/>
    <col min="5135" max="5136" width="8.28515625" style="854" customWidth="1"/>
    <col min="5137" max="5137" width="2.7109375" style="854" customWidth="1"/>
    <col min="5138" max="5139" width="8.28515625" style="854" customWidth="1"/>
    <col min="5140" max="5140" width="2.7109375" style="854" customWidth="1"/>
    <col min="5141" max="5141" width="4.140625" style="854" customWidth="1"/>
    <col min="5142" max="5376" width="8.85546875" style="854"/>
    <col min="5377" max="5377" width="33.85546875" style="854" customWidth="1"/>
    <col min="5378" max="5378" width="8.5703125" style="854" customWidth="1"/>
    <col min="5379" max="5379" width="2.5703125" style="854" customWidth="1"/>
    <col min="5380" max="5380" width="8.28515625" style="854" customWidth="1"/>
    <col min="5381" max="5381" width="2.7109375" style="854" customWidth="1"/>
    <col min="5382" max="5382" width="8.42578125" style="854" customWidth="1"/>
    <col min="5383" max="5383" width="8.28515625" style="854" customWidth="1"/>
    <col min="5384" max="5384" width="2.7109375" style="854" customWidth="1"/>
    <col min="5385" max="5386" width="8.28515625" style="854" customWidth="1"/>
    <col min="5387" max="5387" width="2.7109375" style="854" customWidth="1"/>
    <col min="5388" max="5389" width="8.28515625" style="854" customWidth="1"/>
    <col min="5390" max="5390" width="2.7109375" style="854" customWidth="1"/>
    <col min="5391" max="5392" width="8.28515625" style="854" customWidth="1"/>
    <col min="5393" max="5393" width="2.7109375" style="854" customWidth="1"/>
    <col min="5394" max="5395" width="8.28515625" style="854" customWidth="1"/>
    <col min="5396" max="5396" width="2.7109375" style="854" customWidth="1"/>
    <col min="5397" max="5397" width="4.140625" style="854" customWidth="1"/>
    <col min="5398" max="5632" width="8.85546875" style="854"/>
    <col min="5633" max="5633" width="33.85546875" style="854" customWidth="1"/>
    <col min="5634" max="5634" width="8.5703125" style="854" customWidth="1"/>
    <col min="5635" max="5635" width="2.5703125" style="854" customWidth="1"/>
    <col min="5636" max="5636" width="8.28515625" style="854" customWidth="1"/>
    <col min="5637" max="5637" width="2.7109375" style="854" customWidth="1"/>
    <col min="5638" max="5638" width="8.42578125" style="854" customWidth="1"/>
    <col min="5639" max="5639" width="8.28515625" style="854" customWidth="1"/>
    <col min="5640" max="5640" width="2.7109375" style="854" customWidth="1"/>
    <col min="5641" max="5642" width="8.28515625" style="854" customWidth="1"/>
    <col min="5643" max="5643" width="2.7109375" style="854" customWidth="1"/>
    <col min="5644" max="5645" width="8.28515625" style="854" customWidth="1"/>
    <col min="5646" max="5646" width="2.7109375" style="854" customWidth="1"/>
    <col min="5647" max="5648" width="8.28515625" style="854" customWidth="1"/>
    <col min="5649" max="5649" width="2.7109375" style="854" customWidth="1"/>
    <col min="5650" max="5651" width="8.28515625" style="854" customWidth="1"/>
    <col min="5652" max="5652" width="2.7109375" style="854" customWidth="1"/>
    <col min="5653" max="5653" width="4.140625" style="854" customWidth="1"/>
    <col min="5654" max="5888" width="8.85546875" style="854"/>
    <col min="5889" max="5889" width="33.85546875" style="854" customWidth="1"/>
    <col min="5890" max="5890" width="8.5703125" style="854" customWidth="1"/>
    <col min="5891" max="5891" width="2.5703125" style="854" customWidth="1"/>
    <col min="5892" max="5892" width="8.28515625" style="854" customWidth="1"/>
    <col min="5893" max="5893" width="2.7109375" style="854" customWidth="1"/>
    <col min="5894" max="5894" width="8.42578125" style="854" customWidth="1"/>
    <col min="5895" max="5895" width="8.28515625" style="854" customWidth="1"/>
    <col min="5896" max="5896" width="2.7109375" style="854" customWidth="1"/>
    <col min="5897" max="5898" width="8.28515625" style="854" customWidth="1"/>
    <col min="5899" max="5899" width="2.7109375" style="854" customWidth="1"/>
    <col min="5900" max="5901" width="8.28515625" style="854" customWidth="1"/>
    <col min="5902" max="5902" width="2.7109375" style="854" customWidth="1"/>
    <col min="5903" max="5904" width="8.28515625" style="854" customWidth="1"/>
    <col min="5905" max="5905" width="2.7109375" style="854" customWidth="1"/>
    <col min="5906" max="5907" width="8.28515625" style="854" customWidth="1"/>
    <col min="5908" max="5908" width="2.7109375" style="854" customWidth="1"/>
    <col min="5909" max="5909" width="4.140625" style="854" customWidth="1"/>
    <col min="5910" max="6144" width="8.85546875" style="854"/>
    <col min="6145" max="6145" width="33.85546875" style="854" customWidth="1"/>
    <col min="6146" max="6146" width="8.5703125" style="854" customWidth="1"/>
    <col min="6147" max="6147" width="2.5703125" style="854" customWidth="1"/>
    <col min="6148" max="6148" width="8.28515625" style="854" customWidth="1"/>
    <col min="6149" max="6149" width="2.7109375" style="854" customWidth="1"/>
    <col min="6150" max="6150" width="8.42578125" style="854" customWidth="1"/>
    <col min="6151" max="6151" width="8.28515625" style="854" customWidth="1"/>
    <col min="6152" max="6152" width="2.7109375" style="854" customWidth="1"/>
    <col min="6153" max="6154" width="8.28515625" style="854" customWidth="1"/>
    <col min="6155" max="6155" width="2.7109375" style="854" customWidth="1"/>
    <col min="6156" max="6157" width="8.28515625" style="854" customWidth="1"/>
    <col min="6158" max="6158" width="2.7109375" style="854" customWidth="1"/>
    <col min="6159" max="6160" width="8.28515625" style="854" customWidth="1"/>
    <col min="6161" max="6161" width="2.7109375" style="854" customWidth="1"/>
    <col min="6162" max="6163" width="8.28515625" style="854" customWidth="1"/>
    <col min="6164" max="6164" width="2.7109375" style="854" customWidth="1"/>
    <col min="6165" max="6165" width="4.140625" style="854" customWidth="1"/>
    <col min="6166" max="6400" width="8.85546875" style="854"/>
    <col min="6401" max="6401" width="33.85546875" style="854" customWidth="1"/>
    <col min="6402" max="6402" width="8.5703125" style="854" customWidth="1"/>
    <col min="6403" max="6403" width="2.5703125" style="854" customWidth="1"/>
    <col min="6404" max="6404" width="8.28515625" style="854" customWidth="1"/>
    <col min="6405" max="6405" width="2.7109375" style="854" customWidth="1"/>
    <col min="6406" max="6406" width="8.42578125" style="854" customWidth="1"/>
    <col min="6407" max="6407" width="8.28515625" style="854" customWidth="1"/>
    <col min="6408" max="6408" width="2.7109375" style="854" customWidth="1"/>
    <col min="6409" max="6410" width="8.28515625" style="854" customWidth="1"/>
    <col min="6411" max="6411" width="2.7109375" style="854" customWidth="1"/>
    <col min="6412" max="6413" width="8.28515625" style="854" customWidth="1"/>
    <col min="6414" max="6414" width="2.7109375" style="854" customWidth="1"/>
    <col min="6415" max="6416" width="8.28515625" style="854" customWidth="1"/>
    <col min="6417" max="6417" width="2.7109375" style="854" customWidth="1"/>
    <col min="6418" max="6419" width="8.28515625" style="854" customWidth="1"/>
    <col min="6420" max="6420" width="2.7109375" style="854" customWidth="1"/>
    <col min="6421" max="6421" width="4.140625" style="854" customWidth="1"/>
    <col min="6422" max="6656" width="8.85546875" style="854"/>
    <col min="6657" max="6657" width="33.85546875" style="854" customWidth="1"/>
    <col min="6658" max="6658" width="8.5703125" style="854" customWidth="1"/>
    <col min="6659" max="6659" width="2.5703125" style="854" customWidth="1"/>
    <col min="6660" max="6660" width="8.28515625" style="854" customWidth="1"/>
    <col min="6661" max="6661" width="2.7109375" style="854" customWidth="1"/>
    <col min="6662" max="6662" width="8.42578125" style="854" customWidth="1"/>
    <col min="6663" max="6663" width="8.28515625" style="854" customWidth="1"/>
    <col min="6664" max="6664" width="2.7109375" style="854" customWidth="1"/>
    <col min="6665" max="6666" width="8.28515625" style="854" customWidth="1"/>
    <col min="6667" max="6667" width="2.7109375" style="854" customWidth="1"/>
    <col min="6668" max="6669" width="8.28515625" style="854" customWidth="1"/>
    <col min="6670" max="6670" width="2.7109375" style="854" customWidth="1"/>
    <col min="6671" max="6672" width="8.28515625" style="854" customWidth="1"/>
    <col min="6673" max="6673" width="2.7109375" style="854" customWidth="1"/>
    <col min="6674" max="6675" width="8.28515625" style="854" customWidth="1"/>
    <col min="6676" max="6676" width="2.7109375" style="854" customWidth="1"/>
    <col min="6677" max="6677" width="4.140625" style="854" customWidth="1"/>
    <col min="6678" max="6912" width="8.85546875" style="854"/>
    <col min="6913" max="6913" width="33.85546875" style="854" customWidth="1"/>
    <col min="6914" max="6914" width="8.5703125" style="854" customWidth="1"/>
    <col min="6915" max="6915" width="2.5703125" style="854" customWidth="1"/>
    <col min="6916" max="6916" width="8.28515625" style="854" customWidth="1"/>
    <col min="6917" max="6917" width="2.7109375" style="854" customWidth="1"/>
    <col min="6918" max="6918" width="8.42578125" style="854" customWidth="1"/>
    <col min="6919" max="6919" width="8.28515625" style="854" customWidth="1"/>
    <col min="6920" max="6920" width="2.7109375" style="854" customWidth="1"/>
    <col min="6921" max="6922" width="8.28515625" style="854" customWidth="1"/>
    <col min="6923" max="6923" width="2.7109375" style="854" customWidth="1"/>
    <col min="6924" max="6925" width="8.28515625" style="854" customWidth="1"/>
    <col min="6926" max="6926" width="2.7109375" style="854" customWidth="1"/>
    <col min="6927" max="6928" width="8.28515625" style="854" customWidth="1"/>
    <col min="6929" max="6929" width="2.7109375" style="854" customWidth="1"/>
    <col min="6930" max="6931" width="8.28515625" style="854" customWidth="1"/>
    <col min="6932" max="6932" width="2.7109375" style="854" customWidth="1"/>
    <col min="6933" max="6933" width="4.140625" style="854" customWidth="1"/>
    <col min="6934" max="7168" width="8.85546875" style="854"/>
    <col min="7169" max="7169" width="33.85546875" style="854" customWidth="1"/>
    <col min="7170" max="7170" width="8.5703125" style="854" customWidth="1"/>
    <col min="7171" max="7171" width="2.5703125" style="854" customWidth="1"/>
    <col min="7172" max="7172" width="8.28515625" style="854" customWidth="1"/>
    <col min="7173" max="7173" width="2.7109375" style="854" customWidth="1"/>
    <col min="7174" max="7174" width="8.42578125" style="854" customWidth="1"/>
    <col min="7175" max="7175" width="8.28515625" style="854" customWidth="1"/>
    <col min="7176" max="7176" width="2.7109375" style="854" customWidth="1"/>
    <col min="7177" max="7178" width="8.28515625" style="854" customWidth="1"/>
    <col min="7179" max="7179" width="2.7109375" style="854" customWidth="1"/>
    <col min="7180" max="7181" width="8.28515625" style="854" customWidth="1"/>
    <col min="7182" max="7182" width="2.7109375" style="854" customWidth="1"/>
    <col min="7183" max="7184" width="8.28515625" style="854" customWidth="1"/>
    <col min="7185" max="7185" width="2.7109375" style="854" customWidth="1"/>
    <col min="7186" max="7187" width="8.28515625" style="854" customWidth="1"/>
    <col min="7188" max="7188" width="2.7109375" style="854" customWidth="1"/>
    <col min="7189" max="7189" width="4.140625" style="854" customWidth="1"/>
    <col min="7190" max="7424" width="8.85546875" style="854"/>
    <col min="7425" max="7425" width="33.85546875" style="854" customWidth="1"/>
    <col min="7426" max="7426" width="8.5703125" style="854" customWidth="1"/>
    <col min="7427" max="7427" width="2.5703125" style="854" customWidth="1"/>
    <col min="7428" max="7428" width="8.28515625" style="854" customWidth="1"/>
    <col min="7429" max="7429" width="2.7109375" style="854" customWidth="1"/>
    <col min="7430" max="7430" width="8.42578125" style="854" customWidth="1"/>
    <col min="7431" max="7431" width="8.28515625" style="854" customWidth="1"/>
    <col min="7432" max="7432" width="2.7109375" style="854" customWidth="1"/>
    <col min="7433" max="7434" width="8.28515625" style="854" customWidth="1"/>
    <col min="7435" max="7435" width="2.7109375" style="854" customWidth="1"/>
    <col min="7436" max="7437" width="8.28515625" style="854" customWidth="1"/>
    <col min="7438" max="7438" width="2.7109375" style="854" customWidth="1"/>
    <col min="7439" max="7440" width="8.28515625" style="854" customWidth="1"/>
    <col min="7441" max="7441" width="2.7109375" style="854" customWidth="1"/>
    <col min="7442" max="7443" width="8.28515625" style="854" customWidth="1"/>
    <col min="7444" max="7444" width="2.7109375" style="854" customWidth="1"/>
    <col min="7445" max="7445" width="4.140625" style="854" customWidth="1"/>
    <col min="7446" max="7680" width="8.85546875" style="854"/>
    <col min="7681" max="7681" width="33.85546875" style="854" customWidth="1"/>
    <col min="7682" max="7682" width="8.5703125" style="854" customWidth="1"/>
    <col min="7683" max="7683" width="2.5703125" style="854" customWidth="1"/>
    <col min="7684" max="7684" width="8.28515625" style="854" customWidth="1"/>
    <col min="7685" max="7685" width="2.7109375" style="854" customWidth="1"/>
    <col min="7686" max="7686" width="8.42578125" style="854" customWidth="1"/>
    <col min="7687" max="7687" width="8.28515625" style="854" customWidth="1"/>
    <col min="7688" max="7688" width="2.7109375" style="854" customWidth="1"/>
    <col min="7689" max="7690" width="8.28515625" style="854" customWidth="1"/>
    <col min="7691" max="7691" width="2.7109375" style="854" customWidth="1"/>
    <col min="7692" max="7693" width="8.28515625" style="854" customWidth="1"/>
    <col min="7694" max="7694" width="2.7109375" style="854" customWidth="1"/>
    <col min="7695" max="7696" width="8.28515625" style="854" customWidth="1"/>
    <col min="7697" max="7697" width="2.7109375" style="854" customWidth="1"/>
    <col min="7698" max="7699" width="8.28515625" style="854" customWidth="1"/>
    <col min="7700" max="7700" width="2.7109375" style="854" customWidth="1"/>
    <col min="7701" max="7701" width="4.140625" style="854" customWidth="1"/>
    <col min="7702" max="7936" width="8.85546875" style="854"/>
    <col min="7937" max="7937" width="33.85546875" style="854" customWidth="1"/>
    <col min="7938" max="7938" width="8.5703125" style="854" customWidth="1"/>
    <col min="7939" max="7939" width="2.5703125" style="854" customWidth="1"/>
    <col min="7940" max="7940" width="8.28515625" style="854" customWidth="1"/>
    <col min="7941" max="7941" width="2.7109375" style="854" customWidth="1"/>
    <col min="7942" max="7942" width="8.42578125" style="854" customWidth="1"/>
    <col min="7943" max="7943" width="8.28515625" style="854" customWidth="1"/>
    <col min="7944" max="7944" width="2.7109375" style="854" customWidth="1"/>
    <col min="7945" max="7946" width="8.28515625" style="854" customWidth="1"/>
    <col min="7947" max="7947" width="2.7109375" style="854" customWidth="1"/>
    <col min="7948" max="7949" width="8.28515625" style="854" customWidth="1"/>
    <col min="7950" max="7950" width="2.7109375" style="854" customWidth="1"/>
    <col min="7951" max="7952" width="8.28515625" style="854" customWidth="1"/>
    <col min="7953" max="7953" width="2.7109375" style="854" customWidth="1"/>
    <col min="7954" max="7955" width="8.28515625" style="854" customWidth="1"/>
    <col min="7956" max="7956" width="2.7109375" style="854" customWidth="1"/>
    <col min="7957" max="7957" width="4.140625" style="854" customWidth="1"/>
    <col min="7958" max="8192" width="8.85546875" style="854"/>
    <col min="8193" max="8193" width="33.85546875" style="854" customWidth="1"/>
    <col min="8194" max="8194" width="8.5703125" style="854" customWidth="1"/>
    <col min="8195" max="8195" width="2.5703125" style="854" customWidth="1"/>
    <col min="8196" max="8196" width="8.28515625" style="854" customWidth="1"/>
    <col min="8197" max="8197" width="2.7109375" style="854" customWidth="1"/>
    <col min="8198" max="8198" width="8.42578125" style="854" customWidth="1"/>
    <col min="8199" max="8199" width="8.28515625" style="854" customWidth="1"/>
    <col min="8200" max="8200" width="2.7109375" style="854" customWidth="1"/>
    <col min="8201" max="8202" width="8.28515625" style="854" customWidth="1"/>
    <col min="8203" max="8203" width="2.7109375" style="854" customWidth="1"/>
    <col min="8204" max="8205" width="8.28515625" style="854" customWidth="1"/>
    <col min="8206" max="8206" width="2.7109375" style="854" customWidth="1"/>
    <col min="8207" max="8208" width="8.28515625" style="854" customWidth="1"/>
    <col min="8209" max="8209" width="2.7109375" style="854" customWidth="1"/>
    <col min="8210" max="8211" width="8.28515625" style="854" customWidth="1"/>
    <col min="8212" max="8212" width="2.7109375" style="854" customWidth="1"/>
    <col min="8213" max="8213" width="4.140625" style="854" customWidth="1"/>
    <col min="8214" max="8448" width="8.85546875" style="854"/>
    <col min="8449" max="8449" width="33.85546875" style="854" customWidth="1"/>
    <col min="8450" max="8450" width="8.5703125" style="854" customWidth="1"/>
    <col min="8451" max="8451" width="2.5703125" style="854" customWidth="1"/>
    <col min="8452" max="8452" width="8.28515625" style="854" customWidth="1"/>
    <col min="8453" max="8453" width="2.7109375" style="854" customWidth="1"/>
    <col min="8454" max="8454" width="8.42578125" style="854" customWidth="1"/>
    <col min="8455" max="8455" width="8.28515625" style="854" customWidth="1"/>
    <col min="8456" max="8456" width="2.7109375" style="854" customWidth="1"/>
    <col min="8457" max="8458" width="8.28515625" style="854" customWidth="1"/>
    <col min="8459" max="8459" width="2.7109375" style="854" customWidth="1"/>
    <col min="8460" max="8461" width="8.28515625" style="854" customWidth="1"/>
    <col min="8462" max="8462" width="2.7109375" style="854" customWidth="1"/>
    <col min="8463" max="8464" width="8.28515625" style="854" customWidth="1"/>
    <col min="8465" max="8465" width="2.7109375" style="854" customWidth="1"/>
    <col min="8466" max="8467" width="8.28515625" style="854" customWidth="1"/>
    <col min="8468" max="8468" width="2.7109375" style="854" customWidth="1"/>
    <col min="8469" max="8469" width="4.140625" style="854" customWidth="1"/>
    <col min="8470" max="8704" width="8.85546875" style="854"/>
    <col min="8705" max="8705" width="33.85546875" style="854" customWidth="1"/>
    <col min="8706" max="8706" width="8.5703125" style="854" customWidth="1"/>
    <col min="8707" max="8707" width="2.5703125" style="854" customWidth="1"/>
    <col min="8708" max="8708" width="8.28515625" style="854" customWidth="1"/>
    <col min="8709" max="8709" width="2.7109375" style="854" customWidth="1"/>
    <col min="8710" max="8710" width="8.42578125" style="854" customWidth="1"/>
    <col min="8711" max="8711" width="8.28515625" style="854" customWidth="1"/>
    <col min="8712" max="8712" width="2.7109375" style="854" customWidth="1"/>
    <col min="8713" max="8714" width="8.28515625" style="854" customWidth="1"/>
    <col min="8715" max="8715" width="2.7109375" style="854" customWidth="1"/>
    <col min="8716" max="8717" width="8.28515625" style="854" customWidth="1"/>
    <col min="8718" max="8718" width="2.7109375" style="854" customWidth="1"/>
    <col min="8719" max="8720" width="8.28515625" style="854" customWidth="1"/>
    <col min="8721" max="8721" width="2.7109375" style="854" customWidth="1"/>
    <col min="8722" max="8723" width="8.28515625" style="854" customWidth="1"/>
    <col min="8724" max="8724" width="2.7109375" style="854" customWidth="1"/>
    <col min="8725" max="8725" width="4.140625" style="854" customWidth="1"/>
    <col min="8726" max="8960" width="8.85546875" style="854"/>
    <col min="8961" max="8961" width="33.85546875" style="854" customWidth="1"/>
    <col min="8962" max="8962" width="8.5703125" style="854" customWidth="1"/>
    <col min="8963" max="8963" width="2.5703125" style="854" customWidth="1"/>
    <col min="8964" max="8964" width="8.28515625" style="854" customWidth="1"/>
    <col min="8965" max="8965" width="2.7109375" style="854" customWidth="1"/>
    <col min="8966" max="8966" width="8.42578125" style="854" customWidth="1"/>
    <col min="8967" max="8967" width="8.28515625" style="854" customWidth="1"/>
    <col min="8968" max="8968" width="2.7109375" style="854" customWidth="1"/>
    <col min="8969" max="8970" width="8.28515625" style="854" customWidth="1"/>
    <col min="8971" max="8971" width="2.7109375" style="854" customWidth="1"/>
    <col min="8972" max="8973" width="8.28515625" style="854" customWidth="1"/>
    <col min="8974" max="8974" width="2.7109375" style="854" customWidth="1"/>
    <col min="8975" max="8976" width="8.28515625" style="854" customWidth="1"/>
    <col min="8977" max="8977" width="2.7109375" style="854" customWidth="1"/>
    <col min="8978" max="8979" width="8.28515625" style="854" customWidth="1"/>
    <col min="8980" max="8980" width="2.7109375" style="854" customWidth="1"/>
    <col min="8981" max="8981" width="4.140625" style="854" customWidth="1"/>
    <col min="8982" max="9216" width="8.85546875" style="854"/>
    <col min="9217" max="9217" width="33.85546875" style="854" customWidth="1"/>
    <col min="9218" max="9218" width="8.5703125" style="854" customWidth="1"/>
    <col min="9219" max="9219" width="2.5703125" style="854" customWidth="1"/>
    <col min="9220" max="9220" width="8.28515625" style="854" customWidth="1"/>
    <col min="9221" max="9221" width="2.7109375" style="854" customWidth="1"/>
    <col min="9222" max="9222" width="8.42578125" style="854" customWidth="1"/>
    <col min="9223" max="9223" width="8.28515625" style="854" customWidth="1"/>
    <col min="9224" max="9224" width="2.7109375" style="854" customWidth="1"/>
    <col min="9225" max="9226" width="8.28515625" style="854" customWidth="1"/>
    <col min="9227" max="9227" width="2.7109375" style="854" customWidth="1"/>
    <col min="9228" max="9229" width="8.28515625" style="854" customWidth="1"/>
    <col min="9230" max="9230" width="2.7109375" style="854" customWidth="1"/>
    <col min="9231" max="9232" width="8.28515625" style="854" customWidth="1"/>
    <col min="9233" max="9233" width="2.7109375" style="854" customWidth="1"/>
    <col min="9234" max="9235" width="8.28515625" style="854" customWidth="1"/>
    <col min="9236" max="9236" width="2.7109375" style="854" customWidth="1"/>
    <col min="9237" max="9237" width="4.140625" style="854" customWidth="1"/>
    <col min="9238" max="9472" width="8.85546875" style="854"/>
    <col min="9473" max="9473" width="33.85546875" style="854" customWidth="1"/>
    <col min="9474" max="9474" width="8.5703125" style="854" customWidth="1"/>
    <col min="9475" max="9475" width="2.5703125" style="854" customWidth="1"/>
    <col min="9476" max="9476" width="8.28515625" style="854" customWidth="1"/>
    <col min="9477" max="9477" width="2.7109375" style="854" customWidth="1"/>
    <col min="9478" max="9478" width="8.42578125" style="854" customWidth="1"/>
    <col min="9479" max="9479" width="8.28515625" style="854" customWidth="1"/>
    <col min="9480" max="9480" width="2.7109375" style="854" customWidth="1"/>
    <col min="9481" max="9482" width="8.28515625" style="854" customWidth="1"/>
    <col min="9483" max="9483" width="2.7109375" style="854" customWidth="1"/>
    <col min="9484" max="9485" width="8.28515625" style="854" customWidth="1"/>
    <col min="9486" max="9486" width="2.7109375" style="854" customWidth="1"/>
    <col min="9487" max="9488" width="8.28515625" style="854" customWidth="1"/>
    <col min="9489" max="9489" width="2.7109375" style="854" customWidth="1"/>
    <col min="9490" max="9491" width="8.28515625" style="854" customWidth="1"/>
    <col min="9492" max="9492" width="2.7109375" style="854" customWidth="1"/>
    <col min="9493" max="9493" width="4.140625" style="854" customWidth="1"/>
    <col min="9494" max="9728" width="8.85546875" style="854"/>
    <col min="9729" max="9729" width="33.85546875" style="854" customWidth="1"/>
    <col min="9730" max="9730" width="8.5703125" style="854" customWidth="1"/>
    <col min="9731" max="9731" width="2.5703125" style="854" customWidth="1"/>
    <col min="9732" max="9732" width="8.28515625" style="854" customWidth="1"/>
    <col min="9733" max="9733" width="2.7109375" style="854" customWidth="1"/>
    <col min="9734" max="9734" width="8.42578125" style="854" customWidth="1"/>
    <col min="9735" max="9735" width="8.28515625" style="854" customWidth="1"/>
    <col min="9736" max="9736" width="2.7109375" style="854" customWidth="1"/>
    <col min="9737" max="9738" width="8.28515625" style="854" customWidth="1"/>
    <col min="9739" max="9739" width="2.7109375" style="854" customWidth="1"/>
    <col min="9740" max="9741" width="8.28515625" style="854" customWidth="1"/>
    <col min="9742" max="9742" width="2.7109375" style="854" customWidth="1"/>
    <col min="9743" max="9744" width="8.28515625" style="854" customWidth="1"/>
    <col min="9745" max="9745" width="2.7109375" style="854" customWidth="1"/>
    <col min="9746" max="9747" width="8.28515625" style="854" customWidth="1"/>
    <col min="9748" max="9748" width="2.7109375" style="854" customWidth="1"/>
    <col min="9749" max="9749" width="4.140625" style="854" customWidth="1"/>
    <col min="9750" max="9984" width="8.85546875" style="854"/>
    <col min="9985" max="9985" width="33.85546875" style="854" customWidth="1"/>
    <col min="9986" max="9986" width="8.5703125" style="854" customWidth="1"/>
    <col min="9987" max="9987" width="2.5703125" style="854" customWidth="1"/>
    <col min="9988" max="9988" width="8.28515625" style="854" customWidth="1"/>
    <col min="9989" max="9989" width="2.7109375" style="854" customWidth="1"/>
    <col min="9990" max="9990" width="8.42578125" style="854" customWidth="1"/>
    <col min="9991" max="9991" width="8.28515625" style="854" customWidth="1"/>
    <col min="9992" max="9992" width="2.7109375" style="854" customWidth="1"/>
    <col min="9993" max="9994" width="8.28515625" style="854" customWidth="1"/>
    <col min="9995" max="9995" width="2.7109375" style="854" customWidth="1"/>
    <col min="9996" max="9997" width="8.28515625" style="854" customWidth="1"/>
    <col min="9998" max="9998" width="2.7109375" style="854" customWidth="1"/>
    <col min="9999" max="10000" width="8.28515625" style="854" customWidth="1"/>
    <col min="10001" max="10001" width="2.7109375" style="854" customWidth="1"/>
    <col min="10002" max="10003" width="8.28515625" style="854" customWidth="1"/>
    <col min="10004" max="10004" width="2.7109375" style="854" customWidth="1"/>
    <col min="10005" max="10005" width="4.140625" style="854" customWidth="1"/>
    <col min="10006" max="10240" width="8.85546875" style="854"/>
    <col min="10241" max="10241" width="33.85546875" style="854" customWidth="1"/>
    <col min="10242" max="10242" width="8.5703125" style="854" customWidth="1"/>
    <col min="10243" max="10243" width="2.5703125" style="854" customWidth="1"/>
    <col min="10244" max="10244" width="8.28515625" style="854" customWidth="1"/>
    <col min="10245" max="10245" width="2.7109375" style="854" customWidth="1"/>
    <col min="10246" max="10246" width="8.42578125" style="854" customWidth="1"/>
    <col min="10247" max="10247" width="8.28515625" style="854" customWidth="1"/>
    <col min="10248" max="10248" width="2.7109375" style="854" customWidth="1"/>
    <col min="10249" max="10250" width="8.28515625" style="854" customWidth="1"/>
    <col min="10251" max="10251" width="2.7109375" style="854" customWidth="1"/>
    <col min="10252" max="10253" width="8.28515625" style="854" customWidth="1"/>
    <col min="10254" max="10254" width="2.7109375" style="854" customWidth="1"/>
    <col min="10255" max="10256" width="8.28515625" style="854" customWidth="1"/>
    <col min="10257" max="10257" width="2.7109375" style="854" customWidth="1"/>
    <col min="10258" max="10259" width="8.28515625" style="854" customWidth="1"/>
    <col min="10260" max="10260" width="2.7109375" style="854" customWidth="1"/>
    <col min="10261" max="10261" width="4.140625" style="854" customWidth="1"/>
    <col min="10262" max="10496" width="8.85546875" style="854"/>
    <col min="10497" max="10497" width="33.85546875" style="854" customWidth="1"/>
    <col min="10498" max="10498" width="8.5703125" style="854" customWidth="1"/>
    <col min="10499" max="10499" width="2.5703125" style="854" customWidth="1"/>
    <col min="10500" max="10500" width="8.28515625" style="854" customWidth="1"/>
    <col min="10501" max="10501" width="2.7109375" style="854" customWidth="1"/>
    <col min="10502" max="10502" width="8.42578125" style="854" customWidth="1"/>
    <col min="10503" max="10503" width="8.28515625" style="854" customWidth="1"/>
    <col min="10504" max="10504" width="2.7109375" style="854" customWidth="1"/>
    <col min="10505" max="10506" width="8.28515625" style="854" customWidth="1"/>
    <col min="10507" max="10507" width="2.7109375" style="854" customWidth="1"/>
    <col min="10508" max="10509" width="8.28515625" style="854" customWidth="1"/>
    <col min="10510" max="10510" width="2.7109375" style="854" customWidth="1"/>
    <col min="10511" max="10512" width="8.28515625" style="854" customWidth="1"/>
    <col min="10513" max="10513" width="2.7109375" style="854" customWidth="1"/>
    <col min="10514" max="10515" width="8.28515625" style="854" customWidth="1"/>
    <col min="10516" max="10516" width="2.7109375" style="854" customWidth="1"/>
    <col min="10517" max="10517" width="4.140625" style="854" customWidth="1"/>
    <col min="10518" max="10752" width="8.85546875" style="854"/>
    <col min="10753" max="10753" width="33.85546875" style="854" customWidth="1"/>
    <col min="10754" max="10754" width="8.5703125" style="854" customWidth="1"/>
    <col min="10755" max="10755" width="2.5703125" style="854" customWidth="1"/>
    <col min="10756" max="10756" width="8.28515625" style="854" customWidth="1"/>
    <col min="10757" max="10757" width="2.7109375" style="854" customWidth="1"/>
    <col min="10758" max="10758" width="8.42578125" style="854" customWidth="1"/>
    <col min="10759" max="10759" width="8.28515625" style="854" customWidth="1"/>
    <col min="10760" max="10760" width="2.7109375" style="854" customWidth="1"/>
    <col min="10761" max="10762" width="8.28515625" style="854" customWidth="1"/>
    <col min="10763" max="10763" width="2.7109375" style="854" customWidth="1"/>
    <col min="10764" max="10765" width="8.28515625" style="854" customWidth="1"/>
    <col min="10766" max="10766" width="2.7109375" style="854" customWidth="1"/>
    <col min="10767" max="10768" width="8.28515625" style="854" customWidth="1"/>
    <col min="10769" max="10769" width="2.7109375" style="854" customWidth="1"/>
    <col min="10770" max="10771" width="8.28515625" style="854" customWidth="1"/>
    <col min="10772" max="10772" width="2.7109375" style="854" customWidth="1"/>
    <col min="10773" max="10773" width="4.140625" style="854" customWidth="1"/>
    <col min="10774" max="11008" width="8.85546875" style="854"/>
    <col min="11009" max="11009" width="33.85546875" style="854" customWidth="1"/>
    <col min="11010" max="11010" width="8.5703125" style="854" customWidth="1"/>
    <col min="11011" max="11011" width="2.5703125" style="854" customWidth="1"/>
    <col min="11012" max="11012" width="8.28515625" style="854" customWidth="1"/>
    <col min="11013" max="11013" width="2.7109375" style="854" customWidth="1"/>
    <col min="11014" max="11014" width="8.42578125" style="854" customWidth="1"/>
    <col min="11015" max="11015" width="8.28515625" style="854" customWidth="1"/>
    <col min="11016" max="11016" width="2.7109375" style="854" customWidth="1"/>
    <col min="11017" max="11018" width="8.28515625" style="854" customWidth="1"/>
    <col min="11019" max="11019" width="2.7109375" style="854" customWidth="1"/>
    <col min="11020" max="11021" width="8.28515625" style="854" customWidth="1"/>
    <col min="11022" max="11022" width="2.7109375" style="854" customWidth="1"/>
    <col min="11023" max="11024" width="8.28515625" style="854" customWidth="1"/>
    <col min="11025" max="11025" width="2.7109375" style="854" customWidth="1"/>
    <col min="11026" max="11027" width="8.28515625" style="854" customWidth="1"/>
    <col min="11028" max="11028" width="2.7109375" style="854" customWidth="1"/>
    <col min="11029" max="11029" width="4.140625" style="854" customWidth="1"/>
    <col min="11030" max="11264" width="8.85546875" style="854"/>
    <col min="11265" max="11265" width="33.85546875" style="854" customWidth="1"/>
    <col min="11266" max="11266" width="8.5703125" style="854" customWidth="1"/>
    <col min="11267" max="11267" width="2.5703125" style="854" customWidth="1"/>
    <col min="11268" max="11268" width="8.28515625" style="854" customWidth="1"/>
    <col min="11269" max="11269" width="2.7109375" style="854" customWidth="1"/>
    <col min="11270" max="11270" width="8.42578125" style="854" customWidth="1"/>
    <col min="11271" max="11271" width="8.28515625" style="854" customWidth="1"/>
    <col min="11272" max="11272" width="2.7109375" style="854" customWidth="1"/>
    <col min="11273" max="11274" width="8.28515625" style="854" customWidth="1"/>
    <col min="11275" max="11275" width="2.7109375" style="854" customWidth="1"/>
    <col min="11276" max="11277" width="8.28515625" style="854" customWidth="1"/>
    <col min="11278" max="11278" width="2.7109375" style="854" customWidth="1"/>
    <col min="11279" max="11280" width="8.28515625" style="854" customWidth="1"/>
    <col min="11281" max="11281" width="2.7109375" style="854" customWidth="1"/>
    <col min="11282" max="11283" width="8.28515625" style="854" customWidth="1"/>
    <col min="11284" max="11284" width="2.7109375" style="854" customWidth="1"/>
    <col min="11285" max="11285" width="4.140625" style="854" customWidth="1"/>
    <col min="11286" max="11520" width="8.85546875" style="854"/>
    <col min="11521" max="11521" width="33.85546875" style="854" customWidth="1"/>
    <col min="11522" max="11522" width="8.5703125" style="854" customWidth="1"/>
    <col min="11523" max="11523" width="2.5703125" style="854" customWidth="1"/>
    <col min="11524" max="11524" width="8.28515625" style="854" customWidth="1"/>
    <col min="11525" max="11525" width="2.7109375" style="854" customWidth="1"/>
    <col min="11526" max="11526" width="8.42578125" style="854" customWidth="1"/>
    <col min="11527" max="11527" width="8.28515625" style="854" customWidth="1"/>
    <col min="11528" max="11528" width="2.7109375" style="854" customWidth="1"/>
    <col min="11529" max="11530" width="8.28515625" style="854" customWidth="1"/>
    <col min="11531" max="11531" width="2.7109375" style="854" customWidth="1"/>
    <col min="11532" max="11533" width="8.28515625" style="854" customWidth="1"/>
    <col min="11534" max="11534" width="2.7109375" style="854" customWidth="1"/>
    <col min="11535" max="11536" width="8.28515625" style="854" customWidth="1"/>
    <col min="11537" max="11537" width="2.7109375" style="854" customWidth="1"/>
    <col min="11538" max="11539" width="8.28515625" style="854" customWidth="1"/>
    <col min="11540" max="11540" width="2.7109375" style="854" customWidth="1"/>
    <col min="11541" max="11541" width="4.140625" style="854" customWidth="1"/>
    <col min="11542" max="11776" width="8.85546875" style="854"/>
    <col min="11777" max="11777" width="33.85546875" style="854" customWidth="1"/>
    <col min="11778" max="11778" width="8.5703125" style="854" customWidth="1"/>
    <col min="11779" max="11779" width="2.5703125" style="854" customWidth="1"/>
    <col min="11780" max="11780" width="8.28515625" style="854" customWidth="1"/>
    <col min="11781" max="11781" width="2.7109375" style="854" customWidth="1"/>
    <col min="11782" max="11782" width="8.42578125" style="854" customWidth="1"/>
    <col min="11783" max="11783" width="8.28515625" style="854" customWidth="1"/>
    <col min="11784" max="11784" width="2.7109375" style="854" customWidth="1"/>
    <col min="11785" max="11786" width="8.28515625" style="854" customWidth="1"/>
    <col min="11787" max="11787" width="2.7109375" style="854" customWidth="1"/>
    <col min="11788" max="11789" width="8.28515625" style="854" customWidth="1"/>
    <col min="11790" max="11790" width="2.7109375" style="854" customWidth="1"/>
    <col min="11791" max="11792" width="8.28515625" style="854" customWidth="1"/>
    <col min="11793" max="11793" width="2.7109375" style="854" customWidth="1"/>
    <col min="11794" max="11795" width="8.28515625" style="854" customWidth="1"/>
    <col min="11796" max="11796" width="2.7109375" style="854" customWidth="1"/>
    <col min="11797" max="11797" width="4.140625" style="854" customWidth="1"/>
    <col min="11798" max="12032" width="8.85546875" style="854"/>
    <col min="12033" max="12033" width="33.85546875" style="854" customWidth="1"/>
    <col min="12034" max="12034" width="8.5703125" style="854" customWidth="1"/>
    <col min="12035" max="12035" width="2.5703125" style="854" customWidth="1"/>
    <col min="12036" max="12036" width="8.28515625" style="854" customWidth="1"/>
    <col min="12037" max="12037" width="2.7109375" style="854" customWidth="1"/>
    <col min="12038" max="12038" width="8.42578125" style="854" customWidth="1"/>
    <col min="12039" max="12039" width="8.28515625" style="854" customWidth="1"/>
    <col min="12040" max="12040" width="2.7109375" style="854" customWidth="1"/>
    <col min="12041" max="12042" width="8.28515625" style="854" customWidth="1"/>
    <col min="12043" max="12043" width="2.7109375" style="854" customWidth="1"/>
    <col min="12044" max="12045" width="8.28515625" style="854" customWidth="1"/>
    <col min="12046" max="12046" width="2.7109375" style="854" customWidth="1"/>
    <col min="12047" max="12048" width="8.28515625" style="854" customWidth="1"/>
    <col min="12049" max="12049" width="2.7109375" style="854" customWidth="1"/>
    <col min="12050" max="12051" width="8.28515625" style="854" customWidth="1"/>
    <col min="12052" max="12052" width="2.7109375" style="854" customWidth="1"/>
    <col min="12053" max="12053" width="4.140625" style="854" customWidth="1"/>
    <col min="12054" max="12288" width="8.85546875" style="854"/>
    <col min="12289" max="12289" width="33.85546875" style="854" customWidth="1"/>
    <col min="12290" max="12290" width="8.5703125" style="854" customWidth="1"/>
    <col min="12291" max="12291" width="2.5703125" style="854" customWidth="1"/>
    <col min="12292" max="12292" width="8.28515625" style="854" customWidth="1"/>
    <col min="12293" max="12293" width="2.7109375" style="854" customWidth="1"/>
    <col min="12294" max="12294" width="8.42578125" style="854" customWidth="1"/>
    <col min="12295" max="12295" width="8.28515625" style="854" customWidth="1"/>
    <col min="12296" max="12296" width="2.7109375" style="854" customWidth="1"/>
    <col min="12297" max="12298" width="8.28515625" style="854" customWidth="1"/>
    <col min="12299" max="12299" width="2.7109375" style="854" customWidth="1"/>
    <col min="12300" max="12301" width="8.28515625" style="854" customWidth="1"/>
    <col min="12302" max="12302" width="2.7109375" style="854" customWidth="1"/>
    <col min="12303" max="12304" width="8.28515625" style="854" customWidth="1"/>
    <col min="12305" max="12305" width="2.7109375" style="854" customWidth="1"/>
    <col min="12306" max="12307" width="8.28515625" style="854" customWidth="1"/>
    <col min="12308" max="12308" width="2.7109375" style="854" customWidth="1"/>
    <col min="12309" max="12309" width="4.140625" style="854" customWidth="1"/>
    <col min="12310" max="12544" width="8.85546875" style="854"/>
    <col min="12545" max="12545" width="33.85546875" style="854" customWidth="1"/>
    <col min="12546" max="12546" width="8.5703125" style="854" customWidth="1"/>
    <col min="12547" max="12547" width="2.5703125" style="854" customWidth="1"/>
    <col min="12548" max="12548" width="8.28515625" style="854" customWidth="1"/>
    <col min="12549" max="12549" width="2.7109375" style="854" customWidth="1"/>
    <col min="12550" max="12550" width="8.42578125" style="854" customWidth="1"/>
    <col min="12551" max="12551" width="8.28515625" style="854" customWidth="1"/>
    <col min="12552" max="12552" width="2.7109375" style="854" customWidth="1"/>
    <col min="12553" max="12554" width="8.28515625" style="854" customWidth="1"/>
    <col min="12555" max="12555" width="2.7109375" style="854" customWidth="1"/>
    <col min="12556" max="12557" width="8.28515625" style="854" customWidth="1"/>
    <col min="12558" max="12558" width="2.7109375" style="854" customWidth="1"/>
    <col min="12559" max="12560" width="8.28515625" style="854" customWidth="1"/>
    <col min="12561" max="12561" width="2.7109375" style="854" customWidth="1"/>
    <col min="12562" max="12563" width="8.28515625" style="854" customWidth="1"/>
    <col min="12564" max="12564" width="2.7109375" style="854" customWidth="1"/>
    <col min="12565" max="12565" width="4.140625" style="854" customWidth="1"/>
    <col min="12566" max="12800" width="8.85546875" style="854"/>
    <col min="12801" max="12801" width="33.85546875" style="854" customWidth="1"/>
    <col min="12802" max="12802" width="8.5703125" style="854" customWidth="1"/>
    <col min="12803" max="12803" width="2.5703125" style="854" customWidth="1"/>
    <col min="12804" max="12804" width="8.28515625" style="854" customWidth="1"/>
    <col min="12805" max="12805" width="2.7109375" style="854" customWidth="1"/>
    <col min="12806" max="12806" width="8.42578125" style="854" customWidth="1"/>
    <col min="12807" max="12807" width="8.28515625" style="854" customWidth="1"/>
    <col min="12808" max="12808" width="2.7109375" style="854" customWidth="1"/>
    <col min="12809" max="12810" width="8.28515625" style="854" customWidth="1"/>
    <col min="12811" max="12811" width="2.7109375" style="854" customWidth="1"/>
    <col min="12812" max="12813" width="8.28515625" style="854" customWidth="1"/>
    <col min="12814" max="12814" width="2.7109375" style="854" customWidth="1"/>
    <col min="12815" max="12816" width="8.28515625" style="854" customWidth="1"/>
    <col min="12817" max="12817" width="2.7109375" style="854" customWidth="1"/>
    <col min="12818" max="12819" width="8.28515625" style="854" customWidth="1"/>
    <col min="12820" max="12820" width="2.7109375" style="854" customWidth="1"/>
    <col min="12821" max="12821" width="4.140625" style="854" customWidth="1"/>
    <col min="12822" max="13056" width="8.85546875" style="854"/>
    <col min="13057" max="13057" width="33.85546875" style="854" customWidth="1"/>
    <col min="13058" max="13058" width="8.5703125" style="854" customWidth="1"/>
    <col min="13059" max="13059" width="2.5703125" style="854" customWidth="1"/>
    <col min="13060" max="13060" width="8.28515625" style="854" customWidth="1"/>
    <col min="13061" max="13061" width="2.7109375" style="854" customWidth="1"/>
    <col min="13062" max="13062" width="8.42578125" style="854" customWidth="1"/>
    <col min="13063" max="13063" width="8.28515625" style="854" customWidth="1"/>
    <col min="13064" max="13064" width="2.7109375" style="854" customWidth="1"/>
    <col min="13065" max="13066" width="8.28515625" style="854" customWidth="1"/>
    <col min="13067" max="13067" width="2.7109375" style="854" customWidth="1"/>
    <col min="13068" max="13069" width="8.28515625" style="854" customWidth="1"/>
    <col min="13070" max="13070" width="2.7109375" style="854" customWidth="1"/>
    <col min="13071" max="13072" width="8.28515625" style="854" customWidth="1"/>
    <col min="13073" max="13073" width="2.7109375" style="854" customWidth="1"/>
    <col min="13074" max="13075" width="8.28515625" style="854" customWidth="1"/>
    <col min="13076" max="13076" width="2.7109375" style="854" customWidth="1"/>
    <col min="13077" max="13077" width="4.140625" style="854" customWidth="1"/>
    <col min="13078" max="13312" width="8.85546875" style="854"/>
    <col min="13313" max="13313" width="33.85546875" style="854" customWidth="1"/>
    <col min="13314" max="13314" width="8.5703125" style="854" customWidth="1"/>
    <col min="13315" max="13315" width="2.5703125" style="854" customWidth="1"/>
    <col min="13316" max="13316" width="8.28515625" style="854" customWidth="1"/>
    <col min="13317" max="13317" width="2.7109375" style="854" customWidth="1"/>
    <col min="13318" max="13318" width="8.42578125" style="854" customWidth="1"/>
    <col min="13319" max="13319" width="8.28515625" style="854" customWidth="1"/>
    <col min="13320" max="13320" width="2.7109375" style="854" customWidth="1"/>
    <col min="13321" max="13322" width="8.28515625" style="854" customWidth="1"/>
    <col min="13323" max="13323" width="2.7109375" style="854" customWidth="1"/>
    <col min="13324" max="13325" width="8.28515625" style="854" customWidth="1"/>
    <col min="13326" max="13326" width="2.7109375" style="854" customWidth="1"/>
    <col min="13327" max="13328" width="8.28515625" style="854" customWidth="1"/>
    <col min="13329" max="13329" width="2.7109375" style="854" customWidth="1"/>
    <col min="13330" max="13331" width="8.28515625" style="854" customWidth="1"/>
    <col min="13332" max="13332" width="2.7109375" style="854" customWidth="1"/>
    <col min="13333" max="13333" width="4.140625" style="854" customWidth="1"/>
    <col min="13334" max="13568" width="8.85546875" style="854"/>
    <col min="13569" max="13569" width="33.85546875" style="854" customWidth="1"/>
    <col min="13570" max="13570" width="8.5703125" style="854" customWidth="1"/>
    <col min="13571" max="13571" width="2.5703125" style="854" customWidth="1"/>
    <col min="13572" max="13572" width="8.28515625" style="854" customWidth="1"/>
    <col min="13573" max="13573" width="2.7109375" style="854" customWidth="1"/>
    <col min="13574" max="13574" width="8.42578125" style="854" customWidth="1"/>
    <col min="13575" max="13575" width="8.28515625" style="854" customWidth="1"/>
    <col min="13576" max="13576" width="2.7109375" style="854" customWidth="1"/>
    <col min="13577" max="13578" width="8.28515625" style="854" customWidth="1"/>
    <col min="13579" max="13579" width="2.7109375" style="854" customWidth="1"/>
    <col min="13580" max="13581" width="8.28515625" style="854" customWidth="1"/>
    <col min="13582" max="13582" width="2.7109375" style="854" customWidth="1"/>
    <col min="13583" max="13584" width="8.28515625" style="854" customWidth="1"/>
    <col min="13585" max="13585" width="2.7109375" style="854" customWidth="1"/>
    <col min="13586" max="13587" width="8.28515625" style="854" customWidth="1"/>
    <col min="13588" max="13588" width="2.7109375" style="854" customWidth="1"/>
    <col min="13589" max="13589" width="4.140625" style="854" customWidth="1"/>
    <col min="13590" max="13824" width="8.85546875" style="854"/>
    <col min="13825" max="13825" width="33.85546875" style="854" customWidth="1"/>
    <col min="13826" max="13826" width="8.5703125" style="854" customWidth="1"/>
    <col min="13827" max="13827" width="2.5703125" style="854" customWidth="1"/>
    <col min="13828" max="13828" width="8.28515625" style="854" customWidth="1"/>
    <col min="13829" max="13829" width="2.7109375" style="854" customWidth="1"/>
    <col min="13830" max="13830" width="8.42578125" style="854" customWidth="1"/>
    <col min="13831" max="13831" width="8.28515625" style="854" customWidth="1"/>
    <col min="13832" max="13832" width="2.7109375" style="854" customWidth="1"/>
    <col min="13833" max="13834" width="8.28515625" style="854" customWidth="1"/>
    <col min="13835" max="13835" width="2.7109375" style="854" customWidth="1"/>
    <col min="13836" max="13837" width="8.28515625" style="854" customWidth="1"/>
    <col min="13838" max="13838" width="2.7109375" style="854" customWidth="1"/>
    <col min="13839" max="13840" width="8.28515625" style="854" customWidth="1"/>
    <col min="13841" max="13841" width="2.7109375" style="854" customWidth="1"/>
    <col min="13842" max="13843" width="8.28515625" style="854" customWidth="1"/>
    <col min="13844" max="13844" width="2.7109375" style="854" customWidth="1"/>
    <col min="13845" max="13845" width="4.140625" style="854" customWidth="1"/>
    <col min="13846" max="14080" width="8.85546875" style="854"/>
    <col min="14081" max="14081" width="33.85546875" style="854" customWidth="1"/>
    <col min="14082" max="14082" width="8.5703125" style="854" customWidth="1"/>
    <col min="14083" max="14083" width="2.5703125" style="854" customWidth="1"/>
    <col min="14084" max="14084" width="8.28515625" style="854" customWidth="1"/>
    <col min="14085" max="14085" width="2.7109375" style="854" customWidth="1"/>
    <col min="14086" max="14086" width="8.42578125" style="854" customWidth="1"/>
    <col min="14087" max="14087" width="8.28515625" style="854" customWidth="1"/>
    <col min="14088" max="14088" width="2.7109375" style="854" customWidth="1"/>
    <col min="14089" max="14090" width="8.28515625" style="854" customWidth="1"/>
    <col min="14091" max="14091" width="2.7109375" style="854" customWidth="1"/>
    <col min="14092" max="14093" width="8.28515625" style="854" customWidth="1"/>
    <col min="14094" max="14094" width="2.7109375" style="854" customWidth="1"/>
    <col min="14095" max="14096" width="8.28515625" style="854" customWidth="1"/>
    <col min="14097" max="14097" width="2.7109375" style="854" customWidth="1"/>
    <col min="14098" max="14099" width="8.28515625" style="854" customWidth="1"/>
    <col min="14100" max="14100" width="2.7109375" style="854" customWidth="1"/>
    <col min="14101" max="14101" width="4.140625" style="854" customWidth="1"/>
    <col min="14102" max="14336" width="8.85546875" style="854"/>
    <col min="14337" max="14337" width="33.85546875" style="854" customWidth="1"/>
    <col min="14338" max="14338" width="8.5703125" style="854" customWidth="1"/>
    <col min="14339" max="14339" width="2.5703125" style="854" customWidth="1"/>
    <col min="14340" max="14340" width="8.28515625" style="854" customWidth="1"/>
    <col min="14341" max="14341" width="2.7109375" style="854" customWidth="1"/>
    <col min="14342" max="14342" width="8.42578125" style="854" customWidth="1"/>
    <col min="14343" max="14343" width="8.28515625" style="854" customWidth="1"/>
    <col min="14344" max="14344" width="2.7109375" style="854" customWidth="1"/>
    <col min="14345" max="14346" width="8.28515625" style="854" customWidth="1"/>
    <col min="14347" max="14347" width="2.7109375" style="854" customWidth="1"/>
    <col min="14348" max="14349" width="8.28515625" style="854" customWidth="1"/>
    <col min="14350" max="14350" width="2.7109375" style="854" customWidth="1"/>
    <col min="14351" max="14352" width="8.28515625" style="854" customWidth="1"/>
    <col min="14353" max="14353" width="2.7109375" style="854" customWidth="1"/>
    <col min="14354" max="14355" width="8.28515625" style="854" customWidth="1"/>
    <col min="14356" max="14356" width="2.7109375" style="854" customWidth="1"/>
    <col min="14357" max="14357" width="4.140625" style="854" customWidth="1"/>
    <col min="14358" max="14592" width="8.85546875" style="854"/>
    <col min="14593" max="14593" width="33.85546875" style="854" customWidth="1"/>
    <col min="14594" max="14594" width="8.5703125" style="854" customWidth="1"/>
    <col min="14595" max="14595" width="2.5703125" style="854" customWidth="1"/>
    <col min="14596" max="14596" width="8.28515625" style="854" customWidth="1"/>
    <col min="14597" max="14597" width="2.7109375" style="854" customWidth="1"/>
    <col min="14598" max="14598" width="8.42578125" style="854" customWidth="1"/>
    <col min="14599" max="14599" width="8.28515625" style="854" customWidth="1"/>
    <col min="14600" max="14600" width="2.7109375" style="854" customWidth="1"/>
    <col min="14601" max="14602" width="8.28515625" style="854" customWidth="1"/>
    <col min="14603" max="14603" width="2.7109375" style="854" customWidth="1"/>
    <col min="14604" max="14605" width="8.28515625" style="854" customWidth="1"/>
    <col min="14606" max="14606" width="2.7109375" style="854" customWidth="1"/>
    <col min="14607" max="14608" width="8.28515625" style="854" customWidth="1"/>
    <col min="14609" max="14609" width="2.7109375" style="854" customWidth="1"/>
    <col min="14610" max="14611" width="8.28515625" style="854" customWidth="1"/>
    <col min="14612" max="14612" width="2.7109375" style="854" customWidth="1"/>
    <col min="14613" max="14613" width="4.140625" style="854" customWidth="1"/>
    <col min="14614" max="14848" width="8.85546875" style="854"/>
    <col min="14849" max="14849" width="33.85546875" style="854" customWidth="1"/>
    <col min="14850" max="14850" width="8.5703125" style="854" customWidth="1"/>
    <col min="14851" max="14851" width="2.5703125" style="854" customWidth="1"/>
    <col min="14852" max="14852" width="8.28515625" style="854" customWidth="1"/>
    <col min="14853" max="14853" width="2.7109375" style="854" customWidth="1"/>
    <col min="14854" max="14854" width="8.42578125" style="854" customWidth="1"/>
    <col min="14855" max="14855" width="8.28515625" style="854" customWidth="1"/>
    <col min="14856" max="14856" width="2.7109375" style="854" customWidth="1"/>
    <col min="14857" max="14858" width="8.28515625" style="854" customWidth="1"/>
    <col min="14859" max="14859" width="2.7109375" style="854" customWidth="1"/>
    <col min="14860" max="14861" width="8.28515625" style="854" customWidth="1"/>
    <col min="14862" max="14862" width="2.7109375" style="854" customWidth="1"/>
    <col min="14863" max="14864" width="8.28515625" style="854" customWidth="1"/>
    <col min="14865" max="14865" width="2.7109375" style="854" customWidth="1"/>
    <col min="14866" max="14867" width="8.28515625" style="854" customWidth="1"/>
    <col min="14868" max="14868" width="2.7109375" style="854" customWidth="1"/>
    <col min="14869" max="14869" width="4.140625" style="854" customWidth="1"/>
    <col min="14870" max="15104" width="8.85546875" style="854"/>
    <col min="15105" max="15105" width="33.85546875" style="854" customWidth="1"/>
    <col min="15106" max="15106" width="8.5703125" style="854" customWidth="1"/>
    <col min="15107" max="15107" width="2.5703125" style="854" customWidth="1"/>
    <col min="15108" max="15108" width="8.28515625" style="854" customWidth="1"/>
    <col min="15109" max="15109" width="2.7109375" style="854" customWidth="1"/>
    <col min="15110" max="15110" width="8.42578125" style="854" customWidth="1"/>
    <col min="15111" max="15111" width="8.28515625" style="854" customWidth="1"/>
    <col min="15112" max="15112" width="2.7109375" style="854" customWidth="1"/>
    <col min="15113" max="15114" width="8.28515625" style="854" customWidth="1"/>
    <col min="15115" max="15115" width="2.7109375" style="854" customWidth="1"/>
    <col min="15116" max="15117" width="8.28515625" style="854" customWidth="1"/>
    <col min="15118" max="15118" width="2.7109375" style="854" customWidth="1"/>
    <col min="15119" max="15120" width="8.28515625" style="854" customWidth="1"/>
    <col min="15121" max="15121" width="2.7109375" style="854" customWidth="1"/>
    <col min="15122" max="15123" width="8.28515625" style="854" customWidth="1"/>
    <col min="15124" max="15124" width="2.7109375" style="854" customWidth="1"/>
    <col min="15125" max="15125" width="4.140625" style="854" customWidth="1"/>
    <col min="15126" max="15360" width="8.85546875" style="854"/>
    <col min="15361" max="15361" width="33.85546875" style="854" customWidth="1"/>
    <col min="15362" max="15362" width="8.5703125" style="854" customWidth="1"/>
    <col min="15363" max="15363" width="2.5703125" style="854" customWidth="1"/>
    <col min="15364" max="15364" width="8.28515625" style="854" customWidth="1"/>
    <col min="15365" max="15365" width="2.7109375" style="854" customWidth="1"/>
    <col min="15366" max="15366" width="8.42578125" style="854" customWidth="1"/>
    <col min="15367" max="15367" width="8.28515625" style="854" customWidth="1"/>
    <col min="15368" max="15368" width="2.7109375" style="854" customWidth="1"/>
    <col min="15369" max="15370" width="8.28515625" style="854" customWidth="1"/>
    <col min="15371" max="15371" width="2.7109375" style="854" customWidth="1"/>
    <col min="15372" max="15373" width="8.28515625" style="854" customWidth="1"/>
    <col min="15374" max="15374" width="2.7109375" style="854" customWidth="1"/>
    <col min="15375" max="15376" width="8.28515625" style="854" customWidth="1"/>
    <col min="15377" max="15377" width="2.7109375" style="854" customWidth="1"/>
    <col min="15378" max="15379" width="8.28515625" style="854" customWidth="1"/>
    <col min="15380" max="15380" width="2.7109375" style="854" customWidth="1"/>
    <col min="15381" max="15381" width="4.140625" style="854" customWidth="1"/>
    <col min="15382" max="15616" width="8.85546875" style="854"/>
    <col min="15617" max="15617" width="33.85546875" style="854" customWidth="1"/>
    <col min="15618" max="15618" width="8.5703125" style="854" customWidth="1"/>
    <col min="15619" max="15619" width="2.5703125" style="854" customWidth="1"/>
    <col min="15620" max="15620" width="8.28515625" style="854" customWidth="1"/>
    <col min="15621" max="15621" width="2.7109375" style="854" customWidth="1"/>
    <col min="15622" max="15622" width="8.42578125" style="854" customWidth="1"/>
    <col min="15623" max="15623" width="8.28515625" style="854" customWidth="1"/>
    <col min="15624" max="15624" width="2.7109375" style="854" customWidth="1"/>
    <col min="15625" max="15626" width="8.28515625" style="854" customWidth="1"/>
    <col min="15627" max="15627" width="2.7109375" style="854" customWidth="1"/>
    <col min="15628" max="15629" width="8.28515625" style="854" customWidth="1"/>
    <col min="15630" max="15630" width="2.7109375" style="854" customWidth="1"/>
    <col min="15631" max="15632" width="8.28515625" style="854" customWidth="1"/>
    <col min="15633" max="15633" width="2.7109375" style="854" customWidth="1"/>
    <col min="15634" max="15635" width="8.28515625" style="854" customWidth="1"/>
    <col min="15636" max="15636" width="2.7109375" style="854" customWidth="1"/>
    <col min="15637" max="15637" width="4.140625" style="854" customWidth="1"/>
    <col min="15638" max="15872" width="8.85546875" style="854"/>
    <col min="15873" max="15873" width="33.85546875" style="854" customWidth="1"/>
    <col min="15874" max="15874" width="8.5703125" style="854" customWidth="1"/>
    <col min="15875" max="15875" width="2.5703125" style="854" customWidth="1"/>
    <col min="15876" max="15876" width="8.28515625" style="854" customWidth="1"/>
    <col min="15877" max="15877" width="2.7109375" style="854" customWidth="1"/>
    <col min="15878" max="15878" width="8.42578125" style="854" customWidth="1"/>
    <col min="15879" max="15879" width="8.28515625" style="854" customWidth="1"/>
    <col min="15880" max="15880" width="2.7109375" style="854" customWidth="1"/>
    <col min="15881" max="15882" width="8.28515625" style="854" customWidth="1"/>
    <col min="15883" max="15883" width="2.7109375" style="854" customWidth="1"/>
    <col min="15884" max="15885" width="8.28515625" style="854" customWidth="1"/>
    <col min="15886" max="15886" width="2.7109375" style="854" customWidth="1"/>
    <col min="15887" max="15888" width="8.28515625" style="854" customWidth="1"/>
    <col min="15889" max="15889" width="2.7109375" style="854" customWidth="1"/>
    <col min="15890" max="15891" width="8.28515625" style="854" customWidth="1"/>
    <col min="15892" max="15892" width="2.7109375" style="854" customWidth="1"/>
    <col min="15893" max="15893" width="4.140625" style="854" customWidth="1"/>
    <col min="15894" max="16128" width="8.85546875" style="854"/>
    <col min="16129" max="16129" width="33.85546875" style="854" customWidth="1"/>
    <col min="16130" max="16130" width="8.5703125" style="854" customWidth="1"/>
    <col min="16131" max="16131" width="2.5703125" style="854" customWidth="1"/>
    <col min="16132" max="16132" width="8.28515625" style="854" customWidth="1"/>
    <col min="16133" max="16133" width="2.7109375" style="854" customWidth="1"/>
    <col min="16134" max="16134" width="8.42578125" style="854" customWidth="1"/>
    <col min="16135" max="16135" width="8.28515625" style="854" customWidth="1"/>
    <col min="16136" max="16136" width="2.7109375" style="854" customWidth="1"/>
    <col min="16137" max="16138" width="8.28515625" style="854" customWidth="1"/>
    <col min="16139" max="16139" width="2.7109375" style="854" customWidth="1"/>
    <col min="16140" max="16141" width="8.28515625" style="854" customWidth="1"/>
    <col min="16142" max="16142" width="2.7109375" style="854" customWidth="1"/>
    <col min="16143" max="16144" width="8.28515625" style="854" customWidth="1"/>
    <col min="16145" max="16145" width="2.7109375" style="854" customWidth="1"/>
    <col min="16146" max="16147" width="8.28515625" style="854" customWidth="1"/>
    <col min="16148" max="16148" width="2.7109375" style="854" customWidth="1"/>
    <col min="16149" max="16149" width="4.140625" style="854" customWidth="1"/>
    <col min="16150" max="16384" width="8.85546875" style="854"/>
  </cols>
  <sheetData>
    <row r="1" spans="1:21">
      <c r="A1" s="854" t="s">
        <v>311</v>
      </c>
      <c r="B1" s="864"/>
      <c r="C1" s="865"/>
      <c r="D1" s="866"/>
      <c r="E1" s="867"/>
      <c r="F1" s="868"/>
      <c r="G1" s="869"/>
      <c r="H1" s="867"/>
      <c r="I1" s="868"/>
      <c r="J1" s="869"/>
      <c r="K1" s="867"/>
      <c r="L1" s="868"/>
      <c r="M1" s="869"/>
      <c r="N1" s="867"/>
      <c r="O1" s="868"/>
      <c r="P1" s="869"/>
      <c r="Q1" s="867"/>
      <c r="R1" s="868"/>
      <c r="S1" s="869"/>
      <c r="T1" s="867"/>
      <c r="U1" s="867"/>
    </row>
    <row r="2" spans="1:21">
      <c r="A2" s="854" t="s">
        <v>312</v>
      </c>
      <c r="B2" s="864"/>
      <c r="C2" s="865"/>
      <c r="D2" s="866"/>
      <c r="E2" s="867"/>
      <c r="F2" s="868"/>
      <c r="G2" s="869"/>
      <c r="H2" s="867"/>
      <c r="I2" s="868"/>
      <c r="J2" s="869"/>
      <c r="K2" s="867"/>
      <c r="L2" s="868"/>
      <c r="M2" s="869"/>
      <c r="N2" s="867"/>
      <c r="O2" s="868"/>
      <c r="P2" s="869"/>
      <c r="Q2" s="867"/>
      <c r="R2" s="868"/>
      <c r="S2" s="869"/>
      <c r="T2" s="867"/>
      <c r="U2" s="867"/>
    </row>
    <row r="3" spans="1:21" ht="6.95" customHeight="1">
      <c r="B3" s="864"/>
      <c r="C3" s="865"/>
      <c r="D3" s="866"/>
      <c r="E3" s="867"/>
      <c r="F3" s="868"/>
      <c r="G3" s="869"/>
      <c r="H3" s="867"/>
      <c r="I3" s="868"/>
      <c r="J3" s="869"/>
      <c r="K3" s="867"/>
      <c r="L3" s="868"/>
      <c r="M3" s="869"/>
      <c r="N3" s="867"/>
      <c r="O3" s="868"/>
      <c r="P3" s="869"/>
      <c r="Q3" s="867"/>
      <c r="R3" s="868"/>
      <c r="S3" s="869"/>
      <c r="T3" s="867"/>
      <c r="U3" s="867"/>
    </row>
    <row r="4" spans="1:21">
      <c r="A4" s="854" t="s">
        <v>948</v>
      </c>
      <c r="B4" s="864"/>
      <c r="C4" s="865"/>
      <c r="D4" s="866"/>
      <c r="E4" s="867"/>
      <c r="F4" s="868"/>
      <c r="G4" s="869"/>
      <c r="H4" s="867"/>
      <c r="I4" s="868"/>
      <c r="J4" s="869"/>
      <c r="K4" s="867"/>
      <c r="L4" s="868"/>
      <c r="M4" s="869"/>
      <c r="N4" s="867"/>
      <c r="O4" s="868"/>
      <c r="P4" s="869"/>
      <c r="Q4" s="867"/>
      <c r="R4" s="868"/>
      <c r="S4" s="869"/>
      <c r="T4" s="867"/>
      <c r="U4" s="867"/>
    </row>
    <row r="5" spans="1:21" ht="10.5" customHeight="1" thickBot="1">
      <c r="B5" s="864"/>
      <c r="C5" s="865"/>
      <c r="D5" s="866"/>
      <c r="E5" s="867"/>
      <c r="F5" s="868"/>
      <c r="G5" s="869"/>
      <c r="H5" s="867"/>
      <c r="I5" s="868"/>
      <c r="J5" s="869"/>
      <c r="K5" s="867"/>
      <c r="L5" s="868"/>
      <c r="M5" s="869"/>
      <c r="N5" s="867"/>
      <c r="O5" s="868"/>
      <c r="P5" s="869"/>
      <c r="Q5" s="867"/>
      <c r="R5" s="868"/>
      <c r="S5" s="869"/>
      <c r="T5" s="866"/>
      <c r="U5" s="867"/>
    </row>
    <row r="6" spans="1:21" ht="6.95" customHeight="1">
      <c r="A6" s="870"/>
      <c r="B6" s="871"/>
      <c r="C6" s="872"/>
      <c r="D6" s="873"/>
      <c r="E6" s="874"/>
      <c r="F6" s="875"/>
      <c r="G6" s="876"/>
      <c r="H6" s="874"/>
      <c r="I6" s="875"/>
      <c r="J6" s="876"/>
      <c r="K6" s="874"/>
      <c r="L6" s="875"/>
      <c r="M6" s="876"/>
      <c r="N6" s="874"/>
      <c r="O6" s="875"/>
      <c r="P6" s="876"/>
      <c r="Q6" s="874"/>
      <c r="R6" s="875"/>
      <c r="S6" s="876"/>
      <c r="T6" s="873"/>
      <c r="U6" s="867"/>
    </row>
    <row r="7" spans="1:21" ht="17.25">
      <c r="A7" s="877" t="s">
        <v>925</v>
      </c>
      <c r="B7" s="878"/>
      <c r="C7" s="879"/>
      <c r="D7" s="880"/>
      <c r="E7" s="881"/>
      <c r="F7" s="882"/>
      <c r="G7" s="883"/>
      <c r="H7" s="877"/>
      <c r="I7" s="882" t="s">
        <v>926</v>
      </c>
      <c r="J7" s="883"/>
      <c r="K7" s="877"/>
      <c r="L7" s="882" t="s">
        <v>927</v>
      </c>
      <c r="M7" s="883"/>
      <c r="N7" s="877"/>
      <c r="O7" s="882" t="s">
        <v>928</v>
      </c>
      <c r="P7" s="883"/>
      <c r="Q7" s="877"/>
      <c r="R7" s="882"/>
      <c r="S7" s="884"/>
      <c r="T7" s="885"/>
      <c r="U7" s="886"/>
    </row>
    <row r="8" spans="1:21" ht="17.25">
      <c r="A8" s="877" t="s">
        <v>938</v>
      </c>
      <c r="B8" s="887" t="s">
        <v>2134</v>
      </c>
      <c r="C8" s="888"/>
      <c r="D8" s="889"/>
      <c r="E8" s="890"/>
      <c r="F8" s="891" t="s">
        <v>930</v>
      </c>
      <c r="G8" s="892"/>
      <c r="H8" s="877"/>
      <c r="I8" s="891" t="s">
        <v>931</v>
      </c>
      <c r="J8" s="892"/>
      <c r="K8" s="877"/>
      <c r="L8" s="891" t="s">
        <v>932</v>
      </c>
      <c r="M8" s="892"/>
      <c r="N8" s="877"/>
      <c r="O8" s="891" t="s">
        <v>933</v>
      </c>
      <c r="P8" s="892"/>
      <c r="Q8" s="877"/>
      <c r="R8" s="1291" t="s">
        <v>917</v>
      </c>
      <c r="S8" s="1291"/>
      <c r="T8" s="886"/>
      <c r="U8" s="886"/>
    </row>
    <row r="9" spans="1:21" ht="17.25">
      <c r="A9" s="877" t="s">
        <v>949</v>
      </c>
      <c r="B9" s="893" t="s">
        <v>323</v>
      </c>
      <c r="C9" s="894"/>
      <c r="D9" s="895" t="s">
        <v>324</v>
      </c>
      <c r="E9" s="890"/>
      <c r="F9" s="882" t="s">
        <v>323</v>
      </c>
      <c r="G9" s="883" t="s">
        <v>324</v>
      </c>
      <c r="H9" s="877"/>
      <c r="I9" s="882" t="s">
        <v>323</v>
      </c>
      <c r="J9" s="883" t="s">
        <v>324</v>
      </c>
      <c r="K9" s="877"/>
      <c r="L9" s="882" t="s">
        <v>323</v>
      </c>
      <c r="M9" s="883" t="s">
        <v>324</v>
      </c>
      <c r="N9" s="877"/>
      <c r="O9" s="882" t="s">
        <v>323</v>
      </c>
      <c r="P9" s="883" t="s">
        <v>324</v>
      </c>
      <c r="Q9" s="877"/>
      <c r="R9" s="882" t="s">
        <v>323</v>
      </c>
      <c r="S9" s="896" t="s">
        <v>324</v>
      </c>
      <c r="T9" s="885"/>
      <c r="U9" s="886"/>
    </row>
    <row r="10" spans="1:21" ht="6.95" customHeight="1" thickBot="1">
      <c r="A10" s="897"/>
      <c r="B10" s="898"/>
      <c r="C10" s="899"/>
      <c r="D10" s="900"/>
      <c r="E10" s="901"/>
      <c r="F10" s="902"/>
      <c r="G10" s="903"/>
      <c r="H10" s="904"/>
      <c r="I10" s="902"/>
      <c r="J10" s="903"/>
      <c r="K10" s="904"/>
      <c r="L10" s="902"/>
      <c r="M10" s="903"/>
      <c r="N10" s="904"/>
      <c r="O10" s="902"/>
      <c r="P10" s="903"/>
      <c r="Q10" s="904"/>
      <c r="R10" s="902"/>
      <c r="S10" s="903"/>
      <c r="T10" s="905"/>
      <c r="U10" s="886"/>
    </row>
    <row r="11" spans="1:21" ht="6.95" customHeight="1">
      <c r="A11" s="877"/>
      <c r="B11" s="887"/>
      <c r="C11" s="888"/>
      <c r="D11" s="889"/>
      <c r="E11" s="890"/>
      <c r="F11" s="906"/>
      <c r="G11" s="907"/>
      <c r="H11" s="881"/>
      <c r="I11" s="906"/>
      <c r="J11" s="907"/>
      <c r="K11" s="881"/>
      <c r="L11" s="906"/>
      <c r="M11" s="907"/>
      <c r="N11" s="881"/>
      <c r="O11" s="906"/>
      <c r="P11" s="907"/>
      <c r="Q11" s="881"/>
      <c r="R11" s="906"/>
      <c r="S11" s="907"/>
      <c r="T11" s="880"/>
      <c r="U11" s="867"/>
    </row>
    <row r="12" spans="1:21" ht="13.15" customHeight="1">
      <c r="A12" s="867" t="s">
        <v>149</v>
      </c>
      <c r="B12" s="864">
        <f t="shared" ref="B12:B75" si="0">IF($A12&lt;&gt;0,F12+I12+L12+O12+R12,"")</f>
        <v>2654</v>
      </c>
      <c r="C12" s="865"/>
      <c r="D12" s="869">
        <f>IF($A12&lt;&gt;0,D14+D86)</f>
        <v>100</v>
      </c>
      <c r="E12" s="867" t="s">
        <v>253</v>
      </c>
      <c r="F12" s="908">
        <f>IF($A12&lt;&gt;0,F14+F86)</f>
        <v>416</v>
      </c>
      <c r="G12" s="909">
        <f t="shared" ref="G12:G75" si="1">IF($A12&lt;&gt;0,F12/$B12*100,"")</f>
        <v>15.674453654860587</v>
      </c>
      <c r="H12" s="910"/>
      <c r="I12" s="864">
        <f>IF($A12&lt;&gt;0,I14+I86)</f>
        <v>1318</v>
      </c>
      <c r="J12" s="909">
        <f t="shared" ref="J12:J75" si="2">IF($A12&lt;&gt;0,I12/$B12*100,"")</f>
        <v>49.660889223813115</v>
      </c>
      <c r="K12" s="910"/>
      <c r="L12" s="908">
        <f>IF($A12&lt;&gt;0,L14+L86)</f>
        <v>660</v>
      </c>
      <c r="M12" s="909">
        <f>IF($A12&lt;&gt;0,L12/$B12*100,"")</f>
        <v>24.868123587038433</v>
      </c>
      <c r="N12" s="910"/>
      <c r="O12" s="908">
        <f>IF($A12&lt;&gt;0,O14+O86)</f>
        <v>246</v>
      </c>
      <c r="P12" s="909">
        <f t="shared" ref="P12:P75" si="3">IF($A12&lt;&gt;0,O12/$B12*100,"")</f>
        <v>9.2690278824415984</v>
      </c>
      <c r="Q12" s="910"/>
      <c r="R12" s="908">
        <f>IF($A12&lt;&gt;0,R14+R86)</f>
        <v>14</v>
      </c>
      <c r="S12" s="909">
        <f t="shared" ref="S12:S75" si="4">IF($A12&lt;&gt;0,R12/$B12*100,"")</f>
        <v>0.52750565184626974</v>
      </c>
      <c r="T12" s="911"/>
      <c r="U12" s="911"/>
    </row>
    <row r="13" spans="1:21" ht="6.95" customHeight="1">
      <c r="A13" s="867"/>
      <c r="B13" s="911" t="str">
        <f t="shared" si="0"/>
        <v/>
      </c>
      <c r="D13" s="913" t="str">
        <f t="shared" ref="D13:D76" si="5">IF(A13&lt;&gt;0,B13/$B$12*100,"")</f>
        <v/>
      </c>
      <c r="F13" s="915"/>
      <c r="G13" s="916" t="str">
        <f t="shared" si="1"/>
        <v/>
      </c>
      <c r="H13" s="911"/>
      <c r="I13" s="864"/>
      <c r="J13" s="916" t="str">
        <f t="shared" si="2"/>
        <v/>
      </c>
      <c r="K13" s="911"/>
      <c r="L13" s="915"/>
      <c r="M13" s="916" t="str">
        <f>IF($A13&lt;&gt;0,L13/$B13*100,"")</f>
        <v/>
      </c>
      <c r="N13" s="911"/>
      <c r="O13" s="915"/>
      <c r="P13" s="916" t="str">
        <f t="shared" si="3"/>
        <v/>
      </c>
      <c r="Q13" s="911"/>
      <c r="R13" s="915"/>
      <c r="S13" s="916" t="str">
        <f t="shared" si="4"/>
        <v/>
      </c>
      <c r="T13" s="911"/>
      <c r="U13" s="911"/>
    </row>
    <row r="14" spans="1:21" ht="13.15" customHeight="1">
      <c r="A14" s="867" t="s">
        <v>326</v>
      </c>
      <c r="B14" s="910">
        <f t="shared" si="0"/>
        <v>2489</v>
      </c>
      <c r="C14" s="917"/>
      <c r="D14" s="918">
        <f t="shared" si="5"/>
        <v>93.78296910324039</v>
      </c>
      <c r="E14" s="919"/>
      <c r="F14" s="908">
        <f>IF($A14&lt;&gt;0,F16+F22+F81,"")</f>
        <v>407</v>
      </c>
      <c r="G14" s="909">
        <f t="shared" si="1"/>
        <v>16.351948573724385</v>
      </c>
      <c r="H14" s="910"/>
      <c r="I14" s="864">
        <f>IF($A14&lt;&gt;0,I16+I22+I81,"")</f>
        <v>1218</v>
      </c>
      <c r="J14" s="909">
        <f t="shared" si="2"/>
        <v>48.935315387705906</v>
      </c>
      <c r="K14" s="910"/>
      <c r="L14" s="908">
        <f>IF($A14&lt;&gt;0,L16+L22+L81,"")</f>
        <v>621</v>
      </c>
      <c r="M14" s="909">
        <f>IF($A14&lt;&gt;0,L14/$B14*100,"")</f>
        <v>24.949779027721977</v>
      </c>
      <c r="N14" s="910"/>
      <c r="O14" s="908">
        <f>IF($A14&lt;&gt;0,O16+O22+O81,"")</f>
        <v>229</v>
      </c>
      <c r="P14" s="909">
        <f t="shared" si="3"/>
        <v>9.2004821213338701</v>
      </c>
      <c r="Q14" s="910"/>
      <c r="R14" s="908">
        <f>IF($A14&lt;&gt;0,R16+R22+R81,"")</f>
        <v>14</v>
      </c>
      <c r="S14" s="909">
        <f t="shared" si="4"/>
        <v>0.56247488951386093</v>
      </c>
      <c r="T14" s="910"/>
      <c r="U14" s="911"/>
    </row>
    <row r="15" spans="1:21" ht="6.95" customHeight="1">
      <c r="B15" s="911" t="str">
        <f t="shared" si="0"/>
        <v/>
      </c>
      <c r="D15" s="913" t="str">
        <f t="shared" si="5"/>
        <v/>
      </c>
      <c r="F15" s="915"/>
      <c r="G15" s="916" t="str">
        <f t="shared" si="1"/>
        <v/>
      </c>
      <c r="H15" s="911"/>
      <c r="I15" s="915"/>
      <c r="J15" s="916" t="str">
        <f t="shared" si="2"/>
        <v/>
      </c>
      <c r="K15" s="911"/>
      <c r="L15" s="915"/>
      <c r="M15" s="916"/>
      <c r="N15" s="911"/>
      <c r="O15" s="915"/>
      <c r="P15" s="909" t="str">
        <f t="shared" si="3"/>
        <v/>
      </c>
      <c r="Q15" s="911"/>
      <c r="R15" s="915"/>
      <c r="S15" s="909" t="str">
        <f t="shared" si="4"/>
        <v/>
      </c>
      <c r="T15" s="911"/>
      <c r="U15" s="911"/>
    </row>
    <row r="16" spans="1:21" ht="13.15" customHeight="1">
      <c r="A16" s="867" t="s">
        <v>819</v>
      </c>
      <c r="B16" s="910">
        <f t="shared" si="0"/>
        <v>76</v>
      </c>
      <c r="C16" s="917"/>
      <c r="D16" s="918">
        <f t="shared" si="5"/>
        <v>2.8636021100226077</v>
      </c>
      <c r="E16" s="919"/>
      <c r="F16" s="908">
        <f>SUM(F17:F20)</f>
        <v>19</v>
      </c>
      <c r="G16" s="909">
        <f t="shared" si="1"/>
        <v>25</v>
      </c>
      <c r="H16" s="910"/>
      <c r="I16" s="908">
        <f>SUM(I17:I20)</f>
        <v>46</v>
      </c>
      <c r="J16" s="909">
        <f t="shared" si="2"/>
        <v>60.526315789473685</v>
      </c>
      <c r="K16" s="910"/>
      <c r="L16" s="908">
        <f>SUM(L17:L20)</f>
        <v>11</v>
      </c>
      <c r="M16" s="909">
        <f t="shared" ref="M16:M80" si="6">IF($A16&lt;&gt;0,L16/$B16*100,"")</f>
        <v>14.473684210526317</v>
      </c>
      <c r="N16" s="910"/>
      <c r="O16" s="908">
        <f>SUM(O17:O20)</f>
        <v>0</v>
      </c>
      <c r="P16" s="909">
        <f t="shared" si="3"/>
        <v>0</v>
      </c>
      <c r="Q16" s="910"/>
      <c r="R16" s="908">
        <f>SUM(R17:R20)</f>
        <v>0</v>
      </c>
      <c r="S16" s="909">
        <f t="shared" si="4"/>
        <v>0</v>
      </c>
      <c r="T16" s="911"/>
      <c r="U16" s="911"/>
    </row>
    <row r="17" spans="1:21" ht="12.75" customHeight="1">
      <c r="A17" s="847" t="s">
        <v>820</v>
      </c>
      <c r="B17" s="911">
        <f t="shared" si="0"/>
        <v>20</v>
      </c>
      <c r="D17" s="913">
        <f t="shared" si="5"/>
        <v>0.75357950263752826</v>
      </c>
      <c r="F17" s="920">
        <v>4</v>
      </c>
      <c r="G17" s="916">
        <f t="shared" si="1"/>
        <v>20</v>
      </c>
      <c r="H17" s="920"/>
      <c r="I17" s="921">
        <v>16</v>
      </c>
      <c r="J17" s="916">
        <f t="shared" si="2"/>
        <v>80</v>
      </c>
      <c r="K17" s="921"/>
      <c r="L17" s="921">
        <v>0</v>
      </c>
      <c r="M17" s="916">
        <f t="shared" si="6"/>
        <v>0</v>
      </c>
      <c r="N17" s="921"/>
      <c r="O17" s="921">
        <v>0</v>
      </c>
      <c r="P17" s="909">
        <f t="shared" si="3"/>
        <v>0</v>
      </c>
      <c r="Q17" s="921"/>
      <c r="R17" s="921">
        <v>0</v>
      </c>
      <c r="S17" s="909">
        <f t="shared" si="4"/>
        <v>0</v>
      </c>
      <c r="T17" s="911"/>
      <c r="U17" s="911"/>
    </row>
    <row r="18" spans="1:21" ht="13.15" customHeight="1">
      <c r="A18" s="847" t="s">
        <v>821</v>
      </c>
      <c r="B18" s="911">
        <f t="shared" si="0"/>
        <v>11</v>
      </c>
      <c r="D18" s="913">
        <f t="shared" si="5"/>
        <v>0.41446872645064059</v>
      </c>
      <c r="F18" s="920">
        <v>2</v>
      </c>
      <c r="G18" s="916">
        <f t="shared" si="1"/>
        <v>18.181818181818183</v>
      </c>
      <c r="H18" s="920"/>
      <c r="I18" s="921">
        <v>1</v>
      </c>
      <c r="J18" s="916">
        <f t="shared" si="2"/>
        <v>9.0909090909090917</v>
      </c>
      <c r="K18" s="921"/>
      <c r="L18" s="921">
        <v>8</v>
      </c>
      <c r="M18" s="916">
        <f t="shared" si="6"/>
        <v>72.727272727272734</v>
      </c>
      <c r="N18" s="921"/>
      <c r="O18" s="921">
        <v>0</v>
      </c>
      <c r="P18" s="909">
        <f t="shared" si="3"/>
        <v>0</v>
      </c>
      <c r="Q18" s="921"/>
      <c r="R18" s="921">
        <v>0</v>
      </c>
      <c r="S18" s="909">
        <f t="shared" si="4"/>
        <v>0</v>
      </c>
    </row>
    <row r="19" spans="1:21" ht="13.15" customHeight="1">
      <c r="A19" s="847" t="s">
        <v>822</v>
      </c>
      <c r="B19" s="911">
        <f t="shared" si="0"/>
        <v>38</v>
      </c>
      <c r="F19" s="920">
        <v>9</v>
      </c>
      <c r="G19" s="916">
        <f t="shared" si="1"/>
        <v>23.684210526315788</v>
      </c>
      <c r="H19" s="920"/>
      <c r="I19" s="921">
        <v>28</v>
      </c>
      <c r="J19" s="916">
        <f t="shared" si="2"/>
        <v>73.68421052631578</v>
      </c>
      <c r="K19" s="921"/>
      <c r="L19" s="921">
        <v>1</v>
      </c>
      <c r="M19" s="916">
        <f t="shared" si="6"/>
        <v>2.6315789473684208</v>
      </c>
      <c r="N19" s="921"/>
      <c r="O19" s="921">
        <v>0</v>
      </c>
      <c r="P19" s="909">
        <f t="shared" si="3"/>
        <v>0</v>
      </c>
      <c r="Q19" s="921"/>
      <c r="R19" s="921">
        <v>0</v>
      </c>
      <c r="S19" s="909">
        <f t="shared" si="4"/>
        <v>0</v>
      </c>
    </row>
    <row r="20" spans="1:21" ht="13.15" customHeight="1">
      <c r="A20" s="847" t="s">
        <v>823</v>
      </c>
      <c r="B20" s="911">
        <f t="shared" si="0"/>
        <v>7</v>
      </c>
      <c r="D20" s="913">
        <f t="shared" si="5"/>
        <v>0.26375282592313487</v>
      </c>
      <c r="F20" s="920">
        <v>4</v>
      </c>
      <c r="G20" s="916">
        <f t="shared" si="1"/>
        <v>57.142857142857139</v>
      </c>
      <c r="H20" s="920"/>
      <c r="I20" s="921">
        <v>1</v>
      </c>
      <c r="J20" s="916">
        <f t="shared" si="2"/>
        <v>14.285714285714285</v>
      </c>
      <c r="K20" s="921"/>
      <c r="L20" s="921">
        <v>2</v>
      </c>
      <c r="M20" s="916">
        <f t="shared" si="6"/>
        <v>28.571428571428569</v>
      </c>
      <c r="N20" s="921"/>
      <c r="O20" s="921">
        <v>0</v>
      </c>
      <c r="P20" s="909">
        <f t="shared" si="3"/>
        <v>0</v>
      </c>
      <c r="Q20" s="921"/>
      <c r="R20" s="921">
        <v>0</v>
      </c>
      <c r="S20" s="909">
        <f t="shared" si="4"/>
        <v>0</v>
      </c>
    </row>
    <row r="21" spans="1:21" ht="6.75" customHeight="1">
      <c r="B21" s="911" t="str">
        <f t="shared" si="0"/>
        <v/>
      </c>
      <c r="D21" s="913" t="str">
        <f t="shared" si="5"/>
        <v/>
      </c>
      <c r="G21" s="916" t="str">
        <f t="shared" si="1"/>
        <v/>
      </c>
      <c r="J21" s="916" t="str">
        <f t="shared" si="2"/>
        <v/>
      </c>
      <c r="K21" s="913"/>
      <c r="M21" s="916" t="str">
        <f t="shared" si="6"/>
        <v/>
      </c>
      <c r="N21" s="913"/>
      <c r="P21" s="909" t="str">
        <f t="shared" si="3"/>
        <v/>
      </c>
      <c r="S21" s="923" t="str">
        <f t="shared" si="4"/>
        <v/>
      </c>
    </row>
    <row r="22" spans="1:21" ht="13.15" customHeight="1">
      <c r="A22" s="867" t="s">
        <v>824</v>
      </c>
      <c r="B22" s="910">
        <f>IF($A22&lt;&gt;0,F22+I22+L22+O22+R22,"")</f>
        <v>2059</v>
      </c>
      <c r="C22" s="917"/>
      <c r="D22" s="918">
        <f t="shared" si="5"/>
        <v>77.581009796533522</v>
      </c>
      <c r="E22" s="919"/>
      <c r="F22" s="924">
        <f>SUM(F23:F79)</f>
        <v>313</v>
      </c>
      <c r="G22" s="918">
        <f t="shared" si="1"/>
        <v>15.201554152501215</v>
      </c>
      <c r="H22" s="918"/>
      <c r="I22" s="924">
        <f>SUM(I23:I79)</f>
        <v>996</v>
      </c>
      <c r="J22" s="918">
        <f t="shared" si="2"/>
        <v>48.372996600291401</v>
      </c>
      <c r="K22" s="918"/>
      <c r="L22" s="924">
        <f>SUM(L23:L79)</f>
        <v>560</v>
      </c>
      <c r="M22" s="918">
        <f t="shared" si="6"/>
        <v>27.197668771248178</v>
      </c>
      <c r="N22" s="918"/>
      <c r="O22" s="924">
        <f>SUM(O23:O79)</f>
        <v>177</v>
      </c>
      <c r="P22" s="918">
        <f t="shared" si="3"/>
        <v>8.5964060223409433</v>
      </c>
      <c r="Q22" s="918"/>
      <c r="R22" s="924">
        <f>SUM(R23:R79)</f>
        <v>13</v>
      </c>
      <c r="S22" s="918">
        <f t="shared" si="4"/>
        <v>0.63137445361826128</v>
      </c>
    </row>
    <row r="23" spans="1:21" ht="13.15" customHeight="1">
      <c r="A23" s="847" t="s">
        <v>825</v>
      </c>
      <c r="B23" s="911">
        <f t="shared" si="0"/>
        <v>83</v>
      </c>
      <c r="D23" s="913">
        <f t="shared" si="5"/>
        <v>3.1273549359457418</v>
      </c>
      <c r="F23" s="920">
        <v>10</v>
      </c>
      <c r="G23" s="916">
        <f t="shared" si="1"/>
        <v>12.048192771084338</v>
      </c>
      <c r="H23" s="920"/>
      <c r="I23" s="921">
        <v>41</v>
      </c>
      <c r="J23" s="916">
        <f t="shared" si="2"/>
        <v>49.397590361445779</v>
      </c>
      <c r="K23" s="921"/>
      <c r="L23" s="921">
        <v>32</v>
      </c>
      <c r="M23" s="916">
        <f t="shared" si="6"/>
        <v>38.554216867469883</v>
      </c>
      <c r="N23" s="921"/>
      <c r="O23" s="921">
        <v>0</v>
      </c>
      <c r="P23" s="916">
        <f t="shared" si="3"/>
        <v>0</v>
      </c>
      <c r="Q23" s="921"/>
      <c r="R23" s="921">
        <v>0</v>
      </c>
      <c r="S23" s="923">
        <f t="shared" si="4"/>
        <v>0</v>
      </c>
    </row>
    <row r="24" spans="1:21" ht="13.15" customHeight="1">
      <c r="A24" s="847" t="s">
        <v>826</v>
      </c>
      <c r="B24" s="911">
        <f t="shared" si="0"/>
        <v>10</v>
      </c>
      <c r="D24" s="913">
        <f t="shared" si="5"/>
        <v>0.37678975131876413</v>
      </c>
      <c r="F24" s="920">
        <v>1</v>
      </c>
      <c r="G24" s="916">
        <f t="shared" si="1"/>
        <v>10</v>
      </c>
      <c r="H24" s="920"/>
      <c r="I24" s="921">
        <v>9</v>
      </c>
      <c r="J24" s="916">
        <f t="shared" si="2"/>
        <v>90</v>
      </c>
      <c r="K24" s="921"/>
      <c r="L24" s="921">
        <v>0</v>
      </c>
      <c r="M24" s="916">
        <f t="shared" si="6"/>
        <v>0</v>
      </c>
      <c r="N24" s="921"/>
      <c r="O24" s="921">
        <v>0</v>
      </c>
      <c r="P24" s="916">
        <f t="shared" si="3"/>
        <v>0</v>
      </c>
      <c r="Q24" s="921"/>
      <c r="R24" s="921">
        <v>0</v>
      </c>
      <c r="S24" s="923">
        <f t="shared" si="4"/>
        <v>0</v>
      </c>
    </row>
    <row r="25" spans="1:21" ht="13.15" customHeight="1">
      <c r="A25" s="847" t="s">
        <v>827</v>
      </c>
      <c r="B25" s="911">
        <f t="shared" si="0"/>
        <v>132</v>
      </c>
      <c r="D25" s="913">
        <f t="shared" si="5"/>
        <v>4.9736247174076871</v>
      </c>
      <c r="F25" s="920">
        <v>11</v>
      </c>
      <c r="G25" s="916">
        <f t="shared" si="1"/>
        <v>8.3333333333333321</v>
      </c>
      <c r="H25" s="920"/>
      <c r="I25" s="921">
        <v>91</v>
      </c>
      <c r="J25" s="916">
        <f t="shared" si="2"/>
        <v>68.939393939393938</v>
      </c>
      <c r="K25" s="921"/>
      <c r="L25" s="921">
        <v>30</v>
      </c>
      <c r="M25" s="916">
        <f t="shared" si="6"/>
        <v>22.727272727272727</v>
      </c>
      <c r="N25" s="921"/>
      <c r="O25" s="921">
        <v>0</v>
      </c>
      <c r="P25" s="916">
        <f t="shared" si="3"/>
        <v>0</v>
      </c>
      <c r="Q25" s="921"/>
      <c r="R25" s="921">
        <v>0</v>
      </c>
      <c r="S25" s="923">
        <f t="shared" si="4"/>
        <v>0</v>
      </c>
    </row>
    <row r="26" spans="1:21" ht="13.15" customHeight="1">
      <c r="A26" s="847" t="s">
        <v>828</v>
      </c>
      <c r="B26" s="911">
        <f t="shared" si="0"/>
        <v>18</v>
      </c>
      <c r="D26" s="913">
        <f t="shared" si="5"/>
        <v>0.67822155237377535</v>
      </c>
      <c r="F26" s="920">
        <v>7</v>
      </c>
      <c r="G26" s="916">
        <f t="shared" si="1"/>
        <v>38.888888888888893</v>
      </c>
      <c r="H26" s="920"/>
      <c r="I26" s="921">
        <v>4</v>
      </c>
      <c r="J26" s="916">
        <f t="shared" si="2"/>
        <v>22.222222222222221</v>
      </c>
      <c r="K26" s="921"/>
      <c r="L26" s="921">
        <v>5</v>
      </c>
      <c r="M26" s="916">
        <f t="shared" si="6"/>
        <v>27.777777777777779</v>
      </c>
      <c r="N26" s="921"/>
      <c r="O26" s="921">
        <v>2</v>
      </c>
      <c r="P26" s="916">
        <f t="shared" si="3"/>
        <v>11.111111111111111</v>
      </c>
      <c r="Q26" s="921"/>
      <c r="R26" s="921">
        <v>0</v>
      </c>
      <c r="S26" s="923">
        <f t="shared" si="4"/>
        <v>0</v>
      </c>
    </row>
    <row r="27" spans="1:21" ht="13.15" customHeight="1">
      <c r="A27" s="847" t="s">
        <v>829</v>
      </c>
      <c r="B27" s="911">
        <f t="shared" si="0"/>
        <v>40</v>
      </c>
      <c r="D27" s="913">
        <f t="shared" si="5"/>
        <v>1.5071590052750565</v>
      </c>
      <c r="F27" s="920">
        <v>6</v>
      </c>
      <c r="G27" s="916">
        <f t="shared" si="1"/>
        <v>15</v>
      </c>
      <c r="H27" s="920"/>
      <c r="I27" s="921">
        <v>20</v>
      </c>
      <c r="J27" s="916">
        <f t="shared" si="2"/>
        <v>50</v>
      </c>
      <c r="K27" s="921"/>
      <c r="L27" s="921">
        <v>11</v>
      </c>
      <c r="M27" s="916">
        <f t="shared" si="6"/>
        <v>27.500000000000004</v>
      </c>
      <c r="N27" s="921"/>
      <c r="O27" s="921">
        <v>3</v>
      </c>
      <c r="P27" s="916">
        <f t="shared" si="3"/>
        <v>7.5</v>
      </c>
      <c r="Q27" s="921"/>
      <c r="R27" s="921">
        <v>0</v>
      </c>
      <c r="S27" s="923">
        <f t="shared" si="4"/>
        <v>0</v>
      </c>
    </row>
    <row r="28" spans="1:21" ht="13.15" customHeight="1">
      <c r="A28" s="847" t="s">
        <v>830</v>
      </c>
      <c r="B28" s="911">
        <f t="shared" si="0"/>
        <v>35</v>
      </c>
      <c r="D28" s="913">
        <f t="shared" si="5"/>
        <v>1.3187641296156745</v>
      </c>
      <c r="F28" s="920">
        <v>8</v>
      </c>
      <c r="G28" s="916">
        <f t="shared" si="1"/>
        <v>22.857142857142858</v>
      </c>
      <c r="H28" s="920"/>
      <c r="I28" s="921">
        <v>13</v>
      </c>
      <c r="J28" s="916">
        <f t="shared" si="2"/>
        <v>37.142857142857146</v>
      </c>
      <c r="K28" s="921"/>
      <c r="L28" s="921">
        <v>10</v>
      </c>
      <c r="M28" s="916">
        <f t="shared" si="6"/>
        <v>28.571428571428569</v>
      </c>
      <c r="N28" s="921"/>
      <c r="O28" s="921">
        <v>4</v>
      </c>
      <c r="P28" s="916">
        <f t="shared" si="3"/>
        <v>11.428571428571429</v>
      </c>
      <c r="Q28" s="921"/>
      <c r="R28" s="921">
        <v>0</v>
      </c>
      <c r="S28" s="923">
        <f t="shared" si="4"/>
        <v>0</v>
      </c>
    </row>
    <row r="29" spans="1:21" ht="13.15" customHeight="1">
      <c r="A29" s="847" t="s">
        <v>831</v>
      </c>
      <c r="B29" s="911">
        <f t="shared" si="0"/>
        <v>12</v>
      </c>
      <c r="D29" s="913">
        <f t="shared" si="5"/>
        <v>0.45214770158251694</v>
      </c>
      <c r="F29" s="920">
        <v>2</v>
      </c>
      <c r="G29" s="916">
        <f t="shared" si="1"/>
        <v>16.666666666666664</v>
      </c>
      <c r="H29" s="920"/>
      <c r="I29" s="921">
        <v>1</v>
      </c>
      <c r="J29" s="916">
        <f t="shared" si="2"/>
        <v>8.3333333333333321</v>
      </c>
      <c r="K29" s="921"/>
      <c r="L29" s="921">
        <v>9</v>
      </c>
      <c r="M29" s="916">
        <f t="shared" si="6"/>
        <v>75</v>
      </c>
      <c r="N29" s="921"/>
      <c r="O29" s="921">
        <v>0</v>
      </c>
      <c r="P29" s="916">
        <f t="shared" si="3"/>
        <v>0</v>
      </c>
      <c r="Q29" s="921"/>
      <c r="R29" s="921">
        <v>0</v>
      </c>
      <c r="S29" s="923">
        <f t="shared" si="4"/>
        <v>0</v>
      </c>
    </row>
    <row r="30" spans="1:21" ht="13.15" customHeight="1">
      <c r="A30" s="847" t="s">
        <v>832</v>
      </c>
      <c r="B30" s="911">
        <f t="shared" si="0"/>
        <v>57</v>
      </c>
      <c r="D30" s="913">
        <f t="shared" si="5"/>
        <v>2.1477015825169556</v>
      </c>
      <c r="F30" s="920">
        <v>4</v>
      </c>
      <c r="G30" s="916">
        <f t="shared" si="1"/>
        <v>7.0175438596491224</v>
      </c>
      <c r="H30" s="920"/>
      <c r="I30" s="921">
        <v>23</v>
      </c>
      <c r="J30" s="916">
        <f t="shared" si="2"/>
        <v>40.350877192982452</v>
      </c>
      <c r="K30" s="921"/>
      <c r="L30" s="921">
        <v>22</v>
      </c>
      <c r="M30" s="916">
        <f t="shared" si="6"/>
        <v>38.596491228070171</v>
      </c>
      <c r="N30" s="921"/>
      <c r="O30" s="921">
        <v>8</v>
      </c>
      <c r="P30" s="916">
        <f t="shared" si="3"/>
        <v>14.035087719298245</v>
      </c>
      <c r="Q30" s="921"/>
      <c r="R30" s="921">
        <v>0</v>
      </c>
      <c r="S30" s="923">
        <f t="shared" si="4"/>
        <v>0</v>
      </c>
    </row>
    <row r="31" spans="1:21" ht="13.15" customHeight="1">
      <c r="A31" s="847" t="s">
        <v>833</v>
      </c>
      <c r="B31" s="911">
        <f t="shared" si="0"/>
        <v>24</v>
      </c>
      <c r="D31" s="913">
        <f t="shared" si="5"/>
        <v>0.90429540316503387</v>
      </c>
      <c r="F31" s="920">
        <v>4</v>
      </c>
      <c r="G31" s="916">
        <f t="shared" si="1"/>
        <v>16.666666666666664</v>
      </c>
      <c r="H31" s="920"/>
      <c r="I31" s="921">
        <v>17</v>
      </c>
      <c r="J31" s="916">
        <f t="shared" si="2"/>
        <v>70.833333333333343</v>
      </c>
      <c r="K31" s="921"/>
      <c r="L31" s="921">
        <v>3</v>
      </c>
      <c r="M31" s="916">
        <f t="shared" si="6"/>
        <v>12.5</v>
      </c>
      <c r="N31" s="921"/>
      <c r="O31" s="921">
        <v>0</v>
      </c>
      <c r="P31" s="916">
        <f t="shared" si="3"/>
        <v>0</v>
      </c>
      <c r="Q31" s="921"/>
      <c r="R31" s="921">
        <v>0</v>
      </c>
      <c r="S31" s="923">
        <f t="shared" si="4"/>
        <v>0</v>
      </c>
    </row>
    <row r="32" spans="1:21" ht="13.15" customHeight="1">
      <c r="A32" s="847" t="s">
        <v>834</v>
      </c>
      <c r="B32" s="911">
        <f t="shared" si="0"/>
        <v>56</v>
      </c>
      <c r="D32" s="913">
        <f t="shared" si="5"/>
        <v>2.110022607385079</v>
      </c>
      <c r="F32" s="920">
        <v>10</v>
      </c>
      <c r="G32" s="916">
        <f t="shared" si="1"/>
        <v>17.857142857142858</v>
      </c>
      <c r="H32" s="920"/>
      <c r="I32" s="921">
        <v>26</v>
      </c>
      <c r="J32" s="916">
        <f t="shared" si="2"/>
        <v>46.428571428571431</v>
      </c>
      <c r="K32" s="921"/>
      <c r="L32" s="921">
        <v>19</v>
      </c>
      <c r="M32" s="916">
        <f t="shared" si="6"/>
        <v>33.928571428571431</v>
      </c>
      <c r="N32" s="921"/>
      <c r="O32" s="921">
        <v>1</v>
      </c>
      <c r="P32" s="916">
        <f t="shared" si="3"/>
        <v>1.7857142857142856</v>
      </c>
      <c r="Q32" s="921"/>
      <c r="R32" s="921">
        <v>0</v>
      </c>
      <c r="S32" s="923">
        <f t="shared" si="4"/>
        <v>0</v>
      </c>
    </row>
    <row r="33" spans="1:19" ht="13.15" customHeight="1">
      <c r="A33" s="847" t="s">
        <v>835</v>
      </c>
      <c r="B33" s="911">
        <f t="shared" si="0"/>
        <v>33</v>
      </c>
      <c r="D33" s="913">
        <f t="shared" si="5"/>
        <v>1.2434061793519218</v>
      </c>
      <c r="F33" s="920">
        <v>9</v>
      </c>
      <c r="G33" s="916">
        <f t="shared" si="1"/>
        <v>27.27272727272727</v>
      </c>
      <c r="H33" s="920"/>
      <c r="I33" s="921">
        <v>19</v>
      </c>
      <c r="J33" s="916">
        <f t="shared" si="2"/>
        <v>57.575757575757578</v>
      </c>
      <c r="K33" s="921"/>
      <c r="L33" s="921">
        <v>4</v>
      </c>
      <c r="M33" s="916">
        <f t="shared" si="6"/>
        <v>12.121212121212121</v>
      </c>
      <c r="N33" s="921"/>
      <c r="O33" s="921">
        <v>1</v>
      </c>
      <c r="P33" s="916">
        <f t="shared" si="3"/>
        <v>3.0303030303030303</v>
      </c>
      <c r="Q33" s="921"/>
      <c r="R33" s="921">
        <v>0</v>
      </c>
      <c r="S33" s="923">
        <f t="shared" si="4"/>
        <v>0</v>
      </c>
    </row>
    <row r="34" spans="1:19" ht="13.15" customHeight="1">
      <c r="A34" s="847" t="s">
        <v>836</v>
      </c>
      <c r="B34" s="911">
        <f t="shared" si="0"/>
        <v>20</v>
      </c>
      <c r="D34" s="913">
        <f t="shared" si="5"/>
        <v>0.75357950263752826</v>
      </c>
      <c r="F34" s="920">
        <v>0</v>
      </c>
      <c r="G34" s="916">
        <f t="shared" si="1"/>
        <v>0</v>
      </c>
      <c r="H34" s="920"/>
      <c r="I34" s="921">
        <v>3</v>
      </c>
      <c r="J34" s="916">
        <f t="shared" si="2"/>
        <v>15</v>
      </c>
      <c r="K34" s="921"/>
      <c r="L34" s="921">
        <v>6</v>
      </c>
      <c r="M34" s="916">
        <f t="shared" si="6"/>
        <v>30</v>
      </c>
      <c r="N34" s="921"/>
      <c r="O34" s="921">
        <v>3</v>
      </c>
      <c r="P34" s="916">
        <f t="shared" si="3"/>
        <v>15</v>
      </c>
      <c r="Q34" s="921"/>
      <c r="R34" s="921">
        <v>8</v>
      </c>
      <c r="S34" s="923">
        <f t="shared" si="4"/>
        <v>40</v>
      </c>
    </row>
    <row r="35" spans="1:19" ht="13.15" customHeight="1">
      <c r="A35" s="847" t="s">
        <v>837</v>
      </c>
      <c r="B35" s="911">
        <f t="shared" si="0"/>
        <v>27</v>
      </c>
      <c r="D35" s="913">
        <f t="shared" si="5"/>
        <v>1.0173323285606632</v>
      </c>
      <c r="F35" s="920">
        <v>4</v>
      </c>
      <c r="G35" s="916">
        <f t="shared" si="1"/>
        <v>14.814814814814813</v>
      </c>
      <c r="H35" s="920"/>
      <c r="I35" s="921">
        <v>12</v>
      </c>
      <c r="J35" s="916">
        <f t="shared" si="2"/>
        <v>44.444444444444443</v>
      </c>
      <c r="K35" s="921"/>
      <c r="L35" s="921">
        <v>5</v>
      </c>
      <c r="M35" s="916">
        <f t="shared" si="6"/>
        <v>18.518518518518519</v>
      </c>
      <c r="N35" s="921"/>
      <c r="O35" s="921">
        <v>6</v>
      </c>
      <c r="P35" s="916">
        <f t="shared" si="3"/>
        <v>22.222222222222221</v>
      </c>
      <c r="Q35" s="921"/>
      <c r="R35" s="921">
        <v>0</v>
      </c>
      <c r="S35" s="923">
        <f t="shared" si="4"/>
        <v>0</v>
      </c>
    </row>
    <row r="36" spans="1:19" ht="13.5" customHeight="1">
      <c r="A36" s="847" t="s">
        <v>838</v>
      </c>
      <c r="B36" s="911">
        <f t="shared" si="0"/>
        <v>29</v>
      </c>
      <c r="D36" s="913">
        <f t="shared" si="5"/>
        <v>1.0926902788244159</v>
      </c>
      <c r="F36" s="920">
        <v>1</v>
      </c>
      <c r="G36" s="916">
        <f t="shared" si="1"/>
        <v>3.4482758620689653</v>
      </c>
      <c r="H36" s="920"/>
      <c r="I36" s="921">
        <v>10</v>
      </c>
      <c r="J36" s="916">
        <f t="shared" si="2"/>
        <v>34.482758620689658</v>
      </c>
      <c r="K36" s="921"/>
      <c r="L36" s="921">
        <v>16</v>
      </c>
      <c r="M36" s="916">
        <f t="shared" si="6"/>
        <v>55.172413793103445</v>
      </c>
      <c r="N36" s="921"/>
      <c r="O36" s="921">
        <v>2</v>
      </c>
      <c r="P36" s="916">
        <f t="shared" si="3"/>
        <v>6.8965517241379306</v>
      </c>
      <c r="Q36" s="921"/>
      <c r="R36" s="921">
        <v>0</v>
      </c>
      <c r="S36" s="923">
        <f t="shared" si="4"/>
        <v>0</v>
      </c>
    </row>
    <row r="37" spans="1:19" ht="13.15" customHeight="1">
      <c r="A37" s="847" t="s">
        <v>839</v>
      </c>
      <c r="B37" s="911">
        <f t="shared" si="0"/>
        <v>7</v>
      </c>
      <c r="D37" s="913">
        <f t="shared" si="5"/>
        <v>0.26375282592313487</v>
      </c>
      <c r="F37" s="920">
        <v>2</v>
      </c>
      <c r="G37" s="916">
        <f t="shared" si="1"/>
        <v>28.571428571428569</v>
      </c>
      <c r="H37" s="920"/>
      <c r="I37" s="921">
        <v>0</v>
      </c>
      <c r="J37" s="916">
        <f t="shared" si="2"/>
        <v>0</v>
      </c>
      <c r="K37" s="921"/>
      <c r="L37" s="921">
        <v>2</v>
      </c>
      <c r="M37" s="916">
        <f t="shared" si="6"/>
        <v>28.571428571428569</v>
      </c>
      <c r="N37" s="921"/>
      <c r="O37" s="921">
        <v>3</v>
      </c>
      <c r="P37" s="916">
        <f t="shared" si="3"/>
        <v>42.857142857142854</v>
      </c>
      <c r="Q37" s="921"/>
      <c r="R37" s="921">
        <v>0</v>
      </c>
      <c r="S37" s="923">
        <f t="shared" si="4"/>
        <v>0</v>
      </c>
    </row>
    <row r="38" spans="1:19" ht="13.15" customHeight="1">
      <c r="A38" s="847" t="s">
        <v>840</v>
      </c>
      <c r="B38" s="911">
        <f t="shared" si="0"/>
        <v>93</v>
      </c>
      <c r="D38" s="913">
        <f t="shared" si="5"/>
        <v>3.5041446872645063</v>
      </c>
      <c r="F38" s="920">
        <v>19</v>
      </c>
      <c r="G38" s="916">
        <f t="shared" si="1"/>
        <v>20.43010752688172</v>
      </c>
      <c r="H38" s="920"/>
      <c r="I38" s="921">
        <v>50</v>
      </c>
      <c r="J38" s="916">
        <f t="shared" si="2"/>
        <v>53.763440860215049</v>
      </c>
      <c r="K38" s="921"/>
      <c r="L38" s="921">
        <v>22</v>
      </c>
      <c r="M38" s="916">
        <f t="shared" si="6"/>
        <v>23.655913978494624</v>
      </c>
      <c r="N38" s="921"/>
      <c r="O38" s="921">
        <v>1</v>
      </c>
      <c r="P38" s="916">
        <f t="shared" si="3"/>
        <v>1.0752688172043012</v>
      </c>
      <c r="Q38" s="921"/>
      <c r="R38" s="921">
        <v>1</v>
      </c>
      <c r="S38" s="923">
        <f t="shared" si="4"/>
        <v>1.0752688172043012</v>
      </c>
    </row>
    <row r="39" spans="1:19" ht="13.15" customHeight="1">
      <c r="A39" s="847" t="s">
        <v>841</v>
      </c>
      <c r="B39" s="911">
        <f t="shared" si="0"/>
        <v>57</v>
      </c>
      <c r="D39" s="913">
        <f t="shared" si="5"/>
        <v>2.1477015825169556</v>
      </c>
      <c r="F39" s="920">
        <v>17</v>
      </c>
      <c r="G39" s="916">
        <f t="shared" si="1"/>
        <v>29.82456140350877</v>
      </c>
      <c r="H39" s="920"/>
      <c r="I39" s="921">
        <v>26</v>
      </c>
      <c r="J39" s="916">
        <f t="shared" si="2"/>
        <v>45.614035087719294</v>
      </c>
      <c r="K39" s="921"/>
      <c r="L39" s="921">
        <v>12</v>
      </c>
      <c r="M39" s="916">
        <f t="shared" si="6"/>
        <v>21.052631578947366</v>
      </c>
      <c r="N39" s="921"/>
      <c r="O39" s="921">
        <v>2</v>
      </c>
      <c r="P39" s="916">
        <f t="shared" si="3"/>
        <v>3.5087719298245612</v>
      </c>
      <c r="Q39" s="921"/>
      <c r="R39" s="921">
        <v>0</v>
      </c>
      <c r="S39" s="923">
        <f t="shared" si="4"/>
        <v>0</v>
      </c>
    </row>
    <row r="40" spans="1:19" ht="13.15" customHeight="1">
      <c r="A40" s="847" t="s">
        <v>842</v>
      </c>
      <c r="B40" s="911">
        <f t="shared" si="0"/>
        <v>35</v>
      </c>
      <c r="D40" s="913">
        <f t="shared" si="5"/>
        <v>1.3187641296156745</v>
      </c>
      <c r="F40" s="920">
        <v>2</v>
      </c>
      <c r="G40" s="916">
        <f t="shared" si="1"/>
        <v>5.7142857142857144</v>
      </c>
      <c r="H40" s="920"/>
      <c r="I40" s="921">
        <v>25</v>
      </c>
      <c r="J40" s="916">
        <f t="shared" si="2"/>
        <v>71.428571428571431</v>
      </c>
      <c r="K40" s="921"/>
      <c r="L40" s="921">
        <v>8</v>
      </c>
      <c r="M40" s="916">
        <f t="shared" si="6"/>
        <v>22.857142857142858</v>
      </c>
      <c r="N40" s="921"/>
      <c r="O40" s="921">
        <v>0</v>
      </c>
      <c r="P40" s="916">
        <f t="shared" si="3"/>
        <v>0</v>
      </c>
      <c r="Q40" s="921"/>
      <c r="R40" s="921">
        <v>0</v>
      </c>
      <c r="S40" s="923">
        <f t="shared" si="4"/>
        <v>0</v>
      </c>
    </row>
    <row r="41" spans="1:19" ht="13.15" customHeight="1">
      <c r="A41" s="847" t="s">
        <v>843</v>
      </c>
      <c r="B41" s="911">
        <f t="shared" si="0"/>
        <v>32</v>
      </c>
      <c r="D41" s="913">
        <f t="shared" si="5"/>
        <v>1.2057272042200453</v>
      </c>
      <c r="F41" s="920">
        <v>5</v>
      </c>
      <c r="G41" s="916">
        <f t="shared" si="1"/>
        <v>15.625</v>
      </c>
      <c r="H41" s="920"/>
      <c r="I41" s="921">
        <v>13</v>
      </c>
      <c r="J41" s="916">
        <f t="shared" si="2"/>
        <v>40.625</v>
      </c>
      <c r="K41" s="921"/>
      <c r="L41" s="921">
        <v>13</v>
      </c>
      <c r="M41" s="916">
        <f t="shared" si="6"/>
        <v>40.625</v>
      </c>
      <c r="N41" s="921"/>
      <c r="O41" s="921">
        <v>1</v>
      </c>
      <c r="P41" s="916">
        <f t="shared" si="3"/>
        <v>3.125</v>
      </c>
      <c r="Q41" s="921"/>
      <c r="R41" s="921">
        <v>0</v>
      </c>
      <c r="S41" s="923">
        <f t="shared" si="4"/>
        <v>0</v>
      </c>
    </row>
    <row r="42" spans="1:19" ht="13.15" customHeight="1">
      <c r="A42" s="847" t="s">
        <v>844</v>
      </c>
      <c r="B42" s="911">
        <f t="shared" si="0"/>
        <v>25</v>
      </c>
      <c r="D42" s="913">
        <f t="shared" si="5"/>
        <v>0.94197437829691044</v>
      </c>
      <c r="F42" s="920">
        <v>6</v>
      </c>
      <c r="G42" s="916">
        <f t="shared" si="1"/>
        <v>24</v>
      </c>
      <c r="H42" s="920"/>
      <c r="I42" s="921">
        <v>17</v>
      </c>
      <c r="J42" s="916">
        <f t="shared" si="2"/>
        <v>68</v>
      </c>
      <c r="K42" s="921"/>
      <c r="L42" s="921">
        <v>2</v>
      </c>
      <c r="M42" s="916">
        <f t="shared" si="6"/>
        <v>8</v>
      </c>
      <c r="N42" s="921"/>
      <c r="O42" s="921">
        <v>0</v>
      </c>
      <c r="P42" s="916">
        <f t="shared" si="3"/>
        <v>0</v>
      </c>
      <c r="Q42" s="921"/>
      <c r="R42" s="921">
        <v>0</v>
      </c>
      <c r="S42" s="923">
        <f t="shared" si="4"/>
        <v>0</v>
      </c>
    </row>
    <row r="43" spans="1:19" ht="13.15" customHeight="1">
      <c r="A43" s="847" t="s">
        <v>845</v>
      </c>
      <c r="B43" s="911">
        <f t="shared" si="0"/>
        <v>34</v>
      </c>
      <c r="D43" s="913">
        <f t="shared" si="5"/>
        <v>1.281085154483798</v>
      </c>
      <c r="F43" s="920">
        <v>3</v>
      </c>
      <c r="G43" s="916">
        <f t="shared" si="1"/>
        <v>8.8235294117647065</v>
      </c>
      <c r="H43" s="920"/>
      <c r="I43" s="921">
        <v>25</v>
      </c>
      <c r="J43" s="916">
        <f t="shared" si="2"/>
        <v>73.529411764705884</v>
      </c>
      <c r="K43" s="921"/>
      <c r="L43" s="921">
        <v>6</v>
      </c>
      <c r="M43" s="916">
        <f t="shared" si="6"/>
        <v>17.647058823529413</v>
      </c>
      <c r="N43" s="921"/>
      <c r="O43" s="921">
        <v>0</v>
      </c>
      <c r="P43" s="916">
        <f t="shared" si="3"/>
        <v>0</v>
      </c>
      <c r="Q43" s="921"/>
      <c r="R43" s="921">
        <v>0</v>
      </c>
      <c r="S43" s="923">
        <f t="shared" si="4"/>
        <v>0</v>
      </c>
    </row>
    <row r="44" spans="1:19" ht="13.15" customHeight="1">
      <c r="A44" s="847" t="s">
        <v>846</v>
      </c>
      <c r="B44" s="911">
        <f t="shared" si="0"/>
        <v>146</v>
      </c>
      <c r="D44" s="913">
        <f t="shared" si="5"/>
        <v>5.5011303692539562</v>
      </c>
      <c r="F44" s="920">
        <v>8</v>
      </c>
      <c r="G44" s="916">
        <f t="shared" si="1"/>
        <v>5.4794520547945202</v>
      </c>
      <c r="H44" s="920"/>
      <c r="I44" s="921">
        <v>32</v>
      </c>
      <c r="J44" s="916">
        <f t="shared" si="2"/>
        <v>21.917808219178081</v>
      </c>
      <c r="K44" s="921"/>
      <c r="L44" s="921">
        <v>42</v>
      </c>
      <c r="M44" s="916">
        <f t="shared" si="6"/>
        <v>28.767123287671232</v>
      </c>
      <c r="N44" s="921"/>
      <c r="O44" s="921">
        <v>64</v>
      </c>
      <c r="P44" s="916">
        <f t="shared" si="3"/>
        <v>43.835616438356162</v>
      </c>
      <c r="Q44" s="921"/>
      <c r="R44" s="921">
        <v>0</v>
      </c>
      <c r="S44" s="923">
        <f t="shared" si="4"/>
        <v>0</v>
      </c>
    </row>
    <row r="45" spans="1:19" ht="13.15" customHeight="1">
      <c r="A45" s="847" t="s">
        <v>847</v>
      </c>
      <c r="B45" s="911">
        <f t="shared" si="0"/>
        <v>39</v>
      </c>
      <c r="D45" s="913">
        <f t="shared" si="5"/>
        <v>1.4694800301431801</v>
      </c>
      <c r="F45" s="920">
        <v>2</v>
      </c>
      <c r="G45" s="916">
        <f t="shared" si="1"/>
        <v>5.1282051282051277</v>
      </c>
      <c r="H45" s="920"/>
      <c r="I45" s="921">
        <v>22</v>
      </c>
      <c r="J45" s="916">
        <f t="shared" si="2"/>
        <v>56.410256410256409</v>
      </c>
      <c r="K45" s="921"/>
      <c r="L45" s="921">
        <v>11</v>
      </c>
      <c r="M45" s="916">
        <f t="shared" si="6"/>
        <v>28.205128205128204</v>
      </c>
      <c r="N45" s="921"/>
      <c r="O45" s="921">
        <v>4</v>
      </c>
      <c r="P45" s="916">
        <f t="shared" si="3"/>
        <v>10.256410256410255</v>
      </c>
      <c r="Q45" s="921"/>
      <c r="R45" s="921">
        <v>0</v>
      </c>
      <c r="S45" s="923">
        <f t="shared" si="4"/>
        <v>0</v>
      </c>
    </row>
    <row r="46" spans="1:19" ht="13.15" customHeight="1">
      <c r="A46" s="847" t="s">
        <v>848</v>
      </c>
      <c r="B46" s="911">
        <f t="shared" si="0"/>
        <v>15</v>
      </c>
      <c r="D46" s="913">
        <f t="shared" si="5"/>
        <v>0.5651846269781462</v>
      </c>
      <c r="F46" s="920">
        <v>1</v>
      </c>
      <c r="G46" s="916">
        <f t="shared" si="1"/>
        <v>6.666666666666667</v>
      </c>
      <c r="H46" s="920"/>
      <c r="I46" s="921">
        <v>9</v>
      </c>
      <c r="J46" s="916">
        <f t="shared" si="2"/>
        <v>60</v>
      </c>
      <c r="K46" s="921"/>
      <c r="L46" s="921">
        <v>5</v>
      </c>
      <c r="M46" s="916">
        <f t="shared" si="6"/>
        <v>33.333333333333329</v>
      </c>
      <c r="N46" s="921"/>
      <c r="O46" s="921">
        <v>0</v>
      </c>
      <c r="P46" s="916">
        <f t="shared" si="3"/>
        <v>0</v>
      </c>
      <c r="Q46" s="921"/>
      <c r="R46" s="921">
        <v>0</v>
      </c>
      <c r="S46" s="923">
        <f t="shared" si="4"/>
        <v>0</v>
      </c>
    </row>
    <row r="47" spans="1:19" ht="13.15" customHeight="1">
      <c r="A47" s="847" t="s">
        <v>849</v>
      </c>
      <c r="B47" s="911">
        <f t="shared" si="0"/>
        <v>83</v>
      </c>
      <c r="D47" s="913">
        <f t="shared" si="5"/>
        <v>3.1273549359457418</v>
      </c>
      <c r="F47" s="920">
        <v>17</v>
      </c>
      <c r="G47" s="916">
        <f t="shared" si="1"/>
        <v>20.481927710843372</v>
      </c>
      <c r="H47" s="920"/>
      <c r="I47" s="921">
        <v>47</v>
      </c>
      <c r="J47" s="916">
        <f t="shared" si="2"/>
        <v>56.626506024096393</v>
      </c>
      <c r="K47" s="921"/>
      <c r="L47" s="921">
        <v>19</v>
      </c>
      <c r="M47" s="916">
        <f t="shared" si="6"/>
        <v>22.891566265060241</v>
      </c>
      <c r="N47" s="921"/>
      <c r="O47" s="921">
        <v>0</v>
      </c>
      <c r="P47" s="916">
        <f t="shared" si="3"/>
        <v>0</v>
      </c>
      <c r="Q47" s="921"/>
      <c r="R47" s="921">
        <v>0</v>
      </c>
      <c r="S47" s="923">
        <f t="shared" si="4"/>
        <v>0</v>
      </c>
    </row>
    <row r="48" spans="1:19" ht="13.15" customHeight="1">
      <c r="A48" s="854" t="s">
        <v>950</v>
      </c>
      <c r="B48" s="911">
        <f>IF($A48&lt;&gt;0,F48+I48+L48+O48+R48,"")</f>
        <v>2</v>
      </c>
      <c r="D48" s="913">
        <f>IF(A48&lt;&gt;0,B48/$B$12*100,"")</f>
        <v>7.5357950263752832E-2</v>
      </c>
      <c r="F48" s="920">
        <v>0</v>
      </c>
      <c r="G48" s="916">
        <f t="shared" si="1"/>
        <v>0</v>
      </c>
      <c r="H48" s="920"/>
      <c r="I48" s="921">
        <v>2</v>
      </c>
      <c r="J48" s="916">
        <f t="shared" si="2"/>
        <v>100</v>
      </c>
      <c r="K48" s="921"/>
      <c r="L48" s="921">
        <v>0</v>
      </c>
      <c r="M48" s="916">
        <f t="shared" si="6"/>
        <v>0</v>
      </c>
      <c r="N48" s="921"/>
      <c r="O48" s="921">
        <v>0</v>
      </c>
      <c r="P48" s="916">
        <f t="shared" si="3"/>
        <v>0</v>
      </c>
      <c r="Q48" s="921"/>
      <c r="R48" s="921">
        <v>0</v>
      </c>
      <c r="S48" s="923">
        <f t="shared" si="4"/>
        <v>0</v>
      </c>
    </row>
    <row r="49" spans="1:21" ht="13.15" customHeight="1">
      <c r="A49" s="854" t="s">
        <v>850</v>
      </c>
      <c r="B49" s="911">
        <f t="shared" si="0"/>
        <v>10</v>
      </c>
      <c r="D49" s="913">
        <f t="shared" si="5"/>
        <v>0.37678975131876413</v>
      </c>
      <c r="F49" s="920">
        <v>1</v>
      </c>
      <c r="G49" s="916">
        <f t="shared" si="1"/>
        <v>10</v>
      </c>
      <c r="H49" s="920"/>
      <c r="I49" s="921">
        <v>2</v>
      </c>
      <c r="J49" s="916">
        <f t="shared" si="2"/>
        <v>20</v>
      </c>
      <c r="K49" s="921"/>
      <c r="L49" s="921">
        <v>0</v>
      </c>
      <c r="M49" s="916">
        <f t="shared" si="6"/>
        <v>0</v>
      </c>
      <c r="N49" s="921"/>
      <c r="O49" s="921">
        <v>7</v>
      </c>
      <c r="P49" s="916">
        <f t="shared" si="3"/>
        <v>70</v>
      </c>
      <c r="Q49" s="921"/>
      <c r="R49" s="921">
        <v>0</v>
      </c>
      <c r="S49" s="923">
        <f t="shared" si="4"/>
        <v>0</v>
      </c>
    </row>
    <row r="50" spans="1:21" ht="13.15" customHeight="1">
      <c r="A50" s="847" t="s">
        <v>852</v>
      </c>
      <c r="B50" s="911">
        <f t="shared" si="0"/>
        <v>42</v>
      </c>
      <c r="D50" s="913">
        <f t="shared" si="5"/>
        <v>1.5825169555388092</v>
      </c>
      <c r="F50" s="925">
        <v>1</v>
      </c>
      <c r="G50" s="916">
        <f t="shared" si="1"/>
        <v>2.3809523809523809</v>
      </c>
      <c r="H50" s="925"/>
      <c r="I50" s="926">
        <v>39</v>
      </c>
      <c r="J50" s="916">
        <f t="shared" si="2"/>
        <v>92.857142857142861</v>
      </c>
      <c r="K50" s="926"/>
      <c r="L50" s="926">
        <v>1</v>
      </c>
      <c r="M50" s="916">
        <f t="shared" si="6"/>
        <v>2.3809523809523809</v>
      </c>
      <c r="N50" s="926"/>
      <c r="O50" s="926">
        <v>1</v>
      </c>
      <c r="P50" s="916">
        <f t="shared" si="3"/>
        <v>2.3809523809523809</v>
      </c>
      <c r="Q50" s="926"/>
      <c r="R50" s="926">
        <v>0</v>
      </c>
      <c r="S50" s="923">
        <f t="shared" si="4"/>
        <v>0</v>
      </c>
    </row>
    <row r="51" spans="1:21" ht="13.15" customHeight="1">
      <c r="A51" s="847" t="s">
        <v>853</v>
      </c>
      <c r="B51" s="911">
        <f t="shared" si="0"/>
        <v>38</v>
      </c>
      <c r="D51" s="913">
        <f t="shared" si="5"/>
        <v>1.4318010550113038</v>
      </c>
      <c r="F51" s="920">
        <v>1</v>
      </c>
      <c r="G51" s="916">
        <f t="shared" si="1"/>
        <v>2.6315789473684208</v>
      </c>
      <c r="H51" s="920"/>
      <c r="I51" s="921">
        <v>6</v>
      </c>
      <c r="J51" s="916">
        <f t="shared" si="2"/>
        <v>15.789473684210526</v>
      </c>
      <c r="K51" s="921"/>
      <c r="L51" s="921">
        <v>31</v>
      </c>
      <c r="M51" s="916">
        <f t="shared" si="6"/>
        <v>81.578947368421055</v>
      </c>
      <c r="N51" s="921"/>
      <c r="O51" s="921">
        <v>0</v>
      </c>
      <c r="P51" s="916">
        <f t="shared" si="3"/>
        <v>0</v>
      </c>
      <c r="Q51" s="921"/>
      <c r="R51" s="921">
        <v>0</v>
      </c>
      <c r="S51" s="923">
        <f t="shared" si="4"/>
        <v>0</v>
      </c>
    </row>
    <row r="52" spans="1:21" ht="13.15" customHeight="1">
      <c r="A52" s="847" t="s">
        <v>854</v>
      </c>
      <c r="B52" s="911">
        <f t="shared" si="0"/>
        <v>23</v>
      </c>
      <c r="D52" s="913">
        <f t="shared" si="5"/>
        <v>0.86661642803315742</v>
      </c>
      <c r="F52" s="920">
        <v>5</v>
      </c>
      <c r="G52" s="916">
        <f t="shared" si="1"/>
        <v>21.739130434782609</v>
      </c>
      <c r="H52" s="920"/>
      <c r="I52" s="921">
        <v>6</v>
      </c>
      <c r="J52" s="916">
        <f t="shared" si="2"/>
        <v>26.086956521739129</v>
      </c>
      <c r="K52" s="921"/>
      <c r="L52" s="921">
        <v>3</v>
      </c>
      <c r="M52" s="916">
        <f t="shared" si="6"/>
        <v>13.043478260869565</v>
      </c>
      <c r="N52" s="921"/>
      <c r="O52" s="921">
        <v>9</v>
      </c>
      <c r="P52" s="916">
        <f t="shared" si="3"/>
        <v>39.130434782608695</v>
      </c>
      <c r="Q52" s="921"/>
      <c r="R52" s="921">
        <v>0</v>
      </c>
      <c r="S52" s="923">
        <f t="shared" si="4"/>
        <v>0</v>
      </c>
    </row>
    <row r="53" spans="1:21" ht="13.15" customHeight="1">
      <c r="A53" s="847" t="s">
        <v>855</v>
      </c>
      <c r="B53" s="911">
        <f t="shared" si="0"/>
        <v>33</v>
      </c>
      <c r="D53" s="913">
        <f t="shared" si="5"/>
        <v>1.2434061793519218</v>
      </c>
      <c r="F53" s="920">
        <v>8</v>
      </c>
      <c r="G53" s="916">
        <f t="shared" si="1"/>
        <v>24.242424242424242</v>
      </c>
      <c r="H53" s="920"/>
      <c r="I53" s="921">
        <v>21</v>
      </c>
      <c r="J53" s="916">
        <f t="shared" si="2"/>
        <v>63.636363636363633</v>
      </c>
      <c r="K53" s="921"/>
      <c r="L53" s="921">
        <v>2</v>
      </c>
      <c r="M53" s="916">
        <f t="shared" si="6"/>
        <v>6.0606060606060606</v>
      </c>
      <c r="N53" s="921"/>
      <c r="O53" s="921">
        <v>2</v>
      </c>
      <c r="P53" s="916">
        <f t="shared" si="3"/>
        <v>6.0606060606060606</v>
      </c>
      <c r="Q53" s="921"/>
      <c r="R53" s="921">
        <v>0</v>
      </c>
      <c r="S53" s="923">
        <f t="shared" si="4"/>
        <v>0</v>
      </c>
    </row>
    <row r="54" spans="1:21" ht="13.15" customHeight="1">
      <c r="A54" s="847" t="s">
        <v>856</v>
      </c>
      <c r="B54" s="911">
        <f t="shared" si="0"/>
        <v>18</v>
      </c>
      <c r="D54" s="913">
        <f t="shared" si="5"/>
        <v>0.67822155237377535</v>
      </c>
      <c r="F54" s="920">
        <v>4</v>
      </c>
      <c r="G54" s="916">
        <f t="shared" si="1"/>
        <v>22.222222222222221</v>
      </c>
      <c r="H54" s="920"/>
      <c r="I54" s="921">
        <v>6</v>
      </c>
      <c r="J54" s="916">
        <f t="shared" si="2"/>
        <v>33.333333333333329</v>
      </c>
      <c r="K54" s="921"/>
      <c r="L54" s="921">
        <v>3</v>
      </c>
      <c r="M54" s="916">
        <f t="shared" si="6"/>
        <v>16.666666666666664</v>
      </c>
      <c r="N54" s="921"/>
      <c r="O54" s="921">
        <v>5</v>
      </c>
      <c r="P54" s="916">
        <f t="shared" si="3"/>
        <v>27.777777777777779</v>
      </c>
      <c r="Q54" s="921"/>
      <c r="R54" s="921">
        <v>0</v>
      </c>
      <c r="S54" s="923">
        <f t="shared" si="4"/>
        <v>0</v>
      </c>
    </row>
    <row r="55" spans="1:21" ht="13.15" customHeight="1">
      <c r="A55" s="847" t="s">
        <v>857</v>
      </c>
      <c r="B55" s="911">
        <f t="shared" si="0"/>
        <v>12</v>
      </c>
      <c r="D55" s="913">
        <f t="shared" si="5"/>
        <v>0.45214770158251694</v>
      </c>
      <c r="F55" s="920">
        <v>2</v>
      </c>
      <c r="G55" s="916">
        <f t="shared" si="1"/>
        <v>16.666666666666664</v>
      </c>
      <c r="H55" s="920"/>
      <c r="I55" s="921">
        <v>7</v>
      </c>
      <c r="J55" s="916">
        <f t="shared" si="2"/>
        <v>58.333333333333336</v>
      </c>
      <c r="K55" s="921"/>
      <c r="L55" s="921">
        <v>1</v>
      </c>
      <c r="M55" s="916">
        <f t="shared" si="6"/>
        <v>8.3333333333333321</v>
      </c>
      <c r="N55" s="921"/>
      <c r="O55" s="921">
        <v>2</v>
      </c>
      <c r="P55" s="916">
        <f t="shared" si="3"/>
        <v>16.666666666666664</v>
      </c>
      <c r="Q55" s="921"/>
      <c r="R55" s="921">
        <v>0</v>
      </c>
      <c r="S55" s="923">
        <f t="shared" si="4"/>
        <v>0</v>
      </c>
    </row>
    <row r="56" spans="1:21" ht="13.15" customHeight="1">
      <c r="A56" s="847" t="s">
        <v>858</v>
      </c>
      <c r="B56" s="911">
        <f t="shared" si="0"/>
        <v>16</v>
      </c>
      <c r="C56" s="888"/>
      <c r="D56" s="889">
        <f t="shared" si="5"/>
        <v>0.60286360211002266</v>
      </c>
      <c r="E56" s="890"/>
      <c r="F56" s="920">
        <v>1</v>
      </c>
      <c r="G56" s="916">
        <f t="shared" si="1"/>
        <v>6.25</v>
      </c>
      <c r="H56" s="920"/>
      <c r="I56" s="921">
        <v>3</v>
      </c>
      <c r="J56" s="916">
        <f t="shared" si="2"/>
        <v>18.75</v>
      </c>
      <c r="K56" s="921"/>
      <c r="L56" s="921">
        <v>12</v>
      </c>
      <c r="M56" s="916">
        <f t="shared" si="6"/>
        <v>75</v>
      </c>
      <c r="N56" s="921"/>
      <c r="O56" s="921">
        <v>0</v>
      </c>
      <c r="P56" s="916">
        <f t="shared" si="3"/>
        <v>0</v>
      </c>
      <c r="Q56" s="921"/>
      <c r="R56" s="921">
        <v>0</v>
      </c>
      <c r="S56" s="927">
        <f t="shared" si="4"/>
        <v>0</v>
      </c>
      <c r="T56" s="890"/>
      <c r="U56" s="890"/>
    </row>
    <row r="57" spans="1:21" ht="12.75" customHeight="1">
      <c r="A57" s="847" t="s">
        <v>859</v>
      </c>
      <c r="B57" s="911">
        <f t="shared" si="0"/>
        <v>64</v>
      </c>
      <c r="C57" s="888"/>
      <c r="D57" s="889">
        <f t="shared" si="5"/>
        <v>2.4114544084400906</v>
      </c>
      <c r="E57" s="890"/>
      <c r="F57" s="920">
        <v>4</v>
      </c>
      <c r="G57" s="916">
        <f t="shared" si="1"/>
        <v>6.25</v>
      </c>
      <c r="H57" s="920"/>
      <c r="I57" s="921">
        <v>21</v>
      </c>
      <c r="J57" s="916">
        <f t="shared" si="2"/>
        <v>32.8125</v>
      </c>
      <c r="K57" s="921"/>
      <c r="L57" s="921">
        <v>38</v>
      </c>
      <c r="M57" s="916">
        <f t="shared" si="6"/>
        <v>59.375</v>
      </c>
      <c r="N57" s="921"/>
      <c r="O57" s="921">
        <v>1</v>
      </c>
      <c r="P57" s="916">
        <f t="shared" si="3"/>
        <v>1.5625</v>
      </c>
      <c r="Q57" s="921"/>
      <c r="R57" s="921">
        <v>0</v>
      </c>
      <c r="S57" s="927">
        <f t="shared" si="4"/>
        <v>0</v>
      </c>
      <c r="T57" s="890"/>
      <c r="U57" s="890"/>
    </row>
    <row r="58" spans="1:21" ht="12.75" customHeight="1">
      <c r="A58" s="847" t="s">
        <v>860</v>
      </c>
      <c r="B58" s="911">
        <f t="shared" si="0"/>
        <v>16</v>
      </c>
      <c r="C58" s="888"/>
      <c r="D58" s="889">
        <f t="shared" si="5"/>
        <v>0.60286360211002266</v>
      </c>
      <c r="E58" s="890"/>
      <c r="F58" s="920">
        <v>2</v>
      </c>
      <c r="G58" s="916">
        <f t="shared" si="1"/>
        <v>12.5</v>
      </c>
      <c r="H58" s="920"/>
      <c r="I58" s="921">
        <v>4</v>
      </c>
      <c r="J58" s="916">
        <f t="shared" si="2"/>
        <v>25</v>
      </c>
      <c r="K58" s="921"/>
      <c r="L58" s="921">
        <v>2</v>
      </c>
      <c r="M58" s="916">
        <f t="shared" si="6"/>
        <v>12.5</v>
      </c>
      <c r="N58" s="921"/>
      <c r="O58" s="921">
        <v>8</v>
      </c>
      <c r="P58" s="916">
        <f t="shared" si="3"/>
        <v>50</v>
      </c>
      <c r="Q58" s="921"/>
      <c r="R58" s="921">
        <v>0</v>
      </c>
      <c r="S58" s="927">
        <f t="shared" si="4"/>
        <v>0</v>
      </c>
      <c r="T58" s="890"/>
      <c r="U58" s="890"/>
    </row>
    <row r="59" spans="1:21" ht="13.15" customHeight="1">
      <c r="A59" s="847" t="s">
        <v>861</v>
      </c>
      <c r="B59" s="911">
        <f t="shared" si="0"/>
        <v>9</v>
      </c>
      <c r="C59" s="888"/>
      <c r="D59" s="889">
        <f t="shared" si="5"/>
        <v>0.33911077618688767</v>
      </c>
      <c r="E59" s="890"/>
      <c r="F59" s="920">
        <v>2</v>
      </c>
      <c r="G59" s="916">
        <f t="shared" si="1"/>
        <v>22.222222222222221</v>
      </c>
      <c r="H59" s="920"/>
      <c r="I59" s="921">
        <v>6</v>
      </c>
      <c r="J59" s="916">
        <f t="shared" si="2"/>
        <v>66.666666666666657</v>
      </c>
      <c r="K59" s="921"/>
      <c r="L59" s="921">
        <v>0</v>
      </c>
      <c r="M59" s="916">
        <f t="shared" si="6"/>
        <v>0</v>
      </c>
      <c r="N59" s="921"/>
      <c r="O59" s="921">
        <v>0</v>
      </c>
      <c r="P59" s="916">
        <f t="shared" si="3"/>
        <v>0</v>
      </c>
      <c r="Q59" s="921"/>
      <c r="R59" s="921">
        <v>1</v>
      </c>
      <c r="S59" s="927">
        <f t="shared" si="4"/>
        <v>11.111111111111111</v>
      </c>
      <c r="T59" s="890"/>
      <c r="U59" s="890"/>
    </row>
    <row r="60" spans="1:21" ht="13.15" customHeight="1">
      <c r="A60" s="847" t="s">
        <v>862</v>
      </c>
      <c r="B60" s="911">
        <f t="shared" si="0"/>
        <v>1</v>
      </c>
      <c r="C60" s="888"/>
      <c r="D60" s="889">
        <f t="shared" si="5"/>
        <v>3.7678975131876416E-2</v>
      </c>
      <c r="E60" s="890"/>
      <c r="F60" s="920">
        <v>0</v>
      </c>
      <c r="G60" s="916">
        <f t="shared" si="1"/>
        <v>0</v>
      </c>
      <c r="H60" s="920"/>
      <c r="I60" s="921">
        <v>1</v>
      </c>
      <c r="J60" s="916">
        <f t="shared" si="2"/>
        <v>100</v>
      </c>
      <c r="K60" s="921"/>
      <c r="L60" s="921">
        <v>0</v>
      </c>
      <c r="M60" s="916">
        <f t="shared" si="6"/>
        <v>0</v>
      </c>
      <c r="N60" s="921"/>
      <c r="O60" s="921">
        <v>0</v>
      </c>
      <c r="P60" s="916">
        <f t="shared" si="3"/>
        <v>0</v>
      </c>
      <c r="Q60" s="921"/>
      <c r="R60" s="921">
        <v>0</v>
      </c>
      <c r="S60" s="927">
        <f t="shared" si="4"/>
        <v>0</v>
      </c>
      <c r="T60" s="890"/>
      <c r="U60" s="890"/>
    </row>
    <row r="61" spans="1:21" ht="13.15" customHeight="1">
      <c r="A61" s="847" t="s">
        <v>863</v>
      </c>
      <c r="B61" s="911">
        <f t="shared" si="0"/>
        <v>28</v>
      </c>
      <c r="C61" s="888"/>
      <c r="D61" s="889">
        <f t="shared" si="5"/>
        <v>1.0550113036925395</v>
      </c>
      <c r="E61" s="890"/>
      <c r="F61" s="920">
        <v>7</v>
      </c>
      <c r="G61" s="916">
        <f t="shared" si="1"/>
        <v>25</v>
      </c>
      <c r="H61" s="920"/>
      <c r="I61" s="921">
        <v>21</v>
      </c>
      <c r="J61" s="916">
        <f t="shared" si="2"/>
        <v>75</v>
      </c>
      <c r="K61" s="921"/>
      <c r="L61" s="921">
        <v>0</v>
      </c>
      <c r="M61" s="916">
        <f t="shared" si="6"/>
        <v>0</v>
      </c>
      <c r="N61" s="921"/>
      <c r="O61" s="921">
        <v>0</v>
      </c>
      <c r="P61" s="916">
        <f t="shared" si="3"/>
        <v>0</v>
      </c>
      <c r="Q61" s="921"/>
      <c r="R61" s="921">
        <v>0</v>
      </c>
      <c r="S61" s="927">
        <f t="shared" si="4"/>
        <v>0</v>
      </c>
      <c r="T61" s="890"/>
      <c r="U61" s="890"/>
    </row>
    <row r="62" spans="1:21" ht="13.15" customHeight="1">
      <c r="A62" s="847" t="s">
        <v>864</v>
      </c>
      <c r="B62" s="911">
        <f t="shared" si="0"/>
        <v>66</v>
      </c>
      <c r="C62" s="888"/>
      <c r="D62" s="889">
        <f t="shared" si="5"/>
        <v>2.4868123587038435</v>
      </c>
      <c r="E62" s="890"/>
      <c r="F62" s="920">
        <v>13</v>
      </c>
      <c r="G62" s="916">
        <f t="shared" si="1"/>
        <v>19.696969696969695</v>
      </c>
      <c r="H62" s="920"/>
      <c r="I62" s="921">
        <v>28</v>
      </c>
      <c r="J62" s="916">
        <f t="shared" si="2"/>
        <v>42.424242424242422</v>
      </c>
      <c r="K62" s="921"/>
      <c r="L62" s="921">
        <v>19</v>
      </c>
      <c r="M62" s="916">
        <f t="shared" si="6"/>
        <v>28.787878787878789</v>
      </c>
      <c r="N62" s="921"/>
      <c r="O62" s="921">
        <v>6</v>
      </c>
      <c r="P62" s="916">
        <f t="shared" si="3"/>
        <v>9.0909090909090917</v>
      </c>
      <c r="Q62" s="921"/>
      <c r="R62" s="921">
        <v>0</v>
      </c>
      <c r="S62" s="927">
        <f t="shared" si="4"/>
        <v>0</v>
      </c>
      <c r="T62" s="890"/>
      <c r="U62" s="890"/>
    </row>
    <row r="63" spans="1:21" ht="13.15" customHeight="1">
      <c r="A63" s="847" t="s">
        <v>865</v>
      </c>
      <c r="B63" s="911">
        <f t="shared" si="0"/>
        <v>86</v>
      </c>
      <c r="C63" s="888"/>
      <c r="D63" s="889">
        <f t="shared" si="5"/>
        <v>3.2403918613413714</v>
      </c>
      <c r="E63" s="890"/>
      <c r="F63" s="920">
        <v>11</v>
      </c>
      <c r="G63" s="916">
        <f t="shared" si="1"/>
        <v>12.790697674418606</v>
      </c>
      <c r="H63" s="920"/>
      <c r="I63" s="921">
        <v>49</v>
      </c>
      <c r="J63" s="916">
        <f t="shared" si="2"/>
        <v>56.97674418604651</v>
      </c>
      <c r="K63" s="921"/>
      <c r="L63" s="921">
        <v>24</v>
      </c>
      <c r="M63" s="916">
        <f t="shared" si="6"/>
        <v>27.906976744186046</v>
      </c>
      <c r="N63" s="921"/>
      <c r="O63" s="921">
        <v>2</v>
      </c>
      <c r="P63" s="916">
        <f t="shared" si="3"/>
        <v>2.3255813953488373</v>
      </c>
      <c r="Q63" s="921"/>
      <c r="R63" s="921">
        <v>0</v>
      </c>
      <c r="S63" s="927">
        <f t="shared" si="4"/>
        <v>0</v>
      </c>
      <c r="T63" s="890"/>
      <c r="U63" s="890"/>
    </row>
    <row r="64" spans="1:21" ht="13.15" customHeight="1">
      <c r="A64" s="847" t="s">
        <v>866</v>
      </c>
      <c r="B64" s="911">
        <f t="shared" si="0"/>
        <v>6</v>
      </c>
      <c r="C64" s="888"/>
      <c r="D64" s="889">
        <f t="shared" si="5"/>
        <v>0.22607385079125847</v>
      </c>
      <c r="E64" s="890"/>
      <c r="F64" s="920">
        <v>0</v>
      </c>
      <c r="G64" s="916">
        <f t="shared" si="1"/>
        <v>0</v>
      </c>
      <c r="H64" s="920"/>
      <c r="I64" s="921">
        <v>0</v>
      </c>
      <c r="J64" s="916">
        <f t="shared" si="2"/>
        <v>0</v>
      </c>
      <c r="K64" s="921"/>
      <c r="L64" s="921">
        <v>0</v>
      </c>
      <c r="M64" s="916">
        <f t="shared" si="6"/>
        <v>0</v>
      </c>
      <c r="N64" s="921"/>
      <c r="O64" s="921">
        <v>5</v>
      </c>
      <c r="P64" s="916">
        <f t="shared" si="3"/>
        <v>83.333333333333343</v>
      </c>
      <c r="Q64" s="921"/>
      <c r="R64" s="921">
        <v>1</v>
      </c>
      <c r="S64" s="927">
        <f t="shared" si="4"/>
        <v>16.666666666666664</v>
      </c>
      <c r="T64" s="890"/>
      <c r="U64" s="890"/>
    </row>
    <row r="65" spans="1:21" ht="13.15" customHeight="1">
      <c r="A65" s="847" t="s">
        <v>867</v>
      </c>
      <c r="B65" s="911">
        <f t="shared" si="0"/>
        <v>52</v>
      </c>
      <c r="C65" s="888"/>
      <c r="D65" s="889">
        <f t="shared" si="5"/>
        <v>1.9593067068575734</v>
      </c>
      <c r="E65" s="890"/>
      <c r="F65" s="920">
        <v>2</v>
      </c>
      <c r="G65" s="916">
        <f t="shared" si="1"/>
        <v>3.8461538461538463</v>
      </c>
      <c r="H65" s="920"/>
      <c r="I65" s="921">
        <v>49</v>
      </c>
      <c r="J65" s="916">
        <f t="shared" si="2"/>
        <v>94.230769230769226</v>
      </c>
      <c r="K65" s="921"/>
      <c r="L65" s="921">
        <v>1</v>
      </c>
      <c r="M65" s="916">
        <f t="shared" si="6"/>
        <v>1.9230769230769231</v>
      </c>
      <c r="N65" s="921"/>
      <c r="O65" s="921">
        <v>0</v>
      </c>
      <c r="P65" s="916">
        <f t="shared" si="3"/>
        <v>0</v>
      </c>
      <c r="Q65" s="921"/>
      <c r="R65" s="921">
        <v>0</v>
      </c>
      <c r="S65" s="927">
        <f t="shared" si="4"/>
        <v>0</v>
      </c>
      <c r="T65" s="890"/>
      <c r="U65" s="890"/>
    </row>
    <row r="66" spans="1:21" ht="13.15" customHeight="1">
      <c r="A66" s="847" t="s">
        <v>868</v>
      </c>
      <c r="B66" s="911">
        <f t="shared" si="0"/>
        <v>16</v>
      </c>
      <c r="C66" s="888"/>
      <c r="D66" s="889">
        <f t="shared" si="5"/>
        <v>0.60286360211002266</v>
      </c>
      <c r="E66" s="890"/>
      <c r="F66" s="920">
        <v>3</v>
      </c>
      <c r="G66" s="916">
        <f t="shared" si="1"/>
        <v>18.75</v>
      </c>
      <c r="H66" s="920"/>
      <c r="I66" s="921">
        <v>11</v>
      </c>
      <c r="J66" s="916">
        <f t="shared" si="2"/>
        <v>68.75</v>
      </c>
      <c r="K66" s="921"/>
      <c r="L66" s="921">
        <v>2</v>
      </c>
      <c r="M66" s="916">
        <f t="shared" si="6"/>
        <v>12.5</v>
      </c>
      <c r="N66" s="921"/>
      <c r="O66" s="921">
        <v>0</v>
      </c>
      <c r="P66" s="916">
        <f t="shared" si="3"/>
        <v>0</v>
      </c>
      <c r="Q66" s="921"/>
      <c r="R66" s="921">
        <v>0</v>
      </c>
      <c r="S66" s="927">
        <f t="shared" si="4"/>
        <v>0</v>
      </c>
      <c r="T66" s="890"/>
      <c r="U66" s="890"/>
    </row>
    <row r="67" spans="1:21" ht="13.15" customHeight="1">
      <c r="A67" s="847" t="s">
        <v>869</v>
      </c>
      <c r="B67" s="911">
        <f t="shared" si="0"/>
        <v>9</v>
      </c>
      <c r="C67" s="888"/>
      <c r="D67" s="889">
        <f t="shared" si="5"/>
        <v>0.33911077618688767</v>
      </c>
      <c r="E67" s="890"/>
      <c r="F67" s="920">
        <v>1</v>
      </c>
      <c r="G67" s="916">
        <f t="shared" si="1"/>
        <v>11.111111111111111</v>
      </c>
      <c r="H67" s="920"/>
      <c r="I67" s="921">
        <v>8</v>
      </c>
      <c r="J67" s="916">
        <f t="shared" si="2"/>
        <v>88.888888888888886</v>
      </c>
      <c r="K67" s="921"/>
      <c r="L67" s="921">
        <v>0</v>
      </c>
      <c r="M67" s="916">
        <f t="shared" si="6"/>
        <v>0</v>
      </c>
      <c r="N67" s="921"/>
      <c r="O67" s="921">
        <v>0</v>
      </c>
      <c r="P67" s="916">
        <f t="shared" si="3"/>
        <v>0</v>
      </c>
      <c r="Q67" s="921"/>
      <c r="R67" s="921">
        <v>0</v>
      </c>
      <c r="S67" s="927">
        <f t="shared" si="4"/>
        <v>0</v>
      </c>
      <c r="T67" s="890"/>
      <c r="U67" s="890"/>
    </row>
    <row r="68" spans="1:21" ht="13.15" customHeight="1">
      <c r="A68" s="847" t="s">
        <v>870</v>
      </c>
      <c r="B68" s="887">
        <f t="shared" si="0"/>
        <v>32</v>
      </c>
      <c r="C68" s="888"/>
      <c r="D68" s="889">
        <f t="shared" si="5"/>
        <v>1.2057272042200453</v>
      </c>
      <c r="E68" s="890"/>
      <c r="F68" s="920">
        <v>4</v>
      </c>
      <c r="G68" s="916">
        <f t="shared" si="1"/>
        <v>12.5</v>
      </c>
      <c r="H68" s="920"/>
      <c r="I68" s="921">
        <v>15</v>
      </c>
      <c r="J68" s="916">
        <f t="shared" si="2"/>
        <v>46.875</v>
      </c>
      <c r="K68" s="921"/>
      <c r="L68" s="921">
        <v>11</v>
      </c>
      <c r="M68" s="916">
        <f t="shared" si="6"/>
        <v>34.375</v>
      </c>
      <c r="N68" s="921"/>
      <c r="O68" s="921">
        <v>1</v>
      </c>
      <c r="P68" s="916">
        <f t="shared" si="3"/>
        <v>3.125</v>
      </c>
      <c r="Q68" s="921"/>
      <c r="R68" s="921">
        <v>1</v>
      </c>
      <c r="S68" s="927">
        <f t="shared" si="4"/>
        <v>3.125</v>
      </c>
      <c r="T68" s="890"/>
      <c r="U68" s="890"/>
    </row>
    <row r="69" spans="1:21" ht="13.15" customHeight="1">
      <c r="A69" s="847" t="s">
        <v>871</v>
      </c>
      <c r="B69" s="887">
        <f t="shared" si="0"/>
        <v>88</v>
      </c>
      <c r="C69" s="888"/>
      <c r="D69" s="889">
        <f t="shared" si="5"/>
        <v>3.3157498116051247</v>
      </c>
      <c r="E69" s="890"/>
      <c r="F69" s="920">
        <v>22</v>
      </c>
      <c r="G69" s="916">
        <f t="shared" si="1"/>
        <v>25</v>
      </c>
      <c r="H69" s="920"/>
      <c r="I69" s="921">
        <v>50</v>
      </c>
      <c r="J69" s="916">
        <f t="shared" si="2"/>
        <v>56.81818181818182</v>
      </c>
      <c r="K69" s="921"/>
      <c r="L69" s="921">
        <v>11</v>
      </c>
      <c r="M69" s="916">
        <f t="shared" si="6"/>
        <v>12.5</v>
      </c>
      <c r="N69" s="921"/>
      <c r="O69" s="921">
        <v>5</v>
      </c>
      <c r="P69" s="916">
        <f t="shared" si="3"/>
        <v>5.6818181818181817</v>
      </c>
      <c r="Q69" s="921"/>
      <c r="R69" s="921">
        <v>0</v>
      </c>
      <c r="S69" s="927">
        <f t="shared" si="4"/>
        <v>0</v>
      </c>
      <c r="T69" s="890"/>
      <c r="U69" s="890"/>
    </row>
    <row r="70" spans="1:21" ht="13.15" customHeight="1">
      <c r="A70" s="847" t="s">
        <v>872</v>
      </c>
      <c r="B70" s="911">
        <f t="shared" si="0"/>
        <v>24</v>
      </c>
      <c r="D70" s="913">
        <f t="shared" si="5"/>
        <v>0.90429540316503387</v>
      </c>
      <c r="F70" s="920">
        <v>9</v>
      </c>
      <c r="G70" s="916">
        <f t="shared" si="1"/>
        <v>37.5</v>
      </c>
      <c r="H70" s="920"/>
      <c r="I70" s="921">
        <v>10</v>
      </c>
      <c r="J70" s="916">
        <f t="shared" si="2"/>
        <v>41.666666666666671</v>
      </c>
      <c r="K70" s="921"/>
      <c r="L70" s="921">
        <v>3</v>
      </c>
      <c r="M70" s="916">
        <f t="shared" si="6"/>
        <v>12.5</v>
      </c>
      <c r="N70" s="921"/>
      <c r="O70" s="921">
        <v>1</v>
      </c>
      <c r="P70" s="916">
        <f t="shared" si="3"/>
        <v>4.1666666666666661</v>
      </c>
      <c r="Q70" s="921"/>
      <c r="R70" s="921">
        <v>1</v>
      </c>
      <c r="S70" s="927">
        <f t="shared" si="4"/>
        <v>4.1666666666666661</v>
      </c>
    </row>
    <row r="71" spans="1:21" ht="13.15" customHeight="1">
      <c r="A71" s="847" t="s">
        <v>873</v>
      </c>
      <c r="B71" s="911">
        <f t="shared" si="0"/>
        <v>42</v>
      </c>
      <c r="D71" s="913">
        <f t="shared" si="5"/>
        <v>1.5825169555388092</v>
      </c>
      <c r="F71" s="920">
        <v>14</v>
      </c>
      <c r="G71" s="916">
        <f t="shared" si="1"/>
        <v>33.333333333333329</v>
      </c>
      <c r="H71" s="920"/>
      <c r="I71" s="921">
        <v>22</v>
      </c>
      <c r="J71" s="916">
        <f t="shared" si="2"/>
        <v>52.380952380952387</v>
      </c>
      <c r="K71" s="921"/>
      <c r="L71" s="921">
        <v>5</v>
      </c>
      <c r="M71" s="916">
        <f t="shared" si="6"/>
        <v>11.904761904761903</v>
      </c>
      <c r="N71" s="921"/>
      <c r="O71" s="921">
        <v>1</v>
      </c>
      <c r="P71" s="916">
        <f t="shared" si="3"/>
        <v>2.3809523809523809</v>
      </c>
      <c r="Q71" s="921"/>
      <c r="R71" s="921">
        <v>0</v>
      </c>
      <c r="S71" s="927">
        <f t="shared" si="4"/>
        <v>0</v>
      </c>
    </row>
    <row r="72" spans="1:21" ht="13.15" customHeight="1">
      <c r="A72" s="847" t="s">
        <v>874</v>
      </c>
      <c r="B72" s="911">
        <f t="shared" si="0"/>
        <v>9</v>
      </c>
      <c r="D72" s="913">
        <f t="shared" si="5"/>
        <v>0.33911077618688767</v>
      </c>
      <c r="F72" s="920">
        <v>0</v>
      </c>
      <c r="G72" s="916">
        <f t="shared" si="1"/>
        <v>0</v>
      </c>
      <c r="H72" s="920"/>
      <c r="I72" s="921">
        <v>0</v>
      </c>
      <c r="J72" s="916">
        <f t="shared" si="2"/>
        <v>0</v>
      </c>
      <c r="K72" s="921"/>
      <c r="L72" s="921">
        <v>9</v>
      </c>
      <c r="M72" s="916">
        <f t="shared" si="6"/>
        <v>100</v>
      </c>
      <c r="N72" s="921"/>
      <c r="O72" s="921">
        <v>0</v>
      </c>
      <c r="P72" s="916">
        <f t="shared" si="3"/>
        <v>0</v>
      </c>
      <c r="Q72" s="921"/>
      <c r="R72" s="921">
        <v>0</v>
      </c>
      <c r="S72" s="927">
        <f t="shared" si="4"/>
        <v>0</v>
      </c>
    </row>
    <row r="73" spans="1:21" ht="13.15" customHeight="1">
      <c r="A73" s="847" t="s">
        <v>875</v>
      </c>
      <c r="B73" s="911">
        <f t="shared" si="0"/>
        <v>20</v>
      </c>
      <c r="D73" s="913">
        <f t="shared" si="5"/>
        <v>0.75357950263752826</v>
      </c>
      <c r="F73" s="920">
        <v>0</v>
      </c>
      <c r="G73" s="916">
        <f t="shared" si="1"/>
        <v>0</v>
      </c>
      <c r="H73" s="920"/>
      <c r="I73" s="921">
        <v>0</v>
      </c>
      <c r="J73" s="916">
        <f t="shared" si="2"/>
        <v>0</v>
      </c>
      <c r="K73" s="921"/>
      <c r="L73" s="921">
        <v>17</v>
      </c>
      <c r="M73" s="916">
        <f t="shared" si="6"/>
        <v>85</v>
      </c>
      <c r="N73" s="921"/>
      <c r="O73" s="921">
        <v>3</v>
      </c>
      <c r="P73" s="916">
        <f t="shared" si="3"/>
        <v>15</v>
      </c>
      <c r="Q73" s="921"/>
      <c r="R73" s="921">
        <v>0</v>
      </c>
      <c r="S73" s="927">
        <f t="shared" si="4"/>
        <v>0</v>
      </c>
    </row>
    <row r="74" spans="1:21" ht="13.15" customHeight="1">
      <c r="A74" s="847" t="s">
        <v>876</v>
      </c>
      <c r="B74" s="911">
        <f t="shared" si="0"/>
        <v>1</v>
      </c>
      <c r="D74" s="913">
        <f t="shared" si="5"/>
        <v>3.7678975131876416E-2</v>
      </c>
      <c r="F74" s="920">
        <v>0</v>
      </c>
      <c r="G74" s="916">
        <f t="shared" si="1"/>
        <v>0</v>
      </c>
      <c r="H74" s="920"/>
      <c r="I74" s="921">
        <v>1</v>
      </c>
      <c r="J74" s="916">
        <f t="shared" si="2"/>
        <v>100</v>
      </c>
      <c r="K74" s="921"/>
      <c r="L74" s="921">
        <v>0</v>
      </c>
      <c r="M74" s="916">
        <f t="shared" si="6"/>
        <v>0</v>
      </c>
      <c r="N74" s="921"/>
      <c r="O74" s="921">
        <v>0</v>
      </c>
      <c r="P74" s="916">
        <f t="shared" si="3"/>
        <v>0</v>
      </c>
      <c r="Q74" s="921"/>
      <c r="R74" s="921">
        <v>0</v>
      </c>
      <c r="S74" s="927">
        <f t="shared" si="4"/>
        <v>0</v>
      </c>
    </row>
    <row r="75" spans="1:21" ht="13.15" customHeight="1">
      <c r="A75" s="847" t="s">
        <v>877</v>
      </c>
      <c r="B75" s="911">
        <f t="shared" si="0"/>
        <v>78</v>
      </c>
      <c r="D75" s="913">
        <f t="shared" si="5"/>
        <v>2.9389600602863601</v>
      </c>
      <c r="F75" s="920">
        <v>17</v>
      </c>
      <c r="G75" s="916">
        <f t="shared" si="1"/>
        <v>21.794871794871796</v>
      </c>
      <c r="H75" s="920"/>
      <c r="I75" s="921">
        <v>22</v>
      </c>
      <c r="J75" s="916">
        <f t="shared" si="2"/>
        <v>28.205128205128204</v>
      </c>
      <c r="K75" s="921"/>
      <c r="L75" s="921">
        <v>26</v>
      </c>
      <c r="M75" s="916">
        <f t="shared" si="6"/>
        <v>33.333333333333329</v>
      </c>
      <c r="N75" s="921"/>
      <c r="O75" s="921">
        <v>13</v>
      </c>
      <c r="P75" s="916">
        <f t="shared" si="3"/>
        <v>16.666666666666664</v>
      </c>
      <c r="Q75" s="921"/>
      <c r="R75" s="921">
        <v>0</v>
      </c>
      <c r="S75" s="927">
        <f t="shared" si="4"/>
        <v>0</v>
      </c>
    </row>
    <row r="76" spans="1:21" ht="13.15" customHeight="1">
      <c r="A76" s="847" t="s">
        <v>878</v>
      </c>
      <c r="B76" s="911">
        <f t="shared" ref="B76:B100" si="7">IF($A76&lt;&gt;0,F76+I76+L76+O76+R76,"")</f>
        <v>33</v>
      </c>
      <c r="D76" s="913">
        <f t="shared" si="5"/>
        <v>1.2434061793519218</v>
      </c>
      <c r="F76" s="920">
        <v>6</v>
      </c>
      <c r="G76" s="916">
        <f t="shared" ref="G76:G100" si="8">IF($A76&lt;&gt;0,F76/$B76*100,"")</f>
        <v>18.181818181818183</v>
      </c>
      <c r="H76" s="920"/>
      <c r="I76" s="921">
        <v>15</v>
      </c>
      <c r="J76" s="916">
        <f t="shared" ref="J76:J100" si="9">IF($A76&lt;&gt;0,I76/$B76*100,"")</f>
        <v>45.454545454545453</v>
      </c>
      <c r="K76" s="921"/>
      <c r="L76" s="921">
        <v>12</v>
      </c>
      <c r="M76" s="916">
        <f t="shared" si="6"/>
        <v>36.363636363636367</v>
      </c>
      <c r="N76" s="921"/>
      <c r="O76" s="921">
        <v>0</v>
      </c>
      <c r="P76" s="916">
        <f t="shared" ref="P76:P100" si="10">IF($A76&lt;&gt;0,O76/$B76*100,"")</f>
        <v>0</v>
      </c>
      <c r="Q76" s="921"/>
      <c r="R76" s="921">
        <v>0</v>
      </c>
      <c r="S76" s="927">
        <f t="shared" ref="S76:S100" si="11">IF($A76&lt;&gt;0,R76/$B76*100,"")</f>
        <v>0</v>
      </c>
    </row>
    <row r="77" spans="1:21" ht="13.15" customHeight="1">
      <c r="A77" s="847" t="s">
        <v>879</v>
      </c>
      <c r="B77" s="911">
        <f t="shared" si="7"/>
        <v>15</v>
      </c>
      <c r="D77" s="913">
        <f t="shared" ref="D77:D100" si="12">IF(A77&lt;&gt;0,B77/$B$12*100,"")</f>
        <v>0.5651846269781462</v>
      </c>
      <c r="F77" s="920">
        <v>2</v>
      </c>
      <c r="G77" s="916">
        <f t="shared" si="8"/>
        <v>13.333333333333334</v>
      </c>
      <c r="H77" s="920"/>
      <c r="I77" s="921">
        <v>13</v>
      </c>
      <c r="J77" s="916">
        <f t="shared" si="9"/>
        <v>86.666666666666671</v>
      </c>
      <c r="K77" s="921"/>
      <c r="L77" s="921">
        <v>0</v>
      </c>
      <c r="M77" s="916">
        <f t="shared" si="6"/>
        <v>0</v>
      </c>
      <c r="N77" s="921"/>
      <c r="O77" s="921">
        <v>0</v>
      </c>
      <c r="P77" s="916">
        <f t="shared" si="10"/>
        <v>0</v>
      </c>
      <c r="Q77" s="921"/>
      <c r="R77" s="921">
        <v>0</v>
      </c>
      <c r="S77" s="927">
        <f t="shared" si="11"/>
        <v>0</v>
      </c>
    </row>
    <row r="78" spans="1:21" ht="13.15" customHeight="1">
      <c r="A78" s="847" t="s">
        <v>880</v>
      </c>
      <c r="B78" s="911">
        <f t="shared" si="7"/>
        <v>26</v>
      </c>
      <c r="D78" s="913">
        <f t="shared" si="12"/>
        <v>0.97965335342878668</v>
      </c>
      <c r="F78" s="920">
        <v>11</v>
      </c>
      <c r="G78" s="916">
        <f t="shared" si="8"/>
        <v>42.307692307692307</v>
      </c>
      <c r="H78" s="920"/>
      <c r="I78" s="921">
        <v>2</v>
      </c>
      <c r="J78" s="916">
        <f t="shared" si="9"/>
        <v>7.6923076923076925</v>
      </c>
      <c r="K78" s="921"/>
      <c r="L78" s="921">
        <v>13</v>
      </c>
      <c r="M78" s="916">
        <f t="shared" si="6"/>
        <v>50</v>
      </c>
      <c r="N78" s="921"/>
      <c r="O78" s="921">
        <v>0</v>
      </c>
      <c r="P78" s="916">
        <f t="shared" si="10"/>
        <v>0</v>
      </c>
      <c r="Q78" s="921"/>
      <c r="R78" s="921">
        <v>0</v>
      </c>
      <c r="S78" s="927">
        <f t="shared" si="11"/>
        <v>0</v>
      </c>
    </row>
    <row r="79" spans="1:21" ht="13.15" customHeight="1">
      <c r="A79" s="847" t="s">
        <v>881</v>
      </c>
      <c r="B79" s="911">
        <f t="shared" si="7"/>
        <v>2</v>
      </c>
      <c r="D79" s="913">
        <f t="shared" si="12"/>
        <v>7.5357950263752832E-2</v>
      </c>
      <c r="F79" s="920">
        <v>1</v>
      </c>
      <c r="G79" s="916">
        <f t="shared" si="8"/>
        <v>50</v>
      </c>
      <c r="H79" s="920"/>
      <c r="I79" s="921">
        <v>1</v>
      </c>
      <c r="J79" s="916">
        <f t="shared" si="9"/>
        <v>50</v>
      </c>
      <c r="K79" s="921"/>
      <c r="L79" s="921">
        <v>0</v>
      </c>
      <c r="M79" s="916">
        <f t="shared" si="6"/>
        <v>0</v>
      </c>
      <c r="N79" s="921"/>
      <c r="O79" s="921">
        <v>0</v>
      </c>
      <c r="P79" s="916">
        <f t="shared" si="10"/>
        <v>0</v>
      </c>
      <c r="Q79" s="921"/>
      <c r="R79" s="921">
        <v>0</v>
      </c>
      <c r="S79" s="927">
        <f t="shared" si="11"/>
        <v>0</v>
      </c>
    </row>
    <row r="80" spans="1:21" ht="13.15" customHeight="1">
      <c r="A80" s="847"/>
      <c r="B80" s="911" t="str">
        <f t="shared" si="7"/>
        <v/>
      </c>
      <c r="D80" s="913" t="str">
        <f t="shared" si="12"/>
        <v/>
      </c>
      <c r="F80" s="928"/>
      <c r="G80" s="916" t="str">
        <f t="shared" si="8"/>
        <v/>
      </c>
      <c r="H80" s="928"/>
      <c r="I80" s="928"/>
      <c r="J80" s="916" t="str">
        <f t="shared" si="9"/>
        <v/>
      </c>
      <c r="K80" s="928"/>
      <c r="L80" s="928"/>
      <c r="M80" s="916" t="str">
        <f t="shared" si="6"/>
        <v/>
      </c>
      <c r="N80" s="928"/>
      <c r="O80" s="928"/>
      <c r="P80" s="916" t="str">
        <f t="shared" si="10"/>
        <v/>
      </c>
      <c r="Q80" s="928"/>
      <c r="R80" s="928"/>
      <c r="S80" s="927" t="str">
        <f t="shared" si="11"/>
        <v/>
      </c>
    </row>
    <row r="81" spans="1:19" ht="13.15" customHeight="1">
      <c r="A81" s="867" t="s">
        <v>882</v>
      </c>
      <c r="B81" s="910">
        <f t="shared" si="7"/>
        <v>354</v>
      </c>
      <c r="C81" s="917"/>
      <c r="D81" s="929">
        <f t="shared" si="12"/>
        <v>13.33835719668425</v>
      </c>
      <c r="E81" s="929"/>
      <c r="F81" s="929">
        <f>SUM(F82:F84)</f>
        <v>75</v>
      </c>
      <c r="G81" s="916">
        <f t="shared" si="8"/>
        <v>21.1864406779661</v>
      </c>
      <c r="H81" s="929"/>
      <c r="I81" s="929">
        <f t="shared" ref="I81:R81" si="13">SUM(I82:I84)</f>
        <v>176</v>
      </c>
      <c r="J81" s="916">
        <f t="shared" si="9"/>
        <v>49.717514124293785</v>
      </c>
      <c r="K81" s="929"/>
      <c r="L81" s="929">
        <f t="shared" si="13"/>
        <v>50</v>
      </c>
      <c r="M81" s="909">
        <f t="shared" ref="M81:M100" si="14">IF($A81&lt;&gt;0,L81/$B81*100,"")</f>
        <v>14.124293785310735</v>
      </c>
      <c r="N81" s="929"/>
      <c r="O81" s="929">
        <f t="shared" si="13"/>
        <v>52</v>
      </c>
      <c r="P81" s="909">
        <f t="shared" si="10"/>
        <v>14.689265536723164</v>
      </c>
      <c r="Q81" s="929"/>
      <c r="R81" s="929">
        <f t="shared" si="13"/>
        <v>1</v>
      </c>
      <c r="S81" s="1255">
        <f t="shared" si="11"/>
        <v>0.2824858757062147</v>
      </c>
    </row>
    <row r="82" spans="1:19" ht="13.15" customHeight="1">
      <c r="A82" s="847" t="s">
        <v>883</v>
      </c>
      <c r="B82" s="911">
        <f t="shared" si="7"/>
        <v>119</v>
      </c>
      <c r="D82" s="913">
        <f t="shared" si="12"/>
        <v>4.4837980406932934</v>
      </c>
      <c r="F82" s="920">
        <v>8</v>
      </c>
      <c r="G82" s="916">
        <f t="shared" si="8"/>
        <v>6.7226890756302522</v>
      </c>
      <c r="H82" s="920"/>
      <c r="I82" s="921">
        <v>40</v>
      </c>
      <c r="J82" s="916">
        <f t="shared" si="9"/>
        <v>33.613445378151262</v>
      </c>
      <c r="K82" s="921"/>
      <c r="L82" s="921">
        <v>26</v>
      </c>
      <c r="M82" s="916">
        <f t="shared" si="14"/>
        <v>21.84873949579832</v>
      </c>
      <c r="N82" s="921"/>
      <c r="O82" s="921">
        <v>45</v>
      </c>
      <c r="P82" s="916">
        <f t="shared" si="10"/>
        <v>37.815126050420169</v>
      </c>
      <c r="Q82" s="921"/>
      <c r="R82" s="921">
        <v>0</v>
      </c>
      <c r="S82" s="927">
        <f t="shared" si="11"/>
        <v>0</v>
      </c>
    </row>
    <row r="83" spans="1:19" ht="13.15" customHeight="1">
      <c r="A83" s="847" t="s">
        <v>884</v>
      </c>
      <c r="B83" s="911">
        <f t="shared" si="7"/>
        <v>213</v>
      </c>
      <c r="D83" s="913">
        <f t="shared" si="12"/>
        <v>8.0256217030896764</v>
      </c>
      <c r="F83" s="920">
        <v>67</v>
      </c>
      <c r="G83" s="916">
        <f t="shared" si="8"/>
        <v>31.455399061032864</v>
      </c>
      <c r="H83" s="920"/>
      <c r="I83" s="921">
        <v>132</v>
      </c>
      <c r="J83" s="916">
        <f t="shared" si="9"/>
        <v>61.971830985915489</v>
      </c>
      <c r="K83" s="921"/>
      <c r="L83" s="921">
        <v>14</v>
      </c>
      <c r="M83" s="916">
        <f t="shared" si="14"/>
        <v>6.5727699530516439</v>
      </c>
      <c r="N83" s="921"/>
      <c r="O83" s="921">
        <v>0</v>
      </c>
      <c r="P83" s="916">
        <f t="shared" si="10"/>
        <v>0</v>
      </c>
      <c r="Q83" s="921"/>
      <c r="R83" s="921">
        <v>0</v>
      </c>
      <c r="S83" s="927">
        <f t="shared" si="11"/>
        <v>0</v>
      </c>
    </row>
    <row r="84" spans="1:19" ht="13.15" customHeight="1">
      <c r="A84" s="847" t="s">
        <v>935</v>
      </c>
      <c r="B84" s="911">
        <f t="shared" si="7"/>
        <v>22</v>
      </c>
      <c r="D84" s="913">
        <f t="shared" si="12"/>
        <v>0.82893745290128118</v>
      </c>
      <c r="F84" s="920">
        <v>0</v>
      </c>
      <c r="G84" s="916">
        <f t="shared" si="8"/>
        <v>0</v>
      </c>
      <c r="H84" s="920"/>
      <c r="I84" s="921">
        <v>4</v>
      </c>
      <c r="J84" s="916">
        <f t="shared" si="9"/>
        <v>18.181818181818183</v>
      </c>
      <c r="K84" s="921"/>
      <c r="L84" s="921">
        <v>10</v>
      </c>
      <c r="M84" s="916">
        <f t="shared" si="14"/>
        <v>45.454545454545453</v>
      </c>
      <c r="N84" s="921"/>
      <c r="O84" s="921">
        <v>7</v>
      </c>
      <c r="P84" s="916">
        <f t="shared" si="10"/>
        <v>31.818181818181817</v>
      </c>
      <c r="Q84" s="921"/>
      <c r="R84" s="921">
        <v>1</v>
      </c>
      <c r="S84" s="927">
        <f t="shared" si="11"/>
        <v>4.5454545454545459</v>
      </c>
    </row>
    <row r="85" spans="1:19" ht="6.75" customHeight="1">
      <c r="B85" s="911" t="str">
        <f t="shared" si="7"/>
        <v/>
      </c>
      <c r="D85" s="913" t="str">
        <f t="shared" si="12"/>
        <v/>
      </c>
      <c r="F85" s="930"/>
      <c r="G85" s="916" t="str">
        <f t="shared" si="8"/>
        <v/>
      </c>
      <c r="H85" s="928"/>
      <c r="I85" s="930"/>
      <c r="J85" s="916" t="str">
        <f t="shared" si="9"/>
        <v/>
      </c>
      <c r="K85" s="928"/>
      <c r="L85" s="930"/>
      <c r="M85" s="916" t="str">
        <f t="shared" si="14"/>
        <v/>
      </c>
      <c r="N85" s="928"/>
      <c r="O85" s="930"/>
      <c r="P85" s="916" t="str">
        <f t="shared" si="10"/>
        <v/>
      </c>
      <c r="Q85" s="928"/>
      <c r="R85" s="930"/>
      <c r="S85" s="927" t="str">
        <f t="shared" si="11"/>
        <v/>
      </c>
    </row>
    <row r="86" spans="1:19" ht="12.75" customHeight="1">
      <c r="A86" s="881" t="s">
        <v>346</v>
      </c>
      <c r="B86" s="910">
        <f t="shared" si="7"/>
        <v>165</v>
      </c>
      <c r="C86" s="917"/>
      <c r="D86" s="913">
        <f t="shared" si="12"/>
        <v>6.2170308967596082</v>
      </c>
      <c r="E86" s="919"/>
      <c r="F86" s="931">
        <f>SUM(F88)</f>
        <v>9</v>
      </c>
      <c r="G86" s="916">
        <f t="shared" si="8"/>
        <v>5.4545454545454541</v>
      </c>
      <c r="H86" s="929"/>
      <c r="I86" s="931">
        <f>SUM(I88)</f>
        <v>100</v>
      </c>
      <c r="J86" s="916">
        <f t="shared" si="9"/>
        <v>60.606060606060609</v>
      </c>
      <c r="K86" s="929"/>
      <c r="L86" s="931">
        <f>SUM(L88)</f>
        <v>39</v>
      </c>
      <c r="M86" s="909">
        <f t="shared" si="14"/>
        <v>23.636363636363637</v>
      </c>
      <c r="N86" s="929"/>
      <c r="O86" s="931">
        <f>SUM(O88)</f>
        <v>17</v>
      </c>
      <c r="P86" s="909">
        <f t="shared" si="10"/>
        <v>10.303030303030303</v>
      </c>
      <c r="Q86" s="929"/>
      <c r="R86" s="931">
        <f>SUM(R88)</f>
        <v>0</v>
      </c>
      <c r="S86" s="1255">
        <f t="shared" si="11"/>
        <v>0</v>
      </c>
    </row>
    <row r="87" spans="1:19" ht="6.95" customHeight="1">
      <c r="A87" s="881"/>
      <c r="B87" s="911" t="str">
        <f t="shared" si="7"/>
        <v/>
      </c>
      <c r="D87" s="913" t="str">
        <f t="shared" si="12"/>
        <v/>
      </c>
      <c r="F87" s="930"/>
      <c r="G87" s="916" t="str">
        <f t="shared" si="8"/>
        <v/>
      </c>
      <c r="H87" s="928"/>
      <c r="I87" s="930"/>
      <c r="J87" s="916" t="str">
        <f t="shared" si="9"/>
        <v/>
      </c>
      <c r="K87" s="928"/>
      <c r="L87" s="930"/>
      <c r="M87" s="916" t="str">
        <f t="shared" si="14"/>
        <v/>
      </c>
      <c r="N87" s="928"/>
      <c r="O87" s="930"/>
      <c r="P87" s="916" t="str">
        <f t="shared" si="10"/>
        <v/>
      </c>
      <c r="Q87" s="928"/>
      <c r="R87" s="930"/>
      <c r="S87" s="927" t="str">
        <f t="shared" si="11"/>
        <v/>
      </c>
    </row>
    <row r="88" spans="1:19" ht="13.15" customHeight="1">
      <c r="A88" s="867" t="s">
        <v>824</v>
      </c>
      <c r="B88" s="910">
        <f t="shared" si="7"/>
        <v>165</v>
      </c>
      <c r="C88" s="917"/>
      <c r="D88" s="913">
        <f t="shared" si="12"/>
        <v>6.2170308967596082</v>
      </c>
      <c r="E88" s="919"/>
      <c r="F88" s="931">
        <f>SUM(F89:F100)</f>
        <v>9</v>
      </c>
      <c r="G88" s="916">
        <f t="shared" si="8"/>
        <v>5.4545454545454541</v>
      </c>
      <c r="H88" s="929"/>
      <c r="I88" s="931">
        <f>SUM(I89:I100)</f>
        <v>100</v>
      </c>
      <c r="J88" s="916">
        <f t="shared" si="9"/>
        <v>60.606060606060609</v>
      </c>
      <c r="K88" s="929"/>
      <c r="L88" s="931">
        <f>SUM(L89:L100)</f>
        <v>39</v>
      </c>
      <c r="M88" s="909">
        <f t="shared" si="14"/>
        <v>23.636363636363637</v>
      </c>
      <c r="N88" s="929"/>
      <c r="O88" s="931">
        <f>SUM(O89:O100)</f>
        <v>17</v>
      </c>
      <c r="P88" s="909">
        <f t="shared" si="10"/>
        <v>10.303030303030303</v>
      </c>
      <c r="Q88" s="929"/>
      <c r="R88" s="931">
        <f>SUM(R89:R99)</f>
        <v>0</v>
      </c>
      <c r="S88" s="1255">
        <f t="shared" si="11"/>
        <v>0</v>
      </c>
    </row>
    <row r="89" spans="1:19" ht="13.15" customHeight="1">
      <c r="A89" s="847" t="s">
        <v>38</v>
      </c>
      <c r="B89" s="911">
        <f t="shared" si="7"/>
        <v>16</v>
      </c>
      <c r="D89" s="913">
        <f t="shared" si="12"/>
        <v>0.60286360211002266</v>
      </c>
      <c r="F89" s="920">
        <v>0</v>
      </c>
      <c r="G89" s="916">
        <f t="shared" si="8"/>
        <v>0</v>
      </c>
      <c r="H89" s="920"/>
      <c r="I89" s="921">
        <v>16</v>
      </c>
      <c r="J89" s="916">
        <f t="shared" si="9"/>
        <v>100</v>
      </c>
      <c r="K89" s="921"/>
      <c r="L89" s="921">
        <v>0</v>
      </c>
      <c r="M89" s="916">
        <f t="shared" si="14"/>
        <v>0</v>
      </c>
      <c r="N89" s="921"/>
      <c r="O89" s="921">
        <v>0</v>
      </c>
      <c r="P89" s="916">
        <f t="shared" si="10"/>
        <v>0</v>
      </c>
      <c r="Q89" s="921"/>
      <c r="R89" s="932"/>
      <c r="S89" s="927">
        <f t="shared" si="11"/>
        <v>0</v>
      </c>
    </row>
    <row r="90" spans="1:19" ht="13.15" customHeight="1">
      <c r="A90" s="847" t="s">
        <v>886</v>
      </c>
      <c r="B90" s="911">
        <f t="shared" si="7"/>
        <v>19</v>
      </c>
      <c r="D90" s="913">
        <f t="shared" si="12"/>
        <v>0.71590052750565192</v>
      </c>
      <c r="F90" s="920">
        <v>1</v>
      </c>
      <c r="G90" s="916">
        <f t="shared" si="8"/>
        <v>5.2631578947368416</v>
      </c>
      <c r="H90" s="920"/>
      <c r="I90" s="921">
        <v>16</v>
      </c>
      <c r="J90" s="916">
        <f t="shared" si="9"/>
        <v>84.210526315789465</v>
      </c>
      <c r="K90" s="921"/>
      <c r="L90" s="921">
        <v>2</v>
      </c>
      <c r="M90" s="916">
        <f t="shared" si="14"/>
        <v>10.526315789473683</v>
      </c>
      <c r="N90" s="921"/>
      <c r="O90" s="921">
        <v>0</v>
      </c>
      <c r="P90" s="916">
        <f t="shared" si="10"/>
        <v>0</v>
      </c>
      <c r="Q90" s="921"/>
      <c r="R90" s="932"/>
      <c r="S90" s="927">
        <f t="shared" si="11"/>
        <v>0</v>
      </c>
    </row>
    <row r="91" spans="1:19" ht="13.15" customHeight="1">
      <c r="A91" s="847" t="s">
        <v>887</v>
      </c>
      <c r="B91" s="911">
        <f t="shared" si="7"/>
        <v>11</v>
      </c>
      <c r="D91" s="913">
        <f t="shared" si="12"/>
        <v>0.41446872645064059</v>
      </c>
      <c r="F91" s="920">
        <v>0</v>
      </c>
      <c r="G91" s="916">
        <f t="shared" si="8"/>
        <v>0</v>
      </c>
      <c r="H91" s="920"/>
      <c r="I91" s="921">
        <v>3</v>
      </c>
      <c r="J91" s="916">
        <f t="shared" si="9"/>
        <v>27.27272727272727</v>
      </c>
      <c r="K91" s="921"/>
      <c r="L91" s="921">
        <v>3</v>
      </c>
      <c r="M91" s="916">
        <f t="shared" si="14"/>
        <v>27.27272727272727</v>
      </c>
      <c r="N91" s="921"/>
      <c r="O91" s="921">
        <v>5</v>
      </c>
      <c r="P91" s="916">
        <f t="shared" si="10"/>
        <v>45.454545454545453</v>
      </c>
      <c r="Q91" s="921"/>
      <c r="R91" s="932"/>
      <c r="S91" s="927">
        <f t="shared" si="11"/>
        <v>0</v>
      </c>
    </row>
    <row r="92" spans="1:19" ht="13.15" customHeight="1">
      <c r="A92" s="847" t="s">
        <v>888</v>
      </c>
      <c r="B92" s="911">
        <f t="shared" si="7"/>
        <v>26</v>
      </c>
      <c r="D92" s="913">
        <f t="shared" si="12"/>
        <v>0.97965335342878668</v>
      </c>
      <c r="F92" s="920">
        <v>1</v>
      </c>
      <c r="G92" s="916">
        <f t="shared" si="8"/>
        <v>3.8461538461538463</v>
      </c>
      <c r="H92" s="920"/>
      <c r="I92" s="921">
        <v>12</v>
      </c>
      <c r="J92" s="916">
        <f t="shared" si="9"/>
        <v>46.153846153846153</v>
      </c>
      <c r="K92" s="921"/>
      <c r="L92" s="921">
        <v>1</v>
      </c>
      <c r="M92" s="916">
        <f t="shared" si="14"/>
        <v>3.8461538461538463</v>
      </c>
      <c r="N92" s="921"/>
      <c r="O92" s="921">
        <v>12</v>
      </c>
      <c r="P92" s="916">
        <f t="shared" si="10"/>
        <v>46.153846153846153</v>
      </c>
      <c r="Q92" s="921"/>
      <c r="R92" s="932"/>
      <c r="S92" s="927">
        <f t="shared" si="11"/>
        <v>0</v>
      </c>
    </row>
    <row r="93" spans="1:19" ht="13.15" customHeight="1">
      <c r="A93" s="847" t="s">
        <v>951</v>
      </c>
      <c r="B93" s="911">
        <f>IF($A93&lt;&gt;0,F93+I93+L93+O93+R93,"")</f>
        <v>8</v>
      </c>
      <c r="D93" s="913">
        <f t="shared" si="12"/>
        <v>0.30143180105501133</v>
      </c>
      <c r="F93" s="920">
        <v>2</v>
      </c>
      <c r="G93" s="916">
        <f t="shared" si="8"/>
        <v>25</v>
      </c>
      <c r="H93" s="920"/>
      <c r="I93" s="921">
        <v>6</v>
      </c>
      <c r="J93" s="916">
        <f t="shared" si="9"/>
        <v>75</v>
      </c>
      <c r="K93" s="921"/>
      <c r="L93" s="921">
        <v>0</v>
      </c>
      <c r="M93" s="916">
        <f t="shared" si="14"/>
        <v>0</v>
      </c>
      <c r="N93" s="921"/>
      <c r="O93" s="921">
        <v>0</v>
      </c>
      <c r="P93" s="916">
        <f t="shared" si="10"/>
        <v>0</v>
      </c>
      <c r="Q93" s="921"/>
      <c r="R93" s="932"/>
      <c r="S93" s="927">
        <f t="shared" si="11"/>
        <v>0</v>
      </c>
    </row>
    <row r="94" spans="1:19" ht="13.15" customHeight="1">
      <c r="A94" s="847" t="s">
        <v>889</v>
      </c>
      <c r="B94" s="911">
        <f t="shared" si="7"/>
        <v>20</v>
      </c>
      <c r="D94" s="913">
        <f t="shared" si="12"/>
        <v>0.75357950263752826</v>
      </c>
      <c r="F94" s="920">
        <v>1</v>
      </c>
      <c r="G94" s="916">
        <f t="shared" si="8"/>
        <v>5</v>
      </c>
      <c r="H94" s="920"/>
      <c r="I94" s="921">
        <v>7</v>
      </c>
      <c r="J94" s="916">
        <f t="shared" si="9"/>
        <v>35</v>
      </c>
      <c r="K94" s="921"/>
      <c r="L94" s="921">
        <v>12</v>
      </c>
      <c r="M94" s="916">
        <f t="shared" si="14"/>
        <v>60</v>
      </c>
      <c r="N94" s="921"/>
      <c r="O94" s="921">
        <v>0</v>
      </c>
      <c r="P94" s="916">
        <f t="shared" si="10"/>
        <v>0</v>
      </c>
      <c r="Q94" s="921"/>
      <c r="R94" s="932"/>
      <c r="S94" s="927">
        <f t="shared" si="11"/>
        <v>0</v>
      </c>
    </row>
    <row r="95" spans="1:19" ht="13.15" customHeight="1">
      <c r="A95" s="847" t="s">
        <v>890</v>
      </c>
      <c r="B95" s="911">
        <f t="shared" si="7"/>
        <v>11</v>
      </c>
      <c r="D95" s="913">
        <f t="shared" si="12"/>
        <v>0.41446872645064059</v>
      </c>
      <c r="F95" s="920">
        <v>0</v>
      </c>
      <c r="G95" s="916">
        <f t="shared" si="8"/>
        <v>0</v>
      </c>
      <c r="H95" s="920"/>
      <c r="I95" s="921">
        <v>1</v>
      </c>
      <c r="J95" s="916">
        <f t="shared" si="9"/>
        <v>9.0909090909090917</v>
      </c>
      <c r="K95" s="921"/>
      <c r="L95" s="921">
        <v>10</v>
      </c>
      <c r="M95" s="916">
        <f t="shared" si="14"/>
        <v>90.909090909090907</v>
      </c>
      <c r="N95" s="921"/>
      <c r="O95" s="921">
        <v>0</v>
      </c>
      <c r="P95" s="916">
        <f t="shared" si="10"/>
        <v>0</v>
      </c>
      <c r="Q95" s="921"/>
      <c r="R95" s="932"/>
      <c r="S95" s="927">
        <f t="shared" si="11"/>
        <v>0</v>
      </c>
    </row>
    <row r="96" spans="1:19" ht="13.15" customHeight="1">
      <c r="A96" s="847" t="s">
        <v>26</v>
      </c>
      <c r="B96" s="911">
        <f t="shared" si="7"/>
        <v>7</v>
      </c>
      <c r="D96" s="913">
        <f t="shared" si="12"/>
        <v>0.26375282592313487</v>
      </c>
      <c r="F96" s="925">
        <v>2</v>
      </c>
      <c r="G96" s="916">
        <f t="shared" si="8"/>
        <v>28.571428571428569</v>
      </c>
      <c r="H96" s="925"/>
      <c r="I96" s="926">
        <v>5</v>
      </c>
      <c r="J96" s="916">
        <f t="shared" si="9"/>
        <v>71.428571428571431</v>
      </c>
      <c r="K96" s="926"/>
      <c r="L96" s="926">
        <v>0</v>
      </c>
      <c r="M96" s="916">
        <f t="shared" si="14"/>
        <v>0</v>
      </c>
      <c r="N96" s="926"/>
      <c r="O96" s="926">
        <v>0</v>
      </c>
      <c r="P96" s="916">
        <f t="shared" si="10"/>
        <v>0</v>
      </c>
      <c r="Q96" s="926"/>
      <c r="R96" s="932"/>
      <c r="S96" s="927">
        <f t="shared" si="11"/>
        <v>0</v>
      </c>
    </row>
    <row r="97" spans="1:21" ht="13.15" customHeight="1">
      <c r="A97" s="847" t="s">
        <v>952</v>
      </c>
      <c r="B97" s="911">
        <f t="shared" si="7"/>
        <v>13</v>
      </c>
      <c r="D97" s="913">
        <f t="shared" si="12"/>
        <v>0.48982667671439334</v>
      </c>
      <c r="F97" s="920">
        <v>1</v>
      </c>
      <c r="G97" s="916">
        <f t="shared" si="8"/>
        <v>7.6923076923076925</v>
      </c>
      <c r="H97" s="920"/>
      <c r="I97" s="921">
        <v>1</v>
      </c>
      <c r="J97" s="916">
        <f t="shared" si="9"/>
        <v>7.6923076923076925</v>
      </c>
      <c r="K97" s="921"/>
      <c r="L97" s="921">
        <v>11</v>
      </c>
      <c r="M97" s="916">
        <f t="shared" si="14"/>
        <v>84.615384615384613</v>
      </c>
      <c r="N97" s="921"/>
      <c r="O97" s="921">
        <v>0</v>
      </c>
      <c r="P97" s="916">
        <f t="shared" si="10"/>
        <v>0</v>
      </c>
      <c r="Q97" s="921"/>
      <c r="R97" s="932"/>
      <c r="S97" s="927">
        <f t="shared" si="11"/>
        <v>0</v>
      </c>
    </row>
    <row r="98" spans="1:21" ht="13.15" customHeight="1">
      <c r="A98" s="847" t="s">
        <v>812</v>
      </c>
      <c r="B98" s="911">
        <f t="shared" si="7"/>
        <v>26</v>
      </c>
      <c r="D98" s="913">
        <f t="shared" si="12"/>
        <v>0.97965335342878668</v>
      </c>
      <c r="F98" s="920">
        <v>0</v>
      </c>
      <c r="G98" s="916">
        <f t="shared" si="8"/>
        <v>0</v>
      </c>
      <c r="H98" s="920"/>
      <c r="I98" s="921">
        <v>26</v>
      </c>
      <c r="J98" s="916">
        <f t="shared" si="9"/>
        <v>100</v>
      </c>
      <c r="K98" s="921"/>
      <c r="L98" s="921">
        <v>0</v>
      </c>
      <c r="M98" s="916">
        <f t="shared" si="14"/>
        <v>0</v>
      </c>
      <c r="N98" s="921"/>
      <c r="O98" s="921">
        <v>0</v>
      </c>
      <c r="P98" s="916">
        <f t="shared" si="10"/>
        <v>0</v>
      </c>
      <c r="Q98" s="921"/>
      <c r="R98" s="932"/>
      <c r="S98" s="927">
        <f t="shared" si="11"/>
        <v>0</v>
      </c>
    </row>
    <row r="99" spans="1:21" ht="13.15" customHeight="1">
      <c r="A99" s="847" t="s">
        <v>47</v>
      </c>
      <c r="B99" s="911">
        <f t="shared" si="7"/>
        <v>1</v>
      </c>
      <c r="D99" s="913">
        <f t="shared" si="12"/>
        <v>3.7678975131876416E-2</v>
      </c>
      <c r="F99" s="920">
        <v>1</v>
      </c>
      <c r="G99" s="916">
        <f t="shared" si="8"/>
        <v>100</v>
      </c>
      <c r="H99" s="920"/>
      <c r="I99" s="921">
        <v>0</v>
      </c>
      <c r="J99" s="916">
        <f t="shared" si="9"/>
        <v>0</v>
      </c>
      <c r="K99" s="921"/>
      <c r="L99" s="921">
        <v>0</v>
      </c>
      <c r="M99" s="916">
        <f t="shared" si="14"/>
        <v>0</v>
      </c>
      <c r="N99" s="921"/>
      <c r="O99" s="921">
        <v>0</v>
      </c>
      <c r="P99" s="916">
        <f t="shared" si="10"/>
        <v>0</v>
      </c>
      <c r="Q99" s="921"/>
      <c r="R99" s="932"/>
      <c r="S99" s="927">
        <f t="shared" si="11"/>
        <v>0</v>
      </c>
    </row>
    <row r="100" spans="1:21" ht="13.15" customHeight="1">
      <c r="A100" s="847" t="s">
        <v>46</v>
      </c>
      <c r="B100" s="911">
        <f t="shared" si="7"/>
        <v>7</v>
      </c>
      <c r="D100" s="913">
        <f t="shared" si="12"/>
        <v>0.26375282592313487</v>
      </c>
      <c r="F100" s="920">
        <v>0</v>
      </c>
      <c r="G100" s="916">
        <f t="shared" si="8"/>
        <v>0</v>
      </c>
      <c r="H100" s="920"/>
      <c r="I100" s="921">
        <v>7</v>
      </c>
      <c r="J100" s="916">
        <f t="shared" si="9"/>
        <v>100</v>
      </c>
      <c r="K100" s="921"/>
      <c r="L100" s="921">
        <v>0</v>
      </c>
      <c r="M100" s="916">
        <f t="shared" si="14"/>
        <v>0</v>
      </c>
      <c r="N100" s="921"/>
      <c r="O100" s="921">
        <v>0</v>
      </c>
      <c r="P100" s="916">
        <f t="shared" si="10"/>
        <v>0</v>
      </c>
      <c r="Q100" s="921"/>
      <c r="R100" s="932"/>
      <c r="S100" s="927">
        <f t="shared" si="11"/>
        <v>0</v>
      </c>
    </row>
    <row r="101" spans="1:21" ht="6.95" customHeight="1" thickBot="1">
      <c r="A101" s="897"/>
      <c r="B101" s="898"/>
      <c r="C101" s="899"/>
      <c r="D101" s="900"/>
      <c r="E101" s="901"/>
      <c r="F101" s="933"/>
      <c r="G101" s="934"/>
      <c r="H101" s="901"/>
      <c r="I101" s="933"/>
      <c r="J101" s="934"/>
      <c r="K101" s="901"/>
      <c r="L101" s="933"/>
      <c r="M101" s="934"/>
      <c r="N101" s="901"/>
      <c r="O101" s="901"/>
      <c r="P101" s="934"/>
      <c r="Q101" s="901"/>
      <c r="R101" s="933"/>
      <c r="S101" s="934"/>
      <c r="T101" s="889"/>
    </row>
    <row r="102" spans="1:21" ht="6.95" customHeight="1"/>
    <row r="103" spans="1:21" ht="11.25" customHeight="1">
      <c r="A103" s="36" t="s">
        <v>2286</v>
      </c>
    </row>
    <row r="104" spans="1:21" ht="6.75" customHeight="1"/>
    <row r="105" spans="1:21" ht="15" customHeight="1">
      <c r="A105" s="854" t="s">
        <v>2135</v>
      </c>
      <c r="C105" s="913"/>
      <c r="D105" s="914"/>
      <c r="E105" s="912"/>
      <c r="H105" s="912"/>
      <c r="K105" s="912"/>
      <c r="N105" s="912"/>
      <c r="Q105" s="912"/>
    </row>
    <row r="106" spans="1:21" ht="15" customHeight="1">
      <c r="A106" s="854" t="s">
        <v>2136</v>
      </c>
      <c r="C106" s="913"/>
      <c r="D106" s="914"/>
      <c r="E106" s="912"/>
      <c r="H106" s="912"/>
      <c r="K106" s="912"/>
      <c r="N106" s="912"/>
      <c r="Q106" s="912"/>
    </row>
    <row r="107" spans="1:21" ht="8.25" customHeight="1"/>
    <row r="108" spans="1:21" ht="15" customHeight="1">
      <c r="A108" s="855" t="s">
        <v>953</v>
      </c>
    </row>
    <row r="109" spans="1:21" ht="15" customHeight="1">
      <c r="A109" s="854" t="s">
        <v>365</v>
      </c>
    </row>
    <row r="110" spans="1:21" s="935" customFormat="1" ht="15" customHeight="1">
      <c r="B110" s="936"/>
      <c r="C110" s="937"/>
      <c r="D110" s="938"/>
      <c r="E110" s="939"/>
      <c r="F110" s="940"/>
      <c r="G110" s="941"/>
      <c r="H110" s="939"/>
      <c r="I110" s="940"/>
      <c r="J110" s="941"/>
      <c r="K110" s="939"/>
      <c r="L110" s="940"/>
      <c r="M110" s="941"/>
      <c r="N110" s="939"/>
      <c r="O110" s="940"/>
      <c r="P110" s="941"/>
      <c r="Q110" s="939"/>
      <c r="R110" s="940"/>
      <c r="S110" s="941"/>
      <c r="T110" s="939"/>
      <c r="U110" s="939"/>
    </row>
    <row r="111" spans="1:21" ht="15" customHeight="1"/>
    <row r="112" spans="1:21" ht="15" customHeight="1"/>
    <row r="113" spans="2:21" ht="15" customHeight="1"/>
    <row r="114" spans="2:21" ht="15" customHeight="1"/>
    <row r="115" spans="2:21" ht="15" customHeight="1"/>
    <row r="116" spans="2:21" ht="15" customHeight="1"/>
    <row r="117" spans="2:21" ht="15" customHeight="1"/>
    <row r="118" spans="2:21" ht="15" customHeight="1"/>
    <row r="119" spans="2:21" ht="15" customHeight="1"/>
    <row r="120" spans="2:21" ht="15" customHeight="1"/>
    <row r="121" spans="2:21" ht="15" customHeight="1"/>
    <row r="122" spans="2:21" s="935" customFormat="1" ht="15" customHeight="1">
      <c r="B122" s="936"/>
      <c r="C122" s="937"/>
      <c r="D122" s="938"/>
      <c r="E122" s="939"/>
      <c r="F122" s="940"/>
      <c r="G122" s="941"/>
      <c r="H122" s="939"/>
      <c r="I122" s="940"/>
      <c r="J122" s="941"/>
      <c r="K122" s="939"/>
      <c r="L122" s="940"/>
      <c r="M122" s="941"/>
      <c r="N122" s="939"/>
      <c r="O122" s="940"/>
      <c r="P122" s="941"/>
      <c r="Q122" s="939"/>
      <c r="R122" s="940"/>
      <c r="S122" s="941"/>
      <c r="T122" s="939"/>
      <c r="U122" s="939"/>
    </row>
    <row r="123" spans="2:21" s="935" customFormat="1" ht="15" customHeight="1">
      <c r="B123" s="936"/>
      <c r="C123" s="937"/>
      <c r="D123" s="938"/>
      <c r="E123" s="939"/>
      <c r="F123" s="940"/>
      <c r="G123" s="941"/>
      <c r="H123" s="939"/>
      <c r="I123" s="940"/>
      <c r="J123" s="941"/>
      <c r="K123" s="939"/>
      <c r="L123" s="940"/>
      <c r="M123" s="941"/>
      <c r="N123" s="939"/>
      <c r="O123" s="940"/>
      <c r="P123" s="941"/>
      <c r="Q123" s="939"/>
      <c r="R123" s="940"/>
      <c r="S123" s="941"/>
      <c r="T123" s="939"/>
      <c r="U123" s="939"/>
    </row>
    <row r="124" spans="2:21" ht="15" customHeight="1"/>
    <row r="125" spans="2:21" ht="15" customHeight="1"/>
    <row r="126" spans="2:21" ht="15" customHeight="1"/>
    <row r="127" spans="2:21" ht="15" customHeight="1"/>
    <row r="128" spans="2:21" ht="15" customHeight="1"/>
    <row r="129" ht="15" customHeight="1"/>
    <row r="138" ht="14.25" customHeight="1"/>
  </sheetData>
  <mergeCells count="1">
    <mergeCell ref="R8:S8"/>
  </mergeCells>
  <printOptions horizontalCentered="1" verticalCentered="1"/>
  <pageMargins left="0" right="0" top="0" bottom="0" header="0.31496062992125984" footer="0.31496062992125984"/>
  <pageSetup paperSize="9" scale="60" orientation="portrait" r:id="rId1"/>
  <drawing r:id="rId2"/>
</worksheet>
</file>

<file path=xl/worksheets/sheet48.xml><?xml version="1.0" encoding="utf-8"?>
<worksheet xmlns="http://schemas.openxmlformats.org/spreadsheetml/2006/main" xmlns:r="http://schemas.openxmlformats.org/officeDocument/2006/relationships">
  <dimension ref="A1:R46"/>
  <sheetViews>
    <sheetView workbookViewId="0">
      <selection activeCell="A39" sqref="A39"/>
    </sheetView>
  </sheetViews>
  <sheetFormatPr baseColWidth="10" defaultColWidth="8.85546875" defaultRowHeight="12.75"/>
  <cols>
    <col min="1" max="1" width="29.42578125" style="434" customWidth="1"/>
    <col min="2" max="2" width="8.28515625" style="435" customWidth="1"/>
    <col min="3" max="3" width="8.28515625" style="436" customWidth="1"/>
    <col min="4" max="4" width="2.7109375" style="434" customWidth="1"/>
    <col min="5" max="5" width="7" style="435" customWidth="1"/>
    <col min="6" max="6" width="7" style="436" customWidth="1"/>
    <col min="7" max="7" width="2.7109375" style="434" customWidth="1"/>
    <col min="8" max="8" width="7.7109375" style="435" customWidth="1"/>
    <col min="9" max="9" width="7.7109375" style="436" customWidth="1"/>
    <col min="10" max="10" width="2.7109375" style="434" customWidth="1"/>
    <col min="11" max="11" width="7.140625" style="435" customWidth="1"/>
    <col min="12" max="12" width="7.140625" style="436" customWidth="1"/>
    <col min="13" max="13" width="2.7109375" style="434" customWidth="1"/>
    <col min="14" max="14" width="7.140625" style="435" customWidth="1"/>
    <col min="15" max="15" width="7.140625" style="436" customWidth="1"/>
    <col min="16" max="16" width="2.7109375" style="434" customWidth="1"/>
    <col min="17" max="17" width="6.5703125" style="435" customWidth="1"/>
    <col min="18" max="18" width="6.5703125" style="436" customWidth="1"/>
    <col min="19" max="256" width="8.85546875" style="434"/>
    <col min="257" max="257" width="29.42578125" style="434" customWidth="1"/>
    <col min="258" max="259" width="8.28515625" style="434" customWidth="1"/>
    <col min="260" max="260" width="2.7109375" style="434" customWidth="1"/>
    <col min="261" max="262" width="8.28515625" style="434" customWidth="1"/>
    <col min="263" max="263" width="2.7109375" style="434" customWidth="1"/>
    <col min="264" max="265" width="8.28515625" style="434" customWidth="1"/>
    <col min="266" max="266" width="2.7109375" style="434" customWidth="1"/>
    <col min="267" max="268" width="8.28515625" style="434" customWidth="1"/>
    <col min="269" max="269" width="2.7109375" style="434" customWidth="1"/>
    <col min="270" max="271" width="8.28515625" style="434" customWidth="1"/>
    <col min="272" max="272" width="2.7109375" style="434" customWidth="1"/>
    <col min="273" max="274" width="8.28515625" style="434" customWidth="1"/>
    <col min="275" max="512" width="8.85546875" style="434"/>
    <col min="513" max="513" width="29.42578125" style="434" customWidth="1"/>
    <col min="514" max="515" width="8.28515625" style="434" customWidth="1"/>
    <col min="516" max="516" width="2.7109375" style="434" customWidth="1"/>
    <col min="517" max="518" width="8.28515625" style="434" customWidth="1"/>
    <col min="519" max="519" width="2.7109375" style="434" customWidth="1"/>
    <col min="520" max="521" width="8.28515625" style="434" customWidth="1"/>
    <col min="522" max="522" width="2.7109375" style="434" customWidth="1"/>
    <col min="523" max="524" width="8.28515625" style="434" customWidth="1"/>
    <col min="525" max="525" width="2.7109375" style="434" customWidth="1"/>
    <col min="526" max="527" width="8.28515625" style="434" customWidth="1"/>
    <col min="528" max="528" width="2.7109375" style="434" customWidth="1"/>
    <col min="529" max="530" width="8.28515625" style="434" customWidth="1"/>
    <col min="531" max="768" width="8.85546875" style="434"/>
    <col min="769" max="769" width="29.42578125" style="434" customWidth="1"/>
    <col min="770" max="771" width="8.28515625" style="434" customWidth="1"/>
    <col min="772" max="772" width="2.7109375" style="434" customWidth="1"/>
    <col min="773" max="774" width="8.28515625" style="434" customWidth="1"/>
    <col min="775" max="775" width="2.7109375" style="434" customWidth="1"/>
    <col min="776" max="777" width="8.28515625" style="434" customWidth="1"/>
    <col min="778" max="778" width="2.7109375" style="434" customWidth="1"/>
    <col min="779" max="780" width="8.28515625" style="434" customWidth="1"/>
    <col min="781" max="781" width="2.7109375" style="434" customWidth="1"/>
    <col min="782" max="783" width="8.28515625" style="434" customWidth="1"/>
    <col min="784" max="784" width="2.7109375" style="434" customWidth="1"/>
    <col min="785" max="786" width="8.28515625" style="434" customWidth="1"/>
    <col min="787" max="1024" width="8.85546875" style="434"/>
    <col min="1025" max="1025" width="29.42578125" style="434" customWidth="1"/>
    <col min="1026" max="1027" width="8.28515625" style="434" customWidth="1"/>
    <col min="1028" max="1028" width="2.7109375" style="434" customWidth="1"/>
    <col min="1029" max="1030" width="8.28515625" style="434" customWidth="1"/>
    <col min="1031" max="1031" width="2.7109375" style="434" customWidth="1"/>
    <col min="1032" max="1033" width="8.28515625" style="434" customWidth="1"/>
    <col min="1034" max="1034" width="2.7109375" style="434" customWidth="1"/>
    <col min="1035" max="1036" width="8.28515625" style="434" customWidth="1"/>
    <col min="1037" max="1037" width="2.7109375" style="434" customWidth="1"/>
    <col min="1038" max="1039" width="8.28515625" style="434" customWidth="1"/>
    <col min="1040" max="1040" width="2.7109375" style="434" customWidth="1"/>
    <col min="1041" max="1042" width="8.28515625" style="434" customWidth="1"/>
    <col min="1043" max="1280" width="8.85546875" style="434"/>
    <col min="1281" max="1281" width="29.42578125" style="434" customWidth="1"/>
    <col min="1282" max="1283" width="8.28515625" style="434" customWidth="1"/>
    <col min="1284" max="1284" width="2.7109375" style="434" customWidth="1"/>
    <col min="1285" max="1286" width="8.28515625" style="434" customWidth="1"/>
    <col min="1287" max="1287" width="2.7109375" style="434" customWidth="1"/>
    <col min="1288" max="1289" width="8.28515625" style="434" customWidth="1"/>
    <col min="1290" max="1290" width="2.7109375" style="434" customWidth="1"/>
    <col min="1291" max="1292" width="8.28515625" style="434" customWidth="1"/>
    <col min="1293" max="1293" width="2.7109375" style="434" customWidth="1"/>
    <col min="1294" max="1295" width="8.28515625" style="434" customWidth="1"/>
    <col min="1296" max="1296" width="2.7109375" style="434" customWidth="1"/>
    <col min="1297" max="1298" width="8.28515625" style="434" customWidth="1"/>
    <col min="1299" max="1536" width="8.85546875" style="434"/>
    <col min="1537" max="1537" width="29.42578125" style="434" customWidth="1"/>
    <col min="1538" max="1539" width="8.28515625" style="434" customWidth="1"/>
    <col min="1540" max="1540" width="2.7109375" style="434" customWidth="1"/>
    <col min="1541" max="1542" width="8.28515625" style="434" customWidth="1"/>
    <col min="1543" max="1543" width="2.7109375" style="434" customWidth="1"/>
    <col min="1544" max="1545" width="8.28515625" style="434" customWidth="1"/>
    <col min="1546" max="1546" width="2.7109375" style="434" customWidth="1"/>
    <col min="1547" max="1548" width="8.28515625" style="434" customWidth="1"/>
    <col min="1549" max="1549" width="2.7109375" style="434" customWidth="1"/>
    <col min="1550" max="1551" width="8.28515625" style="434" customWidth="1"/>
    <col min="1552" max="1552" width="2.7109375" style="434" customWidth="1"/>
    <col min="1553" max="1554" width="8.28515625" style="434" customWidth="1"/>
    <col min="1555" max="1792" width="8.85546875" style="434"/>
    <col min="1793" max="1793" width="29.42578125" style="434" customWidth="1"/>
    <col min="1794" max="1795" width="8.28515625" style="434" customWidth="1"/>
    <col min="1796" max="1796" width="2.7109375" style="434" customWidth="1"/>
    <col min="1797" max="1798" width="8.28515625" style="434" customWidth="1"/>
    <col min="1799" max="1799" width="2.7109375" style="434" customWidth="1"/>
    <col min="1800" max="1801" width="8.28515625" style="434" customWidth="1"/>
    <col min="1802" max="1802" width="2.7109375" style="434" customWidth="1"/>
    <col min="1803" max="1804" width="8.28515625" style="434" customWidth="1"/>
    <col min="1805" max="1805" width="2.7109375" style="434" customWidth="1"/>
    <col min="1806" max="1807" width="8.28515625" style="434" customWidth="1"/>
    <col min="1808" max="1808" width="2.7109375" style="434" customWidth="1"/>
    <col min="1809" max="1810" width="8.28515625" style="434" customWidth="1"/>
    <col min="1811" max="2048" width="8.85546875" style="434"/>
    <col min="2049" max="2049" width="29.42578125" style="434" customWidth="1"/>
    <col min="2050" max="2051" width="8.28515625" style="434" customWidth="1"/>
    <col min="2052" max="2052" width="2.7109375" style="434" customWidth="1"/>
    <col min="2053" max="2054" width="8.28515625" style="434" customWidth="1"/>
    <col min="2055" max="2055" width="2.7109375" style="434" customWidth="1"/>
    <col min="2056" max="2057" width="8.28515625" style="434" customWidth="1"/>
    <col min="2058" max="2058" width="2.7109375" style="434" customWidth="1"/>
    <col min="2059" max="2060" width="8.28515625" style="434" customWidth="1"/>
    <col min="2061" max="2061" width="2.7109375" style="434" customWidth="1"/>
    <col min="2062" max="2063" width="8.28515625" style="434" customWidth="1"/>
    <col min="2064" max="2064" width="2.7109375" style="434" customWidth="1"/>
    <col min="2065" max="2066" width="8.28515625" style="434" customWidth="1"/>
    <col min="2067" max="2304" width="8.85546875" style="434"/>
    <col min="2305" max="2305" width="29.42578125" style="434" customWidth="1"/>
    <col min="2306" max="2307" width="8.28515625" style="434" customWidth="1"/>
    <col min="2308" max="2308" width="2.7109375" style="434" customWidth="1"/>
    <col min="2309" max="2310" width="8.28515625" style="434" customWidth="1"/>
    <col min="2311" max="2311" width="2.7109375" style="434" customWidth="1"/>
    <col min="2312" max="2313" width="8.28515625" style="434" customWidth="1"/>
    <col min="2314" max="2314" width="2.7109375" style="434" customWidth="1"/>
    <col min="2315" max="2316" width="8.28515625" style="434" customWidth="1"/>
    <col min="2317" max="2317" width="2.7109375" style="434" customWidth="1"/>
    <col min="2318" max="2319" width="8.28515625" style="434" customWidth="1"/>
    <col min="2320" max="2320" width="2.7109375" style="434" customWidth="1"/>
    <col min="2321" max="2322" width="8.28515625" style="434" customWidth="1"/>
    <col min="2323" max="2560" width="8.85546875" style="434"/>
    <col min="2561" max="2561" width="29.42578125" style="434" customWidth="1"/>
    <col min="2562" max="2563" width="8.28515625" style="434" customWidth="1"/>
    <col min="2564" max="2564" width="2.7109375" style="434" customWidth="1"/>
    <col min="2565" max="2566" width="8.28515625" style="434" customWidth="1"/>
    <col min="2567" max="2567" width="2.7109375" style="434" customWidth="1"/>
    <col min="2568" max="2569" width="8.28515625" style="434" customWidth="1"/>
    <col min="2570" max="2570" width="2.7109375" style="434" customWidth="1"/>
    <col min="2571" max="2572" width="8.28515625" style="434" customWidth="1"/>
    <col min="2573" max="2573" width="2.7109375" style="434" customWidth="1"/>
    <col min="2574" max="2575" width="8.28515625" style="434" customWidth="1"/>
    <col min="2576" max="2576" width="2.7109375" style="434" customWidth="1"/>
    <col min="2577" max="2578" width="8.28515625" style="434" customWidth="1"/>
    <col min="2579" max="2816" width="8.85546875" style="434"/>
    <col min="2817" max="2817" width="29.42578125" style="434" customWidth="1"/>
    <col min="2818" max="2819" width="8.28515625" style="434" customWidth="1"/>
    <col min="2820" max="2820" width="2.7109375" style="434" customWidth="1"/>
    <col min="2821" max="2822" width="8.28515625" style="434" customWidth="1"/>
    <col min="2823" max="2823" width="2.7109375" style="434" customWidth="1"/>
    <col min="2824" max="2825" width="8.28515625" style="434" customWidth="1"/>
    <col min="2826" max="2826" width="2.7109375" style="434" customWidth="1"/>
    <col min="2827" max="2828" width="8.28515625" style="434" customWidth="1"/>
    <col min="2829" max="2829" width="2.7109375" style="434" customWidth="1"/>
    <col min="2830" max="2831" width="8.28515625" style="434" customWidth="1"/>
    <col min="2832" max="2832" width="2.7109375" style="434" customWidth="1"/>
    <col min="2833" max="2834" width="8.28515625" style="434" customWidth="1"/>
    <col min="2835" max="3072" width="8.85546875" style="434"/>
    <col min="3073" max="3073" width="29.42578125" style="434" customWidth="1"/>
    <col min="3074" max="3075" width="8.28515625" style="434" customWidth="1"/>
    <col min="3076" max="3076" width="2.7109375" style="434" customWidth="1"/>
    <col min="3077" max="3078" width="8.28515625" style="434" customWidth="1"/>
    <col min="3079" max="3079" width="2.7109375" style="434" customWidth="1"/>
    <col min="3080" max="3081" width="8.28515625" style="434" customWidth="1"/>
    <col min="3082" max="3082" width="2.7109375" style="434" customWidth="1"/>
    <col min="3083" max="3084" width="8.28515625" style="434" customWidth="1"/>
    <col min="3085" max="3085" width="2.7109375" style="434" customWidth="1"/>
    <col min="3086" max="3087" width="8.28515625" style="434" customWidth="1"/>
    <col min="3088" max="3088" width="2.7109375" style="434" customWidth="1"/>
    <col min="3089" max="3090" width="8.28515625" style="434" customWidth="1"/>
    <col min="3091" max="3328" width="8.85546875" style="434"/>
    <col min="3329" max="3329" width="29.42578125" style="434" customWidth="1"/>
    <col min="3330" max="3331" width="8.28515625" style="434" customWidth="1"/>
    <col min="3332" max="3332" width="2.7109375" style="434" customWidth="1"/>
    <col min="3333" max="3334" width="8.28515625" style="434" customWidth="1"/>
    <col min="3335" max="3335" width="2.7109375" style="434" customWidth="1"/>
    <col min="3336" max="3337" width="8.28515625" style="434" customWidth="1"/>
    <col min="3338" max="3338" width="2.7109375" style="434" customWidth="1"/>
    <col min="3339" max="3340" width="8.28515625" style="434" customWidth="1"/>
    <col min="3341" max="3341" width="2.7109375" style="434" customWidth="1"/>
    <col min="3342" max="3343" width="8.28515625" style="434" customWidth="1"/>
    <col min="3344" max="3344" width="2.7109375" style="434" customWidth="1"/>
    <col min="3345" max="3346" width="8.28515625" style="434" customWidth="1"/>
    <col min="3347" max="3584" width="8.85546875" style="434"/>
    <col min="3585" max="3585" width="29.42578125" style="434" customWidth="1"/>
    <col min="3586" max="3587" width="8.28515625" style="434" customWidth="1"/>
    <col min="3588" max="3588" width="2.7109375" style="434" customWidth="1"/>
    <col min="3589" max="3590" width="8.28515625" style="434" customWidth="1"/>
    <col min="3591" max="3591" width="2.7109375" style="434" customWidth="1"/>
    <col min="3592" max="3593" width="8.28515625" style="434" customWidth="1"/>
    <col min="3594" max="3594" width="2.7109375" style="434" customWidth="1"/>
    <col min="3595" max="3596" width="8.28515625" style="434" customWidth="1"/>
    <col min="3597" max="3597" width="2.7109375" style="434" customWidth="1"/>
    <col min="3598" max="3599" width="8.28515625" style="434" customWidth="1"/>
    <col min="3600" max="3600" width="2.7109375" style="434" customWidth="1"/>
    <col min="3601" max="3602" width="8.28515625" style="434" customWidth="1"/>
    <col min="3603" max="3840" width="8.85546875" style="434"/>
    <col min="3841" max="3841" width="29.42578125" style="434" customWidth="1"/>
    <col min="3842" max="3843" width="8.28515625" style="434" customWidth="1"/>
    <col min="3844" max="3844" width="2.7109375" style="434" customWidth="1"/>
    <col min="3845" max="3846" width="8.28515625" style="434" customWidth="1"/>
    <col min="3847" max="3847" width="2.7109375" style="434" customWidth="1"/>
    <col min="3848" max="3849" width="8.28515625" style="434" customWidth="1"/>
    <col min="3850" max="3850" width="2.7109375" style="434" customWidth="1"/>
    <col min="3851" max="3852" width="8.28515625" style="434" customWidth="1"/>
    <col min="3853" max="3853" width="2.7109375" style="434" customWidth="1"/>
    <col min="3854" max="3855" width="8.28515625" style="434" customWidth="1"/>
    <col min="3856" max="3856" width="2.7109375" style="434" customWidth="1"/>
    <col min="3857" max="3858" width="8.28515625" style="434" customWidth="1"/>
    <col min="3859" max="4096" width="8.85546875" style="434"/>
    <col min="4097" max="4097" width="29.42578125" style="434" customWidth="1"/>
    <col min="4098" max="4099" width="8.28515625" style="434" customWidth="1"/>
    <col min="4100" max="4100" width="2.7109375" style="434" customWidth="1"/>
    <col min="4101" max="4102" width="8.28515625" style="434" customWidth="1"/>
    <col min="4103" max="4103" width="2.7109375" style="434" customWidth="1"/>
    <col min="4104" max="4105" width="8.28515625" style="434" customWidth="1"/>
    <col min="4106" max="4106" width="2.7109375" style="434" customWidth="1"/>
    <col min="4107" max="4108" width="8.28515625" style="434" customWidth="1"/>
    <col min="4109" max="4109" width="2.7109375" style="434" customWidth="1"/>
    <col min="4110" max="4111" width="8.28515625" style="434" customWidth="1"/>
    <col min="4112" max="4112" width="2.7109375" style="434" customWidth="1"/>
    <col min="4113" max="4114" width="8.28515625" style="434" customWidth="1"/>
    <col min="4115" max="4352" width="8.85546875" style="434"/>
    <col min="4353" max="4353" width="29.42578125" style="434" customWidth="1"/>
    <col min="4354" max="4355" width="8.28515625" style="434" customWidth="1"/>
    <col min="4356" max="4356" width="2.7109375" style="434" customWidth="1"/>
    <col min="4357" max="4358" width="8.28515625" style="434" customWidth="1"/>
    <col min="4359" max="4359" width="2.7109375" style="434" customWidth="1"/>
    <col min="4360" max="4361" width="8.28515625" style="434" customWidth="1"/>
    <col min="4362" max="4362" width="2.7109375" style="434" customWidth="1"/>
    <col min="4363" max="4364" width="8.28515625" style="434" customWidth="1"/>
    <col min="4365" max="4365" width="2.7109375" style="434" customWidth="1"/>
    <col min="4366" max="4367" width="8.28515625" style="434" customWidth="1"/>
    <col min="4368" max="4368" width="2.7109375" style="434" customWidth="1"/>
    <col min="4369" max="4370" width="8.28515625" style="434" customWidth="1"/>
    <col min="4371" max="4608" width="8.85546875" style="434"/>
    <col min="4609" max="4609" width="29.42578125" style="434" customWidth="1"/>
    <col min="4610" max="4611" width="8.28515625" style="434" customWidth="1"/>
    <col min="4612" max="4612" width="2.7109375" style="434" customWidth="1"/>
    <col min="4613" max="4614" width="8.28515625" style="434" customWidth="1"/>
    <col min="4615" max="4615" width="2.7109375" style="434" customWidth="1"/>
    <col min="4616" max="4617" width="8.28515625" style="434" customWidth="1"/>
    <col min="4618" max="4618" width="2.7109375" style="434" customWidth="1"/>
    <col min="4619" max="4620" width="8.28515625" style="434" customWidth="1"/>
    <col min="4621" max="4621" width="2.7109375" style="434" customWidth="1"/>
    <col min="4622" max="4623" width="8.28515625" style="434" customWidth="1"/>
    <col min="4624" max="4624" width="2.7109375" style="434" customWidth="1"/>
    <col min="4625" max="4626" width="8.28515625" style="434" customWidth="1"/>
    <col min="4627" max="4864" width="8.85546875" style="434"/>
    <col min="4865" max="4865" width="29.42578125" style="434" customWidth="1"/>
    <col min="4866" max="4867" width="8.28515625" style="434" customWidth="1"/>
    <col min="4868" max="4868" width="2.7109375" style="434" customWidth="1"/>
    <col min="4869" max="4870" width="8.28515625" style="434" customWidth="1"/>
    <col min="4871" max="4871" width="2.7109375" style="434" customWidth="1"/>
    <col min="4872" max="4873" width="8.28515625" style="434" customWidth="1"/>
    <col min="4874" max="4874" width="2.7109375" style="434" customWidth="1"/>
    <col min="4875" max="4876" width="8.28515625" style="434" customWidth="1"/>
    <col min="4877" max="4877" width="2.7109375" style="434" customWidth="1"/>
    <col min="4878" max="4879" width="8.28515625" style="434" customWidth="1"/>
    <col min="4880" max="4880" width="2.7109375" style="434" customWidth="1"/>
    <col min="4881" max="4882" width="8.28515625" style="434" customWidth="1"/>
    <col min="4883" max="5120" width="8.85546875" style="434"/>
    <col min="5121" max="5121" width="29.42578125" style="434" customWidth="1"/>
    <col min="5122" max="5123" width="8.28515625" style="434" customWidth="1"/>
    <col min="5124" max="5124" width="2.7109375" style="434" customWidth="1"/>
    <col min="5125" max="5126" width="8.28515625" style="434" customWidth="1"/>
    <col min="5127" max="5127" width="2.7109375" style="434" customWidth="1"/>
    <col min="5128" max="5129" width="8.28515625" style="434" customWidth="1"/>
    <col min="5130" max="5130" width="2.7109375" style="434" customWidth="1"/>
    <col min="5131" max="5132" width="8.28515625" style="434" customWidth="1"/>
    <col min="5133" max="5133" width="2.7109375" style="434" customWidth="1"/>
    <col min="5134" max="5135" width="8.28515625" style="434" customWidth="1"/>
    <col min="5136" max="5136" width="2.7109375" style="434" customWidth="1"/>
    <col min="5137" max="5138" width="8.28515625" style="434" customWidth="1"/>
    <col min="5139" max="5376" width="8.85546875" style="434"/>
    <col min="5377" max="5377" width="29.42578125" style="434" customWidth="1"/>
    <col min="5378" max="5379" width="8.28515625" style="434" customWidth="1"/>
    <col min="5380" max="5380" width="2.7109375" style="434" customWidth="1"/>
    <col min="5381" max="5382" width="8.28515625" style="434" customWidth="1"/>
    <col min="5383" max="5383" width="2.7109375" style="434" customWidth="1"/>
    <col min="5384" max="5385" width="8.28515625" style="434" customWidth="1"/>
    <col min="5386" max="5386" width="2.7109375" style="434" customWidth="1"/>
    <col min="5387" max="5388" width="8.28515625" style="434" customWidth="1"/>
    <col min="5389" max="5389" width="2.7109375" style="434" customWidth="1"/>
    <col min="5390" max="5391" width="8.28515625" style="434" customWidth="1"/>
    <col min="5392" max="5392" width="2.7109375" style="434" customWidth="1"/>
    <col min="5393" max="5394" width="8.28515625" style="434" customWidth="1"/>
    <col min="5395" max="5632" width="8.85546875" style="434"/>
    <col min="5633" max="5633" width="29.42578125" style="434" customWidth="1"/>
    <col min="5634" max="5635" width="8.28515625" style="434" customWidth="1"/>
    <col min="5636" max="5636" width="2.7109375" style="434" customWidth="1"/>
    <col min="5637" max="5638" width="8.28515625" style="434" customWidth="1"/>
    <col min="5639" max="5639" width="2.7109375" style="434" customWidth="1"/>
    <col min="5640" max="5641" width="8.28515625" style="434" customWidth="1"/>
    <col min="5642" max="5642" width="2.7109375" style="434" customWidth="1"/>
    <col min="5643" max="5644" width="8.28515625" style="434" customWidth="1"/>
    <col min="5645" max="5645" width="2.7109375" style="434" customWidth="1"/>
    <col min="5646" max="5647" width="8.28515625" style="434" customWidth="1"/>
    <col min="5648" max="5648" width="2.7109375" style="434" customWidth="1"/>
    <col min="5649" max="5650" width="8.28515625" style="434" customWidth="1"/>
    <col min="5651" max="5888" width="8.85546875" style="434"/>
    <col min="5889" max="5889" width="29.42578125" style="434" customWidth="1"/>
    <col min="5890" max="5891" width="8.28515625" style="434" customWidth="1"/>
    <col min="5892" max="5892" width="2.7109375" style="434" customWidth="1"/>
    <col min="5893" max="5894" width="8.28515625" style="434" customWidth="1"/>
    <col min="5895" max="5895" width="2.7109375" style="434" customWidth="1"/>
    <col min="5896" max="5897" width="8.28515625" style="434" customWidth="1"/>
    <col min="5898" max="5898" width="2.7109375" style="434" customWidth="1"/>
    <col min="5899" max="5900" width="8.28515625" style="434" customWidth="1"/>
    <col min="5901" max="5901" width="2.7109375" style="434" customWidth="1"/>
    <col min="5902" max="5903" width="8.28515625" style="434" customWidth="1"/>
    <col min="5904" max="5904" width="2.7109375" style="434" customWidth="1"/>
    <col min="5905" max="5906" width="8.28515625" style="434" customWidth="1"/>
    <col min="5907" max="6144" width="8.85546875" style="434"/>
    <col min="6145" max="6145" width="29.42578125" style="434" customWidth="1"/>
    <col min="6146" max="6147" width="8.28515625" style="434" customWidth="1"/>
    <col min="6148" max="6148" width="2.7109375" style="434" customWidth="1"/>
    <col min="6149" max="6150" width="8.28515625" style="434" customWidth="1"/>
    <col min="6151" max="6151" width="2.7109375" style="434" customWidth="1"/>
    <col min="6152" max="6153" width="8.28515625" style="434" customWidth="1"/>
    <col min="6154" max="6154" width="2.7109375" style="434" customWidth="1"/>
    <col min="6155" max="6156" width="8.28515625" style="434" customWidth="1"/>
    <col min="6157" max="6157" width="2.7109375" style="434" customWidth="1"/>
    <col min="6158" max="6159" width="8.28515625" style="434" customWidth="1"/>
    <col min="6160" max="6160" width="2.7109375" style="434" customWidth="1"/>
    <col min="6161" max="6162" width="8.28515625" style="434" customWidth="1"/>
    <col min="6163" max="6400" width="8.85546875" style="434"/>
    <col min="6401" max="6401" width="29.42578125" style="434" customWidth="1"/>
    <col min="6402" max="6403" width="8.28515625" style="434" customWidth="1"/>
    <col min="6404" max="6404" width="2.7109375" style="434" customWidth="1"/>
    <col min="6405" max="6406" width="8.28515625" style="434" customWidth="1"/>
    <col min="6407" max="6407" width="2.7109375" style="434" customWidth="1"/>
    <col min="6408" max="6409" width="8.28515625" style="434" customWidth="1"/>
    <col min="6410" max="6410" width="2.7109375" style="434" customWidth="1"/>
    <col min="6411" max="6412" width="8.28515625" style="434" customWidth="1"/>
    <col min="6413" max="6413" width="2.7109375" style="434" customWidth="1"/>
    <col min="6414" max="6415" width="8.28515625" style="434" customWidth="1"/>
    <col min="6416" max="6416" width="2.7109375" style="434" customWidth="1"/>
    <col min="6417" max="6418" width="8.28515625" style="434" customWidth="1"/>
    <col min="6419" max="6656" width="8.85546875" style="434"/>
    <col min="6657" max="6657" width="29.42578125" style="434" customWidth="1"/>
    <col min="6658" max="6659" width="8.28515625" style="434" customWidth="1"/>
    <col min="6660" max="6660" width="2.7109375" style="434" customWidth="1"/>
    <col min="6661" max="6662" width="8.28515625" style="434" customWidth="1"/>
    <col min="6663" max="6663" width="2.7109375" style="434" customWidth="1"/>
    <col min="6664" max="6665" width="8.28515625" style="434" customWidth="1"/>
    <col min="6666" max="6666" width="2.7109375" style="434" customWidth="1"/>
    <col min="6667" max="6668" width="8.28515625" style="434" customWidth="1"/>
    <col min="6669" max="6669" width="2.7109375" style="434" customWidth="1"/>
    <col min="6670" max="6671" width="8.28515625" style="434" customWidth="1"/>
    <col min="6672" max="6672" width="2.7109375" style="434" customWidth="1"/>
    <col min="6673" max="6674" width="8.28515625" style="434" customWidth="1"/>
    <col min="6675" max="6912" width="8.85546875" style="434"/>
    <col min="6913" max="6913" width="29.42578125" style="434" customWidth="1"/>
    <col min="6914" max="6915" width="8.28515625" style="434" customWidth="1"/>
    <col min="6916" max="6916" width="2.7109375" style="434" customWidth="1"/>
    <col min="6917" max="6918" width="8.28515625" style="434" customWidth="1"/>
    <col min="6919" max="6919" width="2.7109375" style="434" customWidth="1"/>
    <col min="6920" max="6921" width="8.28515625" style="434" customWidth="1"/>
    <col min="6922" max="6922" width="2.7109375" style="434" customWidth="1"/>
    <col min="6923" max="6924" width="8.28515625" style="434" customWidth="1"/>
    <col min="6925" max="6925" width="2.7109375" style="434" customWidth="1"/>
    <col min="6926" max="6927" width="8.28515625" style="434" customWidth="1"/>
    <col min="6928" max="6928" width="2.7109375" style="434" customWidth="1"/>
    <col min="6929" max="6930" width="8.28515625" style="434" customWidth="1"/>
    <col min="6931" max="7168" width="8.85546875" style="434"/>
    <col min="7169" max="7169" width="29.42578125" style="434" customWidth="1"/>
    <col min="7170" max="7171" width="8.28515625" style="434" customWidth="1"/>
    <col min="7172" max="7172" width="2.7109375" style="434" customWidth="1"/>
    <col min="7173" max="7174" width="8.28515625" style="434" customWidth="1"/>
    <col min="7175" max="7175" width="2.7109375" style="434" customWidth="1"/>
    <col min="7176" max="7177" width="8.28515625" style="434" customWidth="1"/>
    <col min="7178" max="7178" width="2.7109375" style="434" customWidth="1"/>
    <col min="7179" max="7180" width="8.28515625" style="434" customWidth="1"/>
    <col min="7181" max="7181" width="2.7109375" style="434" customWidth="1"/>
    <col min="7182" max="7183" width="8.28515625" style="434" customWidth="1"/>
    <col min="7184" max="7184" width="2.7109375" style="434" customWidth="1"/>
    <col min="7185" max="7186" width="8.28515625" style="434" customWidth="1"/>
    <col min="7187" max="7424" width="8.85546875" style="434"/>
    <col min="7425" max="7425" width="29.42578125" style="434" customWidth="1"/>
    <col min="7426" max="7427" width="8.28515625" style="434" customWidth="1"/>
    <col min="7428" max="7428" width="2.7109375" style="434" customWidth="1"/>
    <col min="7429" max="7430" width="8.28515625" style="434" customWidth="1"/>
    <col min="7431" max="7431" width="2.7109375" style="434" customWidth="1"/>
    <col min="7432" max="7433" width="8.28515625" style="434" customWidth="1"/>
    <col min="7434" max="7434" width="2.7109375" style="434" customWidth="1"/>
    <col min="7435" max="7436" width="8.28515625" style="434" customWidth="1"/>
    <col min="7437" max="7437" width="2.7109375" style="434" customWidth="1"/>
    <col min="7438" max="7439" width="8.28515625" style="434" customWidth="1"/>
    <col min="7440" max="7440" width="2.7109375" style="434" customWidth="1"/>
    <col min="7441" max="7442" width="8.28515625" style="434" customWidth="1"/>
    <col min="7443" max="7680" width="8.85546875" style="434"/>
    <col min="7681" max="7681" width="29.42578125" style="434" customWidth="1"/>
    <col min="7682" max="7683" width="8.28515625" style="434" customWidth="1"/>
    <col min="7684" max="7684" width="2.7109375" style="434" customWidth="1"/>
    <col min="7685" max="7686" width="8.28515625" style="434" customWidth="1"/>
    <col min="7687" max="7687" width="2.7109375" style="434" customWidth="1"/>
    <col min="7688" max="7689" width="8.28515625" style="434" customWidth="1"/>
    <col min="7690" max="7690" width="2.7109375" style="434" customWidth="1"/>
    <col min="7691" max="7692" width="8.28515625" style="434" customWidth="1"/>
    <col min="7693" max="7693" width="2.7109375" style="434" customWidth="1"/>
    <col min="7694" max="7695" width="8.28515625" style="434" customWidth="1"/>
    <col min="7696" max="7696" width="2.7109375" style="434" customWidth="1"/>
    <col min="7697" max="7698" width="8.28515625" style="434" customWidth="1"/>
    <col min="7699" max="7936" width="8.85546875" style="434"/>
    <col min="7937" max="7937" width="29.42578125" style="434" customWidth="1"/>
    <col min="7938" max="7939" width="8.28515625" style="434" customWidth="1"/>
    <col min="7940" max="7940" width="2.7109375" style="434" customWidth="1"/>
    <col min="7941" max="7942" width="8.28515625" style="434" customWidth="1"/>
    <col min="7943" max="7943" width="2.7109375" style="434" customWidth="1"/>
    <col min="7944" max="7945" width="8.28515625" style="434" customWidth="1"/>
    <col min="7946" max="7946" width="2.7109375" style="434" customWidth="1"/>
    <col min="7947" max="7948" width="8.28515625" style="434" customWidth="1"/>
    <col min="7949" max="7949" width="2.7109375" style="434" customWidth="1"/>
    <col min="7950" max="7951" width="8.28515625" style="434" customWidth="1"/>
    <col min="7952" max="7952" width="2.7109375" style="434" customWidth="1"/>
    <col min="7953" max="7954" width="8.28515625" style="434" customWidth="1"/>
    <col min="7955" max="8192" width="8.85546875" style="434"/>
    <col min="8193" max="8193" width="29.42578125" style="434" customWidth="1"/>
    <col min="8194" max="8195" width="8.28515625" style="434" customWidth="1"/>
    <col min="8196" max="8196" width="2.7109375" style="434" customWidth="1"/>
    <col min="8197" max="8198" width="8.28515625" style="434" customWidth="1"/>
    <col min="8199" max="8199" width="2.7109375" style="434" customWidth="1"/>
    <col min="8200" max="8201" width="8.28515625" style="434" customWidth="1"/>
    <col min="8202" max="8202" width="2.7109375" style="434" customWidth="1"/>
    <col min="8203" max="8204" width="8.28515625" style="434" customWidth="1"/>
    <col min="8205" max="8205" width="2.7109375" style="434" customWidth="1"/>
    <col min="8206" max="8207" width="8.28515625" style="434" customWidth="1"/>
    <col min="8208" max="8208" width="2.7109375" style="434" customWidth="1"/>
    <col min="8209" max="8210" width="8.28515625" style="434" customWidth="1"/>
    <col min="8211" max="8448" width="8.85546875" style="434"/>
    <col min="8449" max="8449" width="29.42578125" style="434" customWidth="1"/>
    <col min="8450" max="8451" width="8.28515625" style="434" customWidth="1"/>
    <col min="8452" max="8452" width="2.7109375" style="434" customWidth="1"/>
    <col min="8453" max="8454" width="8.28515625" style="434" customWidth="1"/>
    <col min="8455" max="8455" width="2.7109375" style="434" customWidth="1"/>
    <col min="8456" max="8457" width="8.28515625" style="434" customWidth="1"/>
    <col min="8458" max="8458" width="2.7109375" style="434" customWidth="1"/>
    <col min="8459" max="8460" width="8.28515625" style="434" customWidth="1"/>
    <col min="8461" max="8461" width="2.7109375" style="434" customWidth="1"/>
    <col min="8462" max="8463" width="8.28515625" style="434" customWidth="1"/>
    <col min="8464" max="8464" width="2.7109375" style="434" customWidth="1"/>
    <col min="8465" max="8466" width="8.28515625" style="434" customWidth="1"/>
    <col min="8467" max="8704" width="8.85546875" style="434"/>
    <col min="8705" max="8705" width="29.42578125" style="434" customWidth="1"/>
    <col min="8706" max="8707" width="8.28515625" style="434" customWidth="1"/>
    <col min="8708" max="8708" width="2.7109375" style="434" customWidth="1"/>
    <col min="8709" max="8710" width="8.28515625" style="434" customWidth="1"/>
    <col min="8711" max="8711" width="2.7109375" style="434" customWidth="1"/>
    <col min="8712" max="8713" width="8.28515625" style="434" customWidth="1"/>
    <col min="8714" max="8714" width="2.7109375" style="434" customWidth="1"/>
    <col min="8715" max="8716" width="8.28515625" style="434" customWidth="1"/>
    <col min="8717" max="8717" width="2.7109375" style="434" customWidth="1"/>
    <col min="8718" max="8719" width="8.28515625" style="434" customWidth="1"/>
    <col min="8720" max="8720" width="2.7109375" style="434" customWidth="1"/>
    <col min="8721" max="8722" width="8.28515625" style="434" customWidth="1"/>
    <col min="8723" max="8960" width="8.85546875" style="434"/>
    <col min="8961" max="8961" width="29.42578125" style="434" customWidth="1"/>
    <col min="8962" max="8963" width="8.28515625" style="434" customWidth="1"/>
    <col min="8964" max="8964" width="2.7109375" style="434" customWidth="1"/>
    <col min="8965" max="8966" width="8.28515625" style="434" customWidth="1"/>
    <col min="8967" max="8967" width="2.7109375" style="434" customWidth="1"/>
    <col min="8968" max="8969" width="8.28515625" style="434" customWidth="1"/>
    <col min="8970" max="8970" width="2.7109375" style="434" customWidth="1"/>
    <col min="8971" max="8972" width="8.28515625" style="434" customWidth="1"/>
    <col min="8973" max="8973" width="2.7109375" style="434" customWidth="1"/>
    <col min="8974" max="8975" width="8.28515625" style="434" customWidth="1"/>
    <col min="8976" max="8976" width="2.7109375" style="434" customWidth="1"/>
    <col min="8977" max="8978" width="8.28515625" style="434" customWidth="1"/>
    <col min="8979" max="9216" width="8.85546875" style="434"/>
    <col min="9217" max="9217" width="29.42578125" style="434" customWidth="1"/>
    <col min="9218" max="9219" width="8.28515625" style="434" customWidth="1"/>
    <col min="9220" max="9220" width="2.7109375" style="434" customWidth="1"/>
    <col min="9221" max="9222" width="8.28515625" style="434" customWidth="1"/>
    <col min="9223" max="9223" width="2.7109375" style="434" customWidth="1"/>
    <col min="9224" max="9225" width="8.28515625" style="434" customWidth="1"/>
    <col min="9226" max="9226" width="2.7109375" style="434" customWidth="1"/>
    <col min="9227" max="9228" width="8.28515625" style="434" customWidth="1"/>
    <col min="9229" max="9229" width="2.7109375" style="434" customWidth="1"/>
    <col min="9230" max="9231" width="8.28515625" style="434" customWidth="1"/>
    <col min="9232" max="9232" width="2.7109375" style="434" customWidth="1"/>
    <col min="9233" max="9234" width="8.28515625" style="434" customWidth="1"/>
    <col min="9235" max="9472" width="8.85546875" style="434"/>
    <col min="9473" max="9473" width="29.42578125" style="434" customWidth="1"/>
    <col min="9474" max="9475" width="8.28515625" style="434" customWidth="1"/>
    <col min="9476" max="9476" width="2.7109375" style="434" customWidth="1"/>
    <col min="9477" max="9478" width="8.28515625" style="434" customWidth="1"/>
    <col min="9479" max="9479" width="2.7109375" style="434" customWidth="1"/>
    <col min="9480" max="9481" width="8.28515625" style="434" customWidth="1"/>
    <col min="9482" max="9482" width="2.7109375" style="434" customWidth="1"/>
    <col min="9483" max="9484" width="8.28515625" style="434" customWidth="1"/>
    <col min="9485" max="9485" width="2.7109375" style="434" customWidth="1"/>
    <col min="9486" max="9487" width="8.28515625" style="434" customWidth="1"/>
    <col min="9488" max="9488" width="2.7109375" style="434" customWidth="1"/>
    <col min="9489" max="9490" width="8.28515625" style="434" customWidth="1"/>
    <col min="9491" max="9728" width="8.85546875" style="434"/>
    <col min="9729" max="9729" width="29.42578125" style="434" customWidth="1"/>
    <col min="9730" max="9731" width="8.28515625" style="434" customWidth="1"/>
    <col min="9732" max="9732" width="2.7109375" style="434" customWidth="1"/>
    <col min="9733" max="9734" width="8.28515625" style="434" customWidth="1"/>
    <col min="9735" max="9735" width="2.7109375" style="434" customWidth="1"/>
    <col min="9736" max="9737" width="8.28515625" style="434" customWidth="1"/>
    <col min="9738" max="9738" width="2.7109375" style="434" customWidth="1"/>
    <col min="9739" max="9740" width="8.28515625" style="434" customWidth="1"/>
    <col min="9741" max="9741" width="2.7109375" style="434" customWidth="1"/>
    <col min="9742" max="9743" width="8.28515625" style="434" customWidth="1"/>
    <col min="9744" max="9744" width="2.7109375" style="434" customWidth="1"/>
    <col min="9745" max="9746" width="8.28515625" style="434" customWidth="1"/>
    <col min="9747" max="9984" width="8.85546875" style="434"/>
    <col min="9985" max="9985" width="29.42578125" style="434" customWidth="1"/>
    <col min="9986" max="9987" width="8.28515625" style="434" customWidth="1"/>
    <col min="9988" max="9988" width="2.7109375" style="434" customWidth="1"/>
    <col min="9989" max="9990" width="8.28515625" style="434" customWidth="1"/>
    <col min="9991" max="9991" width="2.7109375" style="434" customWidth="1"/>
    <col min="9992" max="9993" width="8.28515625" style="434" customWidth="1"/>
    <col min="9994" max="9994" width="2.7109375" style="434" customWidth="1"/>
    <col min="9995" max="9996" width="8.28515625" style="434" customWidth="1"/>
    <col min="9997" max="9997" width="2.7109375" style="434" customWidth="1"/>
    <col min="9998" max="9999" width="8.28515625" style="434" customWidth="1"/>
    <col min="10000" max="10000" width="2.7109375" style="434" customWidth="1"/>
    <col min="10001" max="10002" width="8.28515625" style="434" customWidth="1"/>
    <col min="10003" max="10240" width="8.85546875" style="434"/>
    <col min="10241" max="10241" width="29.42578125" style="434" customWidth="1"/>
    <col min="10242" max="10243" width="8.28515625" style="434" customWidth="1"/>
    <col min="10244" max="10244" width="2.7109375" style="434" customWidth="1"/>
    <col min="10245" max="10246" width="8.28515625" style="434" customWidth="1"/>
    <col min="10247" max="10247" width="2.7109375" style="434" customWidth="1"/>
    <col min="10248" max="10249" width="8.28515625" style="434" customWidth="1"/>
    <col min="10250" max="10250" width="2.7109375" style="434" customWidth="1"/>
    <col min="10251" max="10252" width="8.28515625" style="434" customWidth="1"/>
    <col min="10253" max="10253" width="2.7109375" style="434" customWidth="1"/>
    <col min="10254" max="10255" width="8.28515625" style="434" customWidth="1"/>
    <col min="10256" max="10256" width="2.7109375" style="434" customWidth="1"/>
    <col min="10257" max="10258" width="8.28515625" style="434" customWidth="1"/>
    <col min="10259" max="10496" width="8.85546875" style="434"/>
    <col min="10497" max="10497" width="29.42578125" style="434" customWidth="1"/>
    <col min="10498" max="10499" width="8.28515625" style="434" customWidth="1"/>
    <col min="10500" max="10500" width="2.7109375" style="434" customWidth="1"/>
    <col min="10501" max="10502" width="8.28515625" style="434" customWidth="1"/>
    <col min="10503" max="10503" width="2.7109375" style="434" customWidth="1"/>
    <col min="10504" max="10505" width="8.28515625" style="434" customWidth="1"/>
    <col min="10506" max="10506" width="2.7109375" style="434" customWidth="1"/>
    <col min="10507" max="10508" width="8.28515625" style="434" customWidth="1"/>
    <col min="10509" max="10509" width="2.7109375" style="434" customWidth="1"/>
    <col min="10510" max="10511" width="8.28515625" style="434" customWidth="1"/>
    <col min="10512" max="10512" width="2.7109375" style="434" customWidth="1"/>
    <col min="10513" max="10514" width="8.28515625" style="434" customWidth="1"/>
    <col min="10515" max="10752" width="8.85546875" style="434"/>
    <col min="10753" max="10753" width="29.42578125" style="434" customWidth="1"/>
    <col min="10754" max="10755" width="8.28515625" style="434" customWidth="1"/>
    <col min="10756" max="10756" width="2.7109375" style="434" customWidth="1"/>
    <col min="10757" max="10758" width="8.28515625" style="434" customWidth="1"/>
    <col min="10759" max="10759" width="2.7109375" style="434" customWidth="1"/>
    <col min="10760" max="10761" width="8.28515625" style="434" customWidth="1"/>
    <col min="10762" max="10762" width="2.7109375" style="434" customWidth="1"/>
    <col min="10763" max="10764" width="8.28515625" style="434" customWidth="1"/>
    <col min="10765" max="10765" width="2.7109375" style="434" customWidth="1"/>
    <col min="10766" max="10767" width="8.28515625" style="434" customWidth="1"/>
    <col min="10768" max="10768" width="2.7109375" style="434" customWidth="1"/>
    <col min="10769" max="10770" width="8.28515625" style="434" customWidth="1"/>
    <col min="10771" max="11008" width="8.85546875" style="434"/>
    <col min="11009" max="11009" width="29.42578125" style="434" customWidth="1"/>
    <col min="11010" max="11011" width="8.28515625" style="434" customWidth="1"/>
    <col min="11012" max="11012" width="2.7109375" style="434" customWidth="1"/>
    <col min="11013" max="11014" width="8.28515625" style="434" customWidth="1"/>
    <col min="11015" max="11015" width="2.7109375" style="434" customWidth="1"/>
    <col min="11016" max="11017" width="8.28515625" style="434" customWidth="1"/>
    <col min="11018" max="11018" width="2.7109375" style="434" customWidth="1"/>
    <col min="11019" max="11020" width="8.28515625" style="434" customWidth="1"/>
    <col min="11021" max="11021" width="2.7109375" style="434" customWidth="1"/>
    <col min="11022" max="11023" width="8.28515625" style="434" customWidth="1"/>
    <col min="11024" max="11024" width="2.7109375" style="434" customWidth="1"/>
    <col min="11025" max="11026" width="8.28515625" style="434" customWidth="1"/>
    <col min="11027" max="11264" width="8.85546875" style="434"/>
    <col min="11265" max="11265" width="29.42578125" style="434" customWidth="1"/>
    <col min="11266" max="11267" width="8.28515625" style="434" customWidth="1"/>
    <col min="11268" max="11268" width="2.7109375" style="434" customWidth="1"/>
    <col min="11269" max="11270" width="8.28515625" style="434" customWidth="1"/>
    <col min="11271" max="11271" width="2.7109375" style="434" customWidth="1"/>
    <col min="11272" max="11273" width="8.28515625" style="434" customWidth="1"/>
    <col min="11274" max="11274" width="2.7109375" style="434" customWidth="1"/>
    <col min="11275" max="11276" width="8.28515625" style="434" customWidth="1"/>
    <col min="11277" max="11277" width="2.7109375" style="434" customWidth="1"/>
    <col min="11278" max="11279" width="8.28515625" style="434" customWidth="1"/>
    <col min="11280" max="11280" width="2.7109375" style="434" customWidth="1"/>
    <col min="11281" max="11282" width="8.28515625" style="434" customWidth="1"/>
    <col min="11283" max="11520" width="8.85546875" style="434"/>
    <col min="11521" max="11521" width="29.42578125" style="434" customWidth="1"/>
    <col min="11522" max="11523" width="8.28515625" style="434" customWidth="1"/>
    <col min="11524" max="11524" width="2.7109375" style="434" customWidth="1"/>
    <col min="11525" max="11526" width="8.28515625" style="434" customWidth="1"/>
    <col min="11527" max="11527" width="2.7109375" style="434" customWidth="1"/>
    <col min="11528" max="11529" width="8.28515625" style="434" customWidth="1"/>
    <col min="11530" max="11530" width="2.7109375" style="434" customWidth="1"/>
    <col min="11531" max="11532" width="8.28515625" style="434" customWidth="1"/>
    <col min="11533" max="11533" width="2.7109375" style="434" customWidth="1"/>
    <col min="11534" max="11535" width="8.28515625" style="434" customWidth="1"/>
    <col min="11536" max="11536" width="2.7109375" style="434" customWidth="1"/>
    <col min="11537" max="11538" width="8.28515625" style="434" customWidth="1"/>
    <col min="11539" max="11776" width="8.85546875" style="434"/>
    <col min="11777" max="11777" width="29.42578125" style="434" customWidth="1"/>
    <col min="11778" max="11779" width="8.28515625" style="434" customWidth="1"/>
    <col min="11780" max="11780" width="2.7109375" style="434" customWidth="1"/>
    <col min="11781" max="11782" width="8.28515625" style="434" customWidth="1"/>
    <col min="11783" max="11783" width="2.7109375" style="434" customWidth="1"/>
    <col min="11784" max="11785" width="8.28515625" style="434" customWidth="1"/>
    <col min="11786" max="11786" width="2.7109375" style="434" customWidth="1"/>
    <col min="11787" max="11788" width="8.28515625" style="434" customWidth="1"/>
    <col min="11789" max="11789" width="2.7109375" style="434" customWidth="1"/>
    <col min="11790" max="11791" width="8.28515625" style="434" customWidth="1"/>
    <col min="11792" max="11792" width="2.7109375" style="434" customWidth="1"/>
    <col min="11793" max="11794" width="8.28515625" style="434" customWidth="1"/>
    <col min="11795" max="12032" width="8.85546875" style="434"/>
    <col min="12033" max="12033" width="29.42578125" style="434" customWidth="1"/>
    <col min="12034" max="12035" width="8.28515625" style="434" customWidth="1"/>
    <col min="12036" max="12036" width="2.7109375" style="434" customWidth="1"/>
    <col min="12037" max="12038" width="8.28515625" style="434" customWidth="1"/>
    <col min="12039" max="12039" width="2.7109375" style="434" customWidth="1"/>
    <col min="12040" max="12041" width="8.28515625" style="434" customWidth="1"/>
    <col min="12042" max="12042" width="2.7109375" style="434" customWidth="1"/>
    <col min="12043" max="12044" width="8.28515625" style="434" customWidth="1"/>
    <col min="12045" max="12045" width="2.7109375" style="434" customWidth="1"/>
    <col min="12046" max="12047" width="8.28515625" style="434" customWidth="1"/>
    <col min="12048" max="12048" width="2.7109375" style="434" customWidth="1"/>
    <col min="12049" max="12050" width="8.28515625" style="434" customWidth="1"/>
    <col min="12051" max="12288" width="8.85546875" style="434"/>
    <col min="12289" max="12289" width="29.42578125" style="434" customWidth="1"/>
    <col min="12290" max="12291" width="8.28515625" style="434" customWidth="1"/>
    <col min="12292" max="12292" width="2.7109375" style="434" customWidth="1"/>
    <col min="12293" max="12294" width="8.28515625" style="434" customWidth="1"/>
    <col min="12295" max="12295" width="2.7109375" style="434" customWidth="1"/>
    <col min="12296" max="12297" width="8.28515625" style="434" customWidth="1"/>
    <col min="12298" max="12298" width="2.7109375" style="434" customWidth="1"/>
    <col min="12299" max="12300" width="8.28515625" style="434" customWidth="1"/>
    <col min="12301" max="12301" width="2.7109375" style="434" customWidth="1"/>
    <col min="12302" max="12303" width="8.28515625" style="434" customWidth="1"/>
    <col min="12304" max="12304" width="2.7109375" style="434" customWidth="1"/>
    <col min="12305" max="12306" width="8.28515625" style="434" customWidth="1"/>
    <col min="12307" max="12544" width="8.85546875" style="434"/>
    <col min="12545" max="12545" width="29.42578125" style="434" customWidth="1"/>
    <col min="12546" max="12547" width="8.28515625" style="434" customWidth="1"/>
    <col min="12548" max="12548" width="2.7109375" style="434" customWidth="1"/>
    <col min="12549" max="12550" width="8.28515625" style="434" customWidth="1"/>
    <col min="12551" max="12551" width="2.7109375" style="434" customWidth="1"/>
    <col min="12552" max="12553" width="8.28515625" style="434" customWidth="1"/>
    <col min="12554" max="12554" width="2.7109375" style="434" customWidth="1"/>
    <col min="12555" max="12556" width="8.28515625" style="434" customWidth="1"/>
    <col min="12557" max="12557" width="2.7109375" style="434" customWidth="1"/>
    <col min="12558" max="12559" width="8.28515625" style="434" customWidth="1"/>
    <col min="12560" max="12560" width="2.7109375" style="434" customWidth="1"/>
    <col min="12561" max="12562" width="8.28515625" style="434" customWidth="1"/>
    <col min="12563" max="12800" width="8.85546875" style="434"/>
    <col min="12801" max="12801" width="29.42578125" style="434" customWidth="1"/>
    <col min="12802" max="12803" width="8.28515625" style="434" customWidth="1"/>
    <col min="12804" max="12804" width="2.7109375" style="434" customWidth="1"/>
    <col min="12805" max="12806" width="8.28515625" style="434" customWidth="1"/>
    <col min="12807" max="12807" width="2.7109375" style="434" customWidth="1"/>
    <col min="12808" max="12809" width="8.28515625" style="434" customWidth="1"/>
    <col min="12810" max="12810" width="2.7109375" style="434" customWidth="1"/>
    <col min="12811" max="12812" width="8.28515625" style="434" customWidth="1"/>
    <col min="12813" max="12813" width="2.7109375" style="434" customWidth="1"/>
    <col min="12814" max="12815" width="8.28515625" style="434" customWidth="1"/>
    <col min="12816" max="12816" width="2.7109375" style="434" customWidth="1"/>
    <col min="12817" max="12818" width="8.28515625" style="434" customWidth="1"/>
    <col min="12819" max="13056" width="8.85546875" style="434"/>
    <col min="13057" max="13057" width="29.42578125" style="434" customWidth="1"/>
    <col min="13058" max="13059" width="8.28515625" style="434" customWidth="1"/>
    <col min="13060" max="13060" width="2.7109375" style="434" customWidth="1"/>
    <col min="13061" max="13062" width="8.28515625" style="434" customWidth="1"/>
    <col min="13063" max="13063" width="2.7109375" style="434" customWidth="1"/>
    <col min="13064" max="13065" width="8.28515625" style="434" customWidth="1"/>
    <col min="13066" max="13066" width="2.7109375" style="434" customWidth="1"/>
    <col min="13067" max="13068" width="8.28515625" style="434" customWidth="1"/>
    <col min="13069" max="13069" width="2.7109375" style="434" customWidth="1"/>
    <col min="13070" max="13071" width="8.28515625" style="434" customWidth="1"/>
    <col min="13072" max="13072" width="2.7109375" style="434" customWidth="1"/>
    <col min="13073" max="13074" width="8.28515625" style="434" customWidth="1"/>
    <col min="13075" max="13312" width="8.85546875" style="434"/>
    <col min="13313" max="13313" width="29.42578125" style="434" customWidth="1"/>
    <col min="13314" max="13315" width="8.28515625" style="434" customWidth="1"/>
    <col min="13316" max="13316" width="2.7109375" style="434" customWidth="1"/>
    <col min="13317" max="13318" width="8.28515625" style="434" customWidth="1"/>
    <col min="13319" max="13319" width="2.7109375" style="434" customWidth="1"/>
    <col min="13320" max="13321" width="8.28515625" style="434" customWidth="1"/>
    <col min="13322" max="13322" width="2.7109375" style="434" customWidth="1"/>
    <col min="13323" max="13324" width="8.28515625" style="434" customWidth="1"/>
    <col min="13325" max="13325" width="2.7109375" style="434" customWidth="1"/>
    <col min="13326" max="13327" width="8.28515625" style="434" customWidth="1"/>
    <col min="13328" max="13328" width="2.7109375" style="434" customWidth="1"/>
    <col min="13329" max="13330" width="8.28515625" style="434" customWidth="1"/>
    <col min="13331" max="13568" width="8.85546875" style="434"/>
    <col min="13569" max="13569" width="29.42578125" style="434" customWidth="1"/>
    <col min="13570" max="13571" width="8.28515625" style="434" customWidth="1"/>
    <col min="13572" max="13572" width="2.7109375" style="434" customWidth="1"/>
    <col min="13573" max="13574" width="8.28515625" style="434" customWidth="1"/>
    <col min="13575" max="13575" width="2.7109375" style="434" customWidth="1"/>
    <col min="13576" max="13577" width="8.28515625" style="434" customWidth="1"/>
    <col min="13578" max="13578" width="2.7109375" style="434" customWidth="1"/>
    <col min="13579" max="13580" width="8.28515625" style="434" customWidth="1"/>
    <col min="13581" max="13581" width="2.7109375" style="434" customWidth="1"/>
    <col min="13582" max="13583" width="8.28515625" style="434" customWidth="1"/>
    <col min="13584" max="13584" width="2.7109375" style="434" customWidth="1"/>
    <col min="13585" max="13586" width="8.28515625" style="434" customWidth="1"/>
    <col min="13587" max="13824" width="8.85546875" style="434"/>
    <col min="13825" max="13825" width="29.42578125" style="434" customWidth="1"/>
    <col min="13826" max="13827" width="8.28515625" style="434" customWidth="1"/>
    <col min="13828" max="13828" width="2.7109375" style="434" customWidth="1"/>
    <col min="13829" max="13830" width="8.28515625" style="434" customWidth="1"/>
    <col min="13831" max="13831" width="2.7109375" style="434" customWidth="1"/>
    <col min="13832" max="13833" width="8.28515625" style="434" customWidth="1"/>
    <col min="13834" max="13834" width="2.7109375" style="434" customWidth="1"/>
    <col min="13835" max="13836" width="8.28515625" style="434" customWidth="1"/>
    <col min="13837" max="13837" width="2.7109375" style="434" customWidth="1"/>
    <col min="13838" max="13839" width="8.28515625" style="434" customWidth="1"/>
    <col min="13840" max="13840" width="2.7109375" style="434" customWidth="1"/>
    <col min="13841" max="13842" width="8.28515625" style="434" customWidth="1"/>
    <col min="13843" max="14080" width="8.85546875" style="434"/>
    <col min="14081" max="14081" width="29.42578125" style="434" customWidth="1"/>
    <col min="14082" max="14083" width="8.28515625" style="434" customWidth="1"/>
    <col min="14084" max="14084" width="2.7109375" style="434" customWidth="1"/>
    <col min="14085" max="14086" width="8.28515625" style="434" customWidth="1"/>
    <col min="14087" max="14087" width="2.7109375" style="434" customWidth="1"/>
    <col min="14088" max="14089" width="8.28515625" style="434" customWidth="1"/>
    <col min="14090" max="14090" width="2.7109375" style="434" customWidth="1"/>
    <col min="14091" max="14092" width="8.28515625" style="434" customWidth="1"/>
    <col min="14093" max="14093" width="2.7109375" style="434" customWidth="1"/>
    <col min="14094" max="14095" width="8.28515625" style="434" customWidth="1"/>
    <col min="14096" max="14096" width="2.7109375" style="434" customWidth="1"/>
    <col min="14097" max="14098" width="8.28515625" style="434" customWidth="1"/>
    <col min="14099" max="14336" width="8.85546875" style="434"/>
    <col min="14337" max="14337" width="29.42578125" style="434" customWidth="1"/>
    <col min="14338" max="14339" width="8.28515625" style="434" customWidth="1"/>
    <col min="14340" max="14340" width="2.7109375" style="434" customWidth="1"/>
    <col min="14341" max="14342" width="8.28515625" style="434" customWidth="1"/>
    <col min="14343" max="14343" width="2.7109375" style="434" customWidth="1"/>
    <col min="14344" max="14345" width="8.28515625" style="434" customWidth="1"/>
    <col min="14346" max="14346" width="2.7109375" style="434" customWidth="1"/>
    <col min="14347" max="14348" width="8.28515625" style="434" customWidth="1"/>
    <col min="14349" max="14349" width="2.7109375" style="434" customWidth="1"/>
    <col min="14350" max="14351" width="8.28515625" style="434" customWidth="1"/>
    <col min="14352" max="14352" width="2.7109375" style="434" customWidth="1"/>
    <col min="14353" max="14354" width="8.28515625" style="434" customWidth="1"/>
    <col min="14355" max="14592" width="8.85546875" style="434"/>
    <col min="14593" max="14593" width="29.42578125" style="434" customWidth="1"/>
    <col min="14594" max="14595" width="8.28515625" style="434" customWidth="1"/>
    <col min="14596" max="14596" width="2.7109375" style="434" customWidth="1"/>
    <col min="14597" max="14598" width="8.28515625" style="434" customWidth="1"/>
    <col min="14599" max="14599" width="2.7109375" style="434" customWidth="1"/>
    <col min="14600" max="14601" width="8.28515625" style="434" customWidth="1"/>
    <col min="14602" max="14602" width="2.7109375" style="434" customWidth="1"/>
    <col min="14603" max="14604" width="8.28515625" style="434" customWidth="1"/>
    <col min="14605" max="14605" width="2.7109375" style="434" customWidth="1"/>
    <col min="14606" max="14607" width="8.28515625" style="434" customWidth="1"/>
    <col min="14608" max="14608" width="2.7109375" style="434" customWidth="1"/>
    <col min="14609" max="14610" width="8.28515625" style="434" customWidth="1"/>
    <col min="14611" max="14848" width="8.85546875" style="434"/>
    <col min="14849" max="14849" width="29.42578125" style="434" customWidth="1"/>
    <col min="14850" max="14851" width="8.28515625" style="434" customWidth="1"/>
    <col min="14852" max="14852" width="2.7109375" style="434" customWidth="1"/>
    <col min="14853" max="14854" width="8.28515625" style="434" customWidth="1"/>
    <col min="14855" max="14855" width="2.7109375" style="434" customWidth="1"/>
    <col min="14856" max="14857" width="8.28515625" style="434" customWidth="1"/>
    <col min="14858" max="14858" width="2.7109375" style="434" customWidth="1"/>
    <col min="14859" max="14860" width="8.28515625" style="434" customWidth="1"/>
    <col min="14861" max="14861" width="2.7109375" style="434" customWidth="1"/>
    <col min="14862" max="14863" width="8.28515625" style="434" customWidth="1"/>
    <col min="14864" max="14864" width="2.7109375" style="434" customWidth="1"/>
    <col min="14865" max="14866" width="8.28515625" style="434" customWidth="1"/>
    <col min="14867" max="15104" width="8.85546875" style="434"/>
    <col min="15105" max="15105" width="29.42578125" style="434" customWidth="1"/>
    <col min="15106" max="15107" width="8.28515625" style="434" customWidth="1"/>
    <col min="15108" max="15108" width="2.7109375" style="434" customWidth="1"/>
    <col min="15109" max="15110" width="8.28515625" style="434" customWidth="1"/>
    <col min="15111" max="15111" width="2.7109375" style="434" customWidth="1"/>
    <col min="15112" max="15113" width="8.28515625" style="434" customWidth="1"/>
    <col min="15114" max="15114" width="2.7109375" style="434" customWidth="1"/>
    <col min="15115" max="15116" width="8.28515625" style="434" customWidth="1"/>
    <col min="15117" max="15117" width="2.7109375" style="434" customWidth="1"/>
    <col min="15118" max="15119" width="8.28515625" style="434" customWidth="1"/>
    <col min="15120" max="15120" width="2.7109375" style="434" customWidth="1"/>
    <col min="15121" max="15122" width="8.28515625" style="434" customWidth="1"/>
    <col min="15123" max="15360" width="8.85546875" style="434"/>
    <col min="15361" max="15361" width="29.42578125" style="434" customWidth="1"/>
    <col min="15362" max="15363" width="8.28515625" style="434" customWidth="1"/>
    <col min="15364" max="15364" width="2.7109375" style="434" customWidth="1"/>
    <col min="15365" max="15366" width="8.28515625" style="434" customWidth="1"/>
    <col min="15367" max="15367" width="2.7109375" style="434" customWidth="1"/>
    <col min="15368" max="15369" width="8.28515625" style="434" customWidth="1"/>
    <col min="15370" max="15370" width="2.7109375" style="434" customWidth="1"/>
    <col min="15371" max="15372" width="8.28515625" style="434" customWidth="1"/>
    <col min="15373" max="15373" width="2.7109375" style="434" customWidth="1"/>
    <col min="15374" max="15375" width="8.28515625" style="434" customWidth="1"/>
    <col min="15376" max="15376" width="2.7109375" style="434" customWidth="1"/>
    <col min="15377" max="15378" width="8.28515625" style="434" customWidth="1"/>
    <col min="15379" max="15616" width="8.85546875" style="434"/>
    <col min="15617" max="15617" width="29.42578125" style="434" customWidth="1"/>
    <col min="15618" max="15619" width="8.28515625" style="434" customWidth="1"/>
    <col min="15620" max="15620" width="2.7109375" style="434" customWidth="1"/>
    <col min="15621" max="15622" width="8.28515625" style="434" customWidth="1"/>
    <col min="15623" max="15623" width="2.7109375" style="434" customWidth="1"/>
    <col min="15624" max="15625" width="8.28515625" style="434" customWidth="1"/>
    <col min="15626" max="15626" width="2.7109375" style="434" customWidth="1"/>
    <col min="15627" max="15628" width="8.28515625" style="434" customWidth="1"/>
    <col min="15629" max="15629" width="2.7109375" style="434" customWidth="1"/>
    <col min="15630" max="15631" width="8.28515625" style="434" customWidth="1"/>
    <col min="15632" max="15632" width="2.7109375" style="434" customWidth="1"/>
    <col min="15633" max="15634" width="8.28515625" style="434" customWidth="1"/>
    <col min="15635" max="15872" width="8.85546875" style="434"/>
    <col min="15873" max="15873" width="29.42578125" style="434" customWidth="1"/>
    <col min="15874" max="15875" width="8.28515625" style="434" customWidth="1"/>
    <col min="15876" max="15876" width="2.7109375" style="434" customWidth="1"/>
    <col min="15877" max="15878" width="8.28515625" style="434" customWidth="1"/>
    <col min="15879" max="15879" width="2.7109375" style="434" customWidth="1"/>
    <col min="15880" max="15881" width="8.28515625" style="434" customWidth="1"/>
    <col min="15882" max="15882" width="2.7109375" style="434" customWidth="1"/>
    <col min="15883" max="15884" width="8.28515625" style="434" customWidth="1"/>
    <col min="15885" max="15885" width="2.7109375" style="434" customWidth="1"/>
    <col min="15886" max="15887" width="8.28515625" style="434" customWidth="1"/>
    <col min="15888" max="15888" width="2.7109375" style="434" customWidth="1"/>
    <col min="15889" max="15890" width="8.28515625" style="434" customWidth="1"/>
    <col min="15891" max="16128" width="8.85546875" style="434"/>
    <col min="16129" max="16129" width="29.42578125" style="434" customWidth="1"/>
    <col min="16130" max="16131" width="8.28515625" style="434" customWidth="1"/>
    <col min="16132" max="16132" width="2.7109375" style="434" customWidth="1"/>
    <col min="16133" max="16134" width="8.28515625" style="434" customWidth="1"/>
    <col min="16135" max="16135" width="2.7109375" style="434" customWidth="1"/>
    <col min="16136" max="16137" width="8.28515625" style="434" customWidth="1"/>
    <col min="16138" max="16138" width="2.7109375" style="434" customWidth="1"/>
    <col min="16139" max="16140" width="8.28515625" style="434" customWidth="1"/>
    <col min="16141" max="16141" width="2.7109375" style="434" customWidth="1"/>
    <col min="16142" max="16143" width="8.28515625" style="434" customWidth="1"/>
    <col min="16144" max="16144" width="2.7109375" style="434" customWidth="1"/>
    <col min="16145" max="16146" width="8.28515625" style="434" customWidth="1"/>
    <col min="16147" max="16384" width="8.85546875" style="434"/>
  </cols>
  <sheetData>
    <row r="1" spans="1:18" ht="10.5" customHeight="1">
      <c r="A1" s="434" t="s">
        <v>311</v>
      </c>
    </row>
    <row r="2" spans="1:18" ht="10.5" customHeight="1">
      <c r="A2" s="434" t="s">
        <v>312</v>
      </c>
    </row>
    <row r="3" spans="1:18" ht="10.5" customHeight="1"/>
    <row r="4" spans="1:18" ht="10.5" customHeight="1">
      <c r="A4" s="42" t="s">
        <v>954</v>
      </c>
    </row>
    <row r="5" spans="1:18" ht="10.5" customHeight="1" thickBot="1"/>
    <row r="6" spans="1:18" ht="10.5" customHeight="1">
      <c r="A6" s="437"/>
      <c r="B6" s="438"/>
      <c r="C6" s="439"/>
      <c r="D6" s="437"/>
      <c r="E6" s="438"/>
      <c r="F6" s="439"/>
      <c r="G6" s="437"/>
      <c r="H6" s="438"/>
      <c r="I6" s="439"/>
      <c r="J6" s="437"/>
      <c r="K6" s="438"/>
      <c r="L6" s="439"/>
      <c r="M6" s="437"/>
      <c r="N6" s="438"/>
      <c r="O6" s="439"/>
      <c r="P6" s="437"/>
      <c r="Q6" s="438"/>
      <c r="R6" s="439"/>
    </row>
    <row r="7" spans="1:18" ht="10.5" customHeight="1">
      <c r="A7" s="440" t="s">
        <v>955</v>
      </c>
      <c r="B7" s="441" t="s">
        <v>371</v>
      </c>
      <c r="C7" s="442"/>
      <c r="D7" s="440"/>
      <c r="E7" s="1266" t="s">
        <v>962</v>
      </c>
      <c r="F7" s="1266"/>
      <c r="G7" s="440"/>
      <c r="H7" s="1266" t="s">
        <v>802</v>
      </c>
      <c r="I7" s="1266"/>
      <c r="J7" s="440"/>
      <c r="K7" s="1266" t="s">
        <v>803</v>
      </c>
      <c r="L7" s="1266"/>
      <c r="M7" s="440"/>
      <c r="N7" s="1266" t="s">
        <v>804</v>
      </c>
      <c r="O7" s="1266"/>
      <c r="P7" s="440"/>
      <c r="Q7" s="1266" t="s">
        <v>805</v>
      </c>
      <c r="R7" s="1266"/>
    </row>
    <row r="8" spans="1:18" ht="10.5" customHeight="1">
      <c r="A8" s="440" t="s">
        <v>956</v>
      </c>
      <c r="B8" s="443" t="s">
        <v>323</v>
      </c>
      <c r="C8" s="444" t="s">
        <v>324</v>
      </c>
      <c r="D8" s="440"/>
      <c r="E8" s="443" t="s">
        <v>323</v>
      </c>
      <c r="F8" s="444" t="s">
        <v>324</v>
      </c>
      <c r="G8" s="440"/>
      <c r="H8" s="443" t="s">
        <v>323</v>
      </c>
      <c r="I8" s="444" t="s">
        <v>324</v>
      </c>
      <c r="J8" s="440"/>
      <c r="K8" s="443" t="s">
        <v>957</v>
      </c>
      <c r="L8" s="444" t="s">
        <v>324</v>
      </c>
      <c r="M8" s="440"/>
      <c r="N8" s="443" t="s">
        <v>957</v>
      </c>
      <c r="O8" s="444" t="s">
        <v>324</v>
      </c>
      <c r="P8" s="440"/>
      <c r="Q8" s="443" t="s">
        <v>957</v>
      </c>
      <c r="R8" s="444" t="s">
        <v>324</v>
      </c>
    </row>
    <row r="9" spans="1:18" ht="10.5" customHeight="1" thickBot="1">
      <c r="A9" s="445"/>
      <c r="B9" s="446"/>
      <c r="C9" s="447"/>
      <c r="D9" s="445"/>
      <c r="E9" s="446"/>
      <c r="F9" s="447"/>
      <c r="G9" s="445"/>
      <c r="H9" s="446"/>
      <c r="I9" s="447"/>
      <c r="J9" s="445"/>
      <c r="K9" s="446"/>
      <c r="L9" s="447"/>
      <c r="M9" s="445"/>
      <c r="N9" s="446"/>
      <c r="O9" s="447"/>
      <c r="P9" s="445"/>
      <c r="Q9" s="446"/>
      <c r="R9" s="447"/>
    </row>
    <row r="10" spans="1:18" ht="10.5" customHeight="1">
      <c r="A10" s="440"/>
      <c r="B10" s="441"/>
      <c r="C10" s="442"/>
      <c r="D10" s="440"/>
      <c r="E10" s="441"/>
      <c r="F10" s="442"/>
      <c r="G10" s="440"/>
      <c r="H10" s="441"/>
      <c r="I10" s="442"/>
      <c r="J10" s="440"/>
      <c r="K10" s="441"/>
      <c r="L10" s="442"/>
      <c r="M10" s="440"/>
      <c r="N10" s="441"/>
      <c r="O10" s="442"/>
      <c r="P10" s="440"/>
      <c r="Q10" s="441"/>
      <c r="R10" s="442"/>
    </row>
    <row r="11" spans="1:18" ht="10.5" customHeight="1">
      <c r="A11" s="90" t="s">
        <v>325</v>
      </c>
      <c r="B11" s="441">
        <f>SUM(B13+B25)</f>
        <v>40395</v>
      </c>
      <c r="C11" s="436">
        <f>C13+C25</f>
        <v>100</v>
      </c>
      <c r="D11" s="448"/>
      <c r="E11" s="449">
        <f>SUM(E13+E25)</f>
        <v>15664</v>
      </c>
      <c r="F11" s="450">
        <f>E11/$B$11*100</f>
        <v>38.777076370837975</v>
      </c>
      <c r="G11" s="451"/>
      <c r="H11" s="452">
        <f>SUM(H13+H25)</f>
        <v>16120</v>
      </c>
      <c r="I11" s="450">
        <f>H11/$B$11*100</f>
        <v>39.905928951602917</v>
      </c>
      <c r="J11" s="448"/>
      <c r="K11" s="441">
        <f>SUM(K13+K25)</f>
        <v>8142</v>
      </c>
      <c r="L11" s="442">
        <f>K11/$B$11*100</f>
        <v>20.155959896026737</v>
      </c>
      <c r="M11" s="448"/>
      <c r="N11" s="441">
        <f>SUM(N13+N25)</f>
        <v>415</v>
      </c>
      <c r="O11" s="442">
        <f>N11/$B$11*100</f>
        <v>1.0273548706523086</v>
      </c>
      <c r="P11" s="448"/>
      <c r="Q11" s="441">
        <f>SUM(Q13+Q25)</f>
        <v>54</v>
      </c>
      <c r="R11" s="442">
        <f>Q11/$B$11*100</f>
        <v>0.1336799108800594</v>
      </c>
    </row>
    <row r="12" spans="1:18" ht="10.5" customHeight="1">
      <c r="A12" s="440"/>
      <c r="B12" s="441"/>
      <c r="C12" s="442"/>
      <c r="D12" s="440"/>
      <c r="E12" s="449"/>
      <c r="F12" s="450"/>
      <c r="G12" s="453"/>
      <c r="H12" s="452"/>
      <c r="I12" s="450"/>
      <c r="J12" s="440"/>
      <c r="K12" s="441"/>
      <c r="L12" s="442"/>
      <c r="M12" s="440"/>
      <c r="N12" s="441"/>
      <c r="O12" s="442"/>
      <c r="P12" s="440"/>
      <c r="Q12" s="441"/>
      <c r="R12" s="442"/>
    </row>
    <row r="13" spans="1:18" ht="10.5" customHeight="1">
      <c r="A13" s="63" t="s">
        <v>326</v>
      </c>
      <c r="B13" s="435">
        <f>SUM(E13+H13+K13+N13+Q13)</f>
        <v>29947</v>
      </c>
      <c r="C13" s="436">
        <f>IF(A13&lt;&gt;0,B13/$B$11*100,"")</f>
        <v>74.135412798613686</v>
      </c>
      <c r="E13" s="449">
        <f>SUM(E15:E23)</f>
        <v>12291</v>
      </c>
      <c r="F13" s="454">
        <f>E13/B13*100</f>
        <v>41.042508431562425</v>
      </c>
      <c r="G13" s="455"/>
      <c r="H13" s="449">
        <f>SUM(H15:H23)</f>
        <v>11421</v>
      </c>
      <c r="I13" s="454">
        <f>H13/B13*100</f>
        <v>38.137376030988079</v>
      </c>
      <c r="K13" s="435">
        <f>SUM(K15:K23)</f>
        <v>5846</v>
      </c>
      <c r="L13" s="436">
        <f>K13/B13*100</f>
        <v>19.521154038801882</v>
      </c>
      <c r="N13" s="435">
        <f>SUM(N15:N23)</f>
        <v>339</v>
      </c>
      <c r="O13" s="436">
        <f>N13/B13*100</f>
        <v>1.1319998664306943</v>
      </c>
      <c r="Q13" s="435">
        <f>SUM(Q15:Q23)</f>
        <v>50</v>
      </c>
      <c r="R13" s="436">
        <f>Q13/B13*100</f>
        <v>0.16696163221691657</v>
      </c>
    </row>
    <row r="14" spans="1:18" ht="10.5" customHeight="1">
      <c r="C14" s="436" t="str">
        <f t="shared" ref="C14:C35" si="0">IF(A14&lt;&gt;0,B14/$B$11*100,"")</f>
        <v/>
      </c>
      <c r="E14" s="449"/>
      <c r="F14" s="454"/>
      <c r="G14" s="455"/>
      <c r="H14" s="449"/>
      <c r="I14" s="454"/>
    </row>
    <row r="15" spans="1:18" ht="10.5" customHeight="1">
      <c r="A15" s="434" t="s">
        <v>801</v>
      </c>
      <c r="B15" s="435">
        <f>E15+H15+K15+N15+Q15</f>
        <v>9589</v>
      </c>
      <c r="C15" s="436">
        <f t="shared" si="0"/>
        <v>23.738086396831289</v>
      </c>
      <c r="E15" s="328">
        <v>9138</v>
      </c>
      <c r="F15" s="454">
        <f>E15/B15*100</f>
        <v>95.296694128689126</v>
      </c>
      <c r="G15" s="455"/>
      <c r="H15" s="328">
        <v>451</v>
      </c>
      <c r="I15" s="454">
        <f>H15/B15*100</f>
        <v>4.7033058713108771</v>
      </c>
      <c r="K15" s="328">
        <v>0</v>
      </c>
      <c r="L15" s="436">
        <f>K15/B15*100</f>
        <v>0</v>
      </c>
      <c r="M15" s="434" t="s">
        <v>253</v>
      </c>
      <c r="N15" s="328">
        <v>0</v>
      </c>
      <c r="O15" s="436">
        <f>N15/B15*100</f>
        <v>0</v>
      </c>
      <c r="P15" s="434" t="s">
        <v>253</v>
      </c>
      <c r="Q15" s="328">
        <v>0</v>
      </c>
      <c r="R15" s="436">
        <f>Q15/B15*100</f>
        <v>0</v>
      </c>
    </row>
    <row r="16" spans="1:18" ht="10.5" customHeight="1">
      <c r="C16" s="436" t="str">
        <f t="shared" si="0"/>
        <v/>
      </c>
      <c r="E16" s="328"/>
      <c r="F16" s="454"/>
      <c r="G16" s="455"/>
      <c r="H16" s="328"/>
      <c r="I16" s="454"/>
      <c r="K16" s="328"/>
      <c r="M16" s="436"/>
      <c r="N16" s="328"/>
      <c r="P16" s="436"/>
      <c r="Q16" s="328"/>
    </row>
    <row r="17" spans="1:18" ht="10.5" customHeight="1">
      <c r="A17" s="434" t="s">
        <v>958</v>
      </c>
      <c r="B17" s="435">
        <f>E17+H17+K17+N17+Q17</f>
        <v>9765</v>
      </c>
      <c r="C17" s="436">
        <f t="shared" si="0"/>
        <v>24.173783884144076</v>
      </c>
      <c r="E17" s="328">
        <v>2609</v>
      </c>
      <c r="F17" s="454">
        <f>E17/B17*100</f>
        <v>26.717869943676398</v>
      </c>
      <c r="G17" s="455"/>
      <c r="H17" s="311">
        <v>7156</v>
      </c>
      <c r="I17" s="454">
        <f>H17/B17*100</f>
        <v>73.282130056323609</v>
      </c>
      <c r="K17" s="311">
        <v>0</v>
      </c>
      <c r="L17" s="436">
        <f>K17/B17*100</f>
        <v>0</v>
      </c>
      <c r="M17" s="434" t="s">
        <v>253</v>
      </c>
      <c r="N17" s="311">
        <v>0</v>
      </c>
      <c r="O17" s="436">
        <f>N17/B17*100</f>
        <v>0</v>
      </c>
      <c r="P17" s="434" t="s">
        <v>253</v>
      </c>
      <c r="Q17" s="311">
        <v>0</v>
      </c>
      <c r="R17" s="436">
        <f>Q17/B17*100</f>
        <v>0</v>
      </c>
    </row>
    <row r="18" spans="1:18" ht="10.5" customHeight="1">
      <c r="C18" s="436" t="str">
        <f t="shared" si="0"/>
        <v/>
      </c>
      <c r="E18" s="311"/>
      <c r="F18" s="454"/>
      <c r="G18" s="455"/>
      <c r="H18" s="311"/>
      <c r="I18" s="454"/>
      <c r="K18" s="311"/>
      <c r="M18" s="436"/>
      <c r="N18" s="311"/>
      <c r="P18" s="436"/>
      <c r="Q18" s="311"/>
      <c r="R18" s="436" t="s">
        <v>253</v>
      </c>
    </row>
    <row r="19" spans="1:18" ht="10.5" customHeight="1">
      <c r="A19" s="434" t="s">
        <v>959</v>
      </c>
      <c r="B19" s="435">
        <f>E19+H19+K19+N19+Q19</f>
        <v>9653</v>
      </c>
      <c r="C19" s="436">
        <f t="shared" si="0"/>
        <v>23.896521846763214</v>
      </c>
      <c r="E19" s="328">
        <v>514</v>
      </c>
      <c r="F19" s="454">
        <f>E19/B19*100</f>
        <v>5.3247695017093131</v>
      </c>
      <c r="G19" s="455"/>
      <c r="H19" s="311">
        <v>3715</v>
      </c>
      <c r="I19" s="454">
        <f>H19/B19*100</f>
        <v>38.485444939397077</v>
      </c>
      <c r="K19" s="311">
        <v>5424</v>
      </c>
      <c r="L19" s="436">
        <f>K19/B19*100</f>
        <v>56.189785558893611</v>
      </c>
      <c r="M19" s="434" t="s">
        <v>253</v>
      </c>
      <c r="N19" s="311">
        <v>0</v>
      </c>
      <c r="O19" s="436">
        <f>N19/B19*100</f>
        <v>0</v>
      </c>
      <c r="P19" s="434" t="s">
        <v>253</v>
      </c>
      <c r="Q19" s="311">
        <v>0</v>
      </c>
      <c r="R19" s="436">
        <f>Q19/B19*100</f>
        <v>0</v>
      </c>
    </row>
    <row r="20" spans="1:18" ht="10.5" customHeight="1">
      <c r="C20" s="436" t="str">
        <f t="shared" si="0"/>
        <v/>
      </c>
      <c r="E20" s="311"/>
      <c r="H20" s="311"/>
      <c r="K20" s="311"/>
      <c r="N20" s="311"/>
      <c r="Q20" s="311"/>
    </row>
    <row r="21" spans="1:18" ht="10.5" customHeight="1">
      <c r="A21" s="434" t="s">
        <v>960</v>
      </c>
      <c r="B21" s="435">
        <f>E21+H21+K21+N21+Q21</f>
        <v>862</v>
      </c>
      <c r="C21" s="436">
        <f t="shared" si="0"/>
        <v>2.1339274662705781</v>
      </c>
      <c r="E21" s="328">
        <v>26</v>
      </c>
      <c r="F21" s="436">
        <f>E21/B21*100</f>
        <v>3.0162412993039442</v>
      </c>
      <c r="H21" s="311">
        <v>92</v>
      </c>
      <c r="I21" s="436">
        <f>H21/B21*100</f>
        <v>10.672853828306264</v>
      </c>
      <c r="K21" s="311">
        <v>416</v>
      </c>
      <c r="L21" s="436">
        <f>K21/B21*100</f>
        <v>48.259860788863108</v>
      </c>
      <c r="M21" s="434" t="s">
        <v>253</v>
      </c>
      <c r="N21" s="311">
        <v>328</v>
      </c>
      <c r="O21" s="436">
        <f>N21/B21*100</f>
        <v>38.051044083526683</v>
      </c>
      <c r="P21" s="434" t="s">
        <v>253</v>
      </c>
      <c r="Q21" s="311">
        <v>0</v>
      </c>
      <c r="R21" s="436">
        <f>Q21/B21*100</f>
        <v>0</v>
      </c>
    </row>
    <row r="22" spans="1:18" ht="10.5" customHeight="1">
      <c r="C22" s="436" t="str">
        <f t="shared" si="0"/>
        <v/>
      </c>
      <c r="E22" s="311"/>
      <c r="H22" s="311"/>
      <c r="K22" s="311"/>
      <c r="M22" s="436"/>
      <c r="N22" s="311"/>
      <c r="P22" s="436"/>
      <c r="Q22" s="311"/>
    </row>
    <row r="23" spans="1:18" ht="10.5" customHeight="1">
      <c r="A23" s="434" t="s">
        <v>961</v>
      </c>
      <c r="B23" s="435">
        <f>E23+H23+K23+N23+Q23</f>
        <v>78</v>
      </c>
      <c r="C23" s="436">
        <f t="shared" si="0"/>
        <v>0.19309320460453025</v>
      </c>
      <c r="E23" s="328">
        <v>4</v>
      </c>
      <c r="F23" s="436">
        <f>E23/B23*100</f>
        <v>5.1282051282051277</v>
      </c>
      <c r="H23" s="311">
        <v>7</v>
      </c>
      <c r="I23" s="436">
        <f>H23/B23*100</f>
        <v>8.9743589743589745</v>
      </c>
      <c r="K23" s="311">
        <v>6</v>
      </c>
      <c r="L23" s="436">
        <f>K23/B23*100</f>
        <v>7.6923076923076925</v>
      </c>
      <c r="M23" s="434" t="s">
        <v>253</v>
      </c>
      <c r="N23" s="311">
        <v>11</v>
      </c>
      <c r="O23" s="436">
        <f>N23/B23*100</f>
        <v>14.102564102564102</v>
      </c>
      <c r="P23" s="436" t="s">
        <v>253</v>
      </c>
      <c r="Q23" s="311">
        <v>50</v>
      </c>
      <c r="R23" s="436">
        <f>Q23/B23*100</f>
        <v>64.102564102564102</v>
      </c>
    </row>
    <row r="24" spans="1:18" ht="10.5" customHeight="1">
      <c r="C24" s="436" t="str">
        <f t="shared" si="0"/>
        <v/>
      </c>
      <c r="E24" s="456"/>
      <c r="H24" s="456"/>
      <c r="K24" s="456"/>
      <c r="M24" s="436"/>
      <c r="N24" s="456"/>
      <c r="P24" s="436"/>
      <c r="Q24" s="456"/>
    </row>
    <row r="25" spans="1:18" ht="10.5" customHeight="1">
      <c r="A25" s="63" t="s">
        <v>346</v>
      </c>
      <c r="B25" s="435">
        <f>SUM(B27:B35)</f>
        <v>10448</v>
      </c>
      <c r="C25" s="436">
        <f t="shared" si="0"/>
        <v>25.864587201386307</v>
      </c>
      <c r="E25" s="456">
        <f>SUM(E27:E35)</f>
        <v>3373</v>
      </c>
      <c r="F25" s="436">
        <f>E25/B25*100</f>
        <v>32.283690658499239</v>
      </c>
      <c r="H25" s="456">
        <f>SUM(H27:H35)</f>
        <v>4699</v>
      </c>
      <c r="I25" s="436">
        <f>H25/B25*100</f>
        <v>44.975114854517614</v>
      </c>
      <c r="K25" s="456">
        <f>SUM(K27:K35)</f>
        <v>2296</v>
      </c>
      <c r="L25" s="436">
        <f>K25/B25*100</f>
        <v>21.975497702909646</v>
      </c>
      <c r="N25" s="456">
        <f>SUM(N27:N35)</f>
        <v>76</v>
      </c>
      <c r="O25" s="436">
        <f>N25/B25*100</f>
        <v>0.72741194486983152</v>
      </c>
      <c r="Q25" s="456">
        <f>SUM(Q26:Q35)</f>
        <v>4</v>
      </c>
      <c r="R25" s="436">
        <f>Q25/B25*100</f>
        <v>3.8284839203675348E-2</v>
      </c>
    </row>
    <row r="26" spans="1:18" ht="10.5" customHeight="1">
      <c r="C26" s="436" t="str">
        <f t="shared" si="0"/>
        <v/>
      </c>
      <c r="E26" s="456"/>
      <c r="H26" s="456"/>
      <c r="K26" s="456"/>
      <c r="N26" s="456"/>
      <c r="Q26" s="456"/>
    </row>
    <row r="27" spans="1:18" ht="10.5" customHeight="1">
      <c r="A27" s="434" t="s">
        <v>962</v>
      </c>
      <c r="B27" s="435">
        <f>E27+H27+K27+N27+Q27</f>
        <v>2410</v>
      </c>
      <c r="C27" s="436">
        <f t="shared" si="0"/>
        <v>5.9660849114989478</v>
      </c>
      <c r="E27" s="329">
        <v>2276</v>
      </c>
      <c r="F27" s="436">
        <f>E27/B27*100</f>
        <v>94.439834024896257</v>
      </c>
      <c r="H27" s="329">
        <v>134</v>
      </c>
      <c r="I27" s="436">
        <f>H27/B27*100</f>
        <v>5.5601659751037342</v>
      </c>
      <c r="K27" s="329">
        <v>0</v>
      </c>
      <c r="L27" s="436">
        <f>K27/B27*100</f>
        <v>0</v>
      </c>
      <c r="N27" s="328">
        <v>0</v>
      </c>
      <c r="O27" s="436">
        <f>N27/B27*100</f>
        <v>0</v>
      </c>
      <c r="Q27" s="328">
        <v>0</v>
      </c>
      <c r="R27" s="436">
        <f>Q27/B27*100</f>
        <v>0</v>
      </c>
    </row>
    <row r="28" spans="1:18" ht="10.5" customHeight="1">
      <c r="C28" s="436" t="str">
        <f t="shared" si="0"/>
        <v/>
      </c>
      <c r="D28" s="436"/>
      <c r="E28" s="329"/>
      <c r="G28" s="436"/>
      <c r="H28" s="329"/>
      <c r="J28" s="436"/>
      <c r="K28" s="329"/>
      <c r="N28" s="328"/>
      <c r="Q28" s="328"/>
    </row>
    <row r="29" spans="1:18" ht="10.5" customHeight="1">
      <c r="A29" s="434" t="s">
        <v>958</v>
      </c>
      <c r="B29" s="435">
        <f>E29+H29+K29+N29+Q29</f>
        <v>4126</v>
      </c>
      <c r="C29" s="436">
        <f t="shared" si="0"/>
        <v>10.214135412798614</v>
      </c>
      <c r="E29" s="329">
        <v>967</v>
      </c>
      <c r="F29" s="436">
        <f>E29/B29*100</f>
        <v>23.436742607852644</v>
      </c>
      <c r="H29" s="330">
        <v>3159</v>
      </c>
      <c r="I29" s="436">
        <f>H29/B29*100</f>
        <v>76.563257392147349</v>
      </c>
      <c r="K29" s="330">
        <v>0</v>
      </c>
      <c r="L29" s="436">
        <f>K29/B29*100</f>
        <v>0</v>
      </c>
      <c r="M29" s="436"/>
      <c r="N29" s="311">
        <v>0</v>
      </c>
      <c r="O29" s="436">
        <f>N29/B29*100</f>
        <v>0</v>
      </c>
      <c r="P29" s="436"/>
      <c r="Q29" s="311">
        <v>0</v>
      </c>
      <c r="R29" s="436">
        <f>Q29/B29*100</f>
        <v>0</v>
      </c>
    </row>
    <row r="30" spans="1:18" ht="10.5" customHeight="1">
      <c r="C30" s="436" t="str">
        <f t="shared" si="0"/>
        <v/>
      </c>
      <c r="E30" s="330"/>
      <c r="H30" s="330"/>
      <c r="K30" s="330"/>
      <c r="M30" s="436"/>
      <c r="N30" s="311"/>
      <c r="P30" s="436"/>
      <c r="Q30" s="311"/>
    </row>
    <row r="31" spans="1:18" ht="10.5" customHeight="1">
      <c r="A31" s="434" t="s">
        <v>959</v>
      </c>
      <c r="B31" s="435">
        <f>E31+H31+K31+N31+Q31</f>
        <v>3736</v>
      </c>
      <c r="C31" s="436">
        <f t="shared" si="0"/>
        <v>9.2486693897759622</v>
      </c>
      <c r="E31" s="329">
        <v>128</v>
      </c>
      <c r="F31" s="436">
        <f>E31/B31*100</f>
        <v>3.4261241970021414</v>
      </c>
      <c r="H31" s="330">
        <v>1393</v>
      </c>
      <c r="I31" s="436">
        <f>H31/B31*100</f>
        <v>37.285867237687363</v>
      </c>
      <c r="K31" s="330">
        <v>2215</v>
      </c>
      <c r="L31" s="436">
        <f>K31/B31*100</f>
        <v>59.288008565310491</v>
      </c>
      <c r="N31" s="311">
        <v>0</v>
      </c>
      <c r="O31" s="436">
        <f>N31/B31*100</f>
        <v>0</v>
      </c>
      <c r="Q31" s="311">
        <v>0</v>
      </c>
      <c r="R31" s="436">
        <f>Q31/B31*100</f>
        <v>0</v>
      </c>
    </row>
    <row r="32" spans="1:18" ht="10.5" customHeight="1">
      <c r="C32" s="436" t="str">
        <f t="shared" si="0"/>
        <v/>
      </c>
      <c r="E32" s="330"/>
      <c r="H32" s="330"/>
      <c r="K32" s="330"/>
      <c r="M32" s="436"/>
      <c r="N32" s="311"/>
      <c r="P32" s="436"/>
      <c r="Q32" s="311"/>
    </row>
    <row r="33" spans="1:18" ht="10.5" customHeight="1">
      <c r="A33" s="434" t="s">
        <v>960</v>
      </c>
      <c r="B33" s="435">
        <f>E33+H33+K33+N33+Q33</f>
        <v>168</v>
      </c>
      <c r="C33" s="436">
        <f t="shared" si="0"/>
        <v>0.41589305607129595</v>
      </c>
      <c r="E33" s="329">
        <v>1</v>
      </c>
      <c r="F33" s="436">
        <f>E33/B33*100</f>
        <v>0.59523809523809523</v>
      </c>
      <c r="H33" s="330">
        <v>12</v>
      </c>
      <c r="I33" s="436">
        <f>H33/B33*100</f>
        <v>7.1428571428571423</v>
      </c>
      <c r="K33" s="330">
        <v>79</v>
      </c>
      <c r="L33" s="436">
        <f>K33/B33*100</f>
        <v>47.023809523809526</v>
      </c>
      <c r="N33" s="311">
        <v>76</v>
      </c>
      <c r="O33" s="436">
        <f>N33/B33*100</f>
        <v>45.238095238095241</v>
      </c>
      <c r="Q33" s="311">
        <v>0</v>
      </c>
      <c r="R33" s="436">
        <f>Q33/B33*100</f>
        <v>0</v>
      </c>
    </row>
    <row r="34" spans="1:18" ht="10.5" customHeight="1">
      <c r="B34" s="435" t="s">
        <v>253</v>
      </c>
      <c r="C34" s="436" t="str">
        <f t="shared" si="0"/>
        <v/>
      </c>
      <c r="E34" s="330"/>
      <c r="H34" s="330"/>
      <c r="J34" s="436"/>
      <c r="K34" s="330"/>
      <c r="N34" s="311"/>
      <c r="Q34" s="311"/>
    </row>
    <row r="35" spans="1:18" ht="10.5" customHeight="1">
      <c r="A35" s="434" t="s">
        <v>961</v>
      </c>
      <c r="B35" s="435">
        <f>E35+H35+K35+N35+Q35</f>
        <v>8</v>
      </c>
      <c r="C35" s="436">
        <f t="shared" si="0"/>
        <v>1.9804431241490283E-2</v>
      </c>
      <c r="E35" s="329">
        <v>1</v>
      </c>
      <c r="F35" s="436">
        <f>E35/B35*100</f>
        <v>12.5</v>
      </c>
      <c r="H35" s="330">
        <v>1</v>
      </c>
      <c r="I35" s="436">
        <f>H35/B35*100</f>
        <v>12.5</v>
      </c>
      <c r="K35" s="330">
        <v>2</v>
      </c>
      <c r="L35" s="436">
        <f>K35/B35*100</f>
        <v>25</v>
      </c>
      <c r="N35" s="311">
        <v>0</v>
      </c>
      <c r="O35" s="436">
        <f>N35/B35*100</f>
        <v>0</v>
      </c>
      <c r="Q35" s="311">
        <v>4</v>
      </c>
      <c r="R35" s="436">
        <f>Q35/B35*100</f>
        <v>50</v>
      </c>
    </row>
    <row r="36" spans="1:18" ht="10.5" customHeight="1" thickBot="1">
      <c r="A36" s="445"/>
      <c r="B36" s="446"/>
      <c r="C36" s="447"/>
      <c r="D36" s="445"/>
      <c r="E36" s="446"/>
      <c r="F36" s="447"/>
      <c r="G36" s="445"/>
      <c r="H36" s="446"/>
      <c r="I36" s="447"/>
      <c r="J36" s="445"/>
      <c r="K36" s="446"/>
      <c r="L36" s="447"/>
      <c r="M36" s="445"/>
      <c r="N36" s="446"/>
      <c r="O36" s="447"/>
      <c r="P36" s="445"/>
      <c r="Q36" s="446"/>
      <c r="R36" s="447"/>
    </row>
    <row r="37" spans="1:18" ht="10.5" customHeight="1"/>
    <row r="38" spans="1:18" ht="10.5" customHeight="1">
      <c r="A38" s="36" t="s">
        <v>2287</v>
      </c>
    </row>
    <row r="39" spans="1:18" ht="10.5" customHeight="1">
      <c r="A39" s="434" t="s">
        <v>2288</v>
      </c>
    </row>
    <row r="40" spans="1:18" ht="10.5" customHeight="1"/>
    <row r="41" spans="1:18" ht="11.25" customHeight="1">
      <c r="A41" s="256" t="s">
        <v>1089</v>
      </c>
    </row>
    <row r="42" spans="1:18" ht="10.5" customHeight="1"/>
    <row r="43" spans="1:18" ht="10.5" customHeight="1">
      <c r="A43" s="4" t="s">
        <v>963</v>
      </c>
    </row>
    <row r="44" spans="1:18" ht="10.5" customHeight="1">
      <c r="A44" s="434" t="s">
        <v>365</v>
      </c>
    </row>
    <row r="46" spans="1:18">
      <c r="A46" s="434" t="s">
        <v>2285</v>
      </c>
    </row>
  </sheetData>
  <mergeCells count="5">
    <mergeCell ref="E7:F7"/>
    <mergeCell ref="Q7:R7"/>
    <mergeCell ref="N7:O7"/>
    <mergeCell ref="K7:L7"/>
    <mergeCell ref="H7:I7"/>
  </mergeCells>
  <printOptions horizontalCentered="1" verticalCentered="1"/>
  <pageMargins left="0" right="0" top="0" bottom="0" header="0.31496062992125984" footer="0.31496062992125984"/>
  <pageSetup paperSize="9" scale="90" orientation="landscape" r:id="rId1"/>
  <drawing r:id="rId2"/>
</worksheet>
</file>

<file path=xl/worksheets/sheet49.xml><?xml version="1.0" encoding="utf-8"?>
<worksheet xmlns="http://schemas.openxmlformats.org/spreadsheetml/2006/main" xmlns:r="http://schemas.openxmlformats.org/officeDocument/2006/relationships">
  <dimension ref="A1:R39"/>
  <sheetViews>
    <sheetView workbookViewId="0">
      <selection activeCell="A33" sqref="A33"/>
    </sheetView>
  </sheetViews>
  <sheetFormatPr baseColWidth="10" defaultColWidth="8.85546875" defaultRowHeight="15"/>
  <cols>
    <col min="1" max="1" width="28.140625" customWidth="1"/>
    <col min="2" max="2" width="8.28515625" style="41" customWidth="1"/>
    <col min="3" max="3" width="8.28515625" style="43" customWidth="1"/>
    <col min="4" max="4" width="2.7109375" customWidth="1"/>
    <col min="5" max="5" width="8.28515625" style="41" customWidth="1"/>
    <col min="6" max="6" width="8.28515625" style="43" customWidth="1"/>
    <col min="7" max="7" width="2.7109375" customWidth="1"/>
    <col min="8" max="8" width="7.28515625" style="41" customWidth="1"/>
    <col min="9" max="9" width="8.28515625" style="43" customWidth="1"/>
    <col min="10" max="10" width="2.7109375" customWidth="1"/>
    <col min="11" max="11" width="7.140625" style="41" customWidth="1"/>
    <col min="12" max="12" width="8.28515625" style="43" customWidth="1"/>
    <col min="13" max="13" width="2.7109375" customWidth="1"/>
    <col min="14" max="14" width="7.140625" style="41" customWidth="1"/>
    <col min="15" max="15" width="8.28515625" style="43" customWidth="1"/>
    <col min="16" max="16" width="2.7109375" customWidth="1"/>
    <col min="17" max="17" width="7.5703125" style="41" hidden="1" customWidth="1"/>
    <col min="18" max="18" width="8.28515625" style="43" hidden="1" customWidth="1"/>
    <col min="19" max="19" width="0" hidden="1" customWidth="1"/>
    <col min="257" max="257" width="28.140625" customWidth="1"/>
    <col min="258" max="259" width="8.28515625" customWidth="1"/>
    <col min="260" max="260" width="2.7109375" customWidth="1"/>
    <col min="261" max="262" width="8.28515625" customWidth="1"/>
    <col min="263" max="263" width="2.7109375" customWidth="1"/>
    <col min="264" max="264" width="7.28515625" customWidth="1"/>
    <col min="265" max="265" width="8.28515625" customWidth="1"/>
    <col min="266" max="266" width="2.7109375" customWidth="1"/>
    <col min="267" max="267" width="7.140625" customWidth="1"/>
    <col min="268" max="268" width="8.28515625" customWidth="1"/>
    <col min="269" max="269" width="2.7109375" customWidth="1"/>
    <col min="270" max="270" width="7.140625" customWidth="1"/>
    <col min="271" max="271" width="8.28515625" customWidth="1"/>
    <col min="272" max="272" width="2.7109375" customWidth="1"/>
    <col min="273" max="275" width="0" hidden="1" customWidth="1"/>
    <col min="513" max="513" width="28.140625" customWidth="1"/>
    <col min="514" max="515" width="8.28515625" customWidth="1"/>
    <col min="516" max="516" width="2.7109375" customWidth="1"/>
    <col min="517" max="518" width="8.28515625" customWidth="1"/>
    <col min="519" max="519" width="2.7109375" customWidth="1"/>
    <col min="520" max="520" width="7.28515625" customWidth="1"/>
    <col min="521" max="521" width="8.28515625" customWidth="1"/>
    <col min="522" max="522" width="2.7109375" customWidth="1"/>
    <col min="523" max="523" width="7.140625" customWidth="1"/>
    <col min="524" max="524" width="8.28515625" customWidth="1"/>
    <col min="525" max="525" width="2.7109375" customWidth="1"/>
    <col min="526" max="526" width="7.140625" customWidth="1"/>
    <col min="527" max="527" width="8.28515625" customWidth="1"/>
    <col min="528" max="528" width="2.7109375" customWidth="1"/>
    <col min="529" max="531" width="0" hidden="1" customWidth="1"/>
    <col min="769" max="769" width="28.140625" customWidth="1"/>
    <col min="770" max="771" width="8.28515625" customWidth="1"/>
    <col min="772" max="772" width="2.7109375" customWidth="1"/>
    <col min="773" max="774" width="8.28515625" customWidth="1"/>
    <col min="775" max="775" width="2.7109375" customWidth="1"/>
    <col min="776" max="776" width="7.28515625" customWidth="1"/>
    <col min="777" max="777" width="8.28515625" customWidth="1"/>
    <col min="778" max="778" width="2.7109375" customWidth="1"/>
    <col min="779" max="779" width="7.140625" customWidth="1"/>
    <col min="780" max="780" width="8.28515625" customWidth="1"/>
    <col min="781" max="781" width="2.7109375" customWidth="1"/>
    <col min="782" max="782" width="7.140625" customWidth="1"/>
    <col min="783" max="783" width="8.28515625" customWidth="1"/>
    <col min="784" max="784" width="2.7109375" customWidth="1"/>
    <col min="785" max="787" width="0" hidden="1" customWidth="1"/>
    <col min="1025" max="1025" width="28.140625" customWidth="1"/>
    <col min="1026" max="1027" width="8.28515625" customWidth="1"/>
    <col min="1028" max="1028" width="2.7109375" customWidth="1"/>
    <col min="1029" max="1030" width="8.28515625" customWidth="1"/>
    <col min="1031" max="1031" width="2.7109375" customWidth="1"/>
    <col min="1032" max="1032" width="7.28515625" customWidth="1"/>
    <col min="1033" max="1033" width="8.28515625" customWidth="1"/>
    <col min="1034" max="1034" width="2.7109375" customWidth="1"/>
    <col min="1035" max="1035" width="7.140625" customWidth="1"/>
    <col min="1036" max="1036" width="8.28515625" customWidth="1"/>
    <col min="1037" max="1037" width="2.7109375" customWidth="1"/>
    <col min="1038" max="1038" width="7.140625" customWidth="1"/>
    <col min="1039" max="1039" width="8.28515625" customWidth="1"/>
    <col min="1040" max="1040" width="2.7109375" customWidth="1"/>
    <col min="1041" max="1043" width="0" hidden="1" customWidth="1"/>
    <col min="1281" max="1281" width="28.140625" customWidth="1"/>
    <col min="1282" max="1283" width="8.28515625" customWidth="1"/>
    <col min="1284" max="1284" width="2.7109375" customWidth="1"/>
    <col min="1285" max="1286" width="8.28515625" customWidth="1"/>
    <col min="1287" max="1287" width="2.7109375" customWidth="1"/>
    <col min="1288" max="1288" width="7.28515625" customWidth="1"/>
    <col min="1289" max="1289" width="8.28515625" customWidth="1"/>
    <col min="1290" max="1290" width="2.7109375" customWidth="1"/>
    <col min="1291" max="1291" width="7.140625" customWidth="1"/>
    <col min="1292" max="1292" width="8.28515625" customWidth="1"/>
    <col min="1293" max="1293" width="2.7109375" customWidth="1"/>
    <col min="1294" max="1294" width="7.140625" customWidth="1"/>
    <col min="1295" max="1295" width="8.28515625" customWidth="1"/>
    <col min="1296" max="1296" width="2.7109375" customWidth="1"/>
    <col min="1297" max="1299" width="0" hidden="1" customWidth="1"/>
    <col min="1537" max="1537" width="28.140625" customWidth="1"/>
    <col min="1538" max="1539" width="8.28515625" customWidth="1"/>
    <col min="1540" max="1540" width="2.7109375" customWidth="1"/>
    <col min="1541" max="1542" width="8.28515625" customWidth="1"/>
    <col min="1543" max="1543" width="2.7109375" customWidth="1"/>
    <col min="1544" max="1544" width="7.28515625" customWidth="1"/>
    <col min="1545" max="1545" width="8.28515625" customWidth="1"/>
    <col min="1546" max="1546" width="2.7109375" customWidth="1"/>
    <col min="1547" max="1547" width="7.140625" customWidth="1"/>
    <col min="1548" max="1548" width="8.28515625" customWidth="1"/>
    <col min="1549" max="1549" width="2.7109375" customWidth="1"/>
    <col min="1550" max="1550" width="7.140625" customWidth="1"/>
    <col min="1551" max="1551" width="8.28515625" customWidth="1"/>
    <col min="1552" max="1552" width="2.7109375" customWidth="1"/>
    <col min="1553" max="1555" width="0" hidden="1" customWidth="1"/>
    <col min="1793" max="1793" width="28.140625" customWidth="1"/>
    <col min="1794" max="1795" width="8.28515625" customWidth="1"/>
    <col min="1796" max="1796" width="2.7109375" customWidth="1"/>
    <col min="1797" max="1798" width="8.28515625" customWidth="1"/>
    <col min="1799" max="1799" width="2.7109375" customWidth="1"/>
    <col min="1800" max="1800" width="7.28515625" customWidth="1"/>
    <col min="1801" max="1801" width="8.28515625" customWidth="1"/>
    <col min="1802" max="1802" width="2.7109375" customWidth="1"/>
    <col min="1803" max="1803" width="7.140625" customWidth="1"/>
    <col min="1804" max="1804" width="8.28515625" customWidth="1"/>
    <col min="1805" max="1805" width="2.7109375" customWidth="1"/>
    <col min="1806" max="1806" width="7.140625" customWidth="1"/>
    <col min="1807" max="1807" width="8.28515625" customWidth="1"/>
    <col min="1808" max="1808" width="2.7109375" customWidth="1"/>
    <col min="1809" max="1811" width="0" hidden="1" customWidth="1"/>
    <col min="2049" max="2049" width="28.140625" customWidth="1"/>
    <col min="2050" max="2051" width="8.28515625" customWidth="1"/>
    <col min="2052" max="2052" width="2.7109375" customWidth="1"/>
    <col min="2053" max="2054" width="8.28515625" customWidth="1"/>
    <col min="2055" max="2055" width="2.7109375" customWidth="1"/>
    <col min="2056" max="2056" width="7.28515625" customWidth="1"/>
    <col min="2057" max="2057" width="8.28515625" customWidth="1"/>
    <col min="2058" max="2058" width="2.7109375" customWidth="1"/>
    <col min="2059" max="2059" width="7.140625" customWidth="1"/>
    <col min="2060" max="2060" width="8.28515625" customWidth="1"/>
    <col min="2061" max="2061" width="2.7109375" customWidth="1"/>
    <col min="2062" max="2062" width="7.140625" customWidth="1"/>
    <col min="2063" max="2063" width="8.28515625" customWidth="1"/>
    <col min="2064" max="2064" width="2.7109375" customWidth="1"/>
    <col min="2065" max="2067" width="0" hidden="1" customWidth="1"/>
    <col min="2305" max="2305" width="28.140625" customWidth="1"/>
    <col min="2306" max="2307" width="8.28515625" customWidth="1"/>
    <col min="2308" max="2308" width="2.7109375" customWidth="1"/>
    <col min="2309" max="2310" width="8.28515625" customWidth="1"/>
    <col min="2311" max="2311" width="2.7109375" customWidth="1"/>
    <col min="2312" max="2312" width="7.28515625" customWidth="1"/>
    <col min="2313" max="2313" width="8.28515625" customWidth="1"/>
    <col min="2314" max="2314" width="2.7109375" customWidth="1"/>
    <col min="2315" max="2315" width="7.140625" customWidth="1"/>
    <col min="2316" max="2316" width="8.28515625" customWidth="1"/>
    <col min="2317" max="2317" width="2.7109375" customWidth="1"/>
    <col min="2318" max="2318" width="7.140625" customWidth="1"/>
    <col min="2319" max="2319" width="8.28515625" customWidth="1"/>
    <col min="2320" max="2320" width="2.7109375" customWidth="1"/>
    <col min="2321" max="2323" width="0" hidden="1" customWidth="1"/>
    <col min="2561" max="2561" width="28.140625" customWidth="1"/>
    <col min="2562" max="2563" width="8.28515625" customWidth="1"/>
    <col min="2564" max="2564" width="2.7109375" customWidth="1"/>
    <col min="2565" max="2566" width="8.28515625" customWidth="1"/>
    <col min="2567" max="2567" width="2.7109375" customWidth="1"/>
    <col min="2568" max="2568" width="7.28515625" customWidth="1"/>
    <col min="2569" max="2569" width="8.28515625" customWidth="1"/>
    <col min="2570" max="2570" width="2.7109375" customWidth="1"/>
    <col min="2571" max="2571" width="7.140625" customWidth="1"/>
    <col min="2572" max="2572" width="8.28515625" customWidth="1"/>
    <col min="2573" max="2573" width="2.7109375" customWidth="1"/>
    <col min="2574" max="2574" width="7.140625" customWidth="1"/>
    <col min="2575" max="2575" width="8.28515625" customWidth="1"/>
    <col min="2576" max="2576" width="2.7109375" customWidth="1"/>
    <col min="2577" max="2579" width="0" hidden="1" customWidth="1"/>
    <col min="2817" max="2817" width="28.140625" customWidth="1"/>
    <col min="2818" max="2819" width="8.28515625" customWidth="1"/>
    <col min="2820" max="2820" width="2.7109375" customWidth="1"/>
    <col min="2821" max="2822" width="8.28515625" customWidth="1"/>
    <col min="2823" max="2823" width="2.7109375" customWidth="1"/>
    <col min="2824" max="2824" width="7.28515625" customWidth="1"/>
    <col min="2825" max="2825" width="8.28515625" customWidth="1"/>
    <col min="2826" max="2826" width="2.7109375" customWidth="1"/>
    <col min="2827" max="2827" width="7.140625" customWidth="1"/>
    <col min="2828" max="2828" width="8.28515625" customWidth="1"/>
    <col min="2829" max="2829" width="2.7109375" customWidth="1"/>
    <col min="2830" max="2830" width="7.140625" customWidth="1"/>
    <col min="2831" max="2831" width="8.28515625" customWidth="1"/>
    <col min="2832" max="2832" width="2.7109375" customWidth="1"/>
    <col min="2833" max="2835" width="0" hidden="1" customWidth="1"/>
    <col min="3073" max="3073" width="28.140625" customWidth="1"/>
    <col min="3074" max="3075" width="8.28515625" customWidth="1"/>
    <col min="3076" max="3076" width="2.7109375" customWidth="1"/>
    <col min="3077" max="3078" width="8.28515625" customWidth="1"/>
    <col min="3079" max="3079" width="2.7109375" customWidth="1"/>
    <col min="3080" max="3080" width="7.28515625" customWidth="1"/>
    <col min="3081" max="3081" width="8.28515625" customWidth="1"/>
    <col min="3082" max="3082" width="2.7109375" customWidth="1"/>
    <col min="3083" max="3083" width="7.140625" customWidth="1"/>
    <col min="3084" max="3084" width="8.28515625" customWidth="1"/>
    <col min="3085" max="3085" width="2.7109375" customWidth="1"/>
    <col min="3086" max="3086" width="7.140625" customWidth="1"/>
    <col min="3087" max="3087" width="8.28515625" customWidth="1"/>
    <col min="3088" max="3088" width="2.7109375" customWidth="1"/>
    <col min="3089" max="3091" width="0" hidden="1" customWidth="1"/>
    <col min="3329" max="3329" width="28.140625" customWidth="1"/>
    <col min="3330" max="3331" width="8.28515625" customWidth="1"/>
    <col min="3332" max="3332" width="2.7109375" customWidth="1"/>
    <col min="3333" max="3334" width="8.28515625" customWidth="1"/>
    <col min="3335" max="3335" width="2.7109375" customWidth="1"/>
    <col min="3336" max="3336" width="7.28515625" customWidth="1"/>
    <col min="3337" max="3337" width="8.28515625" customWidth="1"/>
    <col min="3338" max="3338" width="2.7109375" customWidth="1"/>
    <col min="3339" max="3339" width="7.140625" customWidth="1"/>
    <col min="3340" max="3340" width="8.28515625" customWidth="1"/>
    <col min="3341" max="3341" width="2.7109375" customWidth="1"/>
    <col min="3342" max="3342" width="7.140625" customWidth="1"/>
    <col min="3343" max="3343" width="8.28515625" customWidth="1"/>
    <col min="3344" max="3344" width="2.7109375" customWidth="1"/>
    <col min="3345" max="3347" width="0" hidden="1" customWidth="1"/>
    <col min="3585" max="3585" width="28.140625" customWidth="1"/>
    <col min="3586" max="3587" width="8.28515625" customWidth="1"/>
    <col min="3588" max="3588" width="2.7109375" customWidth="1"/>
    <col min="3589" max="3590" width="8.28515625" customWidth="1"/>
    <col min="3591" max="3591" width="2.7109375" customWidth="1"/>
    <col min="3592" max="3592" width="7.28515625" customWidth="1"/>
    <col min="3593" max="3593" width="8.28515625" customWidth="1"/>
    <col min="3594" max="3594" width="2.7109375" customWidth="1"/>
    <col min="3595" max="3595" width="7.140625" customWidth="1"/>
    <col min="3596" max="3596" width="8.28515625" customWidth="1"/>
    <col min="3597" max="3597" width="2.7109375" customWidth="1"/>
    <col min="3598" max="3598" width="7.140625" customWidth="1"/>
    <col min="3599" max="3599" width="8.28515625" customWidth="1"/>
    <col min="3600" max="3600" width="2.7109375" customWidth="1"/>
    <col min="3601" max="3603" width="0" hidden="1" customWidth="1"/>
    <col min="3841" max="3841" width="28.140625" customWidth="1"/>
    <col min="3842" max="3843" width="8.28515625" customWidth="1"/>
    <col min="3844" max="3844" width="2.7109375" customWidth="1"/>
    <col min="3845" max="3846" width="8.28515625" customWidth="1"/>
    <col min="3847" max="3847" width="2.7109375" customWidth="1"/>
    <col min="3848" max="3848" width="7.28515625" customWidth="1"/>
    <col min="3849" max="3849" width="8.28515625" customWidth="1"/>
    <col min="3850" max="3850" width="2.7109375" customWidth="1"/>
    <col min="3851" max="3851" width="7.140625" customWidth="1"/>
    <col min="3852" max="3852" width="8.28515625" customWidth="1"/>
    <col min="3853" max="3853" width="2.7109375" customWidth="1"/>
    <col min="3854" max="3854" width="7.140625" customWidth="1"/>
    <col min="3855" max="3855" width="8.28515625" customWidth="1"/>
    <col min="3856" max="3856" width="2.7109375" customWidth="1"/>
    <col min="3857" max="3859" width="0" hidden="1" customWidth="1"/>
    <col min="4097" max="4097" width="28.140625" customWidth="1"/>
    <col min="4098" max="4099" width="8.28515625" customWidth="1"/>
    <col min="4100" max="4100" width="2.7109375" customWidth="1"/>
    <col min="4101" max="4102" width="8.28515625" customWidth="1"/>
    <col min="4103" max="4103" width="2.7109375" customWidth="1"/>
    <col min="4104" max="4104" width="7.28515625" customWidth="1"/>
    <col min="4105" max="4105" width="8.28515625" customWidth="1"/>
    <col min="4106" max="4106" width="2.7109375" customWidth="1"/>
    <col min="4107" max="4107" width="7.140625" customWidth="1"/>
    <col min="4108" max="4108" width="8.28515625" customWidth="1"/>
    <col min="4109" max="4109" width="2.7109375" customWidth="1"/>
    <col min="4110" max="4110" width="7.140625" customWidth="1"/>
    <col min="4111" max="4111" width="8.28515625" customWidth="1"/>
    <col min="4112" max="4112" width="2.7109375" customWidth="1"/>
    <col min="4113" max="4115" width="0" hidden="1" customWidth="1"/>
    <col min="4353" max="4353" width="28.140625" customWidth="1"/>
    <col min="4354" max="4355" width="8.28515625" customWidth="1"/>
    <col min="4356" max="4356" width="2.7109375" customWidth="1"/>
    <col min="4357" max="4358" width="8.28515625" customWidth="1"/>
    <col min="4359" max="4359" width="2.7109375" customWidth="1"/>
    <col min="4360" max="4360" width="7.28515625" customWidth="1"/>
    <col min="4361" max="4361" width="8.28515625" customWidth="1"/>
    <col min="4362" max="4362" width="2.7109375" customWidth="1"/>
    <col min="4363" max="4363" width="7.140625" customWidth="1"/>
    <col min="4364" max="4364" width="8.28515625" customWidth="1"/>
    <col min="4365" max="4365" width="2.7109375" customWidth="1"/>
    <col min="4366" max="4366" width="7.140625" customWidth="1"/>
    <col min="4367" max="4367" width="8.28515625" customWidth="1"/>
    <col min="4368" max="4368" width="2.7109375" customWidth="1"/>
    <col min="4369" max="4371" width="0" hidden="1" customWidth="1"/>
    <col min="4609" max="4609" width="28.140625" customWidth="1"/>
    <col min="4610" max="4611" width="8.28515625" customWidth="1"/>
    <col min="4612" max="4612" width="2.7109375" customWidth="1"/>
    <col min="4613" max="4614" width="8.28515625" customWidth="1"/>
    <col min="4615" max="4615" width="2.7109375" customWidth="1"/>
    <col min="4616" max="4616" width="7.28515625" customWidth="1"/>
    <col min="4617" max="4617" width="8.28515625" customWidth="1"/>
    <col min="4618" max="4618" width="2.7109375" customWidth="1"/>
    <col min="4619" max="4619" width="7.140625" customWidth="1"/>
    <col min="4620" max="4620" width="8.28515625" customWidth="1"/>
    <col min="4621" max="4621" width="2.7109375" customWidth="1"/>
    <col min="4622" max="4622" width="7.140625" customWidth="1"/>
    <col min="4623" max="4623" width="8.28515625" customWidth="1"/>
    <col min="4624" max="4624" width="2.7109375" customWidth="1"/>
    <col min="4625" max="4627" width="0" hidden="1" customWidth="1"/>
    <col min="4865" max="4865" width="28.140625" customWidth="1"/>
    <col min="4866" max="4867" width="8.28515625" customWidth="1"/>
    <col min="4868" max="4868" width="2.7109375" customWidth="1"/>
    <col min="4869" max="4870" width="8.28515625" customWidth="1"/>
    <col min="4871" max="4871" width="2.7109375" customWidth="1"/>
    <col min="4872" max="4872" width="7.28515625" customWidth="1"/>
    <col min="4873" max="4873" width="8.28515625" customWidth="1"/>
    <col min="4874" max="4874" width="2.7109375" customWidth="1"/>
    <col min="4875" max="4875" width="7.140625" customWidth="1"/>
    <col min="4876" max="4876" width="8.28515625" customWidth="1"/>
    <col min="4877" max="4877" width="2.7109375" customWidth="1"/>
    <col min="4878" max="4878" width="7.140625" customWidth="1"/>
    <col min="4879" max="4879" width="8.28515625" customWidth="1"/>
    <col min="4880" max="4880" width="2.7109375" customWidth="1"/>
    <col min="4881" max="4883" width="0" hidden="1" customWidth="1"/>
    <col min="5121" max="5121" width="28.140625" customWidth="1"/>
    <col min="5122" max="5123" width="8.28515625" customWidth="1"/>
    <col min="5124" max="5124" width="2.7109375" customWidth="1"/>
    <col min="5125" max="5126" width="8.28515625" customWidth="1"/>
    <col min="5127" max="5127" width="2.7109375" customWidth="1"/>
    <col min="5128" max="5128" width="7.28515625" customWidth="1"/>
    <col min="5129" max="5129" width="8.28515625" customWidth="1"/>
    <col min="5130" max="5130" width="2.7109375" customWidth="1"/>
    <col min="5131" max="5131" width="7.140625" customWidth="1"/>
    <col min="5132" max="5132" width="8.28515625" customWidth="1"/>
    <col min="5133" max="5133" width="2.7109375" customWidth="1"/>
    <col min="5134" max="5134" width="7.140625" customWidth="1"/>
    <col min="5135" max="5135" width="8.28515625" customWidth="1"/>
    <col min="5136" max="5136" width="2.7109375" customWidth="1"/>
    <col min="5137" max="5139" width="0" hidden="1" customWidth="1"/>
    <col min="5377" max="5377" width="28.140625" customWidth="1"/>
    <col min="5378" max="5379" width="8.28515625" customWidth="1"/>
    <col min="5380" max="5380" width="2.7109375" customWidth="1"/>
    <col min="5381" max="5382" width="8.28515625" customWidth="1"/>
    <col min="5383" max="5383" width="2.7109375" customWidth="1"/>
    <col min="5384" max="5384" width="7.28515625" customWidth="1"/>
    <col min="5385" max="5385" width="8.28515625" customWidth="1"/>
    <col min="5386" max="5386" width="2.7109375" customWidth="1"/>
    <col min="5387" max="5387" width="7.140625" customWidth="1"/>
    <col min="5388" max="5388" width="8.28515625" customWidth="1"/>
    <col min="5389" max="5389" width="2.7109375" customWidth="1"/>
    <col min="5390" max="5390" width="7.140625" customWidth="1"/>
    <col min="5391" max="5391" width="8.28515625" customWidth="1"/>
    <col min="5392" max="5392" width="2.7109375" customWidth="1"/>
    <col min="5393" max="5395" width="0" hidden="1" customWidth="1"/>
    <col min="5633" max="5633" width="28.140625" customWidth="1"/>
    <col min="5634" max="5635" width="8.28515625" customWidth="1"/>
    <col min="5636" max="5636" width="2.7109375" customWidth="1"/>
    <col min="5637" max="5638" width="8.28515625" customWidth="1"/>
    <col min="5639" max="5639" width="2.7109375" customWidth="1"/>
    <col min="5640" max="5640" width="7.28515625" customWidth="1"/>
    <col min="5641" max="5641" width="8.28515625" customWidth="1"/>
    <col min="5642" max="5642" width="2.7109375" customWidth="1"/>
    <col min="5643" max="5643" width="7.140625" customWidth="1"/>
    <col min="5644" max="5644" width="8.28515625" customWidth="1"/>
    <col min="5645" max="5645" width="2.7109375" customWidth="1"/>
    <col min="5646" max="5646" width="7.140625" customWidth="1"/>
    <col min="5647" max="5647" width="8.28515625" customWidth="1"/>
    <col min="5648" max="5648" width="2.7109375" customWidth="1"/>
    <col min="5649" max="5651" width="0" hidden="1" customWidth="1"/>
    <col min="5889" max="5889" width="28.140625" customWidth="1"/>
    <col min="5890" max="5891" width="8.28515625" customWidth="1"/>
    <col min="5892" max="5892" width="2.7109375" customWidth="1"/>
    <col min="5893" max="5894" width="8.28515625" customWidth="1"/>
    <col min="5895" max="5895" width="2.7109375" customWidth="1"/>
    <col min="5896" max="5896" width="7.28515625" customWidth="1"/>
    <col min="5897" max="5897" width="8.28515625" customWidth="1"/>
    <col min="5898" max="5898" width="2.7109375" customWidth="1"/>
    <col min="5899" max="5899" width="7.140625" customWidth="1"/>
    <col min="5900" max="5900" width="8.28515625" customWidth="1"/>
    <col min="5901" max="5901" width="2.7109375" customWidth="1"/>
    <col min="5902" max="5902" width="7.140625" customWidth="1"/>
    <col min="5903" max="5903" width="8.28515625" customWidth="1"/>
    <col min="5904" max="5904" width="2.7109375" customWidth="1"/>
    <col min="5905" max="5907" width="0" hidden="1" customWidth="1"/>
    <col min="6145" max="6145" width="28.140625" customWidth="1"/>
    <col min="6146" max="6147" width="8.28515625" customWidth="1"/>
    <col min="6148" max="6148" width="2.7109375" customWidth="1"/>
    <col min="6149" max="6150" width="8.28515625" customWidth="1"/>
    <col min="6151" max="6151" width="2.7109375" customWidth="1"/>
    <col min="6152" max="6152" width="7.28515625" customWidth="1"/>
    <col min="6153" max="6153" width="8.28515625" customWidth="1"/>
    <col min="6154" max="6154" width="2.7109375" customWidth="1"/>
    <col min="6155" max="6155" width="7.140625" customWidth="1"/>
    <col min="6156" max="6156" width="8.28515625" customWidth="1"/>
    <col min="6157" max="6157" width="2.7109375" customWidth="1"/>
    <col min="6158" max="6158" width="7.140625" customWidth="1"/>
    <col min="6159" max="6159" width="8.28515625" customWidth="1"/>
    <col min="6160" max="6160" width="2.7109375" customWidth="1"/>
    <col min="6161" max="6163" width="0" hidden="1" customWidth="1"/>
    <col min="6401" max="6401" width="28.140625" customWidth="1"/>
    <col min="6402" max="6403" width="8.28515625" customWidth="1"/>
    <col min="6404" max="6404" width="2.7109375" customWidth="1"/>
    <col min="6405" max="6406" width="8.28515625" customWidth="1"/>
    <col min="6407" max="6407" width="2.7109375" customWidth="1"/>
    <col min="6408" max="6408" width="7.28515625" customWidth="1"/>
    <col min="6409" max="6409" width="8.28515625" customWidth="1"/>
    <col min="6410" max="6410" width="2.7109375" customWidth="1"/>
    <col min="6411" max="6411" width="7.140625" customWidth="1"/>
    <col min="6412" max="6412" width="8.28515625" customWidth="1"/>
    <col min="6413" max="6413" width="2.7109375" customWidth="1"/>
    <col min="6414" max="6414" width="7.140625" customWidth="1"/>
    <col min="6415" max="6415" width="8.28515625" customWidth="1"/>
    <col min="6416" max="6416" width="2.7109375" customWidth="1"/>
    <col min="6417" max="6419" width="0" hidden="1" customWidth="1"/>
    <col min="6657" max="6657" width="28.140625" customWidth="1"/>
    <col min="6658" max="6659" width="8.28515625" customWidth="1"/>
    <col min="6660" max="6660" width="2.7109375" customWidth="1"/>
    <col min="6661" max="6662" width="8.28515625" customWidth="1"/>
    <col min="6663" max="6663" width="2.7109375" customWidth="1"/>
    <col min="6664" max="6664" width="7.28515625" customWidth="1"/>
    <col min="6665" max="6665" width="8.28515625" customWidth="1"/>
    <col min="6666" max="6666" width="2.7109375" customWidth="1"/>
    <col min="6667" max="6667" width="7.140625" customWidth="1"/>
    <col min="6668" max="6668" width="8.28515625" customWidth="1"/>
    <col min="6669" max="6669" width="2.7109375" customWidth="1"/>
    <col min="6670" max="6670" width="7.140625" customWidth="1"/>
    <col min="6671" max="6671" width="8.28515625" customWidth="1"/>
    <col min="6672" max="6672" width="2.7109375" customWidth="1"/>
    <col min="6673" max="6675" width="0" hidden="1" customWidth="1"/>
    <col min="6913" max="6913" width="28.140625" customWidth="1"/>
    <col min="6914" max="6915" width="8.28515625" customWidth="1"/>
    <col min="6916" max="6916" width="2.7109375" customWidth="1"/>
    <col min="6917" max="6918" width="8.28515625" customWidth="1"/>
    <col min="6919" max="6919" width="2.7109375" customWidth="1"/>
    <col min="6920" max="6920" width="7.28515625" customWidth="1"/>
    <col min="6921" max="6921" width="8.28515625" customWidth="1"/>
    <col min="6922" max="6922" width="2.7109375" customWidth="1"/>
    <col min="6923" max="6923" width="7.140625" customWidth="1"/>
    <col min="6924" max="6924" width="8.28515625" customWidth="1"/>
    <col min="6925" max="6925" width="2.7109375" customWidth="1"/>
    <col min="6926" max="6926" width="7.140625" customWidth="1"/>
    <col min="6927" max="6927" width="8.28515625" customWidth="1"/>
    <col min="6928" max="6928" width="2.7109375" customWidth="1"/>
    <col min="6929" max="6931" width="0" hidden="1" customWidth="1"/>
    <col min="7169" max="7169" width="28.140625" customWidth="1"/>
    <col min="7170" max="7171" width="8.28515625" customWidth="1"/>
    <col min="7172" max="7172" width="2.7109375" customWidth="1"/>
    <col min="7173" max="7174" width="8.28515625" customWidth="1"/>
    <col min="7175" max="7175" width="2.7109375" customWidth="1"/>
    <col min="7176" max="7176" width="7.28515625" customWidth="1"/>
    <col min="7177" max="7177" width="8.28515625" customWidth="1"/>
    <col min="7178" max="7178" width="2.7109375" customWidth="1"/>
    <col min="7179" max="7179" width="7.140625" customWidth="1"/>
    <col min="7180" max="7180" width="8.28515625" customWidth="1"/>
    <col min="7181" max="7181" width="2.7109375" customWidth="1"/>
    <col min="7182" max="7182" width="7.140625" customWidth="1"/>
    <col min="7183" max="7183" width="8.28515625" customWidth="1"/>
    <col min="7184" max="7184" width="2.7109375" customWidth="1"/>
    <col min="7185" max="7187" width="0" hidden="1" customWidth="1"/>
    <col min="7425" max="7425" width="28.140625" customWidth="1"/>
    <col min="7426" max="7427" width="8.28515625" customWidth="1"/>
    <col min="7428" max="7428" width="2.7109375" customWidth="1"/>
    <col min="7429" max="7430" width="8.28515625" customWidth="1"/>
    <col min="7431" max="7431" width="2.7109375" customWidth="1"/>
    <col min="7432" max="7432" width="7.28515625" customWidth="1"/>
    <col min="7433" max="7433" width="8.28515625" customWidth="1"/>
    <col min="7434" max="7434" width="2.7109375" customWidth="1"/>
    <col min="7435" max="7435" width="7.140625" customWidth="1"/>
    <col min="7436" max="7436" width="8.28515625" customWidth="1"/>
    <col min="7437" max="7437" width="2.7109375" customWidth="1"/>
    <col min="7438" max="7438" width="7.140625" customWidth="1"/>
    <col min="7439" max="7439" width="8.28515625" customWidth="1"/>
    <col min="7440" max="7440" width="2.7109375" customWidth="1"/>
    <col min="7441" max="7443" width="0" hidden="1" customWidth="1"/>
    <col min="7681" max="7681" width="28.140625" customWidth="1"/>
    <col min="7682" max="7683" width="8.28515625" customWidth="1"/>
    <col min="7684" max="7684" width="2.7109375" customWidth="1"/>
    <col min="7685" max="7686" width="8.28515625" customWidth="1"/>
    <col min="7687" max="7687" width="2.7109375" customWidth="1"/>
    <col min="7688" max="7688" width="7.28515625" customWidth="1"/>
    <col min="7689" max="7689" width="8.28515625" customWidth="1"/>
    <col min="7690" max="7690" width="2.7109375" customWidth="1"/>
    <col min="7691" max="7691" width="7.140625" customWidth="1"/>
    <col min="7692" max="7692" width="8.28515625" customWidth="1"/>
    <col min="7693" max="7693" width="2.7109375" customWidth="1"/>
    <col min="7694" max="7694" width="7.140625" customWidth="1"/>
    <col min="7695" max="7695" width="8.28515625" customWidth="1"/>
    <col min="7696" max="7696" width="2.7109375" customWidth="1"/>
    <col min="7697" max="7699" width="0" hidden="1" customWidth="1"/>
    <col min="7937" max="7937" width="28.140625" customWidth="1"/>
    <col min="7938" max="7939" width="8.28515625" customWidth="1"/>
    <col min="7940" max="7940" width="2.7109375" customWidth="1"/>
    <col min="7941" max="7942" width="8.28515625" customWidth="1"/>
    <col min="7943" max="7943" width="2.7109375" customWidth="1"/>
    <col min="7944" max="7944" width="7.28515625" customWidth="1"/>
    <col min="7945" max="7945" width="8.28515625" customWidth="1"/>
    <col min="7946" max="7946" width="2.7109375" customWidth="1"/>
    <col min="7947" max="7947" width="7.140625" customWidth="1"/>
    <col min="7948" max="7948" width="8.28515625" customWidth="1"/>
    <col min="7949" max="7949" width="2.7109375" customWidth="1"/>
    <col min="7950" max="7950" width="7.140625" customWidth="1"/>
    <col min="7951" max="7951" width="8.28515625" customWidth="1"/>
    <col min="7952" max="7952" width="2.7109375" customWidth="1"/>
    <col min="7953" max="7955" width="0" hidden="1" customWidth="1"/>
    <col min="8193" max="8193" width="28.140625" customWidth="1"/>
    <col min="8194" max="8195" width="8.28515625" customWidth="1"/>
    <col min="8196" max="8196" width="2.7109375" customWidth="1"/>
    <col min="8197" max="8198" width="8.28515625" customWidth="1"/>
    <col min="8199" max="8199" width="2.7109375" customWidth="1"/>
    <col min="8200" max="8200" width="7.28515625" customWidth="1"/>
    <col min="8201" max="8201" width="8.28515625" customWidth="1"/>
    <col min="8202" max="8202" width="2.7109375" customWidth="1"/>
    <col min="8203" max="8203" width="7.140625" customWidth="1"/>
    <col min="8204" max="8204" width="8.28515625" customWidth="1"/>
    <col min="8205" max="8205" width="2.7109375" customWidth="1"/>
    <col min="8206" max="8206" width="7.140625" customWidth="1"/>
    <col min="8207" max="8207" width="8.28515625" customWidth="1"/>
    <col min="8208" max="8208" width="2.7109375" customWidth="1"/>
    <col min="8209" max="8211" width="0" hidden="1" customWidth="1"/>
    <col min="8449" max="8449" width="28.140625" customWidth="1"/>
    <col min="8450" max="8451" width="8.28515625" customWidth="1"/>
    <col min="8452" max="8452" width="2.7109375" customWidth="1"/>
    <col min="8453" max="8454" width="8.28515625" customWidth="1"/>
    <col min="8455" max="8455" width="2.7109375" customWidth="1"/>
    <col min="8456" max="8456" width="7.28515625" customWidth="1"/>
    <col min="8457" max="8457" width="8.28515625" customWidth="1"/>
    <col min="8458" max="8458" width="2.7109375" customWidth="1"/>
    <col min="8459" max="8459" width="7.140625" customWidth="1"/>
    <col min="8460" max="8460" width="8.28515625" customWidth="1"/>
    <col min="8461" max="8461" width="2.7109375" customWidth="1"/>
    <col min="8462" max="8462" width="7.140625" customWidth="1"/>
    <col min="8463" max="8463" width="8.28515625" customWidth="1"/>
    <col min="8464" max="8464" width="2.7109375" customWidth="1"/>
    <col min="8465" max="8467" width="0" hidden="1" customWidth="1"/>
    <col min="8705" max="8705" width="28.140625" customWidth="1"/>
    <col min="8706" max="8707" width="8.28515625" customWidth="1"/>
    <col min="8708" max="8708" width="2.7109375" customWidth="1"/>
    <col min="8709" max="8710" width="8.28515625" customWidth="1"/>
    <col min="8711" max="8711" width="2.7109375" customWidth="1"/>
    <col min="8712" max="8712" width="7.28515625" customWidth="1"/>
    <col min="8713" max="8713" width="8.28515625" customWidth="1"/>
    <col min="8714" max="8714" width="2.7109375" customWidth="1"/>
    <col min="8715" max="8715" width="7.140625" customWidth="1"/>
    <col min="8716" max="8716" width="8.28515625" customWidth="1"/>
    <col min="8717" max="8717" width="2.7109375" customWidth="1"/>
    <col min="8718" max="8718" width="7.140625" customWidth="1"/>
    <col min="8719" max="8719" width="8.28515625" customWidth="1"/>
    <col min="8720" max="8720" width="2.7109375" customWidth="1"/>
    <col min="8721" max="8723" width="0" hidden="1" customWidth="1"/>
    <col min="8961" max="8961" width="28.140625" customWidth="1"/>
    <col min="8962" max="8963" width="8.28515625" customWidth="1"/>
    <col min="8964" max="8964" width="2.7109375" customWidth="1"/>
    <col min="8965" max="8966" width="8.28515625" customWidth="1"/>
    <col min="8967" max="8967" width="2.7109375" customWidth="1"/>
    <col min="8968" max="8968" width="7.28515625" customWidth="1"/>
    <col min="8969" max="8969" width="8.28515625" customWidth="1"/>
    <col min="8970" max="8970" width="2.7109375" customWidth="1"/>
    <col min="8971" max="8971" width="7.140625" customWidth="1"/>
    <col min="8972" max="8972" width="8.28515625" customWidth="1"/>
    <col min="8973" max="8973" width="2.7109375" customWidth="1"/>
    <col min="8974" max="8974" width="7.140625" customWidth="1"/>
    <col min="8975" max="8975" width="8.28515625" customWidth="1"/>
    <col min="8976" max="8976" width="2.7109375" customWidth="1"/>
    <col min="8977" max="8979" width="0" hidden="1" customWidth="1"/>
    <col min="9217" max="9217" width="28.140625" customWidth="1"/>
    <col min="9218" max="9219" width="8.28515625" customWidth="1"/>
    <col min="9220" max="9220" width="2.7109375" customWidth="1"/>
    <col min="9221" max="9222" width="8.28515625" customWidth="1"/>
    <col min="9223" max="9223" width="2.7109375" customWidth="1"/>
    <col min="9224" max="9224" width="7.28515625" customWidth="1"/>
    <col min="9225" max="9225" width="8.28515625" customWidth="1"/>
    <col min="9226" max="9226" width="2.7109375" customWidth="1"/>
    <col min="9227" max="9227" width="7.140625" customWidth="1"/>
    <col min="9228" max="9228" width="8.28515625" customWidth="1"/>
    <col min="9229" max="9229" width="2.7109375" customWidth="1"/>
    <col min="9230" max="9230" width="7.140625" customWidth="1"/>
    <col min="9231" max="9231" width="8.28515625" customWidth="1"/>
    <col min="9232" max="9232" width="2.7109375" customWidth="1"/>
    <col min="9233" max="9235" width="0" hidden="1" customWidth="1"/>
    <col min="9473" max="9473" width="28.140625" customWidth="1"/>
    <col min="9474" max="9475" width="8.28515625" customWidth="1"/>
    <col min="9476" max="9476" width="2.7109375" customWidth="1"/>
    <col min="9477" max="9478" width="8.28515625" customWidth="1"/>
    <col min="9479" max="9479" width="2.7109375" customWidth="1"/>
    <col min="9480" max="9480" width="7.28515625" customWidth="1"/>
    <col min="9481" max="9481" width="8.28515625" customWidth="1"/>
    <col min="9482" max="9482" width="2.7109375" customWidth="1"/>
    <col min="9483" max="9483" width="7.140625" customWidth="1"/>
    <col min="9484" max="9484" width="8.28515625" customWidth="1"/>
    <col min="9485" max="9485" width="2.7109375" customWidth="1"/>
    <col min="9486" max="9486" width="7.140625" customWidth="1"/>
    <col min="9487" max="9487" width="8.28515625" customWidth="1"/>
    <col min="9488" max="9488" width="2.7109375" customWidth="1"/>
    <col min="9489" max="9491" width="0" hidden="1" customWidth="1"/>
    <col min="9729" max="9729" width="28.140625" customWidth="1"/>
    <col min="9730" max="9731" width="8.28515625" customWidth="1"/>
    <col min="9732" max="9732" width="2.7109375" customWidth="1"/>
    <col min="9733" max="9734" width="8.28515625" customWidth="1"/>
    <col min="9735" max="9735" width="2.7109375" customWidth="1"/>
    <col min="9736" max="9736" width="7.28515625" customWidth="1"/>
    <col min="9737" max="9737" width="8.28515625" customWidth="1"/>
    <col min="9738" max="9738" width="2.7109375" customWidth="1"/>
    <col min="9739" max="9739" width="7.140625" customWidth="1"/>
    <col min="9740" max="9740" width="8.28515625" customWidth="1"/>
    <col min="9741" max="9741" width="2.7109375" customWidth="1"/>
    <col min="9742" max="9742" width="7.140625" customWidth="1"/>
    <col min="9743" max="9743" width="8.28515625" customWidth="1"/>
    <col min="9744" max="9744" width="2.7109375" customWidth="1"/>
    <col min="9745" max="9747" width="0" hidden="1" customWidth="1"/>
    <col min="9985" max="9985" width="28.140625" customWidth="1"/>
    <col min="9986" max="9987" width="8.28515625" customWidth="1"/>
    <col min="9988" max="9988" width="2.7109375" customWidth="1"/>
    <col min="9989" max="9990" width="8.28515625" customWidth="1"/>
    <col min="9991" max="9991" width="2.7109375" customWidth="1"/>
    <col min="9992" max="9992" width="7.28515625" customWidth="1"/>
    <col min="9993" max="9993" width="8.28515625" customWidth="1"/>
    <col min="9994" max="9994" width="2.7109375" customWidth="1"/>
    <col min="9995" max="9995" width="7.140625" customWidth="1"/>
    <col min="9996" max="9996" width="8.28515625" customWidth="1"/>
    <col min="9997" max="9997" width="2.7109375" customWidth="1"/>
    <col min="9998" max="9998" width="7.140625" customWidth="1"/>
    <col min="9999" max="9999" width="8.28515625" customWidth="1"/>
    <col min="10000" max="10000" width="2.7109375" customWidth="1"/>
    <col min="10001" max="10003" width="0" hidden="1" customWidth="1"/>
    <col min="10241" max="10241" width="28.140625" customWidth="1"/>
    <col min="10242" max="10243" width="8.28515625" customWidth="1"/>
    <col min="10244" max="10244" width="2.7109375" customWidth="1"/>
    <col min="10245" max="10246" width="8.28515625" customWidth="1"/>
    <col min="10247" max="10247" width="2.7109375" customWidth="1"/>
    <col min="10248" max="10248" width="7.28515625" customWidth="1"/>
    <col min="10249" max="10249" width="8.28515625" customWidth="1"/>
    <col min="10250" max="10250" width="2.7109375" customWidth="1"/>
    <col min="10251" max="10251" width="7.140625" customWidth="1"/>
    <col min="10252" max="10252" width="8.28515625" customWidth="1"/>
    <col min="10253" max="10253" width="2.7109375" customWidth="1"/>
    <col min="10254" max="10254" width="7.140625" customWidth="1"/>
    <col min="10255" max="10255" width="8.28515625" customWidth="1"/>
    <col min="10256" max="10256" width="2.7109375" customWidth="1"/>
    <col min="10257" max="10259" width="0" hidden="1" customWidth="1"/>
    <col min="10497" max="10497" width="28.140625" customWidth="1"/>
    <col min="10498" max="10499" width="8.28515625" customWidth="1"/>
    <col min="10500" max="10500" width="2.7109375" customWidth="1"/>
    <col min="10501" max="10502" width="8.28515625" customWidth="1"/>
    <col min="10503" max="10503" width="2.7109375" customWidth="1"/>
    <col min="10504" max="10504" width="7.28515625" customWidth="1"/>
    <col min="10505" max="10505" width="8.28515625" customWidth="1"/>
    <col min="10506" max="10506" width="2.7109375" customWidth="1"/>
    <col min="10507" max="10507" width="7.140625" customWidth="1"/>
    <col min="10508" max="10508" width="8.28515625" customWidth="1"/>
    <col min="10509" max="10509" width="2.7109375" customWidth="1"/>
    <col min="10510" max="10510" width="7.140625" customWidth="1"/>
    <col min="10511" max="10511" width="8.28515625" customWidth="1"/>
    <col min="10512" max="10512" width="2.7109375" customWidth="1"/>
    <col min="10513" max="10515" width="0" hidden="1" customWidth="1"/>
    <col min="10753" max="10753" width="28.140625" customWidth="1"/>
    <col min="10754" max="10755" width="8.28515625" customWidth="1"/>
    <col min="10756" max="10756" width="2.7109375" customWidth="1"/>
    <col min="10757" max="10758" width="8.28515625" customWidth="1"/>
    <col min="10759" max="10759" width="2.7109375" customWidth="1"/>
    <col min="10760" max="10760" width="7.28515625" customWidth="1"/>
    <col min="10761" max="10761" width="8.28515625" customWidth="1"/>
    <col min="10762" max="10762" width="2.7109375" customWidth="1"/>
    <col min="10763" max="10763" width="7.140625" customWidth="1"/>
    <col min="10764" max="10764" width="8.28515625" customWidth="1"/>
    <col min="10765" max="10765" width="2.7109375" customWidth="1"/>
    <col min="10766" max="10766" width="7.140625" customWidth="1"/>
    <col min="10767" max="10767" width="8.28515625" customWidth="1"/>
    <col min="10768" max="10768" width="2.7109375" customWidth="1"/>
    <col min="10769" max="10771" width="0" hidden="1" customWidth="1"/>
    <col min="11009" max="11009" width="28.140625" customWidth="1"/>
    <col min="11010" max="11011" width="8.28515625" customWidth="1"/>
    <col min="11012" max="11012" width="2.7109375" customWidth="1"/>
    <col min="11013" max="11014" width="8.28515625" customWidth="1"/>
    <col min="11015" max="11015" width="2.7109375" customWidth="1"/>
    <col min="11016" max="11016" width="7.28515625" customWidth="1"/>
    <col min="11017" max="11017" width="8.28515625" customWidth="1"/>
    <col min="11018" max="11018" width="2.7109375" customWidth="1"/>
    <col min="11019" max="11019" width="7.140625" customWidth="1"/>
    <col min="11020" max="11020" width="8.28515625" customWidth="1"/>
    <col min="11021" max="11021" width="2.7109375" customWidth="1"/>
    <col min="11022" max="11022" width="7.140625" customWidth="1"/>
    <col min="11023" max="11023" width="8.28515625" customWidth="1"/>
    <col min="11024" max="11024" width="2.7109375" customWidth="1"/>
    <col min="11025" max="11027" width="0" hidden="1" customWidth="1"/>
    <col min="11265" max="11265" width="28.140625" customWidth="1"/>
    <col min="11266" max="11267" width="8.28515625" customWidth="1"/>
    <col min="11268" max="11268" width="2.7109375" customWidth="1"/>
    <col min="11269" max="11270" width="8.28515625" customWidth="1"/>
    <col min="11271" max="11271" width="2.7109375" customWidth="1"/>
    <col min="11272" max="11272" width="7.28515625" customWidth="1"/>
    <col min="11273" max="11273" width="8.28515625" customWidth="1"/>
    <col min="11274" max="11274" width="2.7109375" customWidth="1"/>
    <col min="11275" max="11275" width="7.140625" customWidth="1"/>
    <col min="11276" max="11276" width="8.28515625" customWidth="1"/>
    <col min="11277" max="11277" width="2.7109375" customWidth="1"/>
    <col min="11278" max="11278" width="7.140625" customWidth="1"/>
    <col min="11279" max="11279" width="8.28515625" customWidth="1"/>
    <col min="11280" max="11280" width="2.7109375" customWidth="1"/>
    <col min="11281" max="11283" width="0" hidden="1" customWidth="1"/>
    <col min="11521" max="11521" width="28.140625" customWidth="1"/>
    <col min="11522" max="11523" width="8.28515625" customWidth="1"/>
    <col min="11524" max="11524" width="2.7109375" customWidth="1"/>
    <col min="11525" max="11526" width="8.28515625" customWidth="1"/>
    <col min="11527" max="11527" width="2.7109375" customWidth="1"/>
    <col min="11528" max="11528" width="7.28515625" customWidth="1"/>
    <col min="11529" max="11529" width="8.28515625" customWidth="1"/>
    <col min="11530" max="11530" width="2.7109375" customWidth="1"/>
    <col min="11531" max="11531" width="7.140625" customWidth="1"/>
    <col min="11532" max="11532" width="8.28515625" customWidth="1"/>
    <col min="11533" max="11533" width="2.7109375" customWidth="1"/>
    <col min="11534" max="11534" width="7.140625" customWidth="1"/>
    <col min="11535" max="11535" width="8.28515625" customWidth="1"/>
    <col min="11536" max="11536" width="2.7109375" customWidth="1"/>
    <col min="11537" max="11539" width="0" hidden="1" customWidth="1"/>
    <col min="11777" max="11777" width="28.140625" customWidth="1"/>
    <col min="11778" max="11779" width="8.28515625" customWidth="1"/>
    <col min="11780" max="11780" width="2.7109375" customWidth="1"/>
    <col min="11781" max="11782" width="8.28515625" customWidth="1"/>
    <col min="11783" max="11783" width="2.7109375" customWidth="1"/>
    <col min="11784" max="11784" width="7.28515625" customWidth="1"/>
    <col min="11785" max="11785" width="8.28515625" customWidth="1"/>
    <col min="11786" max="11786" width="2.7109375" customWidth="1"/>
    <col min="11787" max="11787" width="7.140625" customWidth="1"/>
    <col min="11788" max="11788" width="8.28515625" customWidth="1"/>
    <col min="11789" max="11789" width="2.7109375" customWidth="1"/>
    <col min="11790" max="11790" width="7.140625" customWidth="1"/>
    <col min="11791" max="11791" width="8.28515625" customWidth="1"/>
    <col min="11792" max="11792" width="2.7109375" customWidth="1"/>
    <col min="11793" max="11795" width="0" hidden="1" customWidth="1"/>
    <col min="12033" max="12033" width="28.140625" customWidth="1"/>
    <col min="12034" max="12035" width="8.28515625" customWidth="1"/>
    <col min="12036" max="12036" width="2.7109375" customWidth="1"/>
    <col min="12037" max="12038" width="8.28515625" customWidth="1"/>
    <col min="12039" max="12039" width="2.7109375" customWidth="1"/>
    <col min="12040" max="12040" width="7.28515625" customWidth="1"/>
    <col min="12041" max="12041" width="8.28515625" customWidth="1"/>
    <col min="12042" max="12042" width="2.7109375" customWidth="1"/>
    <col min="12043" max="12043" width="7.140625" customWidth="1"/>
    <col min="12044" max="12044" width="8.28515625" customWidth="1"/>
    <col min="12045" max="12045" width="2.7109375" customWidth="1"/>
    <col min="12046" max="12046" width="7.140625" customWidth="1"/>
    <col min="12047" max="12047" width="8.28515625" customWidth="1"/>
    <col min="12048" max="12048" width="2.7109375" customWidth="1"/>
    <col min="12049" max="12051" width="0" hidden="1" customWidth="1"/>
    <col min="12289" max="12289" width="28.140625" customWidth="1"/>
    <col min="12290" max="12291" width="8.28515625" customWidth="1"/>
    <col min="12292" max="12292" width="2.7109375" customWidth="1"/>
    <col min="12293" max="12294" width="8.28515625" customWidth="1"/>
    <col min="12295" max="12295" width="2.7109375" customWidth="1"/>
    <col min="12296" max="12296" width="7.28515625" customWidth="1"/>
    <col min="12297" max="12297" width="8.28515625" customWidth="1"/>
    <col min="12298" max="12298" width="2.7109375" customWidth="1"/>
    <col min="12299" max="12299" width="7.140625" customWidth="1"/>
    <col min="12300" max="12300" width="8.28515625" customWidth="1"/>
    <col min="12301" max="12301" width="2.7109375" customWidth="1"/>
    <col min="12302" max="12302" width="7.140625" customWidth="1"/>
    <col min="12303" max="12303" width="8.28515625" customWidth="1"/>
    <col min="12304" max="12304" width="2.7109375" customWidth="1"/>
    <col min="12305" max="12307" width="0" hidden="1" customWidth="1"/>
    <col min="12545" max="12545" width="28.140625" customWidth="1"/>
    <col min="12546" max="12547" width="8.28515625" customWidth="1"/>
    <col min="12548" max="12548" width="2.7109375" customWidth="1"/>
    <col min="12549" max="12550" width="8.28515625" customWidth="1"/>
    <col min="12551" max="12551" width="2.7109375" customWidth="1"/>
    <col min="12552" max="12552" width="7.28515625" customWidth="1"/>
    <col min="12553" max="12553" width="8.28515625" customWidth="1"/>
    <col min="12554" max="12554" width="2.7109375" customWidth="1"/>
    <col min="12555" max="12555" width="7.140625" customWidth="1"/>
    <col min="12556" max="12556" width="8.28515625" customWidth="1"/>
    <col min="12557" max="12557" width="2.7109375" customWidth="1"/>
    <col min="12558" max="12558" width="7.140625" customWidth="1"/>
    <col min="12559" max="12559" width="8.28515625" customWidth="1"/>
    <col min="12560" max="12560" width="2.7109375" customWidth="1"/>
    <col min="12561" max="12563" width="0" hidden="1" customWidth="1"/>
    <col min="12801" max="12801" width="28.140625" customWidth="1"/>
    <col min="12802" max="12803" width="8.28515625" customWidth="1"/>
    <col min="12804" max="12804" width="2.7109375" customWidth="1"/>
    <col min="12805" max="12806" width="8.28515625" customWidth="1"/>
    <col min="12807" max="12807" width="2.7109375" customWidth="1"/>
    <col min="12808" max="12808" width="7.28515625" customWidth="1"/>
    <col min="12809" max="12809" width="8.28515625" customWidth="1"/>
    <col min="12810" max="12810" width="2.7109375" customWidth="1"/>
    <col min="12811" max="12811" width="7.140625" customWidth="1"/>
    <col min="12812" max="12812" width="8.28515625" customWidth="1"/>
    <col min="12813" max="12813" width="2.7109375" customWidth="1"/>
    <col min="12814" max="12814" width="7.140625" customWidth="1"/>
    <col min="12815" max="12815" width="8.28515625" customWidth="1"/>
    <col min="12816" max="12816" width="2.7109375" customWidth="1"/>
    <col min="12817" max="12819" width="0" hidden="1" customWidth="1"/>
    <col min="13057" max="13057" width="28.140625" customWidth="1"/>
    <col min="13058" max="13059" width="8.28515625" customWidth="1"/>
    <col min="13060" max="13060" width="2.7109375" customWidth="1"/>
    <col min="13061" max="13062" width="8.28515625" customWidth="1"/>
    <col min="13063" max="13063" width="2.7109375" customWidth="1"/>
    <col min="13064" max="13064" width="7.28515625" customWidth="1"/>
    <col min="13065" max="13065" width="8.28515625" customWidth="1"/>
    <col min="13066" max="13066" width="2.7109375" customWidth="1"/>
    <col min="13067" max="13067" width="7.140625" customWidth="1"/>
    <col min="13068" max="13068" width="8.28515625" customWidth="1"/>
    <col min="13069" max="13069" width="2.7109375" customWidth="1"/>
    <col min="13070" max="13070" width="7.140625" customWidth="1"/>
    <col min="13071" max="13071" width="8.28515625" customWidth="1"/>
    <col min="13072" max="13072" width="2.7109375" customWidth="1"/>
    <col min="13073" max="13075" width="0" hidden="1" customWidth="1"/>
    <col min="13313" max="13313" width="28.140625" customWidth="1"/>
    <col min="13314" max="13315" width="8.28515625" customWidth="1"/>
    <col min="13316" max="13316" width="2.7109375" customWidth="1"/>
    <col min="13317" max="13318" width="8.28515625" customWidth="1"/>
    <col min="13319" max="13319" width="2.7109375" customWidth="1"/>
    <col min="13320" max="13320" width="7.28515625" customWidth="1"/>
    <col min="13321" max="13321" width="8.28515625" customWidth="1"/>
    <col min="13322" max="13322" width="2.7109375" customWidth="1"/>
    <col min="13323" max="13323" width="7.140625" customWidth="1"/>
    <col min="13324" max="13324" width="8.28515625" customWidth="1"/>
    <col min="13325" max="13325" width="2.7109375" customWidth="1"/>
    <col min="13326" max="13326" width="7.140625" customWidth="1"/>
    <col min="13327" max="13327" width="8.28515625" customWidth="1"/>
    <col min="13328" max="13328" width="2.7109375" customWidth="1"/>
    <col min="13329" max="13331" width="0" hidden="1" customWidth="1"/>
    <col min="13569" max="13569" width="28.140625" customWidth="1"/>
    <col min="13570" max="13571" width="8.28515625" customWidth="1"/>
    <col min="13572" max="13572" width="2.7109375" customWidth="1"/>
    <col min="13573" max="13574" width="8.28515625" customWidth="1"/>
    <col min="13575" max="13575" width="2.7109375" customWidth="1"/>
    <col min="13576" max="13576" width="7.28515625" customWidth="1"/>
    <col min="13577" max="13577" width="8.28515625" customWidth="1"/>
    <col min="13578" max="13578" width="2.7109375" customWidth="1"/>
    <col min="13579" max="13579" width="7.140625" customWidth="1"/>
    <col min="13580" max="13580" width="8.28515625" customWidth="1"/>
    <col min="13581" max="13581" width="2.7109375" customWidth="1"/>
    <col min="13582" max="13582" width="7.140625" customWidth="1"/>
    <col min="13583" max="13583" width="8.28515625" customWidth="1"/>
    <col min="13584" max="13584" width="2.7109375" customWidth="1"/>
    <col min="13585" max="13587" width="0" hidden="1" customWidth="1"/>
    <col min="13825" max="13825" width="28.140625" customWidth="1"/>
    <col min="13826" max="13827" width="8.28515625" customWidth="1"/>
    <col min="13828" max="13828" width="2.7109375" customWidth="1"/>
    <col min="13829" max="13830" width="8.28515625" customWidth="1"/>
    <col min="13831" max="13831" width="2.7109375" customWidth="1"/>
    <col min="13832" max="13832" width="7.28515625" customWidth="1"/>
    <col min="13833" max="13833" width="8.28515625" customWidth="1"/>
    <col min="13834" max="13834" width="2.7109375" customWidth="1"/>
    <col min="13835" max="13835" width="7.140625" customWidth="1"/>
    <col min="13836" max="13836" width="8.28515625" customWidth="1"/>
    <col min="13837" max="13837" width="2.7109375" customWidth="1"/>
    <col min="13838" max="13838" width="7.140625" customWidth="1"/>
    <col min="13839" max="13839" width="8.28515625" customWidth="1"/>
    <col min="13840" max="13840" width="2.7109375" customWidth="1"/>
    <col min="13841" max="13843" width="0" hidden="1" customWidth="1"/>
    <col min="14081" max="14081" width="28.140625" customWidth="1"/>
    <col min="14082" max="14083" width="8.28515625" customWidth="1"/>
    <col min="14084" max="14084" width="2.7109375" customWidth="1"/>
    <col min="14085" max="14086" width="8.28515625" customWidth="1"/>
    <col min="14087" max="14087" width="2.7109375" customWidth="1"/>
    <col min="14088" max="14088" width="7.28515625" customWidth="1"/>
    <col min="14089" max="14089" width="8.28515625" customWidth="1"/>
    <col min="14090" max="14090" width="2.7109375" customWidth="1"/>
    <col min="14091" max="14091" width="7.140625" customWidth="1"/>
    <col min="14092" max="14092" width="8.28515625" customWidth="1"/>
    <col min="14093" max="14093" width="2.7109375" customWidth="1"/>
    <col min="14094" max="14094" width="7.140625" customWidth="1"/>
    <col min="14095" max="14095" width="8.28515625" customWidth="1"/>
    <col min="14096" max="14096" width="2.7109375" customWidth="1"/>
    <col min="14097" max="14099" width="0" hidden="1" customWidth="1"/>
    <col min="14337" max="14337" width="28.140625" customWidth="1"/>
    <col min="14338" max="14339" width="8.28515625" customWidth="1"/>
    <col min="14340" max="14340" width="2.7109375" customWidth="1"/>
    <col min="14341" max="14342" width="8.28515625" customWidth="1"/>
    <col min="14343" max="14343" width="2.7109375" customWidth="1"/>
    <col min="14344" max="14344" width="7.28515625" customWidth="1"/>
    <col min="14345" max="14345" width="8.28515625" customWidth="1"/>
    <col min="14346" max="14346" width="2.7109375" customWidth="1"/>
    <col min="14347" max="14347" width="7.140625" customWidth="1"/>
    <col min="14348" max="14348" width="8.28515625" customWidth="1"/>
    <col min="14349" max="14349" width="2.7109375" customWidth="1"/>
    <col min="14350" max="14350" width="7.140625" customWidth="1"/>
    <col min="14351" max="14351" width="8.28515625" customWidth="1"/>
    <col min="14352" max="14352" width="2.7109375" customWidth="1"/>
    <col min="14353" max="14355" width="0" hidden="1" customWidth="1"/>
    <col min="14593" max="14593" width="28.140625" customWidth="1"/>
    <col min="14594" max="14595" width="8.28515625" customWidth="1"/>
    <col min="14596" max="14596" width="2.7109375" customWidth="1"/>
    <col min="14597" max="14598" width="8.28515625" customWidth="1"/>
    <col min="14599" max="14599" width="2.7109375" customWidth="1"/>
    <col min="14600" max="14600" width="7.28515625" customWidth="1"/>
    <col min="14601" max="14601" width="8.28515625" customWidth="1"/>
    <col min="14602" max="14602" width="2.7109375" customWidth="1"/>
    <col min="14603" max="14603" width="7.140625" customWidth="1"/>
    <col min="14604" max="14604" width="8.28515625" customWidth="1"/>
    <col min="14605" max="14605" width="2.7109375" customWidth="1"/>
    <col min="14606" max="14606" width="7.140625" customWidth="1"/>
    <col min="14607" max="14607" width="8.28515625" customWidth="1"/>
    <col min="14608" max="14608" width="2.7109375" customWidth="1"/>
    <col min="14609" max="14611" width="0" hidden="1" customWidth="1"/>
    <col min="14849" max="14849" width="28.140625" customWidth="1"/>
    <col min="14850" max="14851" width="8.28515625" customWidth="1"/>
    <col min="14852" max="14852" width="2.7109375" customWidth="1"/>
    <col min="14853" max="14854" width="8.28515625" customWidth="1"/>
    <col min="14855" max="14855" width="2.7109375" customWidth="1"/>
    <col min="14856" max="14856" width="7.28515625" customWidth="1"/>
    <col min="14857" max="14857" width="8.28515625" customWidth="1"/>
    <col min="14858" max="14858" width="2.7109375" customWidth="1"/>
    <col min="14859" max="14859" width="7.140625" customWidth="1"/>
    <col min="14860" max="14860" width="8.28515625" customWidth="1"/>
    <col min="14861" max="14861" width="2.7109375" customWidth="1"/>
    <col min="14862" max="14862" width="7.140625" customWidth="1"/>
    <col min="14863" max="14863" width="8.28515625" customWidth="1"/>
    <col min="14864" max="14864" width="2.7109375" customWidth="1"/>
    <col min="14865" max="14867" width="0" hidden="1" customWidth="1"/>
    <col min="15105" max="15105" width="28.140625" customWidth="1"/>
    <col min="15106" max="15107" width="8.28515625" customWidth="1"/>
    <col min="15108" max="15108" width="2.7109375" customWidth="1"/>
    <col min="15109" max="15110" width="8.28515625" customWidth="1"/>
    <col min="15111" max="15111" width="2.7109375" customWidth="1"/>
    <col min="15112" max="15112" width="7.28515625" customWidth="1"/>
    <col min="15113" max="15113" width="8.28515625" customWidth="1"/>
    <col min="15114" max="15114" width="2.7109375" customWidth="1"/>
    <col min="15115" max="15115" width="7.140625" customWidth="1"/>
    <col min="15116" max="15116" width="8.28515625" customWidth="1"/>
    <col min="15117" max="15117" width="2.7109375" customWidth="1"/>
    <col min="15118" max="15118" width="7.140625" customWidth="1"/>
    <col min="15119" max="15119" width="8.28515625" customWidth="1"/>
    <col min="15120" max="15120" width="2.7109375" customWidth="1"/>
    <col min="15121" max="15123" width="0" hidden="1" customWidth="1"/>
    <col min="15361" max="15361" width="28.140625" customWidth="1"/>
    <col min="15362" max="15363" width="8.28515625" customWidth="1"/>
    <col min="15364" max="15364" width="2.7109375" customWidth="1"/>
    <col min="15365" max="15366" width="8.28515625" customWidth="1"/>
    <col min="15367" max="15367" width="2.7109375" customWidth="1"/>
    <col min="15368" max="15368" width="7.28515625" customWidth="1"/>
    <col min="15369" max="15369" width="8.28515625" customWidth="1"/>
    <col min="15370" max="15370" width="2.7109375" customWidth="1"/>
    <col min="15371" max="15371" width="7.140625" customWidth="1"/>
    <col min="15372" max="15372" width="8.28515625" customWidth="1"/>
    <col min="15373" max="15373" width="2.7109375" customWidth="1"/>
    <col min="15374" max="15374" width="7.140625" customWidth="1"/>
    <col min="15375" max="15375" width="8.28515625" customWidth="1"/>
    <col min="15376" max="15376" width="2.7109375" customWidth="1"/>
    <col min="15377" max="15379" width="0" hidden="1" customWidth="1"/>
    <col min="15617" max="15617" width="28.140625" customWidth="1"/>
    <col min="15618" max="15619" width="8.28515625" customWidth="1"/>
    <col min="15620" max="15620" width="2.7109375" customWidth="1"/>
    <col min="15621" max="15622" width="8.28515625" customWidth="1"/>
    <col min="15623" max="15623" width="2.7109375" customWidth="1"/>
    <col min="15624" max="15624" width="7.28515625" customWidth="1"/>
    <col min="15625" max="15625" width="8.28515625" customWidth="1"/>
    <col min="15626" max="15626" width="2.7109375" customWidth="1"/>
    <col min="15627" max="15627" width="7.140625" customWidth="1"/>
    <col min="15628" max="15628" width="8.28515625" customWidth="1"/>
    <col min="15629" max="15629" width="2.7109375" customWidth="1"/>
    <col min="15630" max="15630" width="7.140625" customWidth="1"/>
    <col min="15631" max="15631" width="8.28515625" customWidth="1"/>
    <col min="15632" max="15632" width="2.7109375" customWidth="1"/>
    <col min="15633" max="15635" width="0" hidden="1" customWidth="1"/>
    <col min="15873" max="15873" width="28.140625" customWidth="1"/>
    <col min="15874" max="15875" width="8.28515625" customWidth="1"/>
    <col min="15876" max="15876" width="2.7109375" customWidth="1"/>
    <col min="15877" max="15878" width="8.28515625" customWidth="1"/>
    <col min="15879" max="15879" width="2.7109375" customWidth="1"/>
    <col min="15880" max="15880" width="7.28515625" customWidth="1"/>
    <col min="15881" max="15881" width="8.28515625" customWidth="1"/>
    <col min="15882" max="15882" width="2.7109375" customWidth="1"/>
    <col min="15883" max="15883" width="7.140625" customWidth="1"/>
    <col min="15884" max="15884" width="8.28515625" customWidth="1"/>
    <col min="15885" max="15885" width="2.7109375" customWidth="1"/>
    <col min="15886" max="15886" width="7.140625" customWidth="1"/>
    <col min="15887" max="15887" width="8.28515625" customWidth="1"/>
    <col min="15888" max="15888" width="2.7109375" customWidth="1"/>
    <col min="15889" max="15891" width="0" hidden="1" customWidth="1"/>
    <col min="16129" max="16129" width="28.140625" customWidth="1"/>
    <col min="16130" max="16131" width="8.28515625" customWidth="1"/>
    <col min="16132" max="16132" width="2.7109375" customWidth="1"/>
    <col min="16133" max="16134" width="8.28515625" customWidth="1"/>
    <col min="16135" max="16135" width="2.7109375" customWidth="1"/>
    <col min="16136" max="16136" width="7.28515625" customWidth="1"/>
    <col min="16137" max="16137" width="8.28515625" customWidth="1"/>
    <col min="16138" max="16138" width="2.7109375" customWidth="1"/>
    <col min="16139" max="16139" width="7.140625" customWidth="1"/>
    <col min="16140" max="16140" width="8.28515625" customWidth="1"/>
    <col min="16141" max="16141" width="2.7109375" customWidth="1"/>
    <col min="16142" max="16142" width="7.140625" customWidth="1"/>
    <col min="16143" max="16143" width="8.28515625" customWidth="1"/>
    <col min="16144" max="16144" width="2.7109375" customWidth="1"/>
    <col min="16145" max="16147" width="0" hidden="1" customWidth="1"/>
  </cols>
  <sheetData>
    <row r="1" spans="1:18" ht="13.5" customHeight="1">
      <c r="A1" t="s">
        <v>311</v>
      </c>
    </row>
    <row r="2" spans="1:18" ht="13.5" customHeight="1">
      <c r="A2" t="s">
        <v>312</v>
      </c>
    </row>
    <row r="3" spans="1:18" ht="13.5" customHeight="1"/>
    <row r="4" spans="1:18" ht="13.5" customHeight="1">
      <c r="A4" s="42" t="s">
        <v>964</v>
      </c>
    </row>
    <row r="5" spans="1:18" ht="13.5" customHeight="1" thickBot="1"/>
    <row r="6" spans="1:18" ht="13.5" customHeight="1">
      <c r="A6" s="6"/>
      <c r="B6" s="52"/>
      <c r="C6" s="38"/>
      <c r="D6" s="6"/>
      <c r="E6" s="52"/>
      <c r="F6" s="38"/>
      <c r="G6" s="6"/>
      <c r="H6" s="52"/>
      <c r="I6" s="38"/>
      <c r="J6" s="6"/>
      <c r="K6" s="52"/>
      <c r="L6" s="38"/>
      <c r="M6" s="6"/>
      <c r="N6" s="52"/>
      <c r="O6" s="38"/>
      <c r="P6" s="6"/>
      <c r="Q6" s="52"/>
      <c r="R6" s="38"/>
    </row>
    <row r="7" spans="1:18" ht="13.5" customHeight="1">
      <c r="A7" s="36" t="s">
        <v>955</v>
      </c>
      <c r="B7" s="37" t="s">
        <v>371</v>
      </c>
      <c r="C7" s="53"/>
      <c r="D7" s="36"/>
      <c r="E7" s="37" t="s">
        <v>815</v>
      </c>
      <c r="F7" s="53"/>
      <c r="G7" s="36"/>
      <c r="H7" s="37" t="s">
        <v>816</v>
      </c>
      <c r="I7" s="53"/>
      <c r="J7" s="36"/>
      <c r="K7" s="37" t="s">
        <v>902</v>
      </c>
      <c r="L7" s="53"/>
      <c r="M7" s="36"/>
      <c r="N7" s="251" t="s">
        <v>965</v>
      </c>
      <c r="O7" s="53"/>
      <c r="P7" s="36"/>
      <c r="Q7" s="37" t="s">
        <v>817</v>
      </c>
      <c r="R7" s="53"/>
    </row>
    <row r="8" spans="1:18" ht="13.5" customHeight="1">
      <c r="A8" s="36" t="s">
        <v>966</v>
      </c>
      <c r="B8" s="55" t="s">
        <v>323</v>
      </c>
      <c r="C8" s="56" t="s">
        <v>324</v>
      </c>
      <c r="D8" s="36"/>
      <c r="E8" s="55" t="s">
        <v>323</v>
      </c>
      <c r="F8" s="56" t="s">
        <v>324</v>
      </c>
      <c r="G8" s="36"/>
      <c r="H8" s="55" t="s">
        <v>323</v>
      </c>
      <c r="I8" s="56" t="s">
        <v>324</v>
      </c>
      <c r="J8" s="36"/>
      <c r="K8" s="55" t="s">
        <v>957</v>
      </c>
      <c r="L8" s="56" t="s">
        <v>324</v>
      </c>
      <c r="M8" s="36"/>
      <c r="N8" s="55" t="s">
        <v>957</v>
      </c>
      <c r="O8" s="56" t="s">
        <v>324</v>
      </c>
      <c r="P8" s="36"/>
      <c r="Q8" s="55" t="s">
        <v>957</v>
      </c>
      <c r="R8" s="56" t="s">
        <v>324</v>
      </c>
    </row>
    <row r="9" spans="1:18" ht="13.5" customHeight="1" thickBot="1">
      <c r="A9" s="15"/>
      <c r="B9" s="59"/>
      <c r="C9" s="60"/>
      <c r="D9" s="15"/>
      <c r="E9" s="59"/>
      <c r="F9" s="60"/>
      <c r="G9" s="15"/>
      <c r="H9" s="59"/>
      <c r="I9" s="60"/>
      <c r="J9" s="15"/>
      <c r="K9" s="59"/>
      <c r="L9" s="60"/>
      <c r="M9" s="15"/>
      <c r="N9" s="59"/>
      <c r="O9" s="60"/>
      <c r="P9" s="15"/>
      <c r="Q9" s="59"/>
      <c r="R9" s="60"/>
    </row>
    <row r="10" spans="1:18" ht="13.5" customHeight="1">
      <c r="A10" s="36"/>
      <c r="B10" s="37"/>
      <c r="C10" s="53"/>
      <c r="D10" s="36"/>
      <c r="E10" s="37"/>
      <c r="F10" s="53"/>
      <c r="G10" s="36"/>
      <c r="H10" s="37"/>
      <c r="I10" s="53"/>
      <c r="J10" s="36"/>
      <c r="K10" s="37"/>
      <c r="L10" s="53"/>
      <c r="M10" s="36"/>
      <c r="N10" s="37"/>
      <c r="O10" s="53"/>
      <c r="P10" s="36"/>
      <c r="Q10" s="37"/>
      <c r="R10" s="53"/>
    </row>
    <row r="11" spans="1:18" ht="13.5" customHeight="1">
      <c r="A11" s="90" t="s">
        <v>325</v>
      </c>
      <c r="B11" s="37">
        <f>SUM(B13+B23)</f>
        <v>2654</v>
      </c>
      <c r="C11" s="43">
        <f>C13+C23</f>
        <v>100</v>
      </c>
      <c r="D11" s="92"/>
      <c r="E11" s="37">
        <f>SUM(E13+E23)</f>
        <v>1971</v>
      </c>
      <c r="F11" s="53">
        <f>E11/$B$11*100</f>
        <v>74.265259984928406</v>
      </c>
      <c r="G11" s="92"/>
      <c r="H11" s="37">
        <f>SUM(H13+H23)</f>
        <v>632</v>
      </c>
      <c r="I11" s="53">
        <f>H11/$B$11*100</f>
        <v>23.813112283345895</v>
      </c>
      <c r="J11" s="92"/>
      <c r="K11" s="37">
        <f>SUM(K13+K23)</f>
        <v>46</v>
      </c>
      <c r="L11" s="53">
        <f>K11/$B$11*100</f>
        <v>1.7332328560663148</v>
      </c>
      <c r="M11" s="92"/>
      <c r="N11" s="37">
        <f>SUM(N13+N23)</f>
        <v>5</v>
      </c>
      <c r="O11" s="53">
        <f>N11/$B$11*100</f>
        <v>0.18839487565938207</v>
      </c>
      <c r="P11" s="92"/>
      <c r="Q11" s="37">
        <f>SUM(Q13+Q23)</f>
        <v>0</v>
      </c>
      <c r="R11" s="53">
        <f>Q11/$B$11*100</f>
        <v>0</v>
      </c>
    </row>
    <row r="12" spans="1:18" ht="13.5" customHeight="1">
      <c r="A12" s="36"/>
      <c r="B12" s="37"/>
      <c r="C12" s="53"/>
      <c r="D12" s="36"/>
      <c r="E12" s="37"/>
      <c r="F12" s="53"/>
      <c r="G12" s="36"/>
      <c r="H12" s="37"/>
      <c r="I12" s="53"/>
      <c r="J12" s="36"/>
      <c r="K12" s="37"/>
      <c r="L12" s="53"/>
      <c r="M12" s="36"/>
      <c r="N12" s="37"/>
      <c r="O12" s="53"/>
      <c r="P12" s="36"/>
      <c r="Q12" s="37"/>
      <c r="R12" s="53">
        <f t="shared" ref="R12:R29" si="0">Q12/$B$11*100</f>
        <v>0</v>
      </c>
    </row>
    <row r="13" spans="1:18" ht="13.5" customHeight="1">
      <c r="A13" s="63" t="s">
        <v>326</v>
      </c>
      <c r="B13" s="41">
        <f>SUM(E13+H13+K13+N13+Q13)</f>
        <v>2489</v>
      </c>
      <c r="C13" s="43">
        <f>IF(A13&lt;&gt;0,B13/$B$11*100,"")</f>
        <v>93.78296910324039</v>
      </c>
      <c r="E13" s="41">
        <f>SUM(E15:E21)</f>
        <v>1860</v>
      </c>
      <c r="F13" s="43">
        <f>E13/B13*100</f>
        <v>74.728806749698677</v>
      </c>
      <c r="H13" s="41">
        <f>SUM(H15:H21)</f>
        <v>578</v>
      </c>
      <c r="I13" s="43">
        <f>H13/B13*100</f>
        <v>23.222177581357975</v>
      </c>
      <c r="K13" s="41">
        <f>SUM(K15:K21)</f>
        <v>46</v>
      </c>
      <c r="L13" s="43">
        <f>K13/B13*100</f>
        <v>1.8481317798312575</v>
      </c>
      <c r="N13" s="41">
        <f>SUM(N15:N21)</f>
        <v>5</v>
      </c>
      <c r="O13" s="43">
        <f>N13/B13*100</f>
        <v>0.20088388911209321</v>
      </c>
      <c r="Q13" s="41">
        <f>SUM(Q15:Q21)</f>
        <v>0</v>
      </c>
      <c r="R13" s="53">
        <f t="shared" si="0"/>
        <v>0</v>
      </c>
    </row>
    <row r="14" spans="1:18" ht="13.5" customHeight="1">
      <c r="C14" s="43" t="str">
        <f t="shared" ref="C14:C29" si="1">IF(A14&lt;&gt;0,B14/$B$11*100,"")</f>
        <v/>
      </c>
      <c r="R14" s="53">
        <f t="shared" si="0"/>
        <v>0</v>
      </c>
    </row>
    <row r="15" spans="1:18" ht="13.5" customHeight="1">
      <c r="A15" t="s">
        <v>801</v>
      </c>
      <c r="B15" s="41">
        <f>E15+H15+K15+N15+Q15</f>
        <v>1956</v>
      </c>
      <c r="C15" s="43">
        <f t="shared" si="1"/>
        <v>73.700075357950269</v>
      </c>
      <c r="E15" s="329">
        <v>1823</v>
      </c>
      <c r="F15" s="43">
        <f>E15/B15*100</f>
        <v>93.200408997955009</v>
      </c>
      <c r="H15" s="329">
        <v>133</v>
      </c>
      <c r="I15" s="43">
        <f>H15/B15*100</f>
        <v>6.7995910020449895</v>
      </c>
      <c r="K15" s="329">
        <v>0</v>
      </c>
      <c r="L15" s="43">
        <f>K15/B15*100</f>
        <v>0</v>
      </c>
      <c r="M15" t="s">
        <v>253</v>
      </c>
      <c r="N15" s="329">
        <v>0</v>
      </c>
      <c r="O15" s="43">
        <f>N15/B15*100</f>
        <v>0</v>
      </c>
      <c r="P15" t="s">
        <v>253</v>
      </c>
      <c r="Q15" s="46"/>
      <c r="R15" s="53">
        <f t="shared" si="0"/>
        <v>0</v>
      </c>
    </row>
    <row r="16" spans="1:18" ht="13.5" customHeight="1">
      <c r="C16" s="43" t="str">
        <f t="shared" si="1"/>
        <v/>
      </c>
      <c r="E16" s="329"/>
      <c r="H16" s="329"/>
      <c r="K16" s="329"/>
      <c r="M16" s="43"/>
      <c r="N16" s="329"/>
      <c r="P16" s="43"/>
      <c r="Q16" s="46"/>
      <c r="R16" s="53">
        <f t="shared" si="0"/>
        <v>0</v>
      </c>
    </row>
    <row r="17" spans="1:18" ht="13.5" customHeight="1">
      <c r="A17" t="s">
        <v>958</v>
      </c>
      <c r="B17" s="41">
        <f>E17+H17+K17+N17+Q17</f>
        <v>460</v>
      </c>
      <c r="C17" s="43">
        <f t="shared" si="1"/>
        <v>17.33232856066315</v>
      </c>
      <c r="E17" s="329">
        <v>33</v>
      </c>
      <c r="F17" s="43">
        <f>E17/B17*100</f>
        <v>7.1739130434782608</v>
      </c>
      <c r="H17" s="330">
        <v>427</v>
      </c>
      <c r="I17" s="43">
        <f>H17/B17*100</f>
        <v>92.826086956521735</v>
      </c>
      <c r="K17" s="330">
        <v>0</v>
      </c>
      <c r="L17" s="43">
        <f>K17/B17*100</f>
        <v>0</v>
      </c>
      <c r="M17" t="s">
        <v>253</v>
      </c>
      <c r="N17" s="330">
        <v>0</v>
      </c>
      <c r="O17" s="43">
        <f>N17/B17*100</f>
        <v>0</v>
      </c>
      <c r="P17" t="s">
        <v>253</v>
      </c>
      <c r="Q17" s="46"/>
      <c r="R17" s="53">
        <f t="shared" si="0"/>
        <v>0</v>
      </c>
    </row>
    <row r="18" spans="1:18" ht="13.5" customHeight="1">
      <c r="C18" s="43" t="str">
        <f t="shared" si="1"/>
        <v/>
      </c>
      <c r="E18" s="329"/>
      <c r="H18" s="330"/>
      <c r="K18" s="330"/>
      <c r="M18" s="43"/>
      <c r="N18" s="330"/>
      <c r="P18" s="43"/>
      <c r="Q18" s="46"/>
      <c r="R18" s="53">
        <f t="shared" si="0"/>
        <v>0</v>
      </c>
    </row>
    <row r="19" spans="1:18" ht="13.5" customHeight="1">
      <c r="A19" t="s">
        <v>959</v>
      </c>
      <c r="B19" s="41">
        <f>E19+H19+K19+N19+Q19</f>
        <v>63</v>
      </c>
      <c r="C19" s="43">
        <f t="shared" si="1"/>
        <v>2.3737754333082139</v>
      </c>
      <c r="E19" s="329">
        <v>4</v>
      </c>
      <c r="F19" s="43">
        <f>E19/B19*100</f>
        <v>6.3492063492063489</v>
      </c>
      <c r="H19" s="330">
        <v>17</v>
      </c>
      <c r="I19" s="43">
        <f>H19/B19*100</f>
        <v>26.984126984126984</v>
      </c>
      <c r="K19" s="330">
        <v>42</v>
      </c>
      <c r="L19" s="43">
        <f>K19/B19*100</f>
        <v>66.666666666666657</v>
      </c>
      <c r="M19" t="s">
        <v>253</v>
      </c>
      <c r="N19" s="330">
        <v>0</v>
      </c>
      <c r="O19" s="43">
        <f>N19/B19*100</f>
        <v>0</v>
      </c>
      <c r="P19" t="s">
        <v>253</v>
      </c>
      <c r="Q19" s="46"/>
      <c r="R19" s="53">
        <f t="shared" si="0"/>
        <v>0</v>
      </c>
    </row>
    <row r="20" spans="1:18" ht="13.5" customHeight="1">
      <c r="C20" s="43" t="str">
        <f t="shared" si="1"/>
        <v/>
      </c>
      <c r="E20" s="329"/>
      <c r="H20" s="330"/>
      <c r="K20" s="330"/>
      <c r="N20" s="330"/>
      <c r="Q20" s="46"/>
      <c r="R20" s="53">
        <f t="shared" si="0"/>
        <v>0</v>
      </c>
    </row>
    <row r="21" spans="1:18" ht="13.5" customHeight="1">
      <c r="A21" s="42" t="s">
        <v>967</v>
      </c>
      <c r="B21" s="41">
        <f>E21+H21+K21+N21+Q21</f>
        <v>10</v>
      </c>
      <c r="C21" s="43">
        <f t="shared" si="1"/>
        <v>0.37678975131876413</v>
      </c>
      <c r="E21" s="329">
        <v>0</v>
      </c>
      <c r="F21" s="43">
        <f>E21/B21*100</f>
        <v>0</v>
      </c>
      <c r="H21" s="330">
        <v>1</v>
      </c>
      <c r="I21" s="43">
        <f>H21/B21*100</f>
        <v>10</v>
      </c>
      <c r="K21" s="330">
        <v>4</v>
      </c>
      <c r="L21" s="43">
        <f>K21/B21*100</f>
        <v>40</v>
      </c>
      <c r="M21" t="s">
        <v>253</v>
      </c>
      <c r="N21" s="330">
        <v>5</v>
      </c>
      <c r="O21" s="43">
        <f>N21/B21*100</f>
        <v>50</v>
      </c>
      <c r="P21" t="s">
        <v>253</v>
      </c>
      <c r="Q21" s="46"/>
      <c r="R21" s="53">
        <f t="shared" si="0"/>
        <v>0</v>
      </c>
    </row>
    <row r="22" spans="1:18" ht="13.5" customHeight="1">
      <c r="C22" s="43" t="str">
        <f t="shared" si="1"/>
        <v/>
      </c>
      <c r="E22" s="46"/>
      <c r="H22" s="46"/>
      <c r="K22" s="46"/>
      <c r="M22" s="43"/>
      <c r="N22" s="46"/>
      <c r="P22" s="43"/>
      <c r="Q22" s="46"/>
      <c r="R22" s="53">
        <f t="shared" si="0"/>
        <v>0</v>
      </c>
    </row>
    <row r="23" spans="1:18" ht="13.5" customHeight="1">
      <c r="A23" s="63" t="s">
        <v>346</v>
      </c>
      <c r="B23" s="41">
        <f>SUM(B25:B29)</f>
        <v>165</v>
      </c>
      <c r="C23" s="43">
        <f t="shared" si="1"/>
        <v>6.2170308967596082</v>
      </c>
      <c r="E23" s="46">
        <f>SUM(E25:E29)</f>
        <v>111</v>
      </c>
      <c r="F23" s="43">
        <f>E23/B23*100</f>
        <v>67.272727272727266</v>
      </c>
      <c r="H23" s="46">
        <f>SUM(H25:H29)</f>
        <v>54</v>
      </c>
      <c r="I23" s="43">
        <f>H23/B23*100</f>
        <v>32.727272727272727</v>
      </c>
      <c r="K23" s="46">
        <f>SUM(K25:K29)</f>
        <v>0</v>
      </c>
      <c r="L23" s="43">
        <f>K23/B23*100</f>
        <v>0</v>
      </c>
      <c r="N23" s="46">
        <f>SUM(N25:N29)</f>
        <v>0</v>
      </c>
      <c r="O23" s="43">
        <f>N23/B23*100</f>
        <v>0</v>
      </c>
      <c r="Q23" s="46"/>
      <c r="R23" s="53">
        <f t="shared" si="0"/>
        <v>0</v>
      </c>
    </row>
    <row r="24" spans="1:18" ht="13.5" customHeight="1">
      <c r="C24" s="43" t="str">
        <f t="shared" si="1"/>
        <v/>
      </c>
      <c r="E24" s="46"/>
      <c r="H24" s="46"/>
      <c r="K24" s="46"/>
      <c r="N24" s="46"/>
      <c r="Q24" s="46"/>
      <c r="R24" s="53">
        <f t="shared" si="0"/>
        <v>0</v>
      </c>
    </row>
    <row r="25" spans="1:18" ht="13.5" customHeight="1">
      <c r="A25" t="s">
        <v>962</v>
      </c>
      <c r="B25" s="41">
        <f>E25+H25+K25+N25+Q25</f>
        <v>128</v>
      </c>
      <c r="C25" s="43">
        <f t="shared" si="1"/>
        <v>4.8229088168801812</v>
      </c>
      <c r="E25" s="331">
        <v>109</v>
      </c>
      <c r="F25" s="43">
        <f>E25/B25*100</f>
        <v>85.15625</v>
      </c>
      <c r="H25" s="331">
        <v>19</v>
      </c>
      <c r="I25" s="43">
        <f>H25/B25*100</f>
        <v>14.84375</v>
      </c>
      <c r="K25" s="331"/>
      <c r="L25" s="43">
        <f>K25/B25*100</f>
        <v>0</v>
      </c>
      <c r="N25" s="46"/>
      <c r="O25" s="43">
        <f>N25/B25*100</f>
        <v>0</v>
      </c>
      <c r="Q25" s="46"/>
      <c r="R25" s="53">
        <f t="shared" si="0"/>
        <v>0</v>
      </c>
    </row>
    <row r="26" spans="1:18" ht="13.5" customHeight="1">
      <c r="C26" s="43" t="str">
        <f t="shared" si="1"/>
        <v/>
      </c>
      <c r="D26" s="43"/>
      <c r="E26" s="331"/>
      <c r="G26" s="43"/>
      <c r="H26" s="331"/>
      <c r="J26" s="43"/>
      <c r="K26" s="331"/>
      <c r="N26" s="46"/>
      <c r="Q26" s="46"/>
      <c r="R26" s="53">
        <f t="shared" si="0"/>
        <v>0</v>
      </c>
    </row>
    <row r="27" spans="1:18" ht="13.5" customHeight="1">
      <c r="A27" t="s">
        <v>958</v>
      </c>
      <c r="B27" s="41">
        <f>E27+H27+K27+N27+Q27</f>
        <v>36</v>
      </c>
      <c r="C27" s="43">
        <f t="shared" si="1"/>
        <v>1.3564431047475507</v>
      </c>
      <c r="E27" s="331">
        <v>2</v>
      </c>
      <c r="F27" s="43">
        <f>E27/B27*100</f>
        <v>5.5555555555555554</v>
      </c>
      <c r="H27" s="331">
        <v>34</v>
      </c>
      <c r="I27" s="43">
        <f>H27/B27*100</f>
        <v>94.444444444444443</v>
      </c>
      <c r="K27" s="331"/>
      <c r="L27" s="43">
        <f>K27/B27*100</f>
        <v>0</v>
      </c>
      <c r="M27" s="43"/>
      <c r="N27" s="46"/>
      <c r="O27" s="43">
        <f>N27/B27*100</f>
        <v>0</v>
      </c>
      <c r="P27" s="43"/>
      <c r="Q27" s="46"/>
      <c r="R27" s="53">
        <f t="shared" si="0"/>
        <v>0</v>
      </c>
    </row>
    <row r="28" spans="1:18" ht="13.5" customHeight="1">
      <c r="E28" s="331"/>
      <c r="H28" s="331"/>
      <c r="K28" s="331"/>
      <c r="M28" s="43"/>
      <c r="P28" s="43"/>
      <c r="R28" s="53">
        <f t="shared" si="0"/>
        <v>0</v>
      </c>
    </row>
    <row r="29" spans="1:18" ht="13.5" customHeight="1">
      <c r="A29" t="s">
        <v>959</v>
      </c>
      <c r="B29" s="41">
        <f>E29+H29+K29+N29+Q29</f>
        <v>1</v>
      </c>
      <c r="C29" s="43">
        <f t="shared" si="1"/>
        <v>3.7678975131876416E-2</v>
      </c>
      <c r="E29" s="331">
        <v>0</v>
      </c>
      <c r="F29" s="43">
        <f>E29/B29*100</f>
        <v>0</v>
      </c>
      <c r="H29" s="331">
        <v>1</v>
      </c>
      <c r="I29" s="43">
        <f>H29/B29*100</f>
        <v>100</v>
      </c>
      <c r="K29" s="331"/>
      <c r="L29" s="43">
        <f>K29/B29*100</f>
        <v>0</v>
      </c>
      <c r="M29" s="43"/>
      <c r="N29" s="41">
        <v>0</v>
      </c>
      <c r="O29" s="43">
        <f>N29/B29*100</f>
        <v>0</v>
      </c>
      <c r="P29" s="43"/>
      <c r="R29" s="53">
        <f t="shared" si="0"/>
        <v>0</v>
      </c>
    </row>
    <row r="30" spans="1:18" ht="13.5" customHeight="1" thickBot="1">
      <c r="A30" s="15"/>
      <c r="B30" s="59"/>
      <c r="C30" s="60"/>
      <c r="D30" s="15"/>
      <c r="E30" s="59"/>
      <c r="F30" s="60"/>
      <c r="G30" s="15"/>
      <c r="H30" s="59"/>
      <c r="I30" s="60"/>
      <c r="J30" s="15"/>
      <c r="K30" s="59"/>
      <c r="L30" s="60"/>
      <c r="M30" s="15"/>
      <c r="N30" s="59"/>
      <c r="O30" s="60"/>
      <c r="P30" s="15"/>
      <c r="Q30" s="59"/>
      <c r="R30" s="60"/>
    </row>
    <row r="31" spans="1:18" ht="13.5" customHeight="1"/>
    <row r="32" spans="1:18" ht="13.5" customHeight="1">
      <c r="A32" s="36" t="s">
        <v>2286</v>
      </c>
    </row>
    <row r="33" spans="1:18" ht="13.5" customHeight="1">
      <c r="A33" s="434" t="s">
        <v>2288</v>
      </c>
    </row>
    <row r="34" spans="1:18" ht="13.5" customHeight="1">
      <c r="A34" s="256" t="s">
        <v>1088</v>
      </c>
    </row>
    <row r="35" spans="1:18" ht="13.5" customHeight="1">
      <c r="A35" t="s">
        <v>1087</v>
      </c>
    </row>
    <row r="36" spans="1:18" s="434" customFormat="1" ht="13.5" customHeight="1">
      <c r="A36" s="4" t="s">
        <v>947</v>
      </c>
      <c r="B36" s="435"/>
      <c r="C36" s="436"/>
      <c r="E36" s="435"/>
      <c r="F36" s="436"/>
      <c r="H36" s="435"/>
      <c r="I36" s="436"/>
      <c r="K36" s="435"/>
      <c r="L36" s="436"/>
      <c r="N36" s="435"/>
      <c r="O36" s="436"/>
      <c r="Q36" s="435"/>
      <c r="R36" s="436"/>
    </row>
    <row r="37" spans="1:18" s="434" customFormat="1" ht="13.5" customHeight="1">
      <c r="A37" s="434" t="s">
        <v>365</v>
      </c>
      <c r="B37" s="435"/>
      <c r="C37" s="436"/>
      <c r="E37" s="435"/>
      <c r="F37" s="436"/>
      <c r="H37" s="435"/>
      <c r="I37" s="436"/>
      <c r="K37" s="435"/>
      <c r="L37" s="436"/>
      <c r="N37" s="435"/>
      <c r="O37" s="436"/>
      <c r="Q37" s="435"/>
      <c r="R37" s="436"/>
    </row>
    <row r="38" spans="1:18" ht="13.5" customHeight="1"/>
    <row r="39" spans="1:18" ht="13.5" customHeight="1"/>
  </sheetData>
  <printOptions horizontalCentered="1" verticalCentered="1"/>
  <pageMargins left="0" right="0" top="0" bottom="0"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sheetPr>
    <tabColor theme="5" tint="0.59999389629810485"/>
  </sheetPr>
  <dimension ref="A1:K35"/>
  <sheetViews>
    <sheetView workbookViewId="0">
      <selection activeCell="B33" sqref="B33"/>
    </sheetView>
  </sheetViews>
  <sheetFormatPr baseColWidth="10" defaultRowHeight="15"/>
  <sheetData>
    <row r="1" spans="1:11" ht="12.75" customHeight="1">
      <c r="A1" t="s">
        <v>6</v>
      </c>
      <c r="B1" t="s">
        <v>8</v>
      </c>
      <c r="C1" t="s">
        <v>7</v>
      </c>
    </row>
    <row r="2" spans="1:11" ht="12.75" customHeight="1">
      <c r="A2" s="31">
        <v>46.83</v>
      </c>
      <c r="B2" s="31">
        <v>40.700000000000003</v>
      </c>
      <c r="C2" s="31">
        <v>12.46</v>
      </c>
      <c r="J2" s="32"/>
    </row>
    <row r="3" spans="1:11" ht="12.75" customHeight="1">
      <c r="B3" t="s">
        <v>11</v>
      </c>
      <c r="H3" s="33"/>
    </row>
    <row r="4" spans="1:11" ht="12.75" customHeight="1">
      <c r="H4" s="34"/>
      <c r="K4" s="35"/>
    </row>
    <row r="35" spans="1:3">
      <c r="A35" s="31"/>
      <c r="B35" s="31"/>
      <c r="C35" s="31"/>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dimension ref="A1:R44"/>
  <sheetViews>
    <sheetView workbookViewId="0">
      <selection activeCell="A39" sqref="A39"/>
    </sheetView>
  </sheetViews>
  <sheetFormatPr baseColWidth="10" defaultColWidth="8.85546875" defaultRowHeight="12.75"/>
  <cols>
    <col min="1" max="1" width="30.85546875" style="434" customWidth="1"/>
    <col min="2" max="2" width="8.28515625" style="435" customWidth="1"/>
    <col min="3" max="3" width="8.28515625" style="436" customWidth="1"/>
    <col min="4" max="4" width="2.42578125" style="436" customWidth="1"/>
    <col min="5" max="5" width="8.28515625" style="435" customWidth="1"/>
    <col min="6" max="6" width="8.28515625" style="436" customWidth="1"/>
    <col min="7" max="7" width="2.28515625" style="434" customWidth="1"/>
    <col min="8" max="8" width="8.28515625" style="435" customWidth="1"/>
    <col min="9" max="9" width="9.140625" style="436" customWidth="1"/>
    <col min="10" max="10" width="2.28515625" style="434" customWidth="1"/>
    <col min="11" max="11" width="8.28515625" style="435" customWidth="1"/>
    <col min="12" max="12" width="9.42578125" style="436" customWidth="1"/>
    <col min="13" max="13" width="2.28515625" style="434" customWidth="1"/>
    <col min="14" max="14" width="8.28515625" style="435" customWidth="1"/>
    <col min="15" max="15" width="9.7109375" style="436" customWidth="1"/>
    <col min="16" max="16" width="2.28515625" style="434" customWidth="1"/>
    <col min="17" max="17" width="7.7109375" style="435" customWidth="1"/>
    <col min="18" max="18" width="8.28515625" style="436" customWidth="1"/>
    <col min="19" max="19" width="8.85546875" style="434" customWidth="1"/>
    <col min="20" max="256" width="8.85546875" style="434"/>
    <col min="257" max="257" width="30.85546875" style="434" customWidth="1"/>
    <col min="258" max="259" width="8.28515625" style="434" customWidth="1"/>
    <col min="260" max="260" width="2.42578125" style="434" customWidth="1"/>
    <col min="261" max="262" width="8.28515625" style="434" customWidth="1"/>
    <col min="263" max="263" width="2.28515625" style="434" customWidth="1"/>
    <col min="264" max="264" width="8.28515625" style="434" customWidth="1"/>
    <col min="265" max="265" width="9.140625" style="434" customWidth="1"/>
    <col min="266" max="266" width="2.28515625" style="434" customWidth="1"/>
    <col min="267" max="267" width="8.28515625" style="434" customWidth="1"/>
    <col min="268" max="268" width="9.42578125" style="434" customWidth="1"/>
    <col min="269" max="269" width="2.28515625" style="434" customWidth="1"/>
    <col min="270" max="270" width="8.28515625" style="434" customWidth="1"/>
    <col min="271" max="271" width="9.7109375" style="434" customWidth="1"/>
    <col min="272" max="272" width="2.28515625" style="434" customWidth="1"/>
    <col min="273" max="273" width="9.7109375" style="434" customWidth="1"/>
    <col min="274" max="274" width="8.28515625" style="434" customWidth="1"/>
    <col min="275" max="275" width="8.85546875" style="434" customWidth="1"/>
    <col min="276" max="512" width="8.85546875" style="434"/>
    <col min="513" max="513" width="30.85546875" style="434" customWidth="1"/>
    <col min="514" max="515" width="8.28515625" style="434" customWidth="1"/>
    <col min="516" max="516" width="2.42578125" style="434" customWidth="1"/>
    <col min="517" max="518" width="8.28515625" style="434" customWidth="1"/>
    <col min="519" max="519" width="2.28515625" style="434" customWidth="1"/>
    <col min="520" max="520" width="8.28515625" style="434" customWidth="1"/>
    <col min="521" max="521" width="9.140625" style="434" customWidth="1"/>
    <col min="522" max="522" width="2.28515625" style="434" customWidth="1"/>
    <col min="523" max="523" width="8.28515625" style="434" customWidth="1"/>
    <col min="524" max="524" width="9.42578125" style="434" customWidth="1"/>
    <col min="525" max="525" width="2.28515625" style="434" customWidth="1"/>
    <col min="526" max="526" width="8.28515625" style="434" customWidth="1"/>
    <col min="527" max="527" width="9.7109375" style="434" customWidth="1"/>
    <col min="528" max="528" width="2.28515625" style="434" customWidth="1"/>
    <col min="529" max="529" width="9.7109375" style="434" customWidth="1"/>
    <col min="530" max="530" width="8.28515625" style="434" customWidth="1"/>
    <col min="531" max="531" width="8.85546875" style="434" customWidth="1"/>
    <col min="532" max="768" width="8.85546875" style="434"/>
    <col min="769" max="769" width="30.85546875" style="434" customWidth="1"/>
    <col min="770" max="771" width="8.28515625" style="434" customWidth="1"/>
    <col min="772" max="772" width="2.42578125" style="434" customWidth="1"/>
    <col min="773" max="774" width="8.28515625" style="434" customWidth="1"/>
    <col min="775" max="775" width="2.28515625" style="434" customWidth="1"/>
    <col min="776" max="776" width="8.28515625" style="434" customWidth="1"/>
    <col min="777" max="777" width="9.140625" style="434" customWidth="1"/>
    <col min="778" max="778" width="2.28515625" style="434" customWidth="1"/>
    <col min="779" max="779" width="8.28515625" style="434" customWidth="1"/>
    <col min="780" max="780" width="9.42578125" style="434" customWidth="1"/>
    <col min="781" max="781" width="2.28515625" style="434" customWidth="1"/>
    <col min="782" max="782" width="8.28515625" style="434" customWidth="1"/>
    <col min="783" max="783" width="9.7109375" style="434" customWidth="1"/>
    <col min="784" max="784" width="2.28515625" style="434" customWidth="1"/>
    <col min="785" max="785" width="9.7109375" style="434" customWidth="1"/>
    <col min="786" max="786" width="8.28515625" style="434" customWidth="1"/>
    <col min="787" max="787" width="8.85546875" style="434" customWidth="1"/>
    <col min="788" max="1024" width="8.85546875" style="434"/>
    <col min="1025" max="1025" width="30.85546875" style="434" customWidth="1"/>
    <col min="1026" max="1027" width="8.28515625" style="434" customWidth="1"/>
    <col min="1028" max="1028" width="2.42578125" style="434" customWidth="1"/>
    <col min="1029" max="1030" width="8.28515625" style="434" customWidth="1"/>
    <col min="1031" max="1031" width="2.28515625" style="434" customWidth="1"/>
    <col min="1032" max="1032" width="8.28515625" style="434" customWidth="1"/>
    <col min="1033" max="1033" width="9.140625" style="434" customWidth="1"/>
    <col min="1034" max="1034" width="2.28515625" style="434" customWidth="1"/>
    <col min="1035" max="1035" width="8.28515625" style="434" customWidth="1"/>
    <col min="1036" max="1036" width="9.42578125" style="434" customWidth="1"/>
    <col min="1037" max="1037" width="2.28515625" style="434" customWidth="1"/>
    <col min="1038" max="1038" width="8.28515625" style="434" customWidth="1"/>
    <col min="1039" max="1039" width="9.7109375" style="434" customWidth="1"/>
    <col min="1040" max="1040" width="2.28515625" style="434" customWidth="1"/>
    <col min="1041" max="1041" width="9.7109375" style="434" customWidth="1"/>
    <col min="1042" max="1042" width="8.28515625" style="434" customWidth="1"/>
    <col min="1043" max="1043" width="8.85546875" style="434" customWidth="1"/>
    <col min="1044" max="1280" width="8.85546875" style="434"/>
    <col min="1281" max="1281" width="30.85546875" style="434" customWidth="1"/>
    <col min="1282" max="1283" width="8.28515625" style="434" customWidth="1"/>
    <col min="1284" max="1284" width="2.42578125" style="434" customWidth="1"/>
    <col min="1285" max="1286" width="8.28515625" style="434" customWidth="1"/>
    <col min="1287" max="1287" width="2.28515625" style="434" customWidth="1"/>
    <col min="1288" max="1288" width="8.28515625" style="434" customWidth="1"/>
    <col min="1289" max="1289" width="9.140625" style="434" customWidth="1"/>
    <col min="1290" max="1290" width="2.28515625" style="434" customWidth="1"/>
    <col min="1291" max="1291" width="8.28515625" style="434" customWidth="1"/>
    <col min="1292" max="1292" width="9.42578125" style="434" customWidth="1"/>
    <col min="1293" max="1293" width="2.28515625" style="434" customWidth="1"/>
    <col min="1294" max="1294" width="8.28515625" style="434" customWidth="1"/>
    <col min="1295" max="1295" width="9.7109375" style="434" customWidth="1"/>
    <col min="1296" max="1296" width="2.28515625" style="434" customWidth="1"/>
    <col min="1297" max="1297" width="9.7109375" style="434" customWidth="1"/>
    <col min="1298" max="1298" width="8.28515625" style="434" customWidth="1"/>
    <col min="1299" max="1299" width="8.85546875" style="434" customWidth="1"/>
    <col min="1300" max="1536" width="8.85546875" style="434"/>
    <col min="1537" max="1537" width="30.85546875" style="434" customWidth="1"/>
    <col min="1538" max="1539" width="8.28515625" style="434" customWidth="1"/>
    <col min="1540" max="1540" width="2.42578125" style="434" customWidth="1"/>
    <col min="1541" max="1542" width="8.28515625" style="434" customWidth="1"/>
    <col min="1543" max="1543" width="2.28515625" style="434" customWidth="1"/>
    <col min="1544" max="1544" width="8.28515625" style="434" customWidth="1"/>
    <col min="1545" max="1545" width="9.140625" style="434" customWidth="1"/>
    <col min="1546" max="1546" width="2.28515625" style="434" customWidth="1"/>
    <col min="1547" max="1547" width="8.28515625" style="434" customWidth="1"/>
    <col min="1548" max="1548" width="9.42578125" style="434" customWidth="1"/>
    <col min="1549" max="1549" width="2.28515625" style="434" customWidth="1"/>
    <col min="1550" max="1550" width="8.28515625" style="434" customWidth="1"/>
    <col min="1551" max="1551" width="9.7109375" style="434" customWidth="1"/>
    <col min="1552" max="1552" width="2.28515625" style="434" customWidth="1"/>
    <col min="1553" max="1553" width="9.7109375" style="434" customWidth="1"/>
    <col min="1554" max="1554" width="8.28515625" style="434" customWidth="1"/>
    <col min="1555" max="1555" width="8.85546875" style="434" customWidth="1"/>
    <col min="1556" max="1792" width="8.85546875" style="434"/>
    <col min="1793" max="1793" width="30.85546875" style="434" customWidth="1"/>
    <col min="1794" max="1795" width="8.28515625" style="434" customWidth="1"/>
    <col min="1796" max="1796" width="2.42578125" style="434" customWidth="1"/>
    <col min="1797" max="1798" width="8.28515625" style="434" customWidth="1"/>
    <col min="1799" max="1799" width="2.28515625" style="434" customWidth="1"/>
    <col min="1800" max="1800" width="8.28515625" style="434" customWidth="1"/>
    <col min="1801" max="1801" width="9.140625" style="434" customWidth="1"/>
    <col min="1802" max="1802" width="2.28515625" style="434" customWidth="1"/>
    <col min="1803" max="1803" width="8.28515625" style="434" customWidth="1"/>
    <col min="1804" max="1804" width="9.42578125" style="434" customWidth="1"/>
    <col min="1805" max="1805" width="2.28515625" style="434" customWidth="1"/>
    <col min="1806" max="1806" width="8.28515625" style="434" customWidth="1"/>
    <col min="1807" max="1807" width="9.7109375" style="434" customWidth="1"/>
    <col min="1808" max="1808" width="2.28515625" style="434" customWidth="1"/>
    <col min="1809" max="1809" width="9.7109375" style="434" customWidth="1"/>
    <col min="1810" max="1810" width="8.28515625" style="434" customWidth="1"/>
    <col min="1811" max="1811" width="8.85546875" style="434" customWidth="1"/>
    <col min="1812" max="2048" width="8.85546875" style="434"/>
    <col min="2049" max="2049" width="30.85546875" style="434" customWidth="1"/>
    <col min="2050" max="2051" width="8.28515625" style="434" customWidth="1"/>
    <col min="2052" max="2052" width="2.42578125" style="434" customWidth="1"/>
    <col min="2053" max="2054" width="8.28515625" style="434" customWidth="1"/>
    <col min="2055" max="2055" width="2.28515625" style="434" customWidth="1"/>
    <col min="2056" max="2056" width="8.28515625" style="434" customWidth="1"/>
    <col min="2057" max="2057" width="9.140625" style="434" customWidth="1"/>
    <col min="2058" max="2058" width="2.28515625" style="434" customWidth="1"/>
    <col min="2059" max="2059" width="8.28515625" style="434" customWidth="1"/>
    <col min="2060" max="2060" width="9.42578125" style="434" customWidth="1"/>
    <col min="2061" max="2061" width="2.28515625" style="434" customWidth="1"/>
    <col min="2062" max="2062" width="8.28515625" style="434" customWidth="1"/>
    <col min="2063" max="2063" width="9.7109375" style="434" customWidth="1"/>
    <col min="2064" max="2064" width="2.28515625" style="434" customWidth="1"/>
    <col min="2065" max="2065" width="9.7109375" style="434" customWidth="1"/>
    <col min="2066" max="2066" width="8.28515625" style="434" customWidth="1"/>
    <col min="2067" max="2067" width="8.85546875" style="434" customWidth="1"/>
    <col min="2068" max="2304" width="8.85546875" style="434"/>
    <col min="2305" max="2305" width="30.85546875" style="434" customWidth="1"/>
    <col min="2306" max="2307" width="8.28515625" style="434" customWidth="1"/>
    <col min="2308" max="2308" width="2.42578125" style="434" customWidth="1"/>
    <col min="2309" max="2310" width="8.28515625" style="434" customWidth="1"/>
    <col min="2311" max="2311" width="2.28515625" style="434" customWidth="1"/>
    <col min="2312" max="2312" width="8.28515625" style="434" customWidth="1"/>
    <col min="2313" max="2313" width="9.140625" style="434" customWidth="1"/>
    <col min="2314" max="2314" width="2.28515625" style="434" customWidth="1"/>
    <col min="2315" max="2315" width="8.28515625" style="434" customWidth="1"/>
    <col min="2316" max="2316" width="9.42578125" style="434" customWidth="1"/>
    <col min="2317" max="2317" width="2.28515625" style="434" customWidth="1"/>
    <col min="2318" max="2318" width="8.28515625" style="434" customWidth="1"/>
    <col min="2319" max="2319" width="9.7109375" style="434" customWidth="1"/>
    <col min="2320" max="2320" width="2.28515625" style="434" customWidth="1"/>
    <col min="2321" max="2321" width="9.7109375" style="434" customWidth="1"/>
    <col min="2322" max="2322" width="8.28515625" style="434" customWidth="1"/>
    <col min="2323" max="2323" width="8.85546875" style="434" customWidth="1"/>
    <col min="2324" max="2560" width="8.85546875" style="434"/>
    <col min="2561" max="2561" width="30.85546875" style="434" customWidth="1"/>
    <col min="2562" max="2563" width="8.28515625" style="434" customWidth="1"/>
    <col min="2564" max="2564" width="2.42578125" style="434" customWidth="1"/>
    <col min="2565" max="2566" width="8.28515625" style="434" customWidth="1"/>
    <col min="2567" max="2567" width="2.28515625" style="434" customWidth="1"/>
    <col min="2568" max="2568" width="8.28515625" style="434" customWidth="1"/>
    <col min="2569" max="2569" width="9.140625" style="434" customWidth="1"/>
    <col min="2570" max="2570" width="2.28515625" style="434" customWidth="1"/>
    <col min="2571" max="2571" width="8.28515625" style="434" customWidth="1"/>
    <col min="2572" max="2572" width="9.42578125" style="434" customWidth="1"/>
    <col min="2573" max="2573" width="2.28515625" style="434" customWidth="1"/>
    <col min="2574" max="2574" width="8.28515625" style="434" customWidth="1"/>
    <col min="2575" max="2575" width="9.7109375" style="434" customWidth="1"/>
    <col min="2576" max="2576" width="2.28515625" style="434" customWidth="1"/>
    <col min="2577" max="2577" width="9.7109375" style="434" customWidth="1"/>
    <col min="2578" max="2578" width="8.28515625" style="434" customWidth="1"/>
    <col min="2579" max="2579" width="8.85546875" style="434" customWidth="1"/>
    <col min="2580" max="2816" width="8.85546875" style="434"/>
    <col min="2817" max="2817" width="30.85546875" style="434" customWidth="1"/>
    <col min="2818" max="2819" width="8.28515625" style="434" customWidth="1"/>
    <col min="2820" max="2820" width="2.42578125" style="434" customWidth="1"/>
    <col min="2821" max="2822" width="8.28515625" style="434" customWidth="1"/>
    <col min="2823" max="2823" width="2.28515625" style="434" customWidth="1"/>
    <col min="2824" max="2824" width="8.28515625" style="434" customWidth="1"/>
    <col min="2825" max="2825" width="9.140625" style="434" customWidth="1"/>
    <col min="2826" max="2826" width="2.28515625" style="434" customWidth="1"/>
    <col min="2827" max="2827" width="8.28515625" style="434" customWidth="1"/>
    <col min="2828" max="2828" width="9.42578125" style="434" customWidth="1"/>
    <col min="2829" max="2829" width="2.28515625" style="434" customWidth="1"/>
    <col min="2830" max="2830" width="8.28515625" style="434" customWidth="1"/>
    <col min="2831" max="2831" width="9.7109375" style="434" customWidth="1"/>
    <col min="2832" max="2832" width="2.28515625" style="434" customWidth="1"/>
    <col min="2833" max="2833" width="9.7109375" style="434" customWidth="1"/>
    <col min="2834" max="2834" width="8.28515625" style="434" customWidth="1"/>
    <col min="2835" max="2835" width="8.85546875" style="434" customWidth="1"/>
    <col min="2836" max="3072" width="8.85546875" style="434"/>
    <col min="3073" max="3073" width="30.85546875" style="434" customWidth="1"/>
    <col min="3074" max="3075" width="8.28515625" style="434" customWidth="1"/>
    <col min="3076" max="3076" width="2.42578125" style="434" customWidth="1"/>
    <col min="3077" max="3078" width="8.28515625" style="434" customWidth="1"/>
    <col min="3079" max="3079" width="2.28515625" style="434" customWidth="1"/>
    <col min="3080" max="3080" width="8.28515625" style="434" customWidth="1"/>
    <col min="3081" max="3081" width="9.140625" style="434" customWidth="1"/>
    <col min="3082" max="3082" width="2.28515625" style="434" customWidth="1"/>
    <col min="3083" max="3083" width="8.28515625" style="434" customWidth="1"/>
    <col min="3084" max="3084" width="9.42578125" style="434" customWidth="1"/>
    <col min="3085" max="3085" width="2.28515625" style="434" customWidth="1"/>
    <col min="3086" max="3086" width="8.28515625" style="434" customWidth="1"/>
    <col min="3087" max="3087" width="9.7109375" style="434" customWidth="1"/>
    <col min="3088" max="3088" width="2.28515625" style="434" customWidth="1"/>
    <col min="3089" max="3089" width="9.7109375" style="434" customWidth="1"/>
    <col min="3090" max="3090" width="8.28515625" style="434" customWidth="1"/>
    <col min="3091" max="3091" width="8.85546875" style="434" customWidth="1"/>
    <col min="3092" max="3328" width="8.85546875" style="434"/>
    <col min="3329" max="3329" width="30.85546875" style="434" customWidth="1"/>
    <col min="3330" max="3331" width="8.28515625" style="434" customWidth="1"/>
    <col min="3332" max="3332" width="2.42578125" style="434" customWidth="1"/>
    <col min="3333" max="3334" width="8.28515625" style="434" customWidth="1"/>
    <col min="3335" max="3335" width="2.28515625" style="434" customWidth="1"/>
    <col min="3336" max="3336" width="8.28515625" style="434" customWidth="1"/>
    <col min="3337" max="3337" width="9.140625" style="434" customWidth="1"/>
    <col min="3338" max="3338" width="2.28515625" style="434" customWidth="1"/>
    <col min="3339" max="3339" width="8.28515625" style="434" customWidth="1"/>
    <col min="3340" max="3340" width="9.42578125" style="434" customWidth="1"/>
    <col min="3341" max="3341" width="2.28515625" style="434" customWidth="1"/>
    <col min="3342" max="3342" width="8.28515625" style="434" customWidth="1"/>
    <col min="3343" max="3343" width="9.7109375" style="434" customWidth="1"/>
    <col min="3344" max="3344" width="2.28515625" style="434" customWidth="1"/>
    <col min="3345" max="3345" width="9.7109375" style="434" customWidth="1"/>
    <col min="3346" max="3346" width="8.28515625" style="434" customWidth="1"/>
    <col min="3347" max="3347" width="8.85546875" style="434" customWidth="1"/>
    <col min="3348" max="3584" width="8.85546875" style="434"/>
    <col min="3585" max="3585" width="30.85546875" style="434" customWidth="1"/>
    <col min="3586" max="3587" width="8.28515625" style="434" customWidth="1"/>
    <col min="3588" max="3588" width="2.42578125" style="434" customWidth="1"/>
    <col min="3589" max="3590" width="8.28515625" style="434" customWidth="1"/>
    <col min="3591" max="3591" width="2.28515625" style="434" customWidth="1"/>
    <col min="3592" max="3592" width="8.28515625" style="434" customWidth="1"/>
    <col min="3593" max="3593" width="9.140625" style="434" customWidth="1"/>
    <col min="3594" max="3594" width="2.28515625" style="434" customWidth="1"/>
    <col min="3595" max="3595" width="8.28515625" style="434" customWidth="1"/>
    <col min="3596" max="3596" width="9.42578125" style="434" customWidth="1"/>
    <col min="3597" max="3597" width="2.28515625" style="434" customWidth="1"/>
    <col min="3598" max="3598" width="8.28515625" style="434" customWidth="1"/>
    <col min="3599" max="3599" width="9.7109375" style="434" customWidth="1"/>
    <col min="3600" max="3600" width="2.28515625" style="434" customWidth="1"/>
    <col min="3601" max="3601" width="9.7109375" style="434" customWidth="1"/>
    <col min="3602" max="3602" width="8.28515625" style="434" customWidth="1"/>
    <col min="3603" max="3603" width="8.85546875" style="434" customWidth="1"/>
    <col min="3604" max="3840" width="8.85546875" style="434"/>
    <col min="3841" max="3841" width="30.85546875" style="434" customWidth="1"/>
    <col min="3842" max="3843" width="8.28515625" style="434" customWidth="1"/>
    <col min="3844" max="3844" width="2.42578125" style="434" customWidth="1"/>
    <col min="3845" max="3846" width="8.28515625" style="434" customWidth="1"/>
    <col min="3847" max="3847" width="2.28515625" style="434" customWidth="1"/>
    <col min="3848" max="3848" width="8.28515625" style="434" customWidth="1"/>
    <col min="3849" max="3849" width="9.140625" style="434" customWidth="1"/>
    <col min="3850" max="3850" width="2.28515625" style="434" customWidth="1"/>
    <col min="3851" max="3851" width="8.28515625" style="434" customWidth="1"/>
    <col min="3852" max="3852" width="9.42578125" style="434" customWidth="1"/>
    <col min="3853" max="3853" width="2.28515625" style="434" customWidth="1"/>
    <col min="3854" max="3854" width="8.28515625" style="434" customWidth="1"/>
    <col min="3855" max="3855" width="9.7109375" style="434" customWidth="1"/>
    <col min="3856" max="3856" width="2.28515625" style="434" customWidth="1"/>
    <col min="3857" max="3857" width="9.7109375" style="434" customWidth="1"/>
    <col min="3858" max="3858" width="8.28515625" style="434" customWidth="1"/>
    <col min="3859" max="3859" width="8.85546875" style="434" customWidth="1"/>
    <col min="3860" max="4096" width="8.85546875" style="434"/>
    <col min="4097" max="4097" width="30.85546875" style="434" customWidth="1"/>
    <col min="4098" max="4099" width="8.28515625" style="434" customWidth="1"/>
    <col min="4100" max="4100" width="2.42578125" style="434" customWidth="1"/>
    <col min="4101" max="4102" width="8.28515625" style="434" customWidth="1"/>
    <col min="4103" max="4103" width="2.28515625" style="434" customWidth="1"/>
    <col min="4104" max="4104" width="8.28515625" style="434" customWidth="1"/>
    <col min="4105" max="4105" width="9.140625" style="434" customWidth="1"/>
    <col min="4106" max="4106" width="2.28515625" style="434" customWidth="1"/>
    <col min="4107" max="4107" width="8.28515625" style="434" customWidth="1"/>
    <col min="4108" max="4108" width="9.42578125" style="434" customWidth="1"/>
    <col min="4109" max="4109" width="2.28515625" style="434" customWidth="1"/>
    <col min="4110" max="4110" width="8.28515625" style="434" customWidth="1"/>
    <col min="4111" max="4111" width="9.7109375" style="434" customWidth="1"/>
    <col min="4112" max="4112" width="2.28515625" style="434" customWidth="1"/>
    <col min="4113" max="4113" width="9.7109375" style="434" customWidth="1"/>
    <col min="4114" max="4114" width="8.28515625" style="434" customWidth="1"/>
    <col min="4115" max="4115" width="8.85546875" style="434" customWidth="1"/>
    <col min="4116" max="4352" width="8.85546875" style="434"/>
    <col min="4353" max="4353" width="30.85546875" style="434" customWidth="1"/>
    <col min="4354" max="4355" width="8.28515625" style="434" customWidth="1"/>
    <col min="4356" max="4356" width="2.42578125" style="434" customWidth="1"/>
    <col min="4357" max="4358" width="8.28515625" style="434" customWidth="1"/>
    <col min="4359" max="4359" width="2.28515625" style="434" customWidth="1"/>
    <col min="4360" max="4360" width="8.28515625" style="434" customWidth="1"/>
    <col min="4361" max="4361" width="9.140625" style="434" customWidth="1"/>
    <col min="4362" max="4362" width="2.28515625" style="434" customWidth="1"/>
    <col min="4363" max="4363" width="8.28515625" style="434" customWidth="1"/>
    <col min="4364" max="4364" width="9.42578125" style="434" customWidth="1"/>
    <col min="4365" max="4365" width="2.28515625" style="434" customWidth="1"/>
    <col min="4366" max="4366" width="8.28515625" style="434" customWidth="1"/>
    <col min="4367" max="4367" width="9.7109375" style="434" customWidth="1"/>
    <col min="4368" max="4368" width="2.28515625" style="434" customWidth="1"/>
    <col min="4369" max="4369" width="9.7109375" style="434" customWidth="1"/>
    <col min="4370" max="4370" width="8.28515625" style="434" customWidth="1"/>
    <col min="4371" max="4371" width="8.85546875" style="434" customWidth="1"/>
    <col min="4372" max="4608" width="8.85546875" style="434"/>
    <col min="4609" max="4609" width="30.85546875" style="434" customWidth="1"/>
    <col min="4610" max="4611" width="8.28515625" style="434" customWidth="1"/>
    <col min="4612" max="4612" width="2.42578125" style="434" customWidth="1"/>
    <col min="4613" max="4614" width="8.28515625" style="434" customWidth="1"/>
    <col min="4615" max="4615" width="2.28515625" style="434" customWidth="1"/>
    <col min="4616" max="4616" width="8.28515625" style="434" customWidth="1"/>
    <col min="4617" max="4617" width="9.140625" style="434" customWidth="1"/>
    <col min="4618" max="4618" width="2.28515625" style="434" customWidth="1"/>
    <col min="4619" max="4619" width="8.28515625" style="434" customWidth="1"/>
    <col min="4620" max="4620" width="9.42578125" style="434" customWidth="1"/>
    <col min="4621" max="4621" width="2.28515625" style="434" customWidth="1"/>
    <col min="4622" max="4622" width="8.28515625" style="434" customWidth="1"/>
    <col min="4623" max="4623" width="9.7109375" style="434" customWidth="1"/>
    <col min="4624" max="4624" width="2.28515625" style="434" customWidth="1"/>
    <col min="4625" max="4625" width="9.7109375" style="434" customWidth="1"/>
    <col min="4626" max="4626" width="8.28515625" style="434" customWidth="1"/>
    <col min="4627" max="4627" width="8.85546875" style="434" customWidth="1"/>
    <col min="4628" max="4864" width="8.85546875" style="434"/>
    <col min="4865" max="4865" width="30.85546875" style="434" customWidth="1"/>
    <col min="4866" max="4867" width="8.28515625" style="434" customWidth="1"/>
    <col min="4868" max="4868" width="2.42578125" style="434" customWidth="1"/>
    <col min="4869" max="4870" width="8.28515625" style="434" customWidth="1"/>
    <col min="4871" max="4871" width="2.28515625" style="434" customWidth="1"/>
    <col min="4872" max="4872" width="8.28515625" style="434" customWidth="1"/>
    <col min="4873" max="4873" width="9.140625" style="434" customWidth="1"/>
    <col min="4874" max="4874" width="2.28515625" style="434" customWidth="1"/>
    <col min="4875" max="4875" width="8.28515625" style="434" customWidth="1"/>
    <col min="4876" max="4876" width="9.42578125" style="434" customWidth="1"/>
    <col min="4877" max="4877" width="2.28515625" style="434" customWidth="1"/>
    <col min="4878" max="4878" width="8.28515625" style="434" customWidth="1"/>
    <col min="4879" max="4879" width="9.7109375" style="434" customWidth="1"/>
    <col min="4880" max="4880" width="2.28515625" style="434" customWidth="1"/>
    <col min="4881" max="4881" width="9.7109375" style="434" customWidth="1"/>
    <col min="4882" max="4882" width="8.28515625" style="434" customWidth="1"/>
    <col min="4883" max="4883" width="8.85546875" style="434" customWidth="1"/>
    <col min="4884" max="5120" width="8.85546875" style="434"/>
    <col min="5121" max="5121" width="30.85546875" style="434" customWidth="1"/>
    <col min="5122" max="5123" width="8.28515625" style="434" customWidth="1"/>
    <col min="5124" max="5124" width="2.42578125" style="434" customWidth="1"/>
    <col min="5125" max="5126" width="8.28515625" style="434" customWidth="1"/>
    <col min="5127" max="5127" width="2.28515625" style="434" customWidth="1"/>
    <col min="5128" max="5128" width="8.28515625" style="434" customWidth="1"/>
    <col min="5129" max="5129" width="9.140625" style="434" customWidth="1"/>
    <col min="5130" max="5130" width="2.28515625" style="434" customWidth="1"/>
    <col min="5131" max="5131" width="8.28515625" style="434" customWidth="1"/>
    <col min="5132" max="5132" width="9.42578125" style="434" customWidth="1"/>
    <col min="5133" max="5133" width="2.28515625" style="434" customWidth="1"/>
    <col min="5134" max="5134" width="8.28515625" style="434" customWidth="1"/>
    <col min="5135" max="5135" width="9.7109375" style="434" customWidth="1"/>
    <col min="5136" max="5136" width="2.28515625" style="434" customWidth="1"/>
    <col min="5137" max="5137" width="9.7109375" style="434" customWidth="1"/>
    <col min="5138" max="5138" width="8.28515625" style="434" customWidth="1"/>
    <col min="5139" max="5139" width="8.85546875" style="434" customWidth="1"/>
    <col min="5140" max="5376" width="8.85546875" style="434"/>
    <col min="5377" max="5377" width="30.85546875" style="434" customWidth="1"/>
    <col min="5378" max="5379" width="8.28515625" style="434" customWidth="1"/>
    <col min="5380" max="5380" width="2.42578125" style="434" customWidth="1"/>
    <col min="5381" max="5382" width="8.28515625" style="434" customWidth="1"/>
    <col min="5383" max="5383" width="2.28515625" style="434" customWidth="1"/>
    <col min="5384" max="5384" width="8.28515625" style="434" customWidth="1"/>
    <col min="5385" max="5385" width="9.140625" style="434" customWidth="1"/>
    <col min="5386" max="5386" width="2.28515625" style="434" customWidth="1"/>
    <col min="5387" max="5387" width="8.28515625" style="434" customWidth="1"/>
    <col min="5388" max="5388" width="9.42578125" style="434" customWidth="1"/>
    <col min="5389" max="5389" width="2.28515625" style="434" customWidth="1"/>
    <col min="5390" max="5390" width="8.28515625" style="434" customWidth="1"/>
    <col min="5391" max="5391" width="9.7109375" style="434" customWidth="1"/>
    <col min="5392" max="5392" width="2.28515625" style="434" customWidth="1"/>
    <col min="5393" max="5393" width="9.7109375" style="434" customWidth="1"/>
    <col min="5394" max="5394" width="8.28515625" style="434" customWidth="1"/>
    <col min="5395" max="5395" width="8.85546875" style="434" customWidth="1"/>
    <col min="5396" max="5632" width="8.85546875" style="434"/>
    <col min="5633" max="5633" width="30.85546875" style="434" customWidth="1"/>
    <col min="5634" max="5635" width="8.28515625" style="434" customWidth="1"/>
    <col min="5636" max="5636" width="2.42578125" style="434" customWidth="1"/>
    <col min="5637" max="5638" width="8.28515625" style="434" customWidth="1"/>
    <col min="5639" max="5639" width="2.28515625" style="434" customWidth="1"/>
    <col min="5640" max="5640" width="8.28515625" style="434" customWidth="1"/>
    <col min="5641" max="5641" width="9.140625" style="434" customWidth="1"/>
    <col min="5642" max="5642" width="2.28515625" style="434" customWidth="1"/>
    <col min="5643" max="5643" width="8.28515625" style="434" customWidth="1"/>
    <col min="5644" max="5644" width="9.42578125" style="434" customWidth="1"/>
    <col min="5645" max="5645" width="2.28515625" style="434" customWidth="1"/>
    <col min="5646" max="5646" width="8.28515625" style="434" customWidth="1"/>
    <col min="5647" max="5647" width="9.7109375" style="434" customWidth="1"/>
    <col min="5648" max="5648" width="2.28515625" style="434" customWidth="1"/>
    <col min="5649" max="5649" width="9.7109375" style="434" customWidth="1"/>
    <col min="5650" max="5650" width="8.28515625" style="434" customWidth="1"/>
    <col min="5651" max="5651" width="8.85546875" style="434" customWidth="1"/>
    <col min="5652" max="5888" width="8.85546875" style="434"/>
    <col min="5889" max="5889" width="30.85546875" style="434" customWidth="1"/>
    <col min="5890" max="5891" width="8.28515625" style="434" customWidth="1"/>
    <col min="5892" max="5892" width="2.42578125" style="434" customWidth="1"/>
    <col min="5893" max="5894" width="8.28515625" style="434" customWidth="1"/>
    <col min="5895" max="5895" width="2.28515625" style="434" customWidth="1"/>
    <col min="5896" max="5896" width="8.28515625" style="434" customWidth="1"/>
    <col min="5897" max="5897" width="9.140625" style="434" customWidth="1"/>
    <col min="5898" max="5898" width="2.28515625" style="434" customWidth="1"/>
    <col min="5899" max="5899" width="8.28515625" style="434" customWidth="1"/>
    <col min="5900" max="5900" width="9.42578125" style="434" customWidth="1"/>
    <col min="5901" max="5901" width="2.28515625" style="434" customWidth="1"/>
    <col min="5902" max="5902" width="8.28515625" style="434" customWidth="1"/>
    <col min="5903" max="5903" width="9.7109375" style="434" customWidth="1"/>
    <col min="5904" max="5904" width="2.28515625" style="434" customWidth="1"/>
    <col min="5905" max="5905" width="9.7109375" style="434" customWidth="1"/>
    <col min="5906" max="5906" width="8.28515625" style="434" customWidth="1"/>
    <col min="5907" max="5907" width="8.85546875" style="434" customWidth="1"/>
    <col min="5908" max="6144" width="8.85546875" style="434"/>
    <col min="6145" max="6145" width="30.85546875" style="434" customWidth="1"/>
    <col min="6146" max="6147" width="8.28515625" style="434" customWidth="1"/>
    <col min="6148" max="6148" width="2.42578125" style="434" customWidth="1"/>
    <col min="6149" max="6150" width="8.28515625" style="434" customWidth="1"/>
    <col min="6151" max="6151" width="2.28515625" style="434" customWidth="1"/>
    <col min="6152" max="6152" width="8.28515625" style="434" customWidth="1"/>
    <col min="6153" max="6153" width="9.140625" style="434" customWidth="1"/>
    <col min="6154" max="6154" width="2.28515625" style="434" customWidth="1"/>
    <col min="6155" max="6155" width="8.28515625" style="434" customWidth="1"/>
    <col min="6156" max="6156" width="9.42578125" style="434" customWidth="1"/>
    <col min="6157" max="6157" width="2.28515625" style="434" customWidth="1"/>
    <col min="6158" max="6158" width="8.28515625" style="434" customWidth="1"/>
    <col min="6159" max="6159" width="9.7109375" style="434" customWidth="1"/>
    <col min="6160" max="6160" width="2.28515625" style="434" customWidth="1"/>
    <col min="6161" max="6161" width="9.7109375" style="434" customWidth="1"/>
    <col min="6162" max="6162" width="8.28515625" style="434" customWidth="1"/>
    <col min="6163" max="6163" width="8.85546875" style="434" customWidth="1"/>
    <col min="6164" max="6400" width="8.85546875" style="434"/>
    <col min="6401" max="6401" width="30.85546875" style="434" customWidth="1"/>
    <col min="6402" max="6403" width="8.28515625" style="434" customWidth="1"/>
    <col min="6404" max="6404" width="2.42578125" style="434" customWidth="1"/>
    <col min="6405" max="6406" width="8.28515625" style="434" customWidth="1"/>
    <col min="6407" max="6407" width="2.28515625" style="434" customWidth="1"/>
    <col min="6408" max="6408" width="8.28515625" style="434" customWidth="1"/>
    <col min="6409" max="6409" width="9.140625" style="434" customWidth="1"/>
    <col min="6410" max="6410" width="2.28515625" style="434" customWidth="1"/>
    <col min="6411" max="6411" width="8.28515625" style="434" customWidth="1"/>
    <col min="6412" max="6412" width="9.42578125" style="434" customWidth="1"/>
    <col min="6413" max="6413" width="2.28515625" style="434" customWidth="1"/>
    <col min="6414" max="6414" width="8.28515625" style="434" customWidth="1"/>
    <col min="6415" max="6415" width="9.7109375" style="434" customWidth="1"/>
    <col min="6416" max="6416" width="2.28515625" style="434" customWidth="1"/>
    <col min="6417" max="6417" width="9.7109375" style="434" customWidth="1"/>
    <col min="6418" max="6418" width="8.28515625" style="434" customWidth="1"/>
    <col min="6419" max="6419" width="8.85546875" style="434" customWidth="1"/>
    <col min="6420" max="6656" width="8.85546875" style="434"/>
    <col min="6657" max="6657" width="30.85546875" style="434" customWidth="1"/>
    <col min="6658" max="6659" width="8.28515625" style="434" customWidth="1"/>
    <col min="6660" max="6660" width="2.42578125" style="434" customWidth="1"/>
    <col min="6661" max="6662" width="8.28515625" style="434" customWidth="1"/>
    <col min="6663" max="6663" width="2.28515625" style="434" customWidth="1"/>
    <col min="6664" max="6664" width="8.28515625" style="434" customWidth="1"/>
    <col min="6665" max="6665" width="9.140625" style="434" customWidth="1"/>
    <col min="6666" max="6666" width="2.28515625" style="434" customWidth="1"/>
    <col min="6667" max="6667" width="8.28515625" style="434" customWidth="1"/>
    <col min="6668" max="6668" width="9.42578125" style="434" customWidth="1"/>
    <col min="6669" max="6669" width="2.28515625" style="434" customWidth="1"/>
    <col min="6670" max="6670" width="8.28515625" style="434" customWidth="1"/>
    <col min="6671" max="6671" width="9.7109375" style="434" customWidth="1"/>
    <col min="6672" max="6672" width="2.28515625" style="434" customWidth="1"/>
    <col min="6673" max="6673" width="9.7109375" style="434" customWidth="1"/>
    <col min="6674" max="6674" width="8.28515625" style="434" customWidth="1"/>
    <col min="6675" max="6675" width="8.85546875" style="434" customWidth="1"/>
    <col min="6676" max="6912" width="8.85546875" style="434"/>
    <col min="6913" max="6913" width="30.85546875" style="434" customWidth="1"/>
    <col min="6914" max="6915" width="8.28515625" style="434" customWidth="1"/>
    <col min="6916" max="6916" width="2.42578125" style="434" customWidth="1"/>
    <col min="6917" max="6918" width="8.28515625" style="434" customWidth="1"/>
    <col min="6919" max="6919" width="2.28515625" style="434" customWidth="1"/>
    <col min="6920" max="6920" width="8.28515625" style="434" customWidth="1"/>
    <col min="6921" max="6921" width="9.140625" style="434" customWidth="1"/>
    <col min="6922" max="6922" width="2.28515625" style="434" customWidth="1"/>
    <col min="6923" max="6923" width="8.28515625" style="434" customWidth="1"/>
    <col min="6924" max="6924" width="9.42578125" style="434" customWidth="1"/>
    <col min="6925" max="6925" width="2.28515625" style="434" customWidth="1"/>
    <col min="6926" max="6926" width="8.28515625" style="434" customWidth="1"/>
    <col min="6927" max="6927" width="9.7109375" style="434" customWidth="1"/>
    <col min="6928" max="6928" width="2.28515625" style="434" customWidth="1"/>
    <col min="6929" max="6929" width="9.7109375" style="434" customWidth="1"/>
    <col min="6930" max="6930" width="8.28515625" style="434" customWidth="1"/>
    <col min="6931" max="6931" width="8.85546875" style="434" customWidth="1"/>
    <col min="6932" max="7168" width="8.85546875" style="434"/>
    <col min="7169" max="7169" width="30.85546875" style="434" customWidth="1"/>
    <col min="7170" max="7171" width="8.28515625" style="434" customWidth="1"/>
    <col min="7172" max="7172" width="2.42578125" style="434" customWidth="1"/>
    <col min="7173" max="7174" width="8.28515625" style="434" customWidth="1"/>
    <col min="7175" max="7175" width="2.28515625" style="434" customWidth="1"/>
    <col min="7176" max="7176" width="8.28515625" style="434" customWidth="1"/>
    <col min="7177" max="7177" width="9.140625" style="434" customWidth="1"/>
    <col min="7178" max="7178" width="2.28515625" style="434" customWidth="1"/>
    <col min="7179" max="7179" width="8.28515625" style="434" customWidth="1"/>
    <col min="7180" max="7180" width="9.42578125" style="434" customWidth="1"/>
    <col min="7181" max="7181" width="2.28515625" style="434" customWidth="1"/>
    <col min="7182" max="7182" width="8.28515625" style="434" customWidth="1"/>
    <col min="7183" max="7183" width="9.7109375" style="434" customWidth="1"/>
    <col min="7184" max="7184" width="2.28515625" style="434" customWidth="1"/>
    <col min="7185" max="7185" width="9.7109375" style="434" customWidth="1"/>
    <col min="7186" max="7186" width="8.28515625" style="434" customWidth="1"/>
    <col min="7187" max="7187" width="8.85546875" style="434" customWidth="1"/>
    <col min="7188" max="7424" width="8.85546875" style="434"/>
    <col min="7425" max="7425" width="30.85546875" style="434" customWidth="1"/>
    <col min="7426" max="7427" width="8.28515625" style="434" customWidth="1"/>
    <col min="7428" max="7428" width="2.42578125" style="434" customWidth="1"/>
    <col min="7429" max="7430" width="8.28515625" style="434" customWidth="1"/>
    <col min="7431" max="7431" width="2.28515625" style="434" customWidth="1"/>
    <col min="7432" max="7432" width="8.28515625" style="434" customWidth="1"/>
    <col min="7433" max="7433" width="9.140625" style="434" customWidth="1"/>
    <col min="7434" max="7434" width="2.28515625" style="434" customWidth="1"/>
    <col min="7435" max="7435" width="8.28515625" style="434" customWidth="1"/>
    <col min="7436" max="7436" width="9.42578125" style="434" customWidth="1"/>
    <col min="7437" max="7437" width="2.28515625" style="434" customWidth="1"/>
    <col min="7438" max="7438" width="8.28515625" style="434" customWidth="1"/>
    <col min="7439" max="7439" width="9.7109375" style="434" customWidth="1"/>
    <col min="7440" max="7440" width="2.28515625" style="434" customWidth="1"/>
    <col min="7441" max="7441" width="9.7109375" style="434" customWidth="1"/>
    <col min="7442" max="7442" width="8.28515625" style="434" customWidth="1"/>
    <col min="7443" max="7443" width="8.85546875" style="434" customWidth="1"/>
    <col min="7444" max="7680" width="8.85546875" style="434"/>
    <col min="7681" max="7681" width="30.85546875" style="434" customWidth="1"/>
    <col min="7682" max="7683" width="8.28515625" style="434" customWidth="1"/>
    <col min="7684" max="7684" width="2.42578125" style="434" customWidth="1"/>
    <col min="7685" max="7686" width="8.28515625" style="434" customWidth="1"/>
    <col min="7687" max="7687" width="2.28515625" style="434" customWidth="1"/>
    <col min="7688" max="7688" width="8.28515625" style="434" customWidth="1"/>
    <col min="7689" max="7689" width="9.140625" style="434" customWidth="1"/>
    <col min="7690" max="7690" width="2.28515625" style="434" customWidth="1"/>
    <col min="7691" max="7691" width="8.28515625" style="434" customWidth="1"/>
    <col min="7692" max="7692" width="9.42578125" style="434" customWidth="1"/>
    <col min="7693" max="7693" width="2.28515625" style="434" customWidth="1"/>
    <col min="7694" max="7694" width="8.28515625" style="434" customWidth="1"/>
    <col min="7695" max="7695" width="9.7109375" style="434" customWidth="1"/>
    <col min="7696" max="7696" width="2.28515625" style="434" customWidth="1"/>
    <col min="7697" max="7697" width="9.7109375" style="434" customWidth="1"/>
    <col min="7698" max="7698" width="8.28515625" style="434" customWidth="1"/>
    <col min="7699" max="7699" width="8.85546875" style="434" customWidth="1"/>
    <col min="7700" max="7936" width="8.85546875" style="434"/>
    <col min="7937" max="7937" width="30.85546875" style="434" customWidth="1"/>
    <col min="7938" max="7939" width="8.28515625" style="434" customWidth="1"/>
    <col min="7940" max="7940" width="2.42578125" style="434" customWidth="1"/>
    <col min="7941" max="7942" width="8.28515625" style="434" customWidth="1"/>
    <col min="7943" max="7943" width="2.28515625" style="434" customWidth="1"/>
    <col min="7944" max="7944" width="8.28515625" style="434" customWidth="1"/>
    <col min="7945" max="7945" width="9.140625" style="434" customWidth="1"/>
    <col min="7946" max="7946" width="2.28515625" style="434" customWidth="1"/>
    <col min="7947" max="7947" width="8.28515625" style="434" customWidth="1"/>
    <col min="7948" max="7948" width="9.42578125" style="434" customWidth="1"/>
    <col min="7949" max="7949" width="2.28515625" style="434" customWidth="1"/>
    <col min="7950" max="7950" width="8.28515625" style="434" customWidth="1"/>
    <col min="7951" max="7951" width="9.7109375" style="434" customWidth="1"/>
    <col min="7952" max="7952" width="2.28515625" style="434" customWidth="1"/>
    <col min="7953" max="7953" width="9.7109375" style="434" customWidth="1"/>
    <col min="7954" max="7954" width="8.28515625" style="434" customWidth="1"/>
    <col min="7955" max="7955" width="8.85546875" style="434" customWidth="1"/>
    <col min="7956" max="8192" width="8.85546875" style="434"/>
    <col min="8193" max="8193" width="30.85546875" style="434" customWidth="1"/>
    <col min="8194" max="8195" width="8.28515625" style="434" customWidth="1"/>
    <col min="8196" max="8196" width="2.42578125" style="434" customWidth="1"/>
    <col min="8197" max="8198" width="8.28515625" style="434" customWidth="1"/>
    <col min="8199" max="8199" width="2.28515625" style="434" customWidth="1"/>
    <col min="8200" max="8200" width="8.28515625" style="434" customWidth="1"/>
    <col min="8201" max="8201" width="9.140625" style="434" customWidth="1"/>
    <col min="8202" max="8202" width="2.28515625" style="434" customWidth="1"/>
    <col min="8203" max="8203" width="8.28515625" style="434" customWidth="1"/>
    <col min="8204" max="8204" width="9.42578125" style="434" customWidth="1"/>
    <col min="8205" max="8205" width="2.28515625" style="434" customWidth="1"/>
    <col min="8206" max="8206" width="8.28515625" style="434" customWidth="1"/>
    <col min="8207" max="8207" width="9.7109375" style="434" customWidth="1"/>
    <col min="8208" max="8208" width="2.28515625" style="434" customWidth="1"/>
    <col min="8209" max="8209" width="9.7109375" style="434" customWidth="1"/>
    <col min="8210" max="8210" width="8.28515625" style="434" customWidth="1"/>
    <col min="8211" max="8211" width="8.85546875" style="434" customWidth="1"/>
    <col min="8212" max="8448" width="8.85546875" style="434"/>
    <col min="8449" max="8449" width="30.85546875" style="434" customWidth="1"/>
    <col min="8450" max="8451" width="8.28515625" style="434" customWidth="1"/>
    <col min="8452" max="8452" width="2.42578125" style="434" customWidth="1"/>
    <col min="8453" max="8454" width="8.28515625" style="434" customWidth="1"/>
    <col min="8455" max="8455" width="2.28515625" style="434" customWidth="1"/>
    <col min="8456" max="8456" width="8.28515625" style="434" customWidth="1"/>
    <col min="8457" max="8457" width="9.140625" style="434" customWidth="1"/>
    <col min="8458" max="8458" width="2.28515625" style="434" customWidth="1"/>
    <col min="8459" max="8459" width="8.28515625" style="434" customWidth="1"/>
    <col min="8460" max="8460" width="9.42578125" style="434" customWidth="1"/>
    <col min="8461" max="8461" width="2.28515625" style="434" customWidth="1"/>
    <col min="8462" max="8462" width="8.28515625" style="434" customWidth="1"/>
    <col min="8463" max="8463" width="9.7109375" style="434" customWidth="1"/>
    <col min="8464" max="8464" width="2.28515625" style="434" customWidth="1"/>
    <col min="8465" max="8465" width="9.7109375" style="434" customWidth="1"/>
    <col min="8466" max="8466" width="8.28515625" style="434" customWidth="1"/>
    <col min="8467" max="8467" width="8.85546875" style="434" customWidth="1"/>
    <col min="8468" max="8704" width="8.85546875" style="434"/>
    <col min="8705" max="8705" width="30.85546875" style="434" customWidth="1"/>
    <col min="8706" max="8707" width="8.28515625" style="434" customWidth="1"/>
    <col min="8708" max="8708" width="2.42578125" style="434" customWidth="1"/>
    <col min="8709" max="8710" width="8.28515625" style="434" customWidth="1"/>
    <col min="8711" max="8711" width="2.28515625" style="434" customWidth="1"/>
    <col min="8712" max="8712" width="8.28515625" style="434" customWidth="1"/>
    <col min="8713" max="8713" width="9.140625" style="434" customWidth="1"/>
    <col min="8714" max="8714" width="2.28515625" style="434" customWidth="1"/>
    <col min="8715" max="8715" width="8.28515625" style="434" customWidth="1"/>
    <col min="8716" max="8716" width="9.42578125" style="434" customWidth="1"/>
    <col min="8717" max="8717" width="2.28515625" style="434" customWidth="1"/>
    <col min="8718" max="8718" width="8.28515625" style="434" customWidth="1"/>
    <col min="8719" max="8719" width="9.7109375" style="434" customWidth="1"/>
    <col min="8720" max="8720" width="2.28515625" style="434" customWidth="1"/>
    <col min="8721" max="8721" width="9.7109375" style="434" customWidth="1"/>
    <col min="8722" max="8722" width="8.28515625" style="434" customWidth="1"/>
    <col min="8723" max="8723" width="8.85546875" style="434" customWidth="1"/>
    <col min="8724" max="8960" width="8.85546875" style="434"/>
    <col min="8961" max="8961" width="30.85546875" style="434" customWidth="1"/>
    <col min="8962" max="8963" width="8.28515625" style="434" customWidth="1"/>
    <col min="8964" max="8964" width="2.42578125" style="434" customWidth="1"/>
    <col min="8965" max="8966" width="8.28515625" style="434" customWidth="1"/>
    <col min="8967" max="8967" width="2.28515625" style="434" customWidth="1"/>
    <col min="8968" max="8968" width="8.28515625" style="434" customWidth="1"/>
    <col min="8969" max="8969" width="9.140625" style="434" customWidth="1"/>
    <col min="8970" max="8970" width="2.28515625" style="434" customWidth="1"/>
    <col min="8971" max="8971" width="8.28515625" style="434" customWidth="1"/>
    <col min="8972" max="8972" width="9.42578125" style="434" customWidth="1"/>
    <col min="8973" max="8973" width="2.28515625" style="434" customWidth="1"/>
    <col min="8974" max="8974" width="8.28515625" style="434" customWidth="1"/>
    <col min="8975" max="8975" width="9.7109375" style="434" customWidth="1"/>
    <col min="8976" max="8976" width="2.28515625" style="434" customWidth="1"/>
    <col min="8977" max="8977" width="9.7109375" style="434" customWidth="1"/>
    <col min="8978" max="8978" width="8.28515625" style="434" customWidth="1"/>
    <col min="8979" max="8979" width="8.85546875" style="434" customWidth="1"/>
    <col min="8980" max="9216" width="8.85546875" style="434"/>
    <col min="9217" max="9217" width="30.85546875" style="434" customWidth="1"/>
    <col min="9218" max="9219" width="8.28515625" style="434" customWidth="1"/>
    <col min="9220" max="9220" width="2.42578125" style="434" customWidth="1"/>
    <col min="9221" max="9222" width="8.28515625" style="434" customWidth="1"/>
    <col min="9223" max="9223" width="2.28515625" style="434" customWidth="1"/>
    <col min="9224" max="9224" width="8.28515625" style="434" customWidth="1"/>
    <col min="9225" max="9225" width="9.140625" style="434" customWidth="1"/>
    <col min="9226" max="9226" width="2.28515625" style="434" customWidth="1"/>
    <col min="9227" max="9227" width="8.28515625" style="434" customWidth="1"/>
    <col min="9228" max="9228" width="9.42578125" style="434" customWidth="1"/>
    <col min="9229" max="9229" width="2.28515625" style="434" customWidth="1"/>
    <col min="9230" max="9230" width="8.28515625" style="434" customWidth="1"/>
    <col min="9231" max="9231" width="9.7109375" style="434" customWidth="1"/>
    <col min="9232" max="9232" width="2.28515625" style="434" customWidth="1"/>
    <col min="9233" max="9233" width="9.7109375" style="434" customWidth="1"/>
    <col min="9234" max="9234" width="8.28515625" style="434" customWidth="1"/>
    <col min="9235" max="9235" width="8.85546875" style="434" customWidth="1"/>
    <col min="9236" max="9472" width="8.85546875" style="434"/>
    <col min="9473" max="9473" width="30.85546875" style="434" customWidth="1"/>
    <col min="9474" max="9475" width="8.28515625" style="434" customWidth="1"/>
    <col min="9476" max="9476" width="2.42578125" style="434" customWidth="1"/>
    <col min="9477" max="9478" width="8.28515625" style="434" customWidth="1"/>
    <col min="9479" max="9479" width="2.28515625" style="434" customWidth="1"/>
    <col min="9480" max="9480" width="8.28515625" style="434" customWidth="1"/>
    <col min="9481" max="9481" width="9.140625" style="434" customWidth="1"/>
    <col min="9482" max="9482" width="2.28515625" style="434" customWidth="1"/>
    <col min="9483" max="9483" width="8.28515625" style="434" customWidth="1"/>
    <col min="9484" max="9484" width="9.42578125" style="434" customWidth="1"/>
    <col min="9485" max="9485" width="2.28515625" style="434" customWidth="1"/>
    <col min="9486" max="9486" width="8.28515625" style="434" customWidth="1"/>
    <col min="9487" max="9487" width="9.7109375" style="434" customWidth="1"/>
    <col min="9488" max="9488" width="2.28515625" style="434" customWidth="1"/>
    <col min="9489" max="9489" width="9.7109375" style="434" customWidth="1"/>
    <col min="9490" max="9490" width="8.28515625" style="434" customWidth="1"/>
    <col min="9491" max="9491" width="8.85546875" style="434" customWidth="1"/>
    <col min="9492" max="9728" width="8.85546875" style="434"/>
    <col min="9729" max="9729" width="30.85546875" style="434" customWidth="1"/>
    <col min="9730" max="9731" width="8.28515625" style="434" customWidth="1"/>
    <col min="9732" max="9732" width="2.42578125" style="434" customWidth="1"/>
    <col min="9733" max="9734" width="8.28515625" style="434" customWidth="1"/>
    <col min="9735" max="9735" width="2.28515625" style="434" customWidth="1"/>
    <col min="9736" max="9736" width="8.28515625" style="434" customWidth="1"/>
    <col min="9737" max="9737" width="9.140625" style="434" customWidth="1"/>
    <col min="9738" max="9738" width="2.28515625" style="434" customWidth="1"/>
    <col min="9739" max="9739" width="8.28515625" style="434" customWidth="1"/>
    <col min="9740" max="9740" width="9.42578125" style="434" customWidth="1"/>
    <col min="9741" max="9741" width="2.28515625" style="434" customWidth="1"/>
    <col min="9742" max="9742" width="8.28515625" style="434" customWidth="1"/>
    <col min="9743" max="9743" width="9.7109375" style="434" customWidth="1"/>
    <col min="9744" max="9744" width="2.28515625" style="434" customWidth="1"/>
    <col min="9745" max="9745" width="9.7109375" style="434" customWidth="1"/>
    <col min="9746" max="9746" width="8.28515625" style="434" customWidth="1"/>
    <col min="9747" max="9747" width="8.85546875" style="434" customWidth="1"/>
    <col min="9748" max="9984" width="8.85546875" style="434"/>
    <col min="9985" max="9985" width="30.85546875" style="434" customWidth="1"/>
    <col min="9986" max="9987" width="8.28515625" style="434" customWidth="1"/>
    <col min="9988" max="9988" width="2.42578125" style="434" customWidth="1"/>
    <col min="9989" max="9990" width="8.28515625" style="434" customWidth="1"/>
    <col min="9991" max="9991" width="2.28515625" style="434" customWidth="1"/>
    <col min="9992" max="9992" width="8.28515625" style="434" customWidth="1"/>
    <col min="9993" max="9993" width="9.140625" style="434" customWidth="1"/>
    <col min="9994" max="9994" width="2.28515625" style="434" customWidth="1"/>
    <col min="9995" max="9995" width="8.28515625" style="434" customWidth="1"/>
    <col min="9996" max="9996" width="9.42578125" style="434" customWidth="1"/>
    <col min="9997" max="9997" width="2.28515625" style="434" customWidth="1"/>
    <col min="9998" max="9998" width="8.28515625" style="434" customWidth="1"/>
    <col min="9999" max="9999" width="9.7109375" style="434" customWidth="1"/>
    <col min="10000" max="10000" width="2.28515625" style="434" customWidth="1"/>
    <col min="10001" max="10001" width="9.7109375" style="434" customWidth="1"/>
    <col min="10002" max="10002" width="8.28515625" style="434" customWidth="1"/>
    <col min="10003" max="10003" width="8.85546875" style="434" customWidth="1"/>
    <col min="10004" max="10240" width="8.85546875" style="434"/>
    <col min="10241" max="10241" width="30.85546875" style="434" customWidth="1"/>
    <col min="10242" max="10243" width="8.28515625" style="434" customWidth="1"/>
    <col min="10244" max="10244" width="2.42578125" style="434" customWidth="1"/>
    <col min="10245" max="10246" width="8.28515625" style="434" customWidth="1"/>
    <col min="10247" max="10247" width="2.28515625" style="434" customWidth="1"/>
    <col min="10248" max="10248" width="8.28515625" style="434" customWidth="1"/>
    <col min="10249" max="10249" width="9.140625" style="434" customWidth="1"/>
    <col min="10250" max="10250" width="2.28515625" style="434" customWidth="1"/>
    <col min="10251" max="10251" width="8.28515625" style="434" customWidth="1"/>
    <col min="10252" max="10252" width="9.42578125" style="434" customWidth="1"/>
    <col min="10253" max="10253" width="2.28515625" style="434" customWidth="1"/>
    <col min="10254" max="10254" width="8.28515625" style="434" customWidth="1"/>
    <col min="10255" max="10255" width="9.7109375" style="434" customWidth="1"/>
    <col min="10256" max="10256" width="2.28515625" style="434" customWidth="1"/>
    <col min="10257" max="10257" width="9.7109375" style="434" customWidth="1"/>
    <col min="10258" max="10258" width="8.28515625" style="434" customWidth="1"/>
    <col min="10259" max="10259" width="8.85546875" style="434" customWidth="1"/>
    <col min="10260" max="10496" width="8.85546875" style="434"/>
    <col min="10497" max="10497" width="30.85546875" style="434" customWidth="1"/>
    <col min="10498" max="10499" width="8.28515625" style="434" customWidth="1"/>
    <col min="10500" max="10500" width="2.42578125" style="434" customWidth="1"/>
    <col min="10501" max="10502" width="8.28515625" style="434" customWidth="1"/>
    <col min="10503" max="10503" width="2.28515625" style="434" customWidth="1"/>
    <col min="10504" max="10504" width="8.28515625" style="434" customWidth="1"/>
    <col min="10505" max="10505" width="9.140625" style="434" customWidth="1"/>
    <col min="10506" max="10506" width="2.28515625" style="434" customWidth="1"/>
    <col min="10507" max="10507" width="8.28515625" style="434" customWidth="1"/>
    <col min="10508" max="10508" width="9.42578125" style="434" customWidth="1"/>
    <col min="10509" max="10509" width="2.28515625" style="434" customWidth="1"/>
    <col min="10510" max="10510" width="8.28515625" style="434" customWidth="1"/>
    <col min="10511" max="10511" width="9.7109375" style="434" customWidth="1"/>
    <col min="10512" max="10512" width="2.28515625" style="434" customWidth="1"/>
    <col min="10513" max="10513" width="9.7109375" style="434" customWidth="1"/>
    <col min="10514" max="10514" width="8.28515625" style="434" customWidth="1"/>
    <col min="10515" max="10515" width="8.85546875" style="434" customWidth="1"/>
    <col min="10516" max="10752" width="8.85546875" style="434"/>
    <col min="10753" max="10753" width="30.85546875" style="434" customWidth="1"/>
    <col min="10754" max="10755" width="8.28515625" style="434" customWidth="1"/>
    <col min="10756" max="10756" width="2.42578125" style="434" customWidth="1"/>
    <col min="10757" max="10758" width="8.28515625" style="434" customWidth="1"/>
    <col min="10759" max="10759" width="2.28515625" style="434" customWidth="1"/>
    <col min="10760" max="10760" width="8.28515625" style="434" customWidth="1"/>
    <col min="10761" max="10761" width="9.140625" style="434" customWidth="1"/>
    <col min="10762" max="10762" width="2.28515625" style="434" customWidth="1"/>
    <col min="10763" max="10763" width="8.28515625" style="434" customWidth="1"/>
    <col min="10764" max="10764" width="9.42578125" style="434" customWidth="1"/>
    <col min="10765" max="10765" width="2.28515625" style="434" customWidth="1"/>
    <col min="10766" max="10766" width="8.28515625" style="434" customWidth="1"/>
    <col min="10767" max="10767" width="9.7109375" style="434" customWidth="1"/>
    <col min="10768" max="10768" width="2.28515625" style="434" customWidth="1"/>
    <col min="10769" max="10769" width="9.7109375" style="434" customWidth="1"/>
    <col min="10770" max="10770" width="8.28515625" style="434" customWidth="1"/>
    <col min="10771" max="10771" width="8.85546875" style="434" customWidth="1"/>
    <col min="10772" max="11008" width="8.85546875" style="434"/>
    <col min="11009" max="11009" width="30.85546875" style="434" customWidth="1"/>
    <col min="11010" max="11011" width="8.28515625" style="434" customWidth="1"/>
    <col min="11012" max="11012" width="2.42578125" style="434" customWidth="1"/>
    <col min="11013" max="11014" width="8.28515625" style="434" customWidth="1"/>
    <col min="11015" max="11015" width="2.28515625" style="434" customWidth="1"/>
    <col min="11016" max="11016" width="8.28515625" style="434" customWidth="1"/>
    <col min="11017" max="11017" width="9.140625" style="434" customWidth="1"/>
    <col min="11018" max="11018" width="2.28515625" style="434" customWidth="1"/>
    <col min="11019" max="11019" width="8.28515625" style="434" customWidth="1"/>
    <col min="11020" max="11020" width="9.42578125" style="434" customWidth="1"/>
    <col min="11021" max="11021" width="2.28515625" style="434" customWidth="1"/>
    <col min="11022" max="11022" width="8.28515625" style="434" customWidth="1"/>
    <col min="11023" max="11023" width="9.7109375" style="434" customWidth="1"/>
    <col min="11024" max="11024" width="2.28515625" style="434" customWidth="1"/>
    <col min="11025" max="11025" width="9.7109375" style="434" customWidth="1"/>
    <col min="11026" max="11026" width="8.28515625" style="434" customWidth="1"/>
    <col min="11027" max="11027" width="8.85546875" style="434" customWidth="1"/>
    <col min="11028" max="11264" width="8.85546875" style="434"/>
    <col min="11265" max="11265" width="30.85546875" style="434" customWidth="1"/>
    <col min="11266" max="11267" width="8.28515625" style="434" customWidth="1"/>
    <col min="11268" max="11268" width="2.42578125" style="434" customWidth="1"/>
    <col min="11269" max="11270" width="8.28515625" style="434" customWidth="1"/>
    <col min="11271" max="11271" width="2.28515625" style="434" customWidth="1"/>
    <col min="11272" max="11272" width="8.28515625" style="434" customWidth="1"/>
    <col min="11273" max="11273" width="9.140625" style="434" customWidth="1"/>
    <col min="11274" max="11274" width="2.28515625" style="434" customWidth="1"/>
    <col min="11275" max="11275" width="8.28515625" style="434" customWidth="1"/>
    <col min="11276" max="11276" width="9.42578125" style="434" customWidth="1"/>
    <col min="11277" max="11277" width="2.28515625" style="434" customWidth="1"/>
    <col min="11278" max="11278" width="8.28515625" style="434" customWidth="1"/>
    <col min="11279" max="11279" width="9.7109375" style="434" customWidth="1"/>
    <col min="11280" max="11280" width="2.28515625" style="434" customWidth="1"/>
    <col min="11281" max="11281" width="9.7109375" style="434" customWidth="1"/>
    <col min="11282" max="11282" width="8.28515625" style="434" customWidth="1"/>
    <col min="11283" max="11283" width="8.85546875" style="434" customWidth="1"/>
    <col min="11284" max="11520" width="8.85546875" style="434"/>
    <col min="11521" max="11521" width="30.85546875" style="434" customWidth="1"/>
    <col min="11522" max="11523" width="8.28515625" style="434" customWidth="1"/>
    <col min="11524" max="11524" width="2.42578125" style="434" customWidth="1"/>
    <col min="11525" max="11526" width="8.28515625" style="434" customWidth="1"/>
    <col min="11527" max="11527" width="2.28515625" style="434" customWidth="1"/>
    <col min="11528" max="11528" width="8.28515625" style="434" customWidth="1"/>
    <col min="11529" max="11529" width="9.140625" style="434" customWidth="1"/>
    <col min="11530" max="11530" width="2.28515625" style="434" customWidth="1"/>
    <col min="11531" max="11531" width="8.28515625" style="434" customWidth="1"/>
    <col min="11532" max="11532" width="9.42578125" style="434" customWidth="1"/>
    <col min="11533" max="11533" width="2.28515625" style="434" customWidth="1"/>
    <col min="11534" max="11534" width="8.28515625" style="434" customWidth="1"/>
    <col min="11535" max="11535" width="9.7109375" style="434" customWidth="1"/>
    <col min="11536" max="11536" width="2.28515625" style="434" customWidth="1"/>
    <col min="11537" max="11537" width="9.7109375" style="434" customWidth="1"/>
    <col min="11538" max="11538" width="8.28515625" style="434" customWidth="1"/>
    <col min="11539" max="11539" width="8.85546875" style="434" customWidth="1"/>
    <col min="11540" max="11776" width="8.85546875" style="434"/>
    <col min="11777" max="11777" width="30.85546875" style="434" customWidth="1"/>
    <col min="11778" max="11779" width="8.28515625" style="434" customWidth="1"/>
    <col min="11780" max="11780" width="2.42578125" style="434" customWidth="1"/>
    <col min="11781" max="11782" width="8.28515625" style="434" customWidth="1"/>
    <col min="11783" max="11783" width="2.28515625" style="434" customWidth="1"/>
    <col min="11784" max="11784" width="8.28515625" style="434" customWidth="1"/>
    <col min="11785" max="11785" width="9.140625" style="434" customWidth="1"/>
    <col min="11786" max="11786" width="2.28515625" style="434" customWidth="1"/>
    <col min="11787" max="11787" width="8.28515625" style="434" customWidth="1"/>
    <col min="11788" max="11788" width="9.42578125" style="434" customWidth="1"/>
    <col min="11789" max="11789" width="2.28515625" style="434" customWidth="1"/>
    <col min="11790" max="11790" width="8.28515625" style="434" customWidth="1"/>
    <col min="11791" max="11791" width="9.7109375" style="434" customWidth="1"/>
    <col min="11792" max="11792" width="2.28515625" style="434" customWidth="1"/>
    <col min="11793" max="11793" width="9.7109375" style="434" customWidth="1"/>
    <col min="11794" max="11794" width="8.28515625" style="434" customWidth="1"/>
    <col min="11795" max="11795" width="8.85546875" style="434" customWidth="1"/>
    <col min="11796" max="12032" width="8.85546875" style="434"/>
    <col min="12033" max="12033" width="30.85546875" style="434" customWidth="1"/>
    <col min="12034" max="12035" width="8.28515625" style="434" customWidth="1"/>
    <col min="12036" max="12036" width="2.42578125" style="434" customWidth="1"/>
    <col min="12037" max="12038" width="8.28515625" style="434" customWidth="1"/>
    <col min="12039" max="12039" width="2.28515625" style="434" customWidth="1"/>
    <col min="12040" max="12040" width="8.28515625" style="434" customWidth="1"/>
    <col min="12041" max="12041" width="9.140625" style="434" customWidth="1"/>
    <col min="12042" max="12042" width="2.28515625" style="434" customWidth="1"/>
    <col min="12043" max="12043" width="8.28515625" style="434" customWidth="1"/>
    <col min="12044" max="12044" width="9.42578125" style="434" customWidth="1"/>
    <col min="12045" max="12045" width="2.28515625" style="434" customWidth="1"/>
    <col min="12046" max="12046" width="8.28515625" style="434" customWidth="1"/>
    <col min="12047" max="12047" width="9.7109375" style="434" customWidth="1"/>
    <col min="12048" max="12048" width="2.28515625" style="434" customWidth="1"/>
    <col min="12049" max="12049" width="9.7109375" style="434" customWidth="1"/>
    <col min="12050" max="12050" width="8.28515625" style="434" customWidth="1"/>
    <col min="12051" max="12051" width="8.85546875" style="434" customWidth="1"/>
    <col min="12052" max="12288" width="8.85546875" style="434"/>
    <col min="12289" max="12289" width="30.85546875" style="434" customWidth="1"/>
    <col min="12290" max="12291" width="8.28515625" style="434" customWidth="1"/>
    <col min="12292" max="12292" width="2.42578125" style="434" customWidth="1"/>
    <col min="12293" max="12294" width="8.28515625" style="434" customWidth="1"/>
    <col min="12295" max="12295" width="2.28515625" style="434" customWidth="1"/>
    <col min="12296" max="12296" width="8.28515625" style="434" customWidth="1"/>
    <col min="12297" max="12297" width="9.140625" style="434" customWidth="1"/>
    <col min="12298" max="12298" width="2.28515625" style="434" customWidth="1"/>
    <col min="12299" max="12299" width="8.28515625" style="434" customWidth="1"/>
    <col min="12300" max="12300" width="9.42578125" style="434" customWidth="1"/>
    <col min="12301" max="12301" width="2.28515625" style="434" customWidth="1"/>
    <col min="12302" max="12302" width="8.28515625" style="434" customWidth="1"/>
    <col min="12303" max="12303" width="9.7109375" style="434" customWidth="1"/>
    <col min="12304" max="12304" width="2.28515625" style="434" customWidth="1"/>
    <col min="12305" max="12305" width="9.7109375" style="434" customWidth="1"/>
    <col min="12306" max="12306" width="8.28515625" style="434" customWidth="1"/>
    <col min="12307" max="12307" width="8.85546875" style="434" customWidth="1"/>
    <col min="12308" max="12544" width="8.85546875" style="434"/>
    <col min="12545" max="12545" width="30.85546875" style="434" customWidth="1"/>
    <col min="12546" max="12547" width="8.28515625" style="434" customWidth="1"/>
    <col min="12548" max="12548" width="2.42578125" style="434" customWidth="1"/>
    <col min="12549" max="12550" width="8.28515625" style="434" customWidth="1"/>
    <col min="12551" max="12551" width="2.28515625" style="434" customWidth="1"/>
    <col min="12552" max="12552" width="8.28515625" style="434" customWidth="1"/>
    <col min="12553" max="12553" width="9.140625" style="434" customWidth="1"/>
    <col min="12554" max="12554" width="2.28515625" style="434" customWidth="1"/>
    <col min="12555" max="12555" width="8.28515625" style="434" customWidth="1"/>
    <col min="12556" max="12556" width="9.42578125" style="434" customWidth="1"/>
    <col min="12557" max="12557" width="2.28515625" style="434" customWidth="1"/>
    <col min="12558" max="12558" width="8.28515625" style="434" customWidth="1"/>
    <col min="12559" max="12559" width="9.7109375" style="434" customWidth="1"/>
    <col min="12560" max="12560" width="2.28515625" style="434" customWidth="1"/>
    <col min="12561" max="12561" width="9.7109375" style="434" customWidth="1"/>
    <col min="12562" max="12562" width="8.28515625" style="434" customWidth="1"/>
    <col min="12563" max="12563" width="8.85546875" style="434" customWidth="1"/>
    <col min="12564" max="12800" width="8.85546875" style="434"/>
    <col min="12801" max="12801" width="30.85546875" style="434" customWidth="1"/>
    <col min="12802" max="12803" width="8.28515625" style="434" customWidth="1"/>
    <col min="12804" max="12804" width="2.42578125" style="434" customWidth="1"/>
    <col min="12805" max="12806" width="8.28515625" style="434" customWidth="1"/>
    <col min="12807" max="12807" width="2.28515625" style="434" customWidth="1"/>
    <col min="12808" max="12808" width="8.28515625" style="434" customWidth="1"/>
    <col min="12809" max="12809" width="9.140625" style="434" customWidth="1"/>
    <col min="12810" max="12810" width="2.28515625" style="434" customWidth="1"/>
    <col min="12811" max="12811" width="8.28515625" style="434" customWidth="1"/>
    <col min="12812" max="12812" width="9.42578125" style="434" customWidth="1"/>
    <col min="12813" max="12813" width="2.28515625" style="434" customWidth="1"/>
    <col min="12814" max="12814" width="8.28515625" style="434" customWidth="1"/>
    <col min="12815" max="12815" width="9.7109375" style="434" customWidth="1"/>
    <col min="12816" max="12816" width="2.28515625" style="434" customWidth="1"/>
    <col min="12817" max="12817" width="9.7109375" style="434" customWidth="1"/>
    <col min="12818" max="12818" width="8.28515625" style="434" customWidth="1"/>
    <col min="12819" max="12819" width="8.85546875" style="434" customWidth="1"/>
    <col min="12820" max="13056" width="8.85546875" style="434"/>
    <col min="13057" max="13057" width="30.85546875" style="434" customWidth="1"/>
    <col min="13058" max="13059" width="8.28515625" style="434" customWidth="1"/>
    <col min="13060" max="13060" width="2.42578125" style="434" customWidth="1"/>
    <col min="13061" max="13062" width="8.28515625" style="434" customWidth="1"/>
    <col min="13063" max="13063" width="2.28515625" style="434" customWidth="1"/>
    <col min="13064" max="13064" width="8.28515625" style="434" customWidth="1"/>
    <col min="13065" max="13065" width="9.140625" style="434" customWidth="1"/>
    <col min="13066" max="13066" width="2.28515625" style="434" customWidth="1"/>
    <col min="13067" max="13067" width="8.28515625" style="434" customWidth="1"/>
    <col min="13068" max="13068" width="9.42578125" style="434" customWidth="1"/>
    <col min="13069" max="13069" width="2.28515625" style="434" customWidth="1"/>
    <col min="13070" max="13070" width="8.28515625" style="434" customWidth="1"/>
    <col min="13071" max="13071" width="9.7109375" style="434" customWidth="1"/>
    <col min="13072" max="13072" width="2.28515625" style="434" customWidth="1"/>
    <col min="13073" max="13073" width="9.7109375" style="434" customWidth="1"/>
    <col min="13074" max="13074" width="8.28515625" style="434" customWidth="1"/>
    <col min="13075" max="13075" width="8.85546875" style="434" customWidth="1"/>
    <col min="13076" max="13312" width="8.85546875" style="434"/>
    <col min="13313" max="13313" width="30.85546875" style="434" customWidth="1"/>
    <col min="13314" max="13315" width="8.28515625" style="434" customWidth="1"/>
    <col min="13316" max="13316" width="2.42578125" style="434" customWidth="1"/>
    <col min="13317" max="13318" width="8.28515625" style="434" customWidth="1"/>
    <col min="13319" max="13319" width="2.28515625" style="434" customWidth="1"/>
    <col min="13320" max="13320" width="8.28515625" style="434" customWidth="1"/>
    <col min="13321" max="13321" width="9.140625" style="434" customWidth="1"/>
    <col min="13322" max="13322" width="2.28515625" style="434" customWidth="1"/>
    <col min="13323" max="13323" width="8.28515625" style="434" customWidth="1"/>
    <col min="13324" max="13324" width="9.42578125" style="434" customWidth="1"/>
    <col min="13325" max="13325" width="2.28515625" style="434" customWidth="1"/>
    <col min="13326" max="13326" width="8.28515625" style="434" customWidth="1"/>
    <col min="13327" max="13327" width="9.7109375" style="434" customWidth="1"/>
    <col min="13328" max="13328" width="2.28515625" style="434" customWidth="1"/>
    <col min="13329" max="13329" width="9.7109375" style="434" customWidth="1"/>
    <col min="13330" max="13330" width="8.28515625" style="434" customWidth="1"/>
    <col min="13331" max="13331" width="8.85546875" style="434" customWidth="1"/>
    <col min="13332" max="13568" width="8.85546875" style="434"/>
    <col min="13569" max="13569" width="30.85546875" style="434" customWidth="1"/>
    <col min="13570" max="13571" width="8.28515625" style="434" customWidth="1"/>
    <col min="13572" max="13572" width="2.42578125" style="434" customWidth="1"/>
    <col min="13573" max="13574" width="8.28515625" style="434" customWidth="1"/>
    <col min="13575" max="13575" width="2.28515625" style="434" customWidth="1"/>
    <col min="13576" max="13576" width="8.28515625" style="434" customWidth="1"/>
    <col min="13577" max="13577" width="9.140625" style="434" customWidth="1"/>
    <col min="13578" max="13578" width="2.28515625" style="434" customWidth="1"/>
    <col min="13579" max="13579" width="8.28515625" style="434" customWidth="1"/>
    <col min="13580" max="13580" width="9.42578125" style="434" customWidth="1"/>
    <col min="13581" max="13581" width="2.28515625" style="434" customWidth="1"/>
    <col min="13582" max="13582" width="8.28515625" style="434" customWidth="1"/>
    <col min="13583" max="13583" width="9.7109375" style="434" customWidth="1"/>
    <col min="13584" max="13584" width="2.28515625" style="434" customWidth="1"/>
    <col min="13585" max="13585" width="9.7109375" style="434" customWidth="1"/>
    <col min="13586" max="13586" width="8.28515625" style="434" customWidth="1"/>
    <col min="13587" max="13587" width="8.85546875" style="434" customWidth="1"/>
    <col min="13588" max="13824" width="8.85546875" style="434"/>
    <col min="13825" max="13825" width="30.85546875" style="434" customWidth="1"/>
    <col min="13826" max="13827" width="8.28515625" style="434" customWidth="1"/>
    <col min="13828" max="13828" width="2.42578125" style="434" customWidth="1"/>
    <col min="13829" max="13830" width="8.28515625" style="434" customWidth="1"/>
    <col min="13831" max="13831" width="2.28515625" style="434" customWidth="1"/>
    <col min="13832" max="13832" width="8.28515625" style="434" customWidth="1"/>
    <col min="13833" max="13833" width="9.140625" style="434" customWidth="1"/>
    <col min="13834" max="13834" width="2.28515625" style="434" customWidth="1"/>
    <col min="13835" max="13835" width="8.28515625" style="434" customWidth="1"/>
    <col min="13836" max="13836" width="9.42578125" style="434" customWidth="1"/>
    <col min="13837" max="13837" width="2.28515625" style="434" customWidth="1"/>
    <col min="13838" max="13838" width="8.28515625" style="434" customWidth="1"/>
    <col min="13839" max="13839" width="9.7109375" style="434" customWidth="1"/>
    <col min="13840" max="13840" width="2.28515625" style="434" customWidth="1"/>
    <col min="13841" max="13841" width="9.7109375" style="434" customWidth="1"/>
    <col min="13842" max="13842" width="8.28515625" style="434" customWidth="1"/>
    <col min="13843" max="13843" width="8.85546875" style="434" customWidth="1"/>
    <col min="13844" max="14080" width="8.85546875" style="434"/>
    <col min="14081" max="14081" width="30.85546875" style="434" customWidth="1"/>
    <col min="14082" max="14083" width="8.28515625" style="434" customWidth="1"/>
    <col min="14084" max="14084" width="2.42578125" style="434" customWidth="1"/>
    <col min="14085" max="14086" width="8.28515625" style="434" customWidth="1"/>
    <col min="14087" max="14087" width="2.28515625" style="434" customWidth="1"/>
    <col min="14088" max="14088" width="8.28515625" style="434" customWidth="1"/>
    <col min="14089" max="14089" width="9.140625" style="434" customWidth="1"/>
    <col min="14090" max="14090" width="2.28515625" style="434" customWidth="1"/>
    <col min="14091" max="14091" width="8.28515625" style="434" customWidth="1"/>
    <col min="14092" max="14092" width="9.42578125" style="434" customWidth="1"/>
    <col min="14093" max="14093" width="2.28515625" style="434" customWidth="1"/>
    <col min="14094" max="14094" width="8.28515625" style="434" customWidth="1"/>
    <col min="14095" max="14095" width="9.7109375" style="434" customWidth="1"/>
    <col min="14096" max="14096" width="2.28515625" style="434" customWidth="1"/>
    <col min="14097" max="14097" width="9.7109375" style="434" customWidth="1"/>
    <col min="14098" max="14098" width="8.28515625" style="434" customWidth="1"/>
    <col min="14099" max="14099" width="8.85546875" style="434" customWidth="1"/>
    <col min="14100" max="14336" width="8.85546875" style="434"/>
    <col min="14337" max="14337" width="30.85546875" style="434" customWidth="1"/>
    <col min="14338" max="14339" width="8.28515625" style="434" customWidth="1"/>
    <col min="14340" max="14340" width="2.42578125" style="434" customWidth="1"/>
    <col min="14341" max="14342" width="8.28515625" style="434" customWidth="1"/>
    <col min="14343" max="14343" width="2.28515625" style="434" customWidth="1"/>
    <col min="14344" max="14344" width="8.28515625" style="434" customWidth="1"/>
    <col min="14345" max="14345" width="9.140625" style="434" customWidth="1"/>
    <col min="14346" max="14346" width="2.28515625" style="434" customWidth="1"/>
    <col min="14347" max="14347" width="8.28515625" style="434" customWidth="1"/>
    <col min="14348" max="14348" width="9.42578125" style="434" customWidth="1"/>
    <col min="14349" max="14349" width="2.28515625" style="434" customWidth="1"/>
    <col min="14350" max="14350" width="8.28515625" style="434" customWidth="1"/>
    <col min="14351" max="14351" width="9.7109375" style="434" customWidth="1"/>
    <col min="14352" max="14352" width="2.28515625" style="434" customWidth="1"/>
    <col min="14353" max="14353" width="9.7109375" style="434" customWidth="1"/>
    <col min="14354" max="14354" width="8.28515625" style="434" customWidth="1"/>
    <col min="14355" max="14355" width="8.85546875" style="434" customWidth="1"/>
    <col min="14356" max="14592" width="8.85546875" style="434"/>
    <col min="14593" max="14593" width="30.85546875" style="434" customWidth="1"/>
    <col min="14594" max="14595" width="8.28515625" style="434" customWidth="1"/>
    <col min="14596" max="14596" width="2.42578125" style="434" customWidth="1"/>
    <col min="14597" max="14598" width="8.28515625" style="434" customWidth="1"/>
    <col min="14599" max="14599" width="2.28515625" style="434" customWidth="1"/>
    <col min="14600" max="14600" width="8.28515625" style="434" customWidth="1"/>
    <col min="14601" max="14601" width="9.140625" style="434" customWidth="1"/>
    <col min="14602" max="14602" width="2.28515625" style="434" customWidth="1"/>
    <col min="14603" max="14603" width="8.28515625" style="434" customWidth="1"/>
    <col min="14604" max="14604" width="9.42578125" style="434" customWidth="1"/>
    <col min="14605" max="14605" width="2.28515625" style="434" customWidth="1"/>
    <col min="14606" max="14606" width="8.28515625" style="434" customWidth="1"/>
    <col min="14607" max="14607" width="9.7109375" style="434" customWidth="1"/>
    <col min="14608" max="14608" width="2.28515625" style="434" customWidth="1"/>
    <col min="14609" max="14609" width="9.7109375" style="434" customWidth="1"/>
    <col min="14610" max="14610" width="8.28515625" style="434" customWidth="1"/>
    <col min="14611" max="14611" width="8.85546875" style="434" customWidth="1"/>
    <col min="14612" max="14848" width="8.85546875" style="434"/>
    <col min="14849" max="14849" width="30.85546875" style="434" customWidth="1"/>
    <col min="14850" max="14851" width="8.28515625" style="434" customWidth="1"/>
    <col min="14852" max="14852" width="2.42578125" style="434" customWidth="1"/>
    <col min="14853" max="14854" width="8.28515625" style="434" customWidth="1"/>
    <col min="14855" max="14855" width="2.28515625" style="434" customWidth="1"/>
    <col min="14856" max="14856" width="8.28515625" style="434" customWidth="1"/>
    <col min="14857" max="14857" width="9.140625" style="434" customWidth="1"/>
    <col min="14858" max="14858" width="2.28515625" style="434" customWidth="1"/>
    <col min="14859" max="14859" width="8.28515625" style="434" customWidth="1"/>
    <col min="14860" max="14860" width="9.42578125" style="434" customWidth="1"/>
    <col min="14861" max="14861" width="2.28515625" style="434" customWidth="1"/>
    <col min="14862" max="14862" width="8.28515625" style="434" customWidth="1"/>
    <col min="14863" max="14863" width="9.7109375" style="434" customWidth="1"/>
    <col min="14864" max="14864" width="2.28515625" style="434" customWidth="1"/>
    <col min="14865" max="14865" width="9.7109375" style="434" customWidth="1"/>
    <col min="14866" max="14866" width="8.28515625" style="434" customWidth="1"/>
    <col min="14867" max="14867" width="8.85546875" style="434" customWidth="1"/>
    <col min="14868" max="15104" width="8.85546875" style="434"/>
    <col min="15105" max="15105" width="30.85546875" style="434" customWidth="1"/>
    <col min="15106" max="15107" width="8.28515625" style="434" customWidth="1"/>
    <col min="15108" max="15108" width="2.42578125" style="434" customWidth="1"/>
    <col min="15109" max="15110" width="8.28515625" style="434" customWidth="1"/>
    <col min="15111" max="15111" width="2.28515625" style="434" customWidth="1"/>
    <col min="15112" max="15112" width="8.28515625" style="434" customWidth="1"/>
    <col min="15113" max="15113" width="9.140625" style="434" customWidth="1"/>
    <col min="15114" max="15114" width="2.28515625" style="434" customWidth="1"/>
    <col min="15115" max="15115" width="8.28515625" style="434" customWidth="1"/>
    <col min="15116" max="15116" width="9.42578125" style="434" customWidth="1"/>
    <col min="15117" max="15117" width="2.28515625" style="434" customWidth="1"/>
    <col min="15118" max="15118" width="8.28515625" style="434" customWidth="1"/>
    <col min="15119" max="15119" width="9.7109375" style="434" customWidth="1"/>
    <col min="15120" max="15120" width="2.28515625" style="434" customWidth="1"/>
    <col min="15121" max="15121" width="9.7109375" style="434" customWidth="1"/>
    <col min="15122" max="15122" width="8.28515625" style="434" customWidth="1"/>
    <col min="15123" max="15123" width="8.85546875" style="434" customWidth="1"/>
    <col min="15124" max="15360" width="8.85546875" style="434"/>
    <col min="15361" max="15361" width="30.85546875" style="434" customWidth="1"/>
    <col min="15362" max="15363" width="8.28515625" style="434" customWidth="1"/>
    <col min="15364" max="15364" width="2.42578125" style="434" customWidth="1"/>
    <col min="15365" max="15366" width="8.28515625" style="434" customWidth="1"/>
    <col min="15367" max="15367" width="2.28515625" style="434" customWidth="1"/>
    <col min="15368" max="15368" width="8.28515625" style="434" customWidth="1"/>
    <col min="15369" max="15369" width="9.140625" style="434" customWidth="1"/>
    <col min="15370" max="15370" width="2.28515625" style="434" customWidth="1"/>
    <col min="15371" max="15371" width="8.28515625" style="434" customWidth="1"/>
    <col min="15372" max="15372" width="9.42578125" style="434" customWidth="1"/>
    <col min="15373" max="15373" width="2.28515625" style="434" customWidth="1"/>
    <col min="15374" max="15374" width="8.28515625" style="434" customWidth="1"/>
    <col min="15375" max="15375" width="9.7109375" style="434" customWidth="1"/>
    <col min="15376" max="15376" width="2.28515625" style="434" customWidth="1"/>
    <col min="15377" max="15377" width="9.7109375" style="434" customWidth="1"/>
    <col min="15378" max="15378" width="8.28515625" style="434" customWidth="1"/>
    <col min="15379" max="15379" width="8.85546875" style="434" customWidth="1"/>
    <col min="15380" max="15616" width="8.85546875" style="434"/>
    <col min="15617" max="15617" width="30.85546875" style="434" customWidth="1"/>
    <col min="15618" max="15619" width="8.28515625" style="434" customWidth="1"/>
    <col min="15620" max="15620" width="2.42578125" style="434" customWidth="1"/>
    <col min="15621" max="15622" width="8.28515625" style="434" customWidth="1"/>
    <col min="15623" max="15623" width="2.28515625" style="434" customWidth="1"/>
    <col min="15624" max="15624" width="8.28515625" style="434" customWidth="1"/>
    <col min="15625" max="15625" width="9.140625" style="434" customWidth="1"/>
    <col min="15626" max="15626" width="2.28515625" style="434" customWidth="1"/>
    <col min="15627" max="15627" width="8.28515625" style="434" customWidth="1"/>
    <col min="15628" max="15628" width="9.42578125" style="434" customWidth="1"/>
    <col min="15629" max="15629" width="2.28515625" style="434" customWidth="1"/>
    <col min="15630" max="15630" width="8.28515625" style="434" customWidth="1"/>
    <col min="15631" max="15631" width="9.7109375" style="434" customWidth="1"/>
    <col min="15632" max="15632" width="2.28515625" style="434" customWidth="1"/>
    <col min="15633" max="15633" width="9.7109375" style="434" customWidth="1"/>
    <col min="15634" max="15634" width="8.28515625" style="434" customWidth="1"/>
    <col min="15635" max="15635" width="8.85546875" style="434" customWidth="1"/>
    <col min="15636" max="15872" width="8.85546875" style="434"/>
    <col min="15873" max="15873" width="30.85546875" style="434" customWidth="1"/>
    <col min="15874" max="15875" width="8.28515625" style="434" customWidth="1"/>
    <col min="15876" max="15876" width="2.42578125" style="434" customWidth="1"/>
    <col min="15877" max="15878" width="8.28515625" style="434" customWidth="1"/>
    <col min="15879" max="15879" width="2.28515625" style="434" customWidth="1"/>
    <col min="15880" max="15880" width="8.28515625" style="434" customWidth="1"/>
    <col min="15881" max="15881" width="9.140625" style="434" customWidth="1"/>
    <col min="15882" max="15882" width="2.28515625" style="434" customWidth="1"/>
    <col min="15883" max="15883" width="8.28515625" style="434" customWidth="1"/>
    <col min="15884" max="15884" width="9.42578125" style="434" customWidth="1"/>
    <col min="15885" max="15885" width="2.28515625" style="434" customWidth="1"/>
    <col min="15886" max="15886" width="8.28515625" style="434" customWidth="1"/>
    <col min="15887" max="15887" width="9.7109375" style="434" customWidth="1"/>
    <col min="15888" max="15888" width="2.28515625" style="434" customWidth="1"/>
    <col min="15889" max="15889" width="9.7109375" style="434" customWidth="1"/>
    <col min="15890" max="15890" width="8.28515625" style="434" customWidth="1"/>
    <col min="15891" max="15891" width="8.85546875" style="434" customWidth="1"/>
    <col min="15892" max="16128" width="8.85546875" style="434"/>
    <col min="16129" max="16129" width="30.85546875" style="434" customWidth="1"/>
    <col min="16130" max="16131" width="8.28515625" style="434" customWidth="1"/>
    <col min="16132" max="16132" width="2.42578125" style="434" customWidth="1"/>
    <col min="16133" max="16134" width="8.28515625" style="434" customWidth="1"/>
    <col min="16135" max="16135" width="2.28515625" style="434" customWidth="1"/>
    <col min="16136" max="16136" width="8.28515625" style="434" customWidth="1"/>
    <col min="16137" max="16137" width="9.140625" style="434" customWidth="1"/>
    <col min="16138" max="16138" width="2.28515625" style="434" customWidth="1"/>
    <col min="16139" max="16139" width="8.28515625" style="434" customWidth="1"/>
    <col min="16140" max="16140" width="9.42578125" style="434" customWidth="1"/>
    <col min="16141" max="16141" width="2.28515625" style="434" customWidth="1"/>
    <col min="16142" max="16142" width="8.28515625" style="434" customWidth="1"/>
    <col min="16143" max="16143" width="9.7109375" style="434" customWidth="1"/>
    <col min="16144" max="16144" width="2.28515625" style="434" customWidth="1"/>
    <col min="16145" max="16145" width="9.7109375" style="434" customWidth="1"/>
    <col min="16146" max="16146" width="8.28515625" style="434" customWidth="1"/>
    <col min="16147" max="16147" width="8.85546875" style="434" customWidth="1"/>
    <col min="16148" max="16384" width="8.85546875" style="434"/>
  </cols>
  <sheetData>
    <row r="1" spans="1:18">
      <c r="A1" s="434" t="s">
        <v>311</v>
      </c>
    </row>
    <row r="2" spans="1:18">
      <c r="A2" s="434" t="s">
        <v>312</v>
      </c>
    </row>
    <row r="3" spans="1:18" ht="12" customHeight="1"/>
    <row r="4" spans="1:18">
      <c r="A4" s="42" t="s">
        <v>968</v>
      </c>
    </row>
    <row r="5" spans="1:18" ht="12" customHeight="1" thickBot="1"/>
    <row r="6" spans="1:18" ht="15" customHeight="1">
      <c r="A6" s="437"/>
      <c r="B6" s="438"/>
      <c r="C6" s="439"/>
      <c r="D6" s="439"/>
      <c r="E6" s="438"/>
      <c r="F6" s="439"/>
      <c r="G6" s="437"/>
      <c r="H6" s="438"/>
      <c r="I6" s="439"/>
      <c r="J6" s="437"/>
      <c r="K6" s="438"/>
      <c r="L6" s="439"/>
      <c r="M6" s="437"/>
      <c r="N6" s="438"/>
      <c r="O6" s="439"/>
      <c r="P6" s="437"/>
      <c r="Q6" s="438"/>
      <c r="R6" s="439"/>
    </row>
    <row r="7" spans="1:18" ht="15" customHeight="1">
      <c r="A7" s="440" t="s">
        <v>969</v>
      </c>
      <c r="B7" s="441" t="s">
        <v>970</v>
      </c>
      <c r="C7" s="442"/>
      <c r="D7" s="442"/>
      <c r="E7" s="441" t="s">
        <v>971</v>
      </c>
      <c r="F7" s="442"/>
      <c r="G7" s="440"/>
      <c r="H7" s="441" t="s">
        <v>972</v>
      </c>
      <c r="I7" s="442"/>
      <c r="J7" s="440"/>
      <c r="K7" s="441" t="s">
        <v>973</v>
      </c>
      <c r="L7" s="442"/>
      <c r="M7" s="440"/>
      <c r="N7" s="441" t="s">
        <v>974</v>
      </c>
      <c r="O7" s="442"/>
      <c r="P7" s="440"/>
      <c r="Q7" s="1266" t="s">
        <v>917</v>
      </c>
      <c r="R7" s="1266"/>
    </row>
    <row r="8" spans="1:18" ht="15" customHeight="1">
      <c r="A8" s="440" t="s">
        <v>975</v>
      </c>
      <c r="B8" s="457" t="s">
        <v>957</v>
      </c>
      <c r="C8" s="458" t="s">
        <v>976</v>
      </c>
      <c r="D8" s="442"/>
      <c r="E8" s="443" t="s">
        <v>323</v>
      </c>
      <c r="F8" s="444" t="s">
        <v>324</v>
      </c>
      <c r="G8" s="440"/>
      <c r="H8" s="443" t="s">
        <v>323</v>
      </c>
      <c r="I8" s="444" t="s">
        <v>324</v>
      </c>
      <c r="J8" s="440"/>
      <c r="K8" s="443" t="s">
        <v>323</v>
      </c>
      <c r="L8" s="444" t="s">
        <v>324</v>
      </c>
      <c r="M8" s="440"/>
      <c r="N8" s="443" t="s">
        <v>323</v>
      </c>
      <c r="O8" s="444" t="s">
        <v>324</v>
      </c>
      <c r="P8" s="440"/>
      <c r="Q8" s="443" t="s">
        <v>323</v>
      </c>
      <c r="R8" s="444" t="s">
        <v>324</v>
      </c>
    </row>
    <row r="9" spans="1:18" ht="15" customHeight="1" thickBot="1">
      <c r="A9" s="445"/>
      <c r="B9" s="446"/>
      <c r="C9" s="447"/>
      <c r="D9" s="447"/>
      <c r="E9" s="446"/>
      <c r="F9" s="447"/>
      <c r="G9" s="445"/>
      <c r="H9" s="446"/>
      <c r="I9" s="447"/>
      <c r="J9" s="445"/>
      <c r="K9" s="446"/>
      <c r="L9" s="447"/>
      <c r="M9" s="445"/>
      <c r="N9" s="446"/>
      <c r="O9" s="447"/>
      <c r="P9" s="445"/>
      <c r="Q9" s="446"/>
      <c r="R9" s="447"/>
    </row>
    <row r="10" spans="1:18" ht="12" customHeight="1">
      <c r="A10" s="440"/>
      <c r="B10" s="441"/>
      <c r="C10" s="442"/>
      <c r="D10" s="442"/>
      <c r="E10" s="441"/>
      <c r="F10" s="442"/>
      <c r="G10" s="440"/>
      <c r="H10" s="441"/>
      <c r="I10" s="442"/>
      <c r="J10" s="440"/>
      <c r="K10" s="441"/>
      <c r="L10" s="442"/>
      <c r="M10" s="440"/>
      <c r="N10" s="441"/>
      <c r="O10" s="442"/>
      <c r="P10" s="440"/>
      <c r="Q10" s="441"/>
      <c r="R10" s="442"/>
    </row>
    <row r="11" spans="1:18" ht="15" customHeight="1">
      <c r="A11" s="90" t="s">
        <v>325</v>
      </c>
      <c r="B11" s="435">
        <f>E11+H11+K11+N11+Q11</f>
        <v>40395</v>
      </c>
      <c r="C11" s="442">
        <f>C13+C25</f>
        <v>100</v>
      </c>
      <c r="D11" s="442"/>
      <c r="E11" s="441">
        <f>SUM(E13+E25)</f>
        <v>5723</v>
      </c>
      <c r="F11" s="442">
        <f>E11/$B$11*100</f>
        <v>14.167594999381111</v>
      </c>
      <c r="G11" s="440"/>
      <c r="H11" s="441">
        <f>SUM(H13+H25)</f>
        <v>9061</v>
      </c>
      <c r="I11" s="442">
        <f>H11/$B$11*100</f>
        <v>22.430993934892932</v>
      </c>
      <c r="J11" s="440"/>
      <c r="K11" s="441">
        <f>SUM(K13+K25)</f>
        <v>11453</v>
      </c>
      <c r="L11" s="442">
        <f>K11/$B$11*100</f>
        <v>28.352518876098525</v>
      </c>
      <c r="M11" s="440"/>
      <c r="N11" s="441">
        <f>SUM(N13+N25)</f>
        <v>12629</v>
      </c>
      <c r="O11" s="442">
        <f>N11/$B$11*100</f>
        <v>31.263770268597597</v>
      </c>
      <c r="P11" s="440"/>
      <c r="Q11" s="441">
        <f>SUM(Q13+Q25)</f>
        <v>1529</v>
      </c>
      <c r="R11" s="442">
        <f>Q11/$B$11*100</f>
        <v>3.7851219210298304</v>
      </c>
    </row>
    <row r="12" spans="1:18" ht="12" customHeight="1">
      <c r="A12" s="440"/>
      <c r="B12" s="441"/>
      <c r="C12" s="442"/>
      <c r="D12" s="442"/>
      <c r="E12" s="441"/>
      <c r="F12" s="442"/>
      <c r="G12" s="440"/>
      <c r="H12" s="441"/>
      <c r="I12" s="442"/>
      <c r="J12" s="440"/>
      <c r="K12" s="441"/>
      <c r="L12" s="442"/>
      <c r="M12" s="440"/>
      <c r="N12" s="441"/>
      <c r="O12" s="442"/>
      <c r="P12" s="440"/>
      <c r="Q12" s="441"/>
      <c r="R12" s="442"/>
    </row>
    <row r="13" spans="1:18" ht="15" customHeight="1">
      <c r="A13" s="63" t="s">
        <v>326</v>
      </c>
      <c r="B13" s="435">
        <f>SUM(B15:B23)</f>
        <v>29947</v>
      </c>
      <c r="C13" s="436">
        <f>IF(A13&lt;&gt;0,B13/$B$11*100,"")</f>
        <v>74.135412798613686</v>
      </c>
      <c r="E13" s="435">
        <f>SUM(E15:E23)</f>
        <v>4658</v>
      </c>
      <c r="F13" s="436">
        <f>E13/$B$13*100</f>
        <v>15.554145657327947</v>
      </c>
      <c r="H13" s="435">
        <f>SUM(H15:H23)</f>
        <v>6960</v>
      </c>
      <c r="I13" s="436">
        <f>H13/$B$13*100</f>
        <v>23.241059204594784</v>
      </c>
      <c r="K13" s="435">
        <f>SUM(K15:K23)</f>
        <v>8302</v>
      </c>
      <c r="L13" s="436">
        <f>K13/$B$13*100</f>
        <v>27.722309413296824</v>
      </c>
      <c r="N13" s="435">
        <f>SUM(N15:N23)</f>
        <v>8758</v>
      </c>
      <c r="O13" s="436">
        <f>N13/$B$13*100</f>
        <v>29.244999499115103</v>
      </c>
      <c r="Q13" s="435">
        <f>SUM(Q15:Q23)</f>
        <v>1269</v>
      </c>
      <c r="R13" s="436">
        <f>Q13/$B$13*100</f>
        <v>4.2374862256653421</v>
      </c>
    </row>
    <row r="14" spans="1:18" ht="12" customHeight="1">
      <c r="B14" s="435" t="s">
        <v>253</v>
      </c>
      <c r="C14" s="436" t="str">
        <f t="shared" ref="C14:C35" si="0">IF(A14&lt;&gt;0,B14/$B$11*100,"")</f>
        <v/>
      </c>
      <c r="E14" s="441"/>
      <c r="F14" s="442"/>
      <c r="G14" s="440"/>
      <c r="H14" s="441"/>
      <c r="I14" s="442"/>
      <c r="J14" s="440"/>
      <c r="L14" s="442"/>
      <c r="M14" s="440"/>
      <c r="O14" s="442"/>
      <c r="P14" s="440"/>
    </row>
    <row r="15" spans="1:18" ht="15" customHeight="1">
      <c r="A15" s="434" t="s">
        <v>977</v>
      </c>
      <c r="B15" s="435">
        <f>E15+H15+K15+N15+Q15</f>
        <v>1799</v>
      </c>
      <c r="C15" s="436">
        <f t="shared" si="0"/>
        <v>4.4535214754301276</v>
      </c>
      <c r="E15" s="334">
        <v>1780</v>
      </c>
      <c r="F15" s="436">
        <f>E15/$B$15*100</f>
        <v>98.943857698721516</v>
      </c>
      <c r="H15" s="328">
        <v>19</v>
      </c>
      <c r="I15" s="436">
        <f>H15/$B$15*100</f>
        <v>1.0561423012784881</v>
      </c>
      <c r="K15" s="328">
        <v>0</v>
      </c>
      <c r="L15" s="436">
        <f>K15/$B$15*100</f>
        <v>0</v>
      </c>
      <c r="N15" s="328">
        <v>0</v>
      </c>
      <c r="O15" s="436">
        <f>N15/$B$15*100</f>
        <v>0</v>
      </c>
      <c r="Q15" s="328">
        <v>0</v>
      </c>
      <c r="R15" s="436">
        <f>Q15/$B$15*100</f>
        <v>0</v>
      </c>
    </row>
    <row r="16" spans="1:18" ht="12" customHeight="1">
      <c r="B16" s="435" t="s">
        <v>253</v>
      </c>
      <c r="C16" s="436" t="str">
        <f t="shared" si="0"/>
        <v/>
      </c>
      <c r="E16" s="334"/>
      <c r="H16" s="328"/>
      <c r="K16" s="328"/>
      <c r="N16" s="328"/>
      <c r="Q16" s="328"/>
    </row>
    <row r="17" spans="1:18" ht="15" customHeight="1">
      <c r="A17" s="434" t="s">
        <v>978</v>
      </c>
      <c r="B17" s="435">
        <f t="shared" ref="B17:B29" si="1">E17+H17+K17+N17+Q17</f>
        <v>5459</v>
      </c>
      <c r="C17" s="436">
        <f t="shared" si="0"/>
        <v>13.514048768411932</v>
      </c>
      <c r="E17" s="334">
        <v>2088</v>
      </c>
      <c r="F17" s="436">
        <f>E17/$B$17*100</f>
        <v>38.248763509800334</v>
      </c>
      <c r="H17" s="334">
        <v>3371</v>
      </c>
      <c r="I17" s="436">
        <f>H17/$B$17*100</f>
        <v>61.751236490199666</v>
      </c>
      <c r="K17" s="334">
        <v>0</v>
      </c>
      <c r="L17" s="436">
        <f>K17/$B$17*100</f>
        <v>0</v>
      </c>
      <c r="N17" s="334">
        <v>0</v>
      </c>
      <c r="O17" s="436">
        <f>N17/$B$17*100</f>
        <v>0</v>
      </c>
      <c r="Q17" s="334">
        <v>0</v>
      </c>
      <c r="R17" s="436">
        <f>Q17/$B$17*100</f>
        <v>0</v>
      </c>
    </row>
    <row r="18" spans="1:18" ht="12" customHeight="1">
      <c r="B18" s="435" t="s">
        <v>253</v>
      </c>
      <c r="C18" s="436" t="str">
        <f t="shared" si="0"/>
        <v/>
      </c>
      <c r="E18" s="334"/>
      <c r="H18" s="334"/>
      <c r="K18" s="334"/>
      <c r="N18" s="334"/>
      <c r="Q18" s="334"/>
    </row>
    <row r="19" spans="1:18" ht="15" customHeight="1">
      <c r="A19" s="434" t="s">
        <v>979</v>
      </c>
      <c r="B19" s="435">
        <f t="shared" si="1"/>
        <v>7183</v>
      </c>
      <c r="C19" s="436">
        <f t="shared" si="0"/>
        <v>17.781903700953087</v>
      </c>
      <c r="E19" s="334">
        <v>663</v>
      </c>
      <c r="F19" s="436">
        <f>E19/$B$19*100</f>
        <v>9.2301266880133657</v>
      </c>
      <c r="H19" s="334">
        <v>2553</v>
      </c>
      <c r="I19" s="436">
        <f>H19/$B$19*100</f>
        <v>35.542252540721151</v>
      </c>
      <c r="K19" s="334">
        <v>3967</v>
      </c>
      <c r="L19" s="436">
        <f>K19/$B$19*100</f>
        <v>55.227620771265485</v>
      </c>
      <c r="N19" s="334">
        <v>0</v>
      </c>
      <c r="O19" s="436">
        <f>N19/$B$19*100</f>
        <v>0</v>
      </c>
      <c r="Q19" s="334">
        <v>0</v>
      </c>
      <c r="R19" s="436">
        <f>Q19/$B$19*100</f>
        <v>0</v>
      </c>
    </row>
    <row r="20" spans="1:18" ht="12" customHeight="1">
      <c r="C20" s="436" t="str">
        <f t="shared" si="0"/>
        <v/>
      </c>
      <c r="E20" s="334"/>
      <c r="H20" s="334"/>
      <c r="K20" s="334"/>
      <c r="N20" s="334"/>
      <c r="Q20" s="334"/>
    </row>
    <row r="21" spans="1:18" ht="15" customHeight="1">
      <c r="A21" s="434" t="s">
        <v>980</v>
      </c>
      <c r="B21" s="435">
        <f t="shared" si="1"/>
        <v>12638</v>
      </c>
      <c r="C21" s="436">
        <f t="shared" si="0"/>
        <v>31.286050253744275</v>
      </c>
      <c r="E21" s="334">
        <v>113</v>
      </c>
      <c r="F21" s="436">
        <f>E21/$B$21*100</f>
        <v>0.89412881785092579</v>
      </c>
      <c r="H21" s="334">
        <v>939</v>
      </c>
      <c r="I21" s="436">
        <f>H21/$B$21*100</f>
        <v>7.4299730970090208</v>
      </c>
      <c r="K21" s="334">
        <v>4022</v>
      </c>
      <c r="L21" s="436">
        <f>K21/$B$21*100</f>
        <v>31.824655799968347</v>
      </c>
      <c r="N21" s="334">
        <v>7564</v>
      </c>
      <c r="O21" s="436">
        <f>N21/$B$21*100</f>
        <v>59.851242285171701</v>
      </c>
      <c r="Q21" s="334">
        <v>0</v>
      </c>
      <c r="R21" s="436">
        <f>Q21/$B$21*100</f>
        <v>0</v>
      </c>
    </row>
    <row r="22" spans="1:18" ht="12" customHeight="1">
      <c r="C22" s="436" t="str">
        <f t="shared" si="0"/>
        <v/>
      </c>
      <c r="E22" s="334"/>
      <c r="H22" s="334"/>
      <c r="K22" s="334"/>
      <c r="N22" s="334"/>
      <c r="Q22" s="334"/>
    </row>
    <row r="23" spans="1:18" ht="15" customHeight="1">
      <c r="A23" s="434" t="s">
        <v>981</v>
      </c>
      <c r="B23" s="435">
        <f t="shared" si="1"/>
        <v>2868</v>
      </c>
      <c r="C23" s="436">
        <f t="shared" si="0"/>
        <v>7.0998886000742667</v>
      </c>
      <c r="E23" s="334">
        <v>14</v>
      </c>
      <c r="F23" s="436">
        <f>E23/$B$23*100</f>
        <v>0.48814504881450488</v>
      </c>
      <c r="H23" s="334">
        <v>78</v>
      </c>
      <c r="I23" s="436">
        <f>H23/$B$21*100</f>
        <v>0.61718626364931162</v>
      </c>
      <c r="K23" s="334">
        <v>313</v>
      </c>
      <c r="L23" s="436">
        <f>K23/$B$23*100</f>
        <v>10.913528591352858</v>
      </c>
      <c r="N23" s="334">
        <v>1194</v>
      </c>
      <c r="O23" s="436">
        <f>N23/$B$23*100</f>
        <v>41.63179916317992</v>
      </c>
      <c r="Q23" s="334">
        <v>1269</v>
      </c>
      <c r="R23" s="436">
        <f>Q23/$B$23*100</f>
        <v>44.246861924686193</v>
      </c>
    </row>
    <row r="24" spans="1:18" ht="12" customHeight="1">
      <c r="C24" s="436" t="str">
        <f t="shared" si="0"/>
        <v/>
      </c>
    </row>
    <row r="25" spans="1:18" ht="15" customHeight="1">
      <c r="A25" s="63" t="s">
        <v>346</v>
      </c>
      <c r="B25" s="435">
        <f>SUM(B27:B35)</f>
        <v>10448</v>
      </c>
      <c r="C25" s="436">
        <f t="shared" si="0"/>
        <v>25.864587201386307</v>
      </c>
      <c r="E25" s="435">
        <f>SUM(E27:E35)</f>
        <v>1065</v>
      </c>
      <c r="F25" s="436">
        <f>E25/$B$25*100</f>
        <v>10.193338437978561</v>
      </c>
      <c r="H25" s="435">
        <f>SUM(H27:H35)</f>
        <v>2101</v>
      </c>
      <c r="I25" s="436">
        <f>H25/$B$25*100</f>
        <v>20.109111791730474</v>
      </c>
      <c r="K25" s="435">
        <f>SUM(K27:K35)</f>
        <v>3151</v>
      </c>
      <c r="L25" s="436">
        <f>K25/$B$25*100</f>
        <v>30.158882082695254</v>
      </c>
      <c r="N25" s="435">
        <f>SUM(N27:N35)</f>
        <v>3871</v>
      </c>
      <c r="O25" s="436">
        <f>N25/$B$25*100</f>
        <v>37.050153139356816</v>
      </c>
      <c r="Q25" s="435">
        <f>SUM(Q27:Q35)</f>
        <v>260</v>
      </c>
      <c r="R25" s="436">
        <f>Q25/$B$25*100</f>
        <v>2.4885145482388973</v>
      </c>
    </row>
    <row r="26" spans="1:18" ht="12" customHeight="1">
      <c r="C26" s="436" t="str">
        <f t="shared" si="0"/>
        <v/>
      </c>
      <c r="E26" s="441"/>
      <c r="F26" s="442"/>
      <c r="G26" s="440"/>
      <c r="H26" s="441"/>
      <c r="I26" s="442"/>
      <c r="J26" s="440"/>
      <c r="L26" s="442"/>
      <c r="M26" s="440"/>
      <c r="O26" s="442"/>
      <c r="P26" s="440"/>
    </row>
    <row r="27" spans="1:18" ht="15" customHeight="1">
      <c r="A27" s="434" t="s">
        <v>977</v>
      </c>
      <c r="B27" s="435">
        <f t="shared" si="1"/>
        <v>322</v>
      </c>
      <c r="C27" s="436">
        <f t="shared" si="0"/>
        <v>0.79712835746998389</v>
      </c>
      <c r="E27" s="334">
        <v>319</v>
      </c>
      <c r="F27" s="442">
        <f>E27/$B$27*100</f>
        <v>99.068322981366464</v>
      </c>
      <c r="G27" s="440"/>
      <c r="H27" s="334">
        <v>3</v>
      </c>
      <c r="I27" s="442">
        <f>H27/$B$27*100</f>
        <v>0.93167701863354035</v>
      </c>
      <c r="J27" s="440"/>
      <c r="K27" s="334">
        <v>0</v>
      </c>
      <c r="L27" s="442">
        <f>K27/$B$27*100</f>
        <v>0</v>
      </c>
      <c r="M27" s="440"/>
      <c r="N27" s="334">
        <v>0</v>
      </c>
      <c r="O27" s="442">
        <f>N27/$B$27*100</f>
        <v>0</v>
      </c>
      <c r="P27" s="440"/>
      <c r="Q27" s="334">
        <v>0</v>
      </c>
      <c r="R27" s="436">
        <f>Q27/$B$27*100</f>
        <v>0</v>
      </c>
    </row>
    <row r="28" spans="1:18" ht="12" customHeight="1">
      <c r="C28" s="436" t="str">
        <f t="shared" si="0"/>
        <v/>
      </c>
      <c r="E28" s="334"/>
      <c r="H28" s="334"/>
      <c r="K28" s="334"/>
      <c r="N28" s="334"/>
      <c r="Q28" s="334"/>
    </row>
    <row r="29" spans="1:18" ht="15" customHeight="1">
      <c r="A29" s="434" t="s">
        <v>978</v>
      </c>
      <c r="B29" s="435">
        <f t="shared" si="1"/>
        <v>1344</v>
      </c>
      <c r="C29" s="436">
        <f t="shared" si="0"/>
        <v>3.3271444485703676</v>
      </c>
      <c r="E29" s="334">
        <v>487</v>
      </c>
      <c r="F29" s="436">
        <f>E29/$B$29*100</f>
        <v>36.235119047619044</v>
      </c>
      <c r="H29" s="334">
        <v>857</v>
      </c>
      <c r="I29" s="436">
        <f>H29/$B$29*100</f>
        <v>63.764880952380956</v>
      </c>
      <c r="K29" s="334">
        <v>0</v>
      </c>
      <c r="L29" s="436">
        <f>K29/$B$29*100</f>
        <v>0</v>
      </c>
      <c r="N29" s="334">
        <v>0</v>
      </c>
      <c r="O29" s="436">
        <f>N29/$B$29*100</f>
        <v>0</v>
      </c>
      <c r="Q29" s="334">
        <v>0</v>
      </c>
      <c r="R29" s="436">
        <f>Q29/$B$29*100</f>
        <v>0</v>
      </c>
    </row>
    <row r="30" spans="1:18" ht="12" customHeight="1">
      <c r="C30" s="436" t="str">
        <f t="shared" si="0"/>
        <v/>
      </c>
      <c r="E30" s="334"/>
      <c r="H30" s="334"/>
      <c r="K30" s="334"/>
      <c r="N30" s="334"/>
      <c r="Q30" s="334"/>
    </row>
    <row r="31" spans="1:18" ht="15" customHeight="1">
      <c r="A31" s="434" t="s">
        <v>979</v>
      </c>
      <c r="B31" s="435">
        <f>E31+H31+K31+N31+Q31</f>
        <v>2602</v>
      </c>
      <c r="C31" s="436">
        <f t="shared" si="0"/>
        <v>6.4413912612947142</v>
      </c>
      <c r="E31" s="334">
        <v>243</v>
      </c>
      <c r="F31" s="436">
        <f>E31/$B$31*100</f>
        <v>9.3389700230591863</v>
      </c>
      <c r="H31" s="334">
        <v>887</v>
      </c>
      <c r="I31" s="436">
        <f>H31/$B$31*100</f>
        <v>34.089162182936199</v>
      </c>
      <c r="K31" s="334">
        <v>1472</v>
      </c>
      <c r="L31" s="436">
        <f>K31/$B$31*100</f>
        <v>56.571867794004618</v>
      </c>
      <c r="N31" s="334">
        <v>0</v>
      </c>
      <c r="O31" s="436">
        <f>N31/$B$31*100</f>
        <v>0</v>
      </c>
      <c r="Q31" s="334">
        <v>0</v>
      </c>
      <c r="R31" s="436">
        <f>Q31/$B$31*100</f>
        <v>0</v>
      </c>
    </row>
    <row r="32" spans="1:18" ht="12" customHeight="1">
      <c r="C32" s="436" t="str">
        <f t="shared" si="0"/>
        <v/>
      </c>
      <c r="E32" s="334"/>
      <c r="H32" s="334"/>
      <c r="K32" s="334"/>
      <c r="N32" s="334"/>
      <c r="Q32" s="334"/>
    </row>
    <row r="33" spans="1:18" ht="15" customHeight="1">
      <c r="A33" s="434" t="s">
        <v>980</v>
      </c>
      <c r="B33" s="435">
        <f>E33+H33+K33+N33+Q33</f>
        <v>5546</v>
      </c>
      <c r="C33" s="436">
        <f t="shared" si="0"/>
        <v>13.729421958163138</v>
      </c>
      <c r="E33" s="334">
        <v>15</v>
      </c>
      <c r="F33" s="436">
        <f>E33/$B$33*100</f>
        <v>0.27046520014424813</v>
      </c>
      <c r="H33" s="334">
        <v>345</v>
      </c>
      <c r="I33" s="436">
        <f>H33/$B$33*100</f>
        <v>6.2206996033177067</v>
      </c>
      <c r="K33" s="334">
        <v>1610</v>
      </c>
      <c r="L33" s="436">
        <f>K33/$B$33*100</f>
        <v>29.029931482149294</v>
      </c>
      <c r="N33" s="334">
        <v>3576</v>
      </c>
      <c r="O33" s="436">
        <f>N33/$B$33*100</f>
        <v>64.47890371438875</v>
      </c>
      <c r="Q33" s="334">
        <v>0</v>
      </c>
      <c r="R33" s="436">
        <f>Q33/$B$33*100</f>
        <v>0</v>
      </c>
    </row>
    <row r="34" spans="1:18" ht="12" customHeight="1">
      <c r="C34" s="436" t="str">
        <f t="shared" si="0"/>
        <v/>
      </c>
      <c r="E34" s="334"/>
      <c r="H34" s="334"/>
      <c r="K34" s="334"/>
      <c r="N34" s="334"/>
      <c r="Q34" s="334"/>
    </row>
    <row r="35" spans="1:18" ht="15" customHeight="1">
      <c r="A35" s="434" t="s">
        <v>981</v>
      </c>
      <c r="B35" s="435">
        <f>E35+H35+K35+N35+Q35</f>
        <v>634</v>
      </c>
      <c r="C35" s="436">
        <f t="shared" si="0"/>
        <v>1.569501175888105</v>
      </c>
      <c r="E35" s="334">
        <v>1</v>
      </c>
      <c r="F35" s="436">
        <f>E35/$B$35*100</f>
        <v>0.15772870662460567</v>
      </c>
      <c r="H35" s="334">
        <v>9</v>
      </c>
      <c r="I35" s="436">
        <f>H35/$B$35*100</f>
        <v>1.4195583596214512</v>
      </c>
      <c r="K35" s="334">
        <v>69</v>
      </c>
      <c r="L35" s="436">
        <f>K35/$B$35*100</f>
        <v>10.883280757097792</v>
      </c>
      <c r="N35" s="334">
        <v>295</v>
      </c>
      <c r="O35" s="436">
        <f>N35/$B$35*100</f>
        <v>46.529968454258672</v>
      </c>
      <c r="Q35" s="334">
        <v>260</v>
      </c>
      <c r="R35" s="436">
        <f>Q35/$B$35*100</f>
        <v>41.009463722397477</v>
      </c>
    </row>
    <row r="36" spans="1:18" ht="15" customHeight="1" thickBot="1">
      <c r="A36" s="445"/>
      <c r="B36" s="446"/>
      <c r="C36" s="447"/>
      <c r="D36" s="447"/>
      <c r="E36" s="446"/>
      <c r="F36" s="447"/>
      <c r="G36" s="445"/>
      <c r="H36" s="446"/>
      <c r="I36" s="447"/>
      <c r="J36" s="445"/>
      <c r="K36" s="446"/>
      <c r="L36" s="447"/>
      <c r="M36" s="445"/>
      <c r="N36" s="446"/>
      <c r="O36" s="447"/>
      <c r="P36" s="445"/>
      <c r="Q36" s="446"/>
      <c r="R36" s="447"/>
    </row>
    <row r="37" spans="1:18" ht="6.75" customHeight="1"/>
    <row r="38" spans="1:18" ht="15">
      <c r="A38" s="36" t="s">
        <v>2286</v>
      </c>
    </row>
    <row r="39" spans="1:18" ht="12.75" customHeight="1">
      <c r="A39" s="434" t="s">
        <v>2288</v>
      </c>
    </row>
    <row r="40" spans="1:18" ht="14.25">
      <c r="A40" s="256" t="s">
        <v>1090</v>
      </c>
      <c r="D40" s="434"/>
    </row>
    <row r="41" spans="1:18" ht="14.25">
      <c r="A41" s="256" t="s">
        <v>1091</v>
      </c>
      <c r="D41" s="434"/>
    </row>
    <row r="42" spans="1:18" ht="6" customHeight="1"/>
    <row r="43" spans="1:18">
      <c r="A43" s="4" t="s">
        <v>905</v>
      </c>
    </row>
    <row r="44" spans="1:18">
      <c r="A44" s="434" t="s">
        <v>365</v>
      </c>
    </row>
  </sheetData>
  <mergeCells count="1">
    <mergeCell ref="Q7:R7"/>
  </mergeCells>
  <printOptions horizontalCentered="1" verticalCentered="1"/>
  <pageMargins left="0" right="0" top="0" bottom="0" header="0.31496062992125984" footer="0.31496062992125984"/>
  <pageSetup paperSize="9" scale="85" orientation="landscape" r:id="rId1"/>
  <drawing r:id="rId2"/>
</worksheet>
</file>

<file path=xl/worksheets/sheet51.xml><?xml version="1.0" encoding="utf-8"?>
<worksheet xmlns="http://schemas.openxmlformats.org/spreadsheetml/2006/main" xmlns:r="http://schemas.openxmlformats.org/officeDocument/2006/relationships">
  <dimension ref="A1:R44"/>
  <sheetViews>
    <sheetView workbookViewId="0">
      <selection activeCell="D40" sqref="D40"/>
    </sheetView>
  </sheetViews>
  <sheetFormatPr baseColWidth="10" defaultColWidth="8.85546875" defaultRowHeight="15"/>
  <cols>
    <col min="1" max="1" width="30.85546875" customWidth="1"/>
    <col min="2" max="2" width="8.28515625" style="41" customWidth="1"/>
    <col min="3" max="3" width="8.28515625" style="43" customWidth="1"/>
    <col min="4" max="4" width="2.42578125" style="43" customWidth="1"/>
    <col min="5" max="5" width="8.28515625" style="41" customWidth="1"/>
    <col min="6" max="6" width="8.28515625" style="43" customWidth="1"/>
    <col min="7" max="7" width="2.28515625" customWidth="1"/>
    <col min="8" max="8" width="8.28515625" style="41" customWidth="1"/>
    <col min="9" max="9" width="9.140625" style="43" customWidth="1"/>
    <col min="10" max="10" width="2.28515625" customWidth="1"/>
    <col min="11" max="11" width="8.28515625" style="41" customWidth="1"/>
    <col min="12" max="12" width="9.42578125" style="43" customWidth="1"/>
    <col min="13" max="13" width="2.28515625" customWidth="1"/>
    <col min="14" max="14" width="8.28515625" style="41" customWidth="1"/>
    <col min="15" max="15" width="9.7109375" style="43" customWidth="1"/>
    <col min="16" max="16" width="2.28515625" customWidth="1"/>
    <col min="17" max="17" width="9.7109375" style="41" customWidth="1"/>
    <col min="18" max="18" width="8.28515625" style="43" customWidth="1"/>
    <col min="257" max="257" width="30.85546875" customWidth="1"/>
    <col min="258" max="259" width="8.28515625" customWidth="1"/>
    <col min="260" max="260" width="2.42578125" customWidth="1"/>
    <col min="261" max="262" width="8.28515625" customWidth="1"/>
    <col min="263" max="263" width="2.28515625" customWidth="1"/>
    <col min="264" max="264" width="8.28515625" customWidth="1"/>
    <col min="265" max="265" width="9.140625" customWidth="1"/>
    <col min="266" max="266" width="2.28515625" customWidth="1"/>
    <col min="267" max="267" width="8.28515625" customWidth="1"/>
    <col min="268" max="268" width="9.42578125" customWidth="1"/>
    <col min="269" max="269" width="2.28515625" customWidth="1"/>
    <col min="270" max="270" width="8.28515625" customWidth="1"/>
    <col min="271" max="271" width="9.7109375" customWidth="1"/>
    <col min="272" max="272" width="2.28515625" customWidth="1"/>
    <col min="273" max="273" width="9.7109375" customWidth="1"/>
    <col min="274" max="274" width="8.28515625" customWidth="1"/>
    <col min="513" max="513" width="30.85546875" customWidth="1"/>
    <col min="514" max="515" width="8.28515625" customWidth="1"/>
    <col min="516" max="516" width="2.42578125" customWidth="1"/>
    <col min="517" max="518" width="8.28515625" customWidth="1"/>
    <col min="519" max="519" width="2.28515625" customWidth="1"/>
    <col min="520" max="520" width="8.28515625" customWidth="1"/>
    <col min="521" max="521" width="9.140625" customWidth="1"/>
    <col min="522" max="522" width="2.28515625" customWidth="1"/>
    <col min="523" max="523" width="8.28515625" customWidth="1"/>
    <col min="524" max="524" width="9.42578125" customWidth="1"/>
    <col min="525" max="525" width="2.28515625" customWidth="1"/>
    <col min="526" max="526" width="8.28515625" customWidth="1"/>
    <col min="527" max="527" width="9.7109375" customWidth="1"/>
    <col min="528" max="528" width="2.28515625" customWidth="1"/>
    <col min="529" max="529" width="9.7109375" customWidth="1"/>
    <col min="530" max="530" width="8.28515625" customWidth="1"/>
    <col min="769" max="769" width="30.85546875" customWidth="1"/>
    <col min="770" max="771" width="8.28515625" customWidth="1"/>
    <col min="772" max="772" width="2.42578125" customWidth="1"/>
    <col min="773" max="774" width="8.28515625" customWidth="1"/>
    <col min="775" max="775" width="2.28515625" customWidth="1"/>
    <col min="776" max="776" width="8.28515625" customWidth="1"/>
    <col min="777" max="777" width="9.140625" customWidth="1"/>
    <col min="778" max="778" width="2.28515625" customWidth="1"/>
    <col min="779" max="779" width="8.28515625" customWidth="1"/>
    <col min="780" max="780" width="9.42578125" customWidth="1"/>
    <col min="781" max="781" width="2.28515625" customWidth="1"/>
    <col min="782" max="782" width="8.28515625" customWidth="1"/>
    <col min="783" max="783" width="9.7109375" customWidth="1"/>
    <col min="784" max="784" width="2.28515625" customWidth="1"/>
    <col min="785" max="785" width="9.7109375" customWidth="1"/>
    <col min="786" max="786" width="8.28515625" customWidth="1"/>
    <col min="1025" max="1025" width="30.85546875" customWidth="1"/>
    <col min="1026" max="1027" width="8.28515625" customWidth="1"/>
    <col min="1028" max="1028" width="2.42578125" customWidth="1"/>
    <col min="1029" max="1030" width="8.28515625" customWidth="1"/>
    <col min="1031" max="1031" width="2.28515625" customWidth="1"/>
    <col min="1032" max="1032" width="8.28515625" customWidth="1"/>
    <col min="1033" max="1033" width="9.140625" customWidth="1"/>
    <col min="1034" max="1034" width="2.28515625" customWidth="1"/>
    <col min="1035" max="1035" width="8.28515625" customWidth="1"/>
    <col min="1036" max="1036" width="9.42578125" customWidth="1"/>
    <col min="1037" max="1037" width="2.28515625" customWidth="1"/>
    <col min="1038" max="1038" width="8.28515625" customWidth="1"/>
    <col min="1039" max="1039" width="9.7109375" customWidth="1"/>
    <col min="1040" max="1040" width="2.28515625" customWidth="1"/>
    <col min="1041" max="1041" width="9.7109375" customWidth="1"/>
    <col min="1042" max="1042" width="8.28515625" customWidth="1"/>
    <col min="1281" max="1281" width="30.85546875" customWidth="1"/>
    <col min="1282" max="1283" width="8.28515625" customWidth="1"/>
    <col min="1284" max="1284" width="2.42578125" customWidth="1"/>
    <col min="1285" max="1286" width="8.28515625" customWidth="1"/>
    <col min="1287" max="1287" width="2.28515625" customWidth="1"/>
    <col min="1288" max="1288" width="8.28515625" customWidth="1"/>
    <col min="1289" max="1289" width="9.140625" customWidth="1"/>
    <col min="1290" max="1290" width="2.28515625" customWidth="1"/>
    <col min="1291" max="1291" width="8.28515625" customWidth="1"/>
    <col min="1292" max="1292" width="9.42578125" customWidth="1"/>
    <col min="1293" max="1293" width="2.28515625" customWidth="1"/>
    <col min="1294" max="1294" width="8.28515625" customWidth="1"/>
    <col min="1295" max="1295" width="9.7109375" customWidth="1"/>
    <col min="1296" max="1296" width="2.28515625" customWidth="1"/>
    <col min="1297" max="1297" width="9.7109375" customWidth="1"/>
    <col min="1298" max="1298" width="8.28515625" customWidth="1"/>
    <col min="1537" max="1537" width="30.85546875" customWidth="1"/>
    <col min="1538" max="1539" width="8.28515625" customWidth="1"/>
    <col min="1540" max="1540" width="2.42578125" customWidth="1"/>
    <col min="1541" max="1542" width="8.28515625" customWidth="1"/>
    <col min="1543" max="1543" width="2.28515625" customWidth="1"/>
    <col min="1544" max="1544" width="8.28515625" customWidth="1"/>
    <col min="1545" max="1545" width="9.140625" customWidth="1"/>
    <col min="1546" max="1546" width="2.28515625" customWidth="1"/>
    <col min="1547" max="1547" width="8.28515625" customWidth="1"/>
    <col min="1548" max="1548" width="9.42578125" customWidth="1"/>
    <col min="1549" max="1549" width="2.28515625" customWidth="1"/>
    <col min="1550" max="1550" width="8.28515625" customWidth="1"/>
    <col min="1551" max="1551" width="9.7109375" customWidth="1"/>
    <col min="1552" max="1552" width="2.28515625" customWidth="1"/>
    <col min="1553" max="1553" width="9.7109375" customWidth="1"/>
    <col min="1554" max="1554" width="8.28515625" customWidth="1"/>
    <col min="1793" max="1793" width="30.85546875" customWidth="1"/>
    <col min="1794" max="1795" width="8.28515625" customWidth="1"/>
    <col min="1796" max="1796" width="2.42578125" customWidth="1"/>
    <col min="1797" max="1798" width="8.28515625" customWidth="1"/>
    <col min="1799" max="1799" width="2.28515625" customWidth="1"/>
    <col min="1800" max="1800" width="8.28515625" customWidth="1"/>
    <col min="1801" max="1801" width="9.140625" customWidth="1"/>
    <col min="1802" max="1802" width="2.28515625" customWidth="1"/>
    <col min="1803" max="1803" width="8.28515625" customWidth="1"/>
    <col min="1804" max="1804" width="9.42578125" customWidth="1"/>
    <col min="1805" max="1805" width="2.28515625" customWidth="1"/>
    <col min="1806" max="1806" width="8.28515625" customWidth="1"/>
    <col min="1807" max="1807" width="9.7109375" customWidth="1"/>
    <col min="1808" max="1808" width="2.28515625" customWidth="1"/>
    <col min="1809" max="1809" width="9.7109375" customWidth="1"/>
    <col min="1810" max="1810" width="8.28515625" customWidth="1"/>
    <col min="2049" max="2049" width="30.85546875" customWidth="1"/>
    <col min="2050" max="2051" width="8.28515625" customWidth="1"/>
    <col min="2052" max="2052" width="2.42578125" customWidth="1"/>
    <col min="2053" max="2054" width="8.28515625" customWidth="1"/>
    <col min="2055" max="2055" width="2.28515625" customWidth="1"/>
    <col min="2056" max="2056" width="8.28515625" customWidth="1"/>
    <col min="2057" max="2057" width="9.140625" customWidth="1"/>
    <col min="2058" max="2058" width="2.28515625" customWidth="1"/>
    <col min="2059" max="2059" width="8.28515625" customWidth="1"/>
    <col min="2060" max="2060" width="9.42578125" customWidth="1"/>
    <col min="2061" max="2061" width="2.28515625" customWidth="1"/>
    <col min="2062" max="2062" width="8.28515625" customWidth="1"/>
    <col min="2063" max="2063" width="9.7109375" customWidth="1"/>
    <col min="2064" max="2064" width="2.28515625" customWidth="1"/>
    <col min="2065" max="2065" width="9.7109375" customWidth="1"/>
    <col min="2066" max="2066" width="8.28515625" customWidth="1"/>
    <col min="2305" max="2305" width="30.85546875" customWidth="1"/>
    <col min="2306" max="2307" width="8.28515625" customWidth="1"/>
    <col min="2308" max="2308" width="2.42578125" customWidth="1"/>
    <col min="2309" max="2310" width="8.28515625" customWidth="1"/>
    <col min="2311" max="2311" width="2.28515625" customWidth="1"/>
    <col min="2312" max="2312" width="8.28515625" customWidth="1"/>
    <col min="2313" max="2313" width="9.140625" customWidth="1"/>
    <col min="2314" max="2314" width="2.28515625" customWidth="1"/>
    <col min="2315" max="2315" width="8.28515625" customWidth="1"/>
    <col min="2316" max="2316" width="9.42578125" customWidth="1"/>
    <col min="2317" max="2317" width="2.28515625" customWidth="1"/>
    <col min="2318" max="2318" width="8.28515625" customWidth="1"/>
    <col min="2319" max="2319" width="9.7109375" customWidth="1"/>
    <col min="2320" max="2320" width="2.28515625" customWidth="1"/>
    <col min="2321" max="2321" width="9.7109375" customWidth="1"/>
    <col min="2322" max="2322" width="8.28515625" customWidth="1"/>
    <col min="2561" max="2561" width="30.85546875" customWidth="1"/>
    <col min="2562" max="2563" width="8.28515625" customWidth="1"/>
    <col min="2564" max="2564" width="2.42578125" customWidth="1"/>
    <col min="2565" max="2566" width="8.28515625" customWidth="1"/>
    <col min="2567" max="2567" width="2.28515625" customWidth="1"/>
    <col min="2568" max="2568" width="8.28515625" customWidth="1"/>
    <col min="2569" max="2569" width="9.140625" customWidth="1"/>
    <col min="2570" max="2570" width="2.28515625" customWidth="1"/>
    <col min="2571" max="2571" width="8.28515625" customWidth="1"/>
    <col min="2572" max="2572" width="9.42578125" customWidth="1"/>
    <col min="2573" max="2573" width="2.28515625" customWidth="1"/>
    <col min="2574" max="2574" width="8.28515625" customWidth="1"/>
    <col min="2575" max="2575" width="9.7109375" customWidth="1"/>
    <col min="2576" max="2576" width="2.28515625" customWidth="1"/>
    <col min="2577" max="2577" width="9.7109375" customWidth="1"/>
    <col min="2578" max="2578" width="8.28515625" customWidth="1"/>
    <col min="2817" max="2817" width="30.85546875" customWidth="1"/>
    <col min="2818" max="2819" width="8.28515625" customWidth="1"/>
    <col min="2820" max="2820" width="2.42578125" customWidth="1"/>
    <col min="2821" max="2822" width="8.28515625" customWidth="1"/>
    <col min="2823" max="2823" width="2.28515625" customWidth="1"/>
    <col min="2824" max="2824" width="8.28515625" customWidth="1"/>
    <col min="2825" max="2825" width="9.140625" customWidth="1"/>
    <col min="2826" max="2826" width="2.28515625" customWidth="1"/>
    <col min="2827" max="2827" width="8.28515625" customWidth="1"/>
    <col min="2828" max="2828" width="9.42578125" customWidth="1"/>
    <col min="2829" max="2829" width="2.28515625" customWidth="1"/>
    <col min="2830" max="2830" width="8.28515625" customWidth="1"/>
    <col min="2831" max="2831" width="9.7109375" customWidth="1"/>
    <col min="2832" max="2832" width="2.28515625" customWidth="1"/>
    <col min="2833" max="2833" width="9.7109375" customWidth="1"/>
    <col min="2834" max="2834" width="8.28515625" customWidth="1"/>
    <col min="3073" max="3073" width="30.85546875" customWidth="1"/>
    <col min="3074" max="3075" width="8.28515625" customWidth="1"/>
    <col min="3076" max="3076" width="2.42578125" customWidth="1"/>
    <col min="3077" max="3078" width="8.28515625" customWidth="1"/>
    <col min="3079" max="3079" width="2.28515625" customWidth="1"/>
    <col min="3080" max="3080" width="8.28515625" customWidth="1"/>
    <col min="3081" max="3081" width="9.140625" customWidth="1"/>
    <col min="3082" max="3082" width="2.28515625" customWidth="1"/>
    <col min="3083" max="3083" width="8.28515625" customWidth="1"/>
    <col min="3084" max="3084" width="9.42578125" customWidth="1"/>
    <col min="3085" max="3085" width="2.28515625" customWidth="1"/>
    <col min="3086" max="3086" width="8.28515625" customWidth="1"/>
    <col min="3087" max="3087" width="9.7109375" customWidth="1"/>
    <col min="3088" max="3088" width="2.28515625" customWidth="1"/>
    <col min="3089" max="3089" width="9.7109375" customWidth="1"/>
    <col min="3090" max="3090" width="8.28515625" customWidth="1"/>
    <col min="3329" max="3329" width="30.85546875" customWidth="1"/>
    <col min="3330" max="3331" width="8.28515625" customWidth="1"/>
    <col min="3332" max="3332" width="2.42578125" customWidth="1"/>
    <col min="3333" max="3334" width="8.28515625" customWidth="1"/>
    <col min="3335" max="3335" width="2.28515625" customWidth="1"/>
    <col min="3336" max="3336" width="8.28515625" customWidth="1"/>
    <col min="3337" max="3337" width="9.140625" customWidth="1"/>
    <col min="3338" max="3338" width="2.28515625" customWidth="1"/>
    <col min="3339" max="3339" width="8.28515625" customWidth="1"/>
    <col min="3340" max="3340" width="9.42578125" customWidth="1"/>
    <col min="3341" max="3341" width="2.28515625" customWidth="1"/>
    <col min="3342" max="3342" width="8.28515625" customWidth="1"/>
    <col min="3343" max="3343" width="9.7109375" customWidth="1"/>
    <col min="3344" max="3344" width="2.28515625" customWidth="1"/>
    <col min="3345" max="3345" width="9.7109375" customWidth="1"/>
    <col min="3346" max="3346" width="8.28515625" customWidth="1"/>
    <col min="3585" max="3585" width="30.85546875" customWidth="1"/>
    <col min="3586" max="3587" width="8.28515625" customWidth="1"/>
    <col min="3588" max="3588" width="2.42578125" customWidth="1"/>
    <col min="3589" max="3590" width="8.28515625" customWidth="1"/>
    <col min="3591" max="3591" width="2.28515625" customWidth="1"/>
    <col min="3592" max="3592" width="8.28515625" customWidth="1"/>
    <col min="3593" max="3593" width="9.140625" customWidth="1"/>
    <col min="3594" max="3594" width="2.28515625" customWidth="1"/>
    <col min="3595" max="3595" width="8.28515625" customWidth="1"/>
    <col min="3596" max="3596" width="9.42578125" customWidth="1"/>
    <col min="3597" max="3597" width="2.28515625" customWidth="1"/>
    <col min="3598" max="3598" width="8.28515625" customWidth="1"/>
    <col min="3599" max="3599" width="9.7109375" customWidth="1"/>
    <col min="3600" max="3600" width="2.28515625" customWidth="1"/>
    <col min="3601" max="3601" width="9.7109375" customWidth="1"/>
    <col min="3602" max="3602" width="8.28515625" customWidth="1"/>
    <col min="3841" max="3841" width="30.85546875" customWidth="1"/>
    <col min="3842" max="3843" width="8.28515625" customWidth="1"/>
    <col min="3844" max="3844" width="2.42578125" customWidth="1"/>
    <col min="3845" max="3846" width="8.28515625" customWidth="1"/>
    <col min="3847" max="3847" width="2.28515625" customWidth="1"/>
    <col min="3848" max="3848" width="8.28515625" customWidth="1"/>
    <col min="3849" max="3849" width="9.140625" customWidth="1"/>
    <col min="3850" max="3850" width="2.28515625" customWidth="1"/>
    <col min="3851" max="3851" width="8.28515625" customWidth="1"/>
    <col min="3852" max="3852" width="9.42578125" customWidth="1"/>
    <col min="3853" max="3853" width="2.28515625" customWidth="1"/>
    <col min="3854" max="3854" width="8.28515625" customWidth="1"/>
    <col min="3855" max="3855" width="9.7109375" customWidth="1"/>
    <col min="3856" max="3856" width="2.28515625" customWidth="1"/>
    <col min="3857" max="3857" width="9.7109375" customWidth="1"/>
    <col min="3858" max="3858" width="8.28515625" customWidth="1"/>
    <col min="4097" max="4097" width="30.85546875" customWidth="1"/>
    <col min="4098" max="4099" width="8.28515625" customWidth="1"/>
    <col min="4100" max="4100" width="2.42578125" customWidth="1"/>
    <col min="4101" max="4102" width="8.28515625" customWidth="1"/>
    <col min="4103" max="4103" width="2.28515625" customWidth="1"/>
    <col min="4104" max="4104" width="8.28515625" customWidth="1"/>
    <col min="4105" max="4105" width="9.140625" customWidth="1"/>
    <col min="4106" max="4106" width="2.28515625" customWidth="1"/>
    <col min="4107" max="4107" width="8.28515625" customWidth="1"/>
    <col min="4108" max="4108" width="9.42578125" customWidth="1"/>
    <col min="4109" max="4109" width="2.28515625" customWidth="1"/>
    <col min="4110" max="4110" width="8.28515625" customWidth="1"/>
    <col min="4111" max="4111" width="9.7109375" customWidth="1"/>
    <col min="4112" max="4112" width="2.28515625" customWidth="1"/>
    <col min="4113" max="4113" width="9.7109375" customWidth="1"/>
    <col min="4114" max="4114" width="8.28515625" customWidth="1"/>
    <col min="4353" max="4353" width="30.85546875" customWidth="1"/>
    <col min="4354" max="4355" width="8.28515625" customWidth="1"/>
    <col min="4356" max="4356" width="2.42578125" customWidth="1"/>
    <col min="4357" max="4358" width="8.28515625" customWidth="1"/>
    <col min="4359" max="4359" width="2.28515625" customWidth="1"/>
    <col min="4360" max="4360" width="8.28515625" customWidth="1"/>
    <col min="4361" max="4361" width="9.140625" customWidth="1"/>
    <col min="4362" max="4362" width="2.28515625" customWidth="1"/>
    <col min="4363" max="4363" width="8.28515625" customWidth="1"/>
    <col min="4364" max="4364" width="9.42578125" customWidth="1"/>
    <col min="4365" max="4365" width="2.28515625" customWidth="1"/>
    <col min="4366" max="4366" width="8.28515625" customWidth="1"/>
    <col min="4367" max="4367" width="9.7109375" customWidth="1"/>
    <col min="4368" max="4368" width="2.28515625" customWidth="1"/>
    <col min="4369" max="4369" width="9.7109375" customWidth="1"/>
    <col min="4370" max="4370" width="8.28515625" customWidth="1"/>
    <col min="4609" max="4609" width="30.85546875" customWidth="1"/>
    <col min="4610" max="4611" width="8.28515625" customWidth="1"/>
    <col min="4612" max="4612" width="2.42578125" customWidth="1"/>
    <col min="4613" max="4614" width="8.28515625" customWidth="1"/>
    <col min="4615" max="4615" width="2.28515625" customWidth="1"/>
    <col min="4616" max="4616" width="8.28515625" customWidth="1"/>
    <col min="4617" max="4617" width="9.140625" customWidth="1"/>
    <col min="4618" max="4618" width="2.28515625" customWidth="1"/>
    <col min="4619" max="4619" width="8.28515625" customWidth="1"/>
    <col min="4620" max="4620" width="9.42578125" customWidth="1"/>
    <col min="4621" max="4621" width="2.28515625" customWidth="1"/>
    <col min="4622" max="4622" width="8.28515625" customWidth="1"/>
    <col min="4623" max="4623" width="9.7109375" customWidth="1"/>
    <col min="4624" max="4624" width="2.28515625" customWidth="1"/>
    <col min="4625" max="4625" width="9.7109375" customWidth="1"/>
    <col min="4626" max="4626" width="8.28515625" customWidth="1"/>
    <col min="4865" max="4865" width="30.85546875" customWidth="1"/>
    <col min="4866" max="4867" width="8.28515625" customWidth="1"/>
    <col min="4868" max="4868" width="2.42578125" customWidth="1"/>
    <col min="4869" max="4870" width="8.28515625" customWidth="1"/>
    <col min="4871" max="4871" width="2.28515625" customWidth="1"/>
    <col min="4872" max="4872" width="8.28515625" customWidth="1"/>
    <col min="4873" max="4873" width="9.140625" customWidth="1"/>
    <col min="4874" max="4874" width="2.28515625" customWidth="1"/>
    <col min="4875" max="4875" width="8.28515625" customWidth="1"/>
    <col min="4876" max="4876" width="9.42578125" customWidth="1"/>
    <col min="4877" max="4877" width="2.28515625" customWidth="1"/>
    <col min="4878" max="4878" width="8.28515625" customWidth="1"/>
    <col min="4879" max="4879" width="9.7109375" customWidth="1"/>
    <col min="4880" max="4880" width="2.28515625" customWidth="1"/>
    <col min="4881" max="4881" width="9.7109375" customWidth="1"/>
    <col min="4882" max="4882" width="8.28515625" customWidth="1"/>
    <col min="5121" max="5121" width="30.85546875" customWidth="1"/>
    <col min="5122" max="5123" width="8.28515625" customWidth="1"/>
    <col min="5124" max="5124" width="2.42578125" customWidth="1"/>
    <col min="5125" max="5126" width="8.28515625" customWidth="1"/>
    <col min="5127" max="5127" width="2.28515625" customWidth="1"/>
    <col min="5128" max="5128" width="8.28515625" customWidth="1"/>
    <col min="5129" max="5129" width="9.140625" customWidth="1"/>
    <col min="5130" max="5130" width="2.28515625" customWidth="1"/>
    <col min="5131" max="5131" width="8.28515625" customWidth="1"/>
    <col min="5132" max="5132" width="9.42578125" customWidth="1"/>
    <col min="5133" max="5133" width="2.28515625" customWidth="1"/>
    <col min="5134" max="5134" width="8.28515625" customWidth="1"/>
    <col min="5135" max="5135" width="9.7109375" customWidth="1"/>
    <col min="5136" max="5136" width="2.28515625" customWidth="1"/>
    <col min="5137" max="5137" width="9.7109375" customWidth="1"/>
    <col min="5138" max="5138" width="8.28515625" customWidth="1"/>
    <col min="5377" max="5377" width="30.85546875" customWidth="1"/>
    <col min="5378" max="5379" width="8.28515625" customWidth="1"/>
    <col min="5380" max="5380" width="2.42578125" customWidth="1"/>
    <col min="5381" max="5382" width="8.28515625" customWidth="1"/>
    <col min="5383" max="5383" width="2.28515625" customWidth="1"/>
    <col min="5384" max="5384" width="8.28515625" customWidth="1"/>
    <col min="5385" max="5385" width="9.140625" customWidth="1"/>
    <col min="5386" max="5386" width="2.28515625" customWidth="1"/>
    <col min="5387" max="5387" width="8.28515625" customWidth="1"/>
    <col min="5388" max="5388" width="9.42578125" customWidth="1"/>
    <col min="5389" max="5389" width="2.28515625" customWidth="1"/>
    <col min="5390" max="5390" width="8.28515625" customWidth="1"/>
    <col min="5391" max="5391" width="9.7109375" customWidth="1"/>
    <col min="5392" max="5392" width="2.28515625" customWidth="1"/>
    <col min="5393" max="5393" width="9.7109375" customWidth="1"/>
    <col min="5394" max="5394" width="8.28515625" customWidth="1"/>
    <col min="5633" max="5633" width="30.85546875" customWidth="1"/>
    <col min="5634" max="5635" width="8.28515625" customWidth="1"/>
    <col min="5636" max="5636" width="2.42578125" customWidth="1"/>
    <col min="5637" max="5638" width="8.28515625" customWidth="1"/>
    <col min="5639" max="5639" width="2.28515625" customWidth="1"/>
    <col min="5640" max="5640" width="8.28515625" customWidth="1"/>
    <col min="5641" max="5641" width="9.140625" customWidth="1"/>
    <col min="5642" max="5642" width="2.28515625" customWidth="1"/>
    <col min="5643" max="5643" width="8.28515625" customWidth="1"/>
    <col min="5644" max="5644" width="9.42578125" customWidth="1"/>
    <col min="5645" max="5645" width="2.28515625" customWidth="1"/>
    <col min="5646" max="5646" width="8.28515625" customWidth="1"/>
    <col min="5647" max="5647" width="9.7109375" customWidth="1"/>
    <col min="5648" max="5648" width="2.28515625" customWidth="1"/>
    <col min="5649" max="5649" width="9.7109375" customWidth="1"/>
    <col min="5650" max="5650" width="8.28515625" customWidth="1"/>
    <col min="5889" max="5889" width="30.85546875" customWidth="1"/>
    <col min="5890" max="5891" width="8.28515625" customWidth="1"/>
    <col min="5892" max="5892" width="2.42578125" customWidth="1"/>
    <col min="5893" max="5894" width="8.28515625" customWidth="1"/>
    <col min="5895" max="5895" width="2.28515625" customWidth="1"/>
    <col min="5896" max="5896" width="8.28515625" customWidth="1"/>
    <col min="5897" max="5897" width="9.140625" customWidth="1"/>
    <col min="5898" max="5898" width="2.28515625" customWidth="1"/>
    <col min="5899" max="5899" width="8.28515625" customWidth="1"/>
    <col min="5900" max="5900" width="9.42578125" customWidth="1"/>
    <col min="5901" max="5901" width="2.28515625" customWidth="1"/>
    <col min="5902" max="5902" width="8.28515625" customWidth="1"/>
    <col min="5903" max="5903" width="9.7109375" customWidth="1"/>
    <col min="5904" max="5904" width="2.28515625" customWidth="1"/>
    <col min="5905" max="5905" width="9.7109375" customWidth="1"/>
    <col min="5906" max="5906" width="8.28515625" customWidth="1"/>
    <col min="6145" max="6145" width="30.85546875" customWidth="1"/>
    <col min="6146" max="6147" width="8.28515625" customWidth="1"/>
    <col min="6148" max="6148" width="2.42578125" customWidth="1"/>
    <col min="6149" max="6150" width="8.28515625" customWidth="1"/>
    <col min="6151" max="6151" width="2.28515625" customWidth="1"/>
    <col min="6152" max="6152" width="8.28515625" customWidth="1"/>
    <col min="6153" max="6153" width="9.140625" customWidth="1"/>
    <col min="6154" max="6154" width="2.28515625" customWidth="1"/>
    <col min="6155" max="6155" width="8.28515625" customWidth="1"/>
    <col min="6156" max="6156" width="9.42578125" customWidth="1"/>
    <col min="6157" max="6157" width="2.28515625" customWidth="1"/>
    <col min="6158" max="6158" width="8.28515625" customWidth="1"/>
    <col min="6159" max="6159" width="9.7109375" customWidth="1"/>
    <col min="6160" max="6160" width="2.28515625" customWidth="1"/>
    <col min="6161" max="6161" width="9.7109375" customWidth="1"/>
    <col min="6162" max="6162" width="8.28515625" customWidth="1"/>
    <col min="6401" max="6401" width="30.85546875" customWidth="1"/>
    <col min="6402" max="6403" width="8.28515625" customWidth="1"/>
    <col min="6404" max="6404" width="2.42578125" customWidth="1"/>
    <col min="6405" max="6406" width="8.28515625" customWidth="1"/>
    <col min="6407" max="6407" width="2.28515625" customWidth="1"/>
    <col min="6408" max="6408" width="8.28515625" customWidth="1"/>
    <col min="6409" max="6409" width="9.140625" customWidth="1"/>
    <col min="6410" max="6410" width="2.28515625" customWidth="1"/>
    <col min="6411" max="6411" width="8.28515625" customWidth="1"/>
    <col min="6412" max="6412" width="9.42578125" customWidth="1"/>
    <col min="6413" max="6413" width="2.28515625" customWidth="1"/>
    <col min="6414" max="6414" width="8.28515625" customWidth="1"/>
    <col min="6415" max="6415" width="9.7109375" customWidth="1"/>
    <col min="6416" max="6416" width="2.28515625" customWidth="1"/>
    <col min="6417" max="6417" width="9.7109375" customWidth="1"/>
    <col min="6418" max="6418" width="8.28515625" customWidth="1"/>
    <col min="6657" max="6657" width="30.85546875" customWidth="1"/>
    <col min="6658" max="6659" width="8.28515625" customWidth="1"/>
    <col min="6660" max="6660" width="2.42578125" customWidth="1"/>
    <col min="6661" max="6662" width="8.28515625" customWidth="1"/>
    <col min="6663" max="6663" width="2.28515625" customWidth="1"/>
    <col min="6664" max="6664" width="8.28515625" customWidth="1"/>
    <col min="6665" max="6665" width="9.140625" customWidth="1"/>
    <col min="6666" max="6666" width="2.28515625" customWidth="1"/>
    <col min="6667" max="6667" width="8.28515625" customWidth="1"/>
    <col min="6668" max="6668" width="9.42578125" customWidth="1"/>
    <col min="6669" max="6669" width="2.28515625" customWidth="1"/>
    <col min="6670" max="6670" width="8.28515625" customWidth="1"/>
    <col min="6671" max="6671" width="9.7109375" customWidth="1"/>
    <col min="6672" max="6672" width="2.28515625" customWidth="1"/>
    <col min="6673" max="6673" width="9.7109375" customWidth="1"/>
    <col min="6674" max="6674" width="8.28515625" customWidth="1"/>
    <col min="6913" max="6913" width="30.85546875" customWidth="1"/>
    <col min="6914" max="6915" width="8.28515625" customWidth="1"/>
    <col min="6916" max="6916" width="2.42578125" customWidth="1"/>
    <col min="6917" max="6918" width="8.28515625" customWidth="1"/>
    <col min="6919" max="6919" width="2.28515625" customWidth="1"/>
    <col min="6920" max="6920" width="8.28515625" customWidth="1"/>
    <col min="6921" max="6921" width="9.140625" customWidth="1"/>
    <col min="6922" max="6922" width="2.28515625" customWidth="1"/>
    <col min="6923" max="6923" width="8.28515625" customWidth="1"/>
    <col min="6924" max="6924" width="9.42578125" customWidth="1"/>
    <col min="6925" max="6925" width="2.28515625" customWidth="1"/>
    <col min="6926" max="6926" width="8.28515625" customWidth="1"/>
    <col min="6927" max="6927" width="9.7109375" customWidth="1"/>
    <col min="6928" max="6928" width="2.28515625" customWidth="1"/>
    <col min="6929" max="6929" width="9.7109375" customWidth="1"/>
    <col min="6930" max="6930" width="8.28515625" customWidth="1"/>
    <col min="7169" max="7169" width="30.85546875" customWidth="1"/>
    <col min="7170" max="7171" width="8.28515625" customWidth="1"/>
    <col min="7172" max="7172" width="2.42578125" customWidth="1"/>
    <col min="7173" max="7174" width="8.28515625" customWidth="1"/>
    <col min="7175" max="7175" width="2.28515625" customWidth="1"/>
    <col min="7176" max="7176" width="8.28515625" customWidth="1"/>
    <col min="7177" max="7177" width="9.140625" customWidth="1"/>
    <col min="7178" max="7178" width="2.28515625" customWidth="1"/>
    <col min="7179" max="7179" width="8.28515625" customWidth="1"/>
    <col min="7180" max="7180" width="9.42578125" customWidth="1"/>
    <col min="7181" max="7181" width="2.28515625" customWidth="1"/>
    <col min="7182" max="7182" width="8.28515625" customWidth="1"/>
    <col min="7183" max="7183" width="9.7109375" customWidth="1"/>
    <col min="7184" max="7184" width="2.28515625" customWidth="1"/>
    <col min="7185" max="7185" width="9.7109375" customWidth="1"/>
    <col min="7186" max="7186" width="8.28515625" customWidth="1"/>
    <col min="7425" max="7425" width="30.85546875" customWidth="1"/>
    <col min="7426" max="7427" width="8.28515625" customWidth="1"/>
    <col min="7428" max="7428" width="2.42578125" customWidth="1"/>
    <col min="7429" max="7430" width="8.28515625" customWidth="1"/>
    <col min="7431" max="7431" width="2.28515625" customWidth="1"/>
    <col min="7432" max="7432" width="8.28515625" customWidth="1"/>
    <col min="7433" max="7433" width="9.140625" customWidth="1"/>
    <col min="7434" max="7434" width="2.28515625" customWidth="1"/>
    <col min="7435" max="7435" width="8.28515625" customWidth="1"/>
    <col min="7436" max="7436" width="9.42578125" customWidth="1"/>
    <col min="7437" max="7437" width="2.28515625" customWidth="1"/>
    <col min="7438" max="7438" width="8.28515625" customWidth="1"/>
    <col min="7439" max="7439" width="9.7109375" customWidth="1"/>
    <col min="7440" max="7440" width="2.28515625" customWidth="1"/>
    <col min="7441" max="7441" width="9.7109375" customWidth="1"/>
    <col min="7442" max="7442" width="8.28515625" customWidth="1"/>
    <col min="7681" max="7681" width="30.85546875" customWidth="1"/>
    <col min="7682" max="7683" width="8.28515625" customWidth="1"/>
    <col min="7684" max="7684" width="2.42578125" customWidth="1"/>
    <col min="7685" max="7686" width="8.28515625" customWidth="1"/>
    <col min="7687" max="7687" width="2.28515625" customWidth="1"/>
    <col min="7688" max="7688" width="8.28515625" customWidth="1"/>
    <col min="7689" max="7689" width="9.140625" customWidth="1"/>
    <col min="7690" max="7690" width="2.28515625" customWidth="1"/>
    <col min="7691" max="7691" width="8.28515625" customWidth="1"/>
    <col min="7692" max="7692" width="9.42578125" customWidth="1"/>
    <col min="7693" max="7693" width="2.28515625" customWidth="1"/>
    <col min="7694" max="7694" width="8.28515625" customWidth="1"/>
    <col min="7695" max="7695" width="9.7109375" customWidth="1"/>
    <col min="7696" max="7696" width="2.28515625" customWidth="1"/>
    <col min="7697" max="7697" width="9.7109375" customWidth="1"/>
    <col min="7698" max="7698" width="8.28515625" customWidth="1"/>
    <col min="7937" max="7937" width="30.85546875" customWidth="1"/>
    <col min="7938" max="7939" width="8.28515625" customWidth="1"/>
    <col min="7940" max="7940" width="2.42578125" customWidth="1"/>
    <col min="7941" max="7942" width="8.28515625" customWidth="1"/>
    <col min="7943" max="7943" width="2.28515625" customWidth="1"/>
    <col min="7944" max="7944" width="8.28515625" customWidth="1"/>
    <col min="7945" max="7945" width="9.140625" customWidth="1"/>
    <col min="7946" max="7946" width="2.28515625" customWidth="1"/>
    <col min="7947" max="7947" width="8.28515625" customWidth="1"/>
    <col min="7948" max="7948" width="9.42578125" customWidth="1"/>
    <col min="7949" max="7949" width="2.28515625" customWidth="1"/>
    <col min="7950" max="7950" width="8.28515625" customWidth="1"/>
    <col min="7951" max="7951" width="9.7109375" customWidth="1"/>
    <col min="7952" max="7952" width="2.28515625" customWidth="1"/>
    <col min="7953" max="7953" width="9.7109375" customWidth="1"/>
    <col min="7954" max="7954" width="8.28515625" customWidth="1"/>
    <col min="8193" max="8193" width="30.85546875" customWidth="1"/>
    <col min="8194" max="8195" width="8.28515625" customWidth="1"/>
    <col min="8196" max="8196" width="2.42578125" customWidth="1"/>
    <col min="8197" max="8198" width="8.28515625" customWidth="1"/>
    <col min="8199" max="8199" width="2.28515625" customWidth="1"/>
    <col min="8200" max="8200" width="8.28515625" customWidth="1"/>
    <col min="8201" max="8201" width="9.140625" customWidth="1"/>
    <col min="8202" max="8202" width="2.28515625" customWidth="1"/>
    <col min="8203" max="8203" width="8.28515625" customWidth="1"/>
    <col min="8204" max="8204" width="9.42578125" customWidth="1"/>
    <col min="8205" max="8205" width="2.28515625" customWidth="1"/>
    <col min="8206" max="8206" width="8.28515625" customWidth="1"/>
    <col min="8207" max="8207" width="9.7109375" customWidth="1"/>
    <col min="8208" max="8208" width="2.28515625" customWidth="1"/>
    <col min="8209" max="8209" width="9.7109375" customWidth="1"/>
    <col min="8210" max="8210" width="8.28515625" customWidth="1"/>
    <col min="8449" max="8449" width="30.85546875" customWidth="1"/>
    <col min="8450" max="8451" width="8.28515625" customWidth="1"/>
    <col min="8452" max="8452" width="2.42578125" customWidth="1"/>
    <col min="8453" max="8454" width="8.28515625" customWidth="1"/>
    <col min="8455" max="8455" width="2.28515625" customWidth="1"/>
    <col min="8456" max="8456" width="8.28515625" customWidth="1"/>
    <col min="8457" max="8457" width="9.140625" customWidth="1"/>
    <col min="8458" max="8458" width="2.28515625" customWidth="1"/>
    <col min="8459" max="8459" width="8.28515625" customWidth="1"/>
    <col min="8460" max="8460" width="9.42578125" customWidth="1"/>
    <col min="8461" max="8461" width="2.28515625" customWidth="1"/>
    <col min="8462" max="8462" width="8.28515625" customWidth="1"/>
    <col min="8463" max="8463" width="9.7109375" customWidth="1"/>
    <col min="8464" max="8464" width="2.28515625" customWidth="1"/>
    <col min="8465" max="8465" width="9.7109375" customWidth="1"/>
    <col min="8466" max="8466" width="8.28515625" customWidth="1"/>
    <col min="8705" max="8705" width="30.85546875" customWidth="1"/>
    <col min="8706" max="8707" width="8.28515625" customWidth="1"/>
    <col min="8708" max="8708" width="2.42578125" customWidth="1"/>
    <col min="8709" max="8710" width="8.28515625" customWidth="1"/>
    <col min="8711" max="8711" width="2.28515625" customWidth="1"/>
    <col min="8712" max="8712" width="8.28515625" customWidth="1"/>
    <col min="8713" max="8713" width="9.140625" customWidth="1"/>
    <col min="8714" max="8714" width="2.28515625" customWidth="1"/>
    <col min="8715" max="8715" width="8.28515625" customWidth="1"/>
    <col min="8716" max="8716" width="9.42578125" customWidth="1"/>
    <col min="8717" max="8717" width="2.28515625" customWidth="1"/>
    <col min="8718" max="8718" width="8.28515625" customWidth="1"/>
    <col min="8719" max="8719" width="9.7109375" customWidth="1"/>
    <col min="8720" max="8720" width="2.28515625" customWidth="1"/>
    <col min="8721" max="8721" width="9.7109375" customWidth="1"/>
    <col min="8722" max="8722" width="8.28515625" customWidth="1"/>
    <col min="8961" max="8961" width="30.85546875" customWidth="1"/>
    <col min="8962" max="8963" width="8.28515625" customWidth="1"/>
    <col min="8964" max="8964" width="2.42578125" customWidth="1"/>
    <col min="8965" max="8966" width="8.28515625" customWidth="1"/>
    <col min="8967" max="8967" width="2.28515625" customWidth="1"/>
    <col min="8968" max="8968" width="8.28515625" customWidth="1"/>
    <col min="8969" max="8969" width="9.140625" customWidth="1"/>
    <col min="8970" max="8970" width="2.28515625" customWidth="1"/>
    <col min="8971" max="8971" width="8.28515625" customWidth="1"/>
    <col min="8972" max="8972" width="9.42578125" customWidth="1"/>
    <col min="8973" max="8973" width="2.28515625" customWidth="1"/>
    <col min="8974" max="8974" width="8.28515625" customWidth="1"/>
    <col min="8975" max="8975" width="9.7109375" customWidth="1"/>
    <col min="8976" max="8976" width="2.28515625" customWidth="1"/>
    <col min="8977" max="8977" width="9.7109375" customWidth="1"/>
    <col min="8978" max="8978" width="8.28515625" customWidth="1"/>
    <col min="9217" max="9217" width="30.85546875" customWidth="1"/>
    <col min="9218" max="9219" width="8.28515625" customWidth="1"/>
    <col min="9220" max="9220" width="2.42578125" customWidth="1"/>
    <col min="9221" max="9222" width="8.28515625" customWidth="1"/>
    <col min="9223" max="9223" width="2.28515625" customWidth="1"/>
    <col min="9224" max="9224" width="8.28515625" customWidth="1"/>
    <col min="9225" max="9225" width="9.140625" customWidth="1"/>
    <col min="9226" max="9226" width="2.28515625" customWidth="1"/>
    <col min="9227" max="9227" width="8.28515625" customWidth="1"/>
    <col min="9228" max="9228" width="9.42578125" customWidth="1"/>
    <col min="9229" max="9229" width="2.28515625" customWidth="1"/>
    <col min="9230" max="9230" width="8.28515625" customWidth="1"/>
    <col min="9231" max="9231" width="9.7109375" customWidth="1"/>
    <col min="9232" max="9232" width="2.28515625" customWidth="1"/>
    <col min="9233" max="9233" width="9.7109375" customWidth="1"/>
    <col min="9234" max="9234" width="8.28515625" customWidth="1"/>
    <col min="9473" max="9473" width="30.85546875" customWidth="1"/>
    <col min="9474" max="9475" width="8.28515625" customWidth="1"/>
    <col min="9476" max="9476" width="2.42578125" customWidth="1"/>
    <col min="9477" max="9478" width="8.28515625" customWidth="1"/>
    <col min="9479" max="9479" width="2.28515625" customWidth="1"/>
    <col min="9480" max="9480" width="8.28515625" customWidth="1"/>
    <col min="9481" max="9481" width="9.140625" customWidth="1"/>
    <col min="9482" max="9482" width="2.28515625" customWidth="1"/>
    <col min="9483" max="9483" width="8.28515625" customWidth="1"/>
    <col min="9484" max="9484" width="9.42578125" customWidth="1"/>
    <col min="9485" max="9485" width="2.28515625" customWidth="1"/>
    <col min="9486" max="9486" width="8.28515625" customWidth="1"/>
    <col min="9487" max="9487" width="9.7109375" customWidth="1"/>
    <col min="9488" max="9488" width="2.28515625" customWidth="1"/>
    <col min="9489" max="9489" width="9.7109375" customWidth="1"/>
    <col min="9490" max="9490" width="8.28515625" customWidth="1"/>
    <col min="9729" max="9729" width="30.85546875" customWidth="1"/>
    <col min="9730" max="9731" width="8.28515625" customWidth="1"/>
    <col min="9732" max="9732" width="2.42578125" customWidth="1"/>
    <col min="9733" max="9734" width="8.28515625" customWidth="1"/>
    <col min="9735" max="9735" width="2.28515625" customWidth="1"/>
    <col min="9736" max="9736" width="8.28515625" customWidth="1"/>
    <col min="9737" max="9737" width="9.140625" customWidth="1"/>
    <col min="9738" max="9738" width="2.28515625" customWidth="1"/>
    <col min="9739" max="9739" width="8.28515625" customWidth="1"/>
    <col min="9740" max="9740" width="9.42578125" customWidth="1"/>
    <col min="9741" max="9741" width="2.28515625" customWidth="1"/>
    <col min="9742" max="9742" width="8.28515625" customWidth="1"/>
    <col min="9743" max="9743" width="9.7109375" customWidth="1"/>
    <col min="9744" max="9744" width="2.28515625" customWidth="1"/>
    <col min="9745" max="9745" width="9.7109375" customWidth="1"/>
    <col min="9746" max="9746" width="8.28515625" customWidth="1"/>
    <col min="9985" max="9985" width="30.85546875" customWidth="1"/>
    <col min="9986" max="9987" width="8.28515625" customWidth="1"/>
    <col min="9988" max="9988" width="2.42578125" customWidth="1"/>
    <col min="9989" max="9990" width="8.28515625" customWidth="1"/>
    <col min="9991" max="9991" width="2.28515625" customWidth="1"/>
    <col min="9992" max="9992" width="8.28515625" customWidth="1"/>
    <col min="9993" max="9993" width="9.140625" customWidth="1"/>
    <col min="9994" max="9994" width="2.28515625" customWidth="1"/>
    <col min="9995" max="9995" width="8.28515625" customWidth="1"/>
    <col min="9996" max="9996" width="9.42578125" customWidth="1"/>
    <col min="9997" max="9997" width="2.28515625" customWidth="1"/>
    <col min="9998" max="9998" width="8.28515625" customWidth="1"/>
    <col min="9999" max="9999" width="9.7109375" customWidth="1"/>
    <col min="10000" max="10000" width="2.28515625" customWidth="1"/>
    <col min="10001" max="10001" width="9.7109375" customWidth="1"/>
    <col min="10002" max="10002" width="8.28515625" customWidth="1"/>
    <col min="10241" max="10241" width="30.85546875" customWidth="1"/>
    <col min="10242" max="10243" width="8.28515625" customWidth="1"/>
    <col min="10244" max="10244" width="2.42578125" customWidth="1"/>
    <col min="10245" max="10246" width="8.28515625" customWidth="1"/>
    <col min="10247" max="10247" width="2.28515625" customWidth="1"/>
    <col min="10248" max="10248" width="8.28515625" customWidth="1"/>
    <col min="10249" max="10249" width="9.140625" customWidth="1"/>
    <col min="10250" max="10250" width="2.28515625" customWidth="1"/>
    <col min="10251" max="10251" width="8.28515625" customWidth="1"/>
    <col min="10252" max="10252" width="9.42578125" customWidth="1"/>
    <col min="10253" max="10253" width="2.28515625" customWidth="1"/>
    <col min="10254" max="10254" width="8.28515625" customWidth="1"/>
    <col min="10255" max="10255" width="9.7109375" customWidth="1"/>
    <col min="10256" max="10256" width="2.28515625" customWidth="1"/>
    <col min="10257" max="10257" width="9.7109375" customWidth="1"/>
    <col min="10258" max="10258" width="8.28515625" customWidth="1"/>
    <col min="10497" max="10497" width="30.85546875" customWidth="1"/>
    <col min="10498" max="10499" width="8.28515625" customWidth="1"/>
    <col min="10500" max="10500" width="2.42578125" customWidth="1"/>
    <col min="10501" max="10502" width="8.28515625" customWidth="1"/>
    <col min="10503" max="10503" width="2.28515625" customWidth="1"/>
    <col min="10504" max="10504" width="8.28515625" customWidth="1"/>
    <col min="10505" max="10505" width="9.140625" customWidth="1"/>
    <col min="10506" max="10506" width="2.28515625" customWidth="1"/>
    <col min="10507" max="10507" width="8.28515625" customWidth="1"/>
    <col min="10508" max="10508" width="9.42578125" customWidth="1"/>
    <col min="10509" max="10509" width="2.28515625" customWidth="1"/>
    <col min="10510" max="10510" width="8.28515625" customWidth="1"/>
    <col min="10511" max="10511" width="9.7109375" customWidth="1"/>
    <col min="10512" max="10512" width="2.28515625" customWidth="1"/>
    <col min="10513" max="10513" width="9.7109375" customWidth="1"/>
    <col min="10514" max="10514" width="8.28515625" customWidth="1"/>
    <col min="10753" max="10753" width="30.85546875" customWidth="1"/>
    <col min="10754" max="10755" width="8.28515625" customWidth="1"/>
    <col min="10756" max="10756" width="2.42578125" customWidth="1"/>
    <col min="10757" max="10758" width="8.28515625" customWidth="1"/>
    <col min="10759" max="10759" width="2.28515625" customWidth="1"/>
    <col min="10760" max="10760" width="8.28515625" customWidth="1"/>
    <col min="10761" max="10761" width="9.140625" customWidth="1"/>
    <col min="10762" max="10762" width="2.28515625" customWidth="1"/>
    <col min="10763" max="10763" width="8.28515625" customWidth="1"/>
    <col min="10764" max="10764" width="9.42578125" customWidth="1"/>
    <col min="10765" max="10765" width="2.28515625" customWidth="1"/>
    <col min="10766" max="10766" width="8.28515625" customWidth="1"/>
    <col min="10767" max="10767" width="9.7109375" customWidth="1"/>
    <col min="10768" max="10768" width="2.28515625" customWidth="1"/>
    <col min="10769" max="10769" width="9.7109375" customWidth="1"/>
    <col min="10770" max="10770" width="8.28515625" customWidth="1"/>
    <col min="11009" max="11009" width="30.85546875" customWidth="1"/>
    <col min="11010" max="11011" width="8.28515625" customWidth="1"/>
    <col min="11012" max="11012" width="2.42578125" customWidth="1"/>
    <col min="11013" max="11014" width="8.28515625" customWidth="1"/>
    <col min="11015" max="11015" width="2.28515625" customWidth="1"/>
    <col min="11016" max="11016" width="8.28515625" customWidth="1"/>
    <col min="11017" max="11017" width="9.140625" customWidth="1"/>
    <col min="11018" max="11018" width="2.28515625" customWidth="1"/>
    <col min="11019" max="11019" width="8.28515625" customWidth="1"/>
    <col min="11020" max="11020" width="9.42578125" customWidth="1"/>
    <col min="11021" max="11021" width="2.28515625" customWidth="1"/>
    <col min="11022" max="11022" width="8.28515625" customWidth="1"/>
    <col min="11023" max="11023" width="9.7109375" customWidth="1"/>
    <col min="11024" max="11024" width="2.28515625" customWidth="1"/>
    <col min="11025" max="11025" width="9.7109375" customWidth="1"/>
    <col min="11026" max="11026" width="8.28515625" customWidth="1"/>
    <col min="11265" max="11265" width="30.85546875" customWidth="1"/>
    <col min="11266" max="11267" width="8.28515625" customWidth="1"/>
    <col min="11268" max="11268" width="2.42578125" customWidth="1"/>
    <col min="11269" max="11270" width="8.28515625" customWidth="1"/>
    <col min="11271" max="11271" width="2.28515625" customWidth="1"/>
    <col min="11272" max="11272" width="8.28515625" customWidth="1"/>
    <col min="11273" max="11273" width="9.140625" customWidth="1"/>
    <col min="11274" max="11274" width="2.28515625" customWidth="1"/>
    <col min="11275" max="11275" width="8.28515625" customWidth="1"/>
    <col min="11276" max="11276" width="9.42578125" customWidth="1"/>
    <col min="11277" max="11277" width="2.28515625" customWidth="1"/>
    <col min="11278" max="11278" width="8.28515625" customWidth="1"/>
    <col min="11279" max="11279" width="9.7109375" customWidth="1"/>
    <col min="11280" max="11280" width="2.28515625" customWidth="1"/>
    <col min="11281" max="11281" width="9.7109375" customWidth="1"/>
    <col min="11282" max="11282" width="8.28515625" customWidth="1"/>
    <col min="11521" max="11521" width="30.85546875" customWidth="1"/>
    <col min="11522" max="11523" width="8.28515625" customWidth="1"/>
    <col min="11524" max="11524" width="2.42578125" customWidth="1"/>
    <col min="11525" max="11526" width="8.28515625" customWidth="1"/>
    <col min="11527" max="11527" width="2.28515625" customWidth="1"/>
    <col min="11528" max="11528" width="8.28515625" customWidth="1"/>
    <col min="11529" max="11529" width="9.140625" customWidth="1"/>
    <col min="11530" max="11530" width="2.28515625" customWidth="1"/>
    <col min="11531" max="11531" width="8.28515625" customWidth="1"/>
    <col min="11532" max="11532" width="9.42578125" customWidth="1"/>
    <col min="11533" max="11533" width="2.28515625" customWidth="1"/>
    <col min="11534" max="11534" width="8.28515625" customWidth="1"/>
    <col min="11535" max="11535" width="9.7109375" customWidth="1"/>
    <col min="11536" max="11536" width="2.28515625" customWidth="1"/>
    <col min="11537" max="11537" width="9.7109375" customWidth="1"/>
    <col min="11538" max="11538" width="8.28515625" customWidth="1"/>
    <col min="11777" max="11777" width="30.85546875" customWidth="1"/>
    <col min="11778" max="11779" width="8.28515625" customWidth="1"/>
    <col min="11780" max="11780" width="2.42578125" customWidth="1"/>
    <col min="11781" max="11782" width="8.28515625" customWidth="1"/>
    <col min="11783" max="11783" width="2.28515625" customWidth="1"/>
    <col min="11784" max="11784" width="8.28515625" customWidth="1"/>
    <col min="11785" max="11785" width="9.140625" customWidth="1"/>
    <col min="11786" max="11786" width="2.28515625" customWidth="1"/>
    <col min="11787" max="11787" width="8.28515625" customWidth="1"/>
    <col min="11788" max="11788" width="9.42578125" customWidth="1"/>
    <col min="11789" max="11789" width="2.28515625" customWidth="1"/>
    <col min="11790" max="11790" width="8.28515625" customWidth="1"/>
    <col min="11791" max="11791" width="9.7109375" customWidth="1"/>
    <col min="11792" max="11792" width="2.28515625" customWidth="1"/>
    <col min="11793" max="11793" width="9.7109375" customWidth="1"/>
    <col min="11794" max="11794" width="8.28515625" customWidth="1"/>
    <col min="12033" max="12033" width="30.85546875" customWidth="1"/>
    <col min="12034" max="12035" width="8.28515625" customWidth="1"/>
    <col min="12036" max="12036" width="2.42578125" customWidth="1"/>
    <col min="12037" max="12038" width="8.28515625" customWidth="1"/>
    <col min="12039" max="12039" width="2.28515625" customWidth="1"/>
    <col min="12040" max="12040" width="8.28515625" customWidth="1"/>
    <col min="12041" max="12041" width="9.140625" customWidth="1"/>
    <col min="12042" max="12042" width="2.28515625" customWidth="1"/>
    <col min="12043" max="12043" width="8.28515625" customWidth="1"/>
    <col min="12044" max="12044" width="9.42578125" customWidth="1"/>
    <col min="12045" max="12045" width="2.28515625" customWidth="1"/>
    <col min="12046" max="12046" width="8.28515625" customWidth="1"/>
    <col min="12047" max="12047" width="9.7109375" customWidth="1"/>
    <col min="12048" max="12048" width="2.28515625" customWidth="1"/>
    <col min="12049" max="12049" width="9.7109375" customWidth="1"/>
    <col min="12050" max="12050" width="8.28515625" customWidth="1"/>
    <col min="12289" max="12289" width="30.85546875" customWidth="1"/>
    <col min="12290" max="12291" width="8.28515625" customWidth="1"/>
    <col min="12292" max="12292" width="2.42578125" customWidth="1"/>
    <col min="12293" max="12294" width="8.28515625" customWidth="1"/>
    <col min="12295" max="12295" width="2.28515625" customWidth="1"/>
    <col min="12296" max="12296" width="8.28515625" customWidth="1"/>
    <col min="12297" max="12297" width="9.140625" customWidth="1"/>
    <col min="12298" max="12298" width="2.28515625" customWidth="1"/>
    <col min="12299" max="12299" width="8.28515625" customWidth="1"/>
    <col min="12300" max="12300" width="9.42578125" customWidth="1"/>
    <col min="12301" max="12301" width="2.28515625" customWidth="1"/>
    <col min="12302" max="12302" width="8.28515625" customWidth="1"/>
    <col min="12303" max="12303" width="9.7109375" customWidth="1"/>
    <col min="12304" max="12304" width="2.28515625" customWidth="1"/>
    <col min="12305" max="12305" width="9.7109375" customWidth="1"/>
    <col min="12306" max="12306" width="8.28515625" customWidth="1"/>
    <col min="12545" max="12545" width="30.85546875" customWidth="1"/>
    <col min="12546" max="12547" width="8.28515625" customWidth="1"/>
    <col min="12548" max="12548" width="2.42578125" customWidth="1"/>
    <col min="12549" max="12550" width="8.28515625" customWidth="1"/>
    <col min="12551" max="12551" width="2.28515625" customWidth="1"/>
    <col min="12552" max="12552" width="8.28515625" customWidth="1"/>
    <col min="12553" max="12553" width="9.140625" customWidth="1"/>
    <col min="12554" max="12554" width="2.28515625" customWidth="1"/>
    <col min="12555" max="12555" width="8.28515625" customWidth="1"/>
    <col min="12556" max="12556" width="9.42578125" customWidth="1"/>
    <col min="12557" max="12557" width="2.28515625" customWidth="1"/>
    <col min="12558" max="12558" width="8.28515625" customWidth="1"/>
    <col min="12559" max="12559" width="9.7109375" customWidth="1"/>
    <col min="12560" max="12560" width="2.28515625" customWidth="1"/>
    <col min="12561" max="12561" width="9.7109375" customWidth="1"/>
    <col min="12562" max="12562" width="8.28515625" customWidth="1"/>
    <col min="12801" max="12801" width="30.85546875" customWidth="1"/>
    <col min="12802" max="12803" width="8.28515625" customWidth="1"/>
    <col min="12804" max="12804" width="2.42578125" customWidth="1"/>
    <col min="12805" max="12806" width="8.28515625" customWidth="1"/>
    <col min="12807" max="12807" width="2.28515625" customWidth="1"/>
    <col min="12808" max="12808" width="8.28515625" customWidth="1"/>
    <col min="12809" max="12809" width="9.140625" customWidth="1"/>
    <col min="12810" max="12810" width="2.28515625" customWidth="1"/>
    <col min="12811" max="12811" width="8.28515625" customWidth="1"/>
    <col min="12812" max="12812" width="9.42578125" customWidth="1"/>
    <col min="12813" max="12813" width="2.28515625" customWidth="1"/>
    <col min="12814" max="12814" width="8.28515625" customWidth="1"/>
    <col min="12815" max="12815" width="9.7109375" customWidth="1"/>
    <col min="12816" max="12816" width="2.28515625" customWidth="1"/>
    <col min="12817" max="12817" width="9.7109375" customWidth="1"/>
    <col min="12818" max="12818" width="8.28515625" customWidth="1"/>
    <col min="13057" max="13057" width="30.85546875" customWidth="1"/>
    <col min="13058" max="13059" width="8.28515625" customWidth="1"/>
    <col min="13060" max="13060" width="2.42578125" customWidth="1"/>
    <col min="13061" max="13062" width="8.28515625" customWidth="1"/>
    <col min="13063" max="13063" width="2.28515625" customWidth="1"/>
    <col min="13064" max="13064" width="8.28515625" customWidth="1"/>
    <col min="13065" max="13065" width="9.140625" customWidth="1"/>
    <col min="13066" max="13066" width="2.28515625" customWidth="1"/>
    <col min="13067" max="13067" width="8.28515625" customWidth="1"/>
    <col min="13068" max="13068" width="9.42578125" customWidth="1"/>
    <col min="13069" max="13069" width="2.28515625" customWidth="1"/>
    <col min="13070" max="13070" width="8.28515625" customWidth="1"/>
    <col min="13071" max="13071" width="9.7109375" customWidth="1"/>
    <col min="13072" max="13072" width="2.28515625" customWidth="1"/>
    <col min="13073" max="13073" width="9.7109375" customWidth="1"/>
    <col min="13074" max="13074" width="8.28515625" customWidth="1"/>
    <col min="13313" max="13313" width="30.85546875" customWidth="1"/>
    <col min="13314" max="13315" width="8.28515625" customWidth="1"/>
    <col min="13316" max="13316" width="2.42578125" customWidth="1"/>
    <col min="13317" max="13318" width="8.28515625" customWidth="1"/>
    <col min="13319" max="13319" width="2.28515625" customWidth="1"/>
    <col min="13320" max="13320" width="8.28515625" customWidth="1"/>
    <col min="13321" max="13321" width="9.140625" customWidth="1"/>
    <col min="13322" max="13322" width="2.28515625" customWidth="1"/>
    <col min="13323" max="13323" width="8.28515625" customWidth="1"/>
    <col min="13324" max="13324" width="9.42578125" customWidth="1"/>
    <col min="13325" max="13325" width="2.28515625" customWidth="1"/>
    <col min="13326" max="13326" width="8.28515625" customWidth="1"/>
    <col min="13327" max="13327" width="9.7109375" customWidth="1"/>
    <col min="13328" max="13328" width="2.28515625" customWidth="1"/>
    <col min="13329" max="13329" width="9.7109375" customWidth="1"/>
    <col min="13330" max="13330" width="8.28515625" customWidth="1"/>
    <col min="13569" max="13569" width="30.85546875" customWidth="1"/>
    <col min="13570" max="13571" width="8.28515625" customWidth="1"/>
    <col min="13572" max="13572" width="2.42578125" customWidth="1"/>
    <col min="13573" max="13574" width="8.28515625" customWidth="1"/>
    <col min="13575" max="13575" width="2.28515625" customWidth="1"/>
    <col min="13576" max="13576" width="8.28515625" customWidth="1"/>
    <col min="13577" max="13577" width="9.140625" customWidth="1"/>
    <col min="13578" max="13578" width="2.28515625" customWidth="1"/>
    <col min="13579" max="13579" width="8.28515625" customWidth="1"/>
    <col min="13580" max="13580" width="9.42578125" customWidth="1"/>
    <col min="13581" max="13581" width="2.28515625" customWidth="1"/>
    <col min="13582" max="13582" width="8.28515625" customWidth="1"/>
    <col min="13583" max="13583" width="9.7109375" customWidth="1"/>
    <col min="13584" max="13584" width="2.28515625" customWidth="1"/>
    <col min="13585" max="13585" width="9.7109375" customWidth="1"/>
    <col min="13586" max="13586" width="8.28515625" customWidth="1"/>
    <col min="13825" max="13825" width="30.85546875" customWidth="1"/>
    <col min="13826" max="13827" width="8.28515625" customWidth="1"/>
    <col min="13828" max="13828" width="2.42578125" customWidth="1"/>
    <col min="13829" max="13830" width="8.28515625" customWidth="1"/>
    <col min="13831" max="13831" width="2.28515625" customWidth="1"/>
    <col min="13832" max="13832" width="8.28515625" customWidth="1"/>
    <col min="13833" max="13833" width="9.140625" customWidth="1"/>
    <col min="13834" max="13834" width="2.28515625" customWidth="1"/>
    <col min="13835" max="13835" width="8.28515625" customWidth="1"/>
    <col min="13836" max="13836" width="9.42578125" customWidth="1"/>
    <col min="13837" max="13837" width="2.28515625" customWidth="1"/>
    <col min="13838" max="13838" width="8.28515625" customWidth="1"/>
    <col min="13839" max="13839" width="9.7109375" customWidth="1"/>
    <col min="13840" max="13840" width="2.28515625" customWidth="1"/>
    <col min="13841" max="13841" width="9.7109375" customWidth="1"/>
    <col min="13842" max="13842" width="8.28515625" customWidth="1"/>
    <col min="14081" max="14081" width="30.85546875" customWidth="1"/>
    <col min="14082" max="14083" width="8.28515625" customWidth="1"/>
    <col min="14084" max="14084" width="2.42578125" customWidth="1"/>
    <col min="14085" max="14086" width="8.28515625" customWidth="1"/>
    <col min="14087" max="14087" width="2.28515625" customWidth="1"/>
    <col min="14088" max="14088" width="8.28515625" customWidth="1"/>
    <col min="14089" max="14089" width="9.140625" customWidth="1"/>
    <col min="14090" max="14090" width="2.28515625" customWidth="1"/>
    <col min="14091" max="14091" width="8.28515625" customWidth="1"/>
    <col min="14092" max="14092" width="9.42578125" customWidth="1"/>
    <col min="14093" max="14093" width="2.28515625" customWidth="1"/>
    <col min="14094" max="14094" width="8.28515625" customWidth="1"/>
    <col min="14095" max="14095" width="9.7109375" customWidth="1"/>
    <col min="14096" max="14096" width="2.28515625" customWidth="1"/>
    <col min="14097" max="14097" width="9.7109375" customWidth="1"/>
    <col min="14098" max="14098" width="8.28515625" customWidth="1"/>
    <col min="14337" max="14337" width="30.85546875" customWidth="1"/>
    <col min="14338" max="14339" width="8.28515625" customWidth="1"/>
    <col min="14340" max="14340" width="2.42578125" customWidth="1"/>
    <col min="14341" max="14342" width="8.28515625" customWidth="1"/>
    <col min="14343" max="14343" width="2.28515625" customWidth="1"/>
    <col min="14344" max="14344" width="8.28515625" customWidth="1"/>
    <col min="14345" max="14345" width="9.140625" customWidth="1"/>
    <col min="14346" max="14346" width="2.28515625" customWidth="1"/>
    <col min="14347" max="14347" width="8.28515625" customWidth="1"/>
    <col min="14348" max="14348" width="9.42578125" customWidth="1"/>
    <col min="14349" max="14349" width="2.28515625" customWidth="1"/>
    <col min="14350" max="14350" width="8.28515625" customWidth="1"/>
    <col min="14351" max="14351" width="9.7109375" customWidth="1"/>
    <col min="14352" max="14352" width="2.28515625" customWidth="1"/>
    <col min="14353" max="14353" width="9.7109375" customWidth="1"/>
    <col min="14354" max="14354" width="8.28515625" customWidth="1"/>
    <col min="14593" max="14593" width="30.85546875" customWidth="1"/>
    <col min="14594" max="14595" width="8.28515625" customWidth="1"/>
    <col min="14596" max="14596" width="2.42578125" customWidth="1"/>
    <col min="14597" max="14598" width="8.28515625" customWidth="1"/>
    <col min="14599" max="14599" width="2.28515625" customWidth="1"/>
    <col min="14600" max="14600" width="8.28515625" customWidth="1"/>
    <col min="14601" max="14601" width="9.140625" customWidth="1"/>
    <col min="14602" max="14602" width="2.28515625" customWidth="1"/>
    <col min="14603" max="14603" width="8.28515625" customWidth="1"/>
    <col min="14604" max="14604" width="9.42578125" customWidth="1"/>
    <col min="14605" max="14605" width="2.28515625" customWidth="1"/>
    <col min="14606" max="14606" width="8.28515625" customWidth="1"/>
    <col min="14607" max="14607" width="9.7109375" customWidth="1"/>
    <col min="14608" max="14608" width="2.28515625" customWidth="1"/>
    <col min="14609" max="14609" width="9.7109375" customWidth="1"/>
    <col min="14610" max="14610" width="8.28515625" customWidth="1"/>
    <col min="14849" max="14849" width="30.85546875" customWidth="1"/>
    <col min="14850" max="14851" width="8.28515625" customWidth="1"/>
    <col min="14852" max="14852" width="2.42578125" customWidth="1"/>
    <col min="14853" max="14854" width="8.28515625" customWidth="1"/>
    <col min="14855" max="14855" width="2.28515625" customWidth="1"/>
    <col min="14856" max="14856" width="8.28515625" customWidth="1"/>
    <col min="14857" max="14857" width="9.140625" customWidth="1"/>
    <col min="14858" max="14858" width="2.28515625" customWidth="1"/>
    <col min="14859" max="14859" width="8.28515625" customWidth="1"/>
    <col min="14860" max="14860" width="9.42578125" customWidth="1"/>
    <col min="14861" max="14861" width="2.28515625" customWidth="1"/>
    <col min="14862" max="14862" width="8.28515625" customWidth="1"/>
    <col min="14863" max="14863" width="9.7109375" customWidth="1"/>
    <col min="14864" max="14864" width="2.28515625" customWidth="1"/>
    <col min="14865" max="14865" width="9.7109375" customWidth="1"/>
    <col min="14866" max="14866" width="8.28515625" customWidth="1"/>
    <col min="15105" max="15105" width="30.85546875" customWidth="1"/>
    <col min="15106" max="15107" width="8.28515625" customWidth="1"/>
    <col min="15108" max="15108" width="2.42578125" customWidth="1"/>
    <col min="15109" max="15110" width="8.28515625" customWidth="1"/>
    <col min="15111" max="15111" width="2.28515625" customWidth="1"/>
    <col min="15112" max="15112" width="8.28515625" customWidth="1"/>
    <col min="15113" max="15113" width="9.140625" customWidth="1"/>
    <col min="15114" max="15114" width="2.28515625" customWidth="1"/>
    <col min="15115" max="15115" width="8.28515625" customWidth="1"/>
    <col min="15116" max="15116" width="9.42578125" customWidth="1"/>
    <col min="15117" max="15117" width="2.28515625" customWidth="1"/>
    <col min="15118" max="15118" width="8.28515625" customWidth="1"/>
    <col min="15119" max="15119" width="9.7109375" customWidth="1"/>
    <col min="15120" max="15120" width="2.28515625" customWidth="1"/>
    <col min="15121" max="15121" width="9.7109375" customWidth="1"/>
    <col min="15122" max="15122" width="8.28515625" customWidth="1"/>
    <col min="15361" max="15361" width="30.85546875" customWidth="1"/>
    <col min="15362" max="15363" width="8.28515625" customWidth="1"/>
    <col min="15364" max="15364" width="2.42578125" customWidth="1"/>
    <col min="15365" max="15366" width="8.28515625" customWidth="1"/>
    <col min="15367" max="15367" width="2.28515625" customWidth="1"/>
    <col min="15368" max="15368" width="8.28515625" customWidth="1"/>
    <col min="15369" max="15369" width="9.140625" customWidth="1"/>
    <col min="15370" max="15370" width="2.28515625" customWidth="1"/>
    <col min="15371" max="15371" width="8.28515625" customWidth="1"/>
    <col min="15372" max="15372" width="9.42578125" customWidth="1"/>
    <col min="15373" max="15373" width="2.28515625" customWidth="1"/>
    <col min="15374" max="15374" width="8.28515625" customWidth="1"/>
    <col min="15375" max="15375" width="9.7109375" customWidth="1"/>
    <col min="15376" max="15376" width="2.28515625" customWidth="1"/>
    <col min="15377" max="15377" width="9.7109375" customWidth="1"/>
    <col min="15378" max="15378" width="8.28515625" customWidth="1"/>
    <col min="15617" max="15617" width="30.85546875" customWidth="1"/>
    <col min="15618" max="15619" width="8.28515625" customWidth="1"/>
    <col min="15620" max="15620" width="2.42578125" customWidth="1"/>
    <col min="15621" max="15622" width="8.28515625" customWidth="1"/>
    <col min="15623" max="15623" width="2.28515625" customWidth="1"/>
    <col min="15624" max="15624" width="8.28515625" customWidth="1"/>
    <col min="15625" max="15625" width="9.140625" customWidth="1"/>
    <col min="15626" max="15626" width="2.28515625" customWidth="1"/>
    <col min="15627" max="15627" width="8.28515625" customWidth="1"/>
    <col min="15628" max="15628" width="9.42578125" customWidth="1"/>
    <col min="15629" max="15629" width="2.28515625" customWidth="1"/>
    <col min="15630" max="15630" width="8.28515625" customWidth="1"/>
    <col min="15631" max="15631" width="9.7109375" customWidth="1"/>
    <col min="15632" max="15632" width="2.28515625" customWidth="1"/>
    <col min="15633" max="15633" width="9.7109375" customWidth="1"/>
    <col min="15634" max="15634" width="8.28515625" customWidth="1"/>
    <col min="15873" max="15873" width="30.85546875" customWidth="1"/>
    <col min="15874" max="15875" width="8.28515625" customWidth="1"/>
    <col min="15876" max="15876" width="2.42578125" customWidth="1"/>
    <col min="15877" max="15878" width="8.28515625" customWidth="1"/>
    <col min="15879" max="15879" width="2.28515625" customWidth="1"/>
    <col min="15880" max="15880" width="8.28515625" customWidth="1"/>
    <col min="15881" max="15881" width="9.140625" customWidth="1"/>
    <col min="15882" max="15882" width="2.28515625" customWidth="1"/>
    <col min="15883" max="15883" width="8.28515625" customWidth="1"/>
    <col min="15884" max="15884" width="9.42578125" customWidth="1"/>
    <col min="15885" max="15885" width="2.28515625" customWidth="1"/>
    <col min="15886" max="15886" width="8.28515625" customWidth="1"/>
    <col min="15887" max="15887" width="9.7109375" customWidth="1"/>
    <col min="15888" max="15888" width="2.28515625" customWidth="1"/>
    <col min="15889" max="15889" width="9.7109375" customWidth="1"/>
    <col min="15890" max="15890" width="8.28515625" customWidth="1"/>
    <col min="16129" max="16129" width="30.85546875" customWidth="1"/>
    <col min="16130" max="16131" width="8.28515625" customWidth="1"/>
    <col min="16132" max="16132" width="2.42578125" customWidth="1"/>
    <col min="16133" max="16134" width="8.28515625" customWidth="1"/>
    <col min="16135" max="16135" width="2.28515625" customWidth="1"/>
    <col min="16136" max="16136" width="8.28515625" customWidth="1"/>
    <col min="16137" max="16137" width="9.140625" customWidth="1"/>
    <col min="16138" max="16138" width="2.28515625" customWidth="1"/>
    <col min="16139" max="16139" width="8.28515625" customWidth="1"/>
    <col min="16140" max="16140" width="9.42578125" customWidth="1"/>
    <col min="16141" max="16141" width="2.28515625" customWidth="1"/>
    <col min="16142" max="16142" width="8.28515625" customWidth="1"/>
    <col min="16143" max="16143" width="9.7109375" customWidth="1"/>
    <col min="16144" max="16144" width="2.28515625" customWidth="1"/>
    <col min="16145" max="16145" width="9.7109375" customWidth="1"/>
    <col min="16146" max="16146" width="8.28515625" customWidth="1"/>
  </cols>
  <sheetData>
    <row r="1" spans="1:18">
      <c r="A1" t="s">
        <v>0</v>
      </c>
    </row>
    <row r="2" spans="1:18">
      <c r="A2" t="s">
        <v>1</v>
      </c>
    </row>
    <row r="3" spans="1:18" ht="8.25" customHeight="1"/>
    <row r="4" spans="1:18">
      <c r="A4" s="42" t="s">
        <v>982</v>
      </c>
    </row>
    <row r="5" spans="1:18" ht="8.25" customHeight="1" thickBot="1"/>
    <row r="6" spans="1:18" ht="15" customHeight="1">
      <c r="A6" s="6"/>
      <c r="B6" s="52"/>
      <c r="C6" s="38"/>
      <c r="D6" s="38"/>
      <c r="E6" s="52"/>
      <c r="F6" s="38"/>
      <c r="G6" s="6"/>
      <c r="H6" s="52"/>
      <c r="I6" s="38"/>
      <c r="J6" s="6"/>
      <c r="K6" s="52"/>
      <c r="L6" s="38"/>
      <c r="M6" s="6"/>
      <c r="N6" s="52"/>
      <c r="O6" s="38"/>
      <c r="P6" s="6"/>
      <c r="Q6" s="52"/>
      <c r="R6" s="38"/>
    </row>
    <row r="7" spans="1:18" ht="15" customHeight="1">
      <c r="A7" s="36" t="s">
        <v>969</v>
      </c>
      <c r="B7" s="37" t="s">
        <v>970</v>
      </c>
      <c r="C7" s="53"/>
      <c r="D7" s="53"/>
      <c r="E7" s="37" t="s">
        <v>971</v>
      </c>
      <c r="F7" s="53"/>
      <c r="G7" s="36"/>
      <c r="H7" s="37" t="s">
        <v>972</v>
      </c>
      <c r="I7" s="53"/>
      <c r="J7" s="36"/>
      <c r="K7" s="37" t="s">
        <v>973</v>
      </c>
      <c r="L7" s="53"/>
      <c r="M7" s="36"/>
      <c r="N7" s="37" t="s">
        <v>974</v>
      </c>
      <c r="O7" s="53"/>
      <c r="P7" s="36"/>
      <c r="Q7" s="37" t="s">
        <v>934</v>
      </c>
      <c r="R7" s="53"/>
    </row>
    <row r="8" spans="1:18" ht="15" customHeight="1">
      <c r="A8" s="36" t="s">
        <v>975</v>
      </c>
      <c r="B8" s="332" t="s">
        <v>957</v>
      </c>
      <c r="C8" s="333" t="s">
        <v>976</v>
      </c>
      <c r="D8" s="53"/>
      <c r="E8" s="55" t="s">
        <v>323</v>
      </c>
      <c r="F8" s="56" t="s">
        <v>324</v>
      </c>
      <c r="G8" s="36"/>
      <c r="H8" s="55" t="s">
        <v>323</v>
      </c>
      <c r="I8" s="56" t="s">
        <v>324</v>
      </c>
      <c r="J8" s="36"/>
      <c r="K8" s="55" t="s">
        <v>323</v>
      </c>
      <c r="L8" s="56" t="s">
        <v>324</v>
      </c>
      <c r="M8" s="36"/>
      <c r="N8" s="55" t="s">
        <v>323</v>
      </c>
      <c r="O8" s="56" t="s">
        <v>324</v>
      </c>
      <c r="P8" s="36"/>
      <c r="Q8" s="55" t="s">
        <v>323</v>
      </c>
      <c r="R8" s="56" t="s">
        <v>324</v>
      </c>
    </row>
    <row r="9" spans="1:18" ht="15" customHeight="1" thickBot="1">
      <c r="A9" s="15"/>
      <c r="B9" s="59"/>
      <c r="C9" s="60"/>
      <c r="D9" s="60"/>
      <c r="E9" s="59"/>
      <c r="F9" s="60"/>
      <c r="G9" s="15"/>
      <c r="H9" s="59"/>
      <c r="I9" s="60"/>
      <c r="J9" s="15"/>
      <c r="K9" s="59"/>
      <c r="L9" s="60"/>
      <c r="M9" s="15"/>
      <c r="N9" s="59"/>
      <c r="O9" s="60"/>
      <c r="P9" s="15"/>
      <c r="Q9" s="59"/>
      <c r="R9" s="60"/>
    </row>
    <row r="10" spans="1:18" ht="8.25" customHeight="1">
      <c r="A10" s="36"/>
      <c r="B10" s="37"/>
      <c r="C10" s="53"/>
      <c r="D10" s="53"/>
      <c r="E10" s="37"/>
      <c r="F10" s="53"/>
      <c r="G10" s="36"/>
      <c r="H10" s="37"/>
      <c r="I10" s="53"/>
      <c r="J10" s="36"/>
      <c r="K10" s="37"/>
      <c r="L10" s="53"/>
      <c r="M10" s="36"/>
      <c r="N10" s="37"/>
      <c r="O10" s="53"/>
      <c r="P10" s="36"/>
      <c r="Q10" s="37"/>
      <c r="R10" s="53"/>
    </row>
    <row r="11" spans="1:18" ht="15" customHeight="1">
      <c r="A11" s="90" t="s">
        <v>325</v>
      </c>
      <c r="B11" s="41">
        <f>E11+H11+K11+N11+Q11</f>
        <v>2654</v>
      </c>
      <c r="C11" s="53">
        <f>C13+C25</f>
        <v>100</v>
      </c>
      <c r="D11" s="53"/>
      <c r="E11" s="37">
        <f>SUM(E13+E25)</f>
        <v>416</v>
      </c>
      <c r="F11" s="53">
        <f>IF($A11&lt;&gt;"",E11/$B11*100,"")</f>
        <v>15.674453654860587</v>
      </c>
      <c r="G11" s="36"/>
      <c r="H11" s="37">
        <f>SUM(H13+H25)</f>
        <v>1318</v>
      </c>
      <c r="I11" s="53">
        <f>IF($A11&lt;&gt;"",H11/$B11*100,"")</f>
        <v>49.660889223813115</v>
      </c>
      <c r="J11" s="36"/>
      <c r="K11" s="37">
        <f>SUM(K13+K25)</f>
        <v>660</v>
      </c>
      <c r="L11" s="53">
        <f>IF($A11&lt;&gt;"",K11/$B11*100,"")</f>
        <v>24.868123587038433</v>
      </c>
      <c r="M11" s="36"/>
      <c r="N11" s="37">
        <f>SUM(N13+N25)</f>
        <v>246</v>
      </c>
      <c r="O11" s="53">
        <f>IF($A11&lt;&gt;"",N11/$B11*100,"")</f>
        <v>9.2690278824415984</v>
      </c>
      <c r="P11" s="36"/>
      <c r="Q11" s="37">
        <f>SUM(Q13+Q25)</f>
        <v>14</v>
      </c>
      <c r="R11" s="53">
        <f>IF($A11&lt;&gt;"",Q11/$B11*100,"")</f>
        <v>0.52750565184626974</v>
      </c>
    </row>
    <row r="12" spans="1:18" ht="8.25" customHeight="1">
      <c r="A12" s="36"/>
      <c r="B12" s="37"/>
      <c r="C12" s="53"/>
      <c r="D12" s="53"/>
      <c r="E12" s="37"/>
      <c r="F12" s="53" t="str">
        <f t="shared" ref="F12:F35" si="0">IF($A12&lt;&gt;"",E12/$B12*100,"")</f>
        <v/>
      </c>
      <c r="G12" s="36"/>
      <c r="H12" s="37"/>
      <c r="I12" s="53" t="str">
        <f t="shared" ref="I12:I35" si="1">IF($A12&lt;&gt;"",H12/$B12*100,"")</f>
        <v/>
      </c>
      <c r="J12" s="36"/>
      <c r="K12" s="37"/>
      <c r="L12" s="53" t="str">
        <f t="shared" ref="L12:L35" si="2">IF($A12&lt;&gt;"",K12/$B12*100,"")</f>
        <v/>
      </c>
      <c r="M12" s="36"/>
      <c r="N12" s="37"/>
      <c r="O12" s="53" t="str">
        <f t="shared" ref="O12:O35" si="3">IF($A12&lt;&gt;"",N12/$B12*100,"")</f>
        <v/>
      </c>
      <c r="P12" s="36"/>
      <c r="Q12" s="37"/>
      <c r="R12" s="53" t="str">
        <f t="shared" ref="R12:R35" si="4">IF($A12&lt;&gt;"",Q12/$B12*100,"")</f>
        <v/>
      </c>
    </row>
    <row r="13" spans="1:18" ht="15" customHeight="1">
      <c r="A13" s="63" t="s">
        <v>326</v>
      </c>
      <c r="B13" s="41">
        <f>SUM(B15:B23)</f>
        <v>2489</v>
      </c>
      <c r="C13" s="43">
        <f>IF(A13&lt;&gt;0,B13/$B$11*100,"")</f>
        <v>93.78296910324039</v>
      </c>
      <c r="E13" s="41">
        <f>SUM(E15:E23)</f>
        <v>407</v>
      </c>
      <c r="F13" s="53">
        <f t="shared" si="0"/>
        <v>16.351948573724385</v>
      </c>
      <c r="H13" s="41">
        <f>SUM(H15:H23)</f>
        <v>1218</v>
      </c>
      <c r="I13" s="53">
        <f t="shared" si="1"/>
        <v>48.935315387705906</v>
      </c>
      <c r="K13" s="41">
        <f>SUM(K15:K23)</f>
        <v>621</v>
      </c>
      <c r="L13" s="53">
        <f t="shared" si="2"/>
        <v>24.949779027721977</v>
      </c>
      <c r="N13" s="41">
        <f>SUM(N15:N23)</f>
        <v>229</v>
      </c>
      <c r="O13" s="53">
        <f t="shared" si="3"/>
        <v>9.2004821213338701</v>
      </c>
      <c r="Q13" s="41">
        <f>SUM(Q15:Q23)</f>
        <v>14</v>
      </c>
      <c r="R13" s="53">
        <f t="shared" si="4"/>
        <v>0.56247488951386093</v>
      </c>
    </row>
    <row r="14" spans="1:18" ht="8.25" customHeight="1">
      <c r="B14" s="41" t="s">
        <v>253</v>
      </c>
      <c r="C14" s="43" t="str">
        <f t="shared" ref="C14:C35" si="5">IF(A14&lt;&gt;0,B14/$B$11*100,"")</f>
        <v/>
      </c>
      <c r="F14" s="53" t="str">
        <f t="shared" si="0"/>
        <v/>
      </c>
      <c r="I14" s="53" t="str">
        <f t="shared" si="1"/>
        <v/>
      </c>
      <c r="L14" s="53" t="str">
        <f t="shared" si="2"/>
        <v/>
      </c>
      <c r="O14" s="53" t="str">
        <f t="shared" si="3"/>
        <v/>
      </c>
      <c r="R14" s="53" t="str">
        <f t="shared" si="4"/>
        <v/>
      </c>
    </row>
    <row r="15" spans="1:18" ht="15" customHeight="1">
      <c r="A15" t="s">
        <v>977</v>
      </c>
      <c r="B15" s="41">
        <f>E15+H15+K15+N15+Q15</f>
        <v>116</v>
      </c>
      <c r="C15" s="43">
        <f t="shared" si="5"/>
        <v>4.3707611152976638</v>
      </c>
      <c r="E15" s="327">
        <v>100</v>
      </c>
      <c r="F15" s="53">
        <f t="shared" si="0"/>
        <v>86.206896551724128</v>
      </c>
      <c r="H15" s="286">
        <v>16</v>
      </c>
      <c r="I15" s="53">
        <f>IF($A15&lt;&gt;"",H15/$B15*100,"")</f>
        <v>13.793103448275861</v>
      </c>
      <c r="K15" s="286">
        <v>0</v>
      </c>
      <c r="L15" s="53">
        <f t="shared" si="2"/>
        <v>0</v>
      </c>
      <c r="N15" s="286">
        <v>0</v>
      </c>
      <c r="O15" s="53">
        <f t="shared" si="3"/>
        <v>0</v>
      </c>
      <c r="Q15" s="286">
        <v>0</v>
      </c>
      <c r="R15" s="53">
        <f t="shared" si="4"/>
        <v>0</v>
      </c>
    </row>
    <row r="16" spans="1:18" ht="8.25" customHeight="1">
      <c r="B16" s="41" t="s">
        <v>253</v>
      </c>
      <c r="C16" s="43" t="str">
        <f t="shared" si="5"/>
        <v/>
      </c>
      <c r="E16" s="327"/>
      <c r="F16" s="53" t="str">
        <f t="shared" si="0"/>
        <v/>
      </c>
      <c r="H16" s="286"/>
      <c r="I16" s="53" t="str">
        <f t="shared" si="1"/>
        <v/>
      </c>
      <c r="K16" s="286"/>
      <c r="L16" s="53" t="str">
        <f t="shared" si="2"/>
        <v/>
      </c>
      <c r="N16" s="286"/>
      <c r="O16" s="53" t="str">
        <f t="shared" si="3"/>
        <v/>
      </c>
      <c r="Q16" s="286"/>
      <c r="R16" s="53" t="str">
        <f t="shared" si="4"/>
        <v/>
      </c>
    </row>
    <row r="17" spans="1:18" ht="15" customHeight="1">
      <c r="A17" t="s">
        <v>978</v>
      </c>
      <c r="B17" s="41">
        <f>E17+H17+K17+N17+Q17</f>
        <v>1275</v>
      </c>
      <c r="C17" s="43">
        <f t="shared" si="5"/>
        <v>48.040693293142425</v>
      </c>
      <c r="E17" s="326">
        <v>259</v>
      </c>
      <c r="F17" s="53">
        <f t="shared" si="0"/>
        <v>20.313725490196077</v>
      </c>
      <c r="H17" s="285">
        <v>1016</v>
      </c>
      <c r="I17" s="53">
        <f t="shared" si="1"/>
        <v>79.686274509803923</v>
      </c>
      <c r="K17" s="285">
        <v>0</v>
      </c>
      <c r="L17" s="53">
        <f t="shared" si="2"/>
        <v>0</v>
      </c>
      <c r="N17" s="285">
        <v>0</v>
      </c>
      <c r="O17" s="53">
        <f t="shared" si="3"/>
        <v>0</v>
      </c>
      <c r="Q17" s="285">
        <v>0</v>
      </c>
      <c r="R17" s="53">
        <f t="shared" si="4"/>
        <v>0</v>
      </c>
    </row>
    <row r="18" spans="1:18" ht="8.25" customHeight="1">
      <c r="B18" s="41" t="s">
        <v>253</v>
      </c>
      <c r="C18" s="43" t="str">
        <f t="shared" si="5"/>
        <v/>
      </c>
      <c r="E18" s="326"/>
      <c r="F18" s="53" t="str">
        <f t="shared" si="0"/>
        <v/>
      </c>
      <c r="H18" s="285"/>
      <c r="I18" s="53" t="str">
        <f t="shared" si="1"/>
        <v/>
      </c>
      <c r="K18" s="285"/>
      <c r="L18" s="53" t="str">
        <f t="shared" si="2"/>
        <v/>
      </c>
      <c r="N18" s="285"/>
      <c r="O18" s="53" t="str">
        <f t="shared" si="3"/>
        <v/>
      </c>
      <c r="Q18" s="285"/>
      <c r="R18" s="53" t="str">
        <f t="shared" si="4"/>
        <v/>
      </c>
    </row>
    <row r="19" spans="1:18" ht="15" customHeight="1">
      <c r="A19" t="s">
        <v>979</v>
      </c>
      <c r="B19" s="41">
        <f>E19+H19+K19+N19+Q19</f>
        <v>777</v>
      </c>
      <c r="C19" s="43">
        <f t="shared" si="5"/>
        <v>29.276563677467969</v>
      </c>
      <c r="E19" s="326">
        <v>48</v>
      </c>
      <c r="F19" s="53">
        <f t="shared" si="0"/>
        <v>6.1776061776061777</v>
      </c>
      <c r="H19" s="285">
        <v>176</v>
      </c>
      <c r="I19" s="53">
        <f t="shared" si="1"/>
        <v>22.651222651222653</v>
      </c>
      <c r="K19" s="285">
        <v>553</v>
      </c>
      <c r="L19" s="53">
        <f t="shared" si="2"/>
        <v>71.171171171171167</v>
      </c>
      <c r="N19" s="285">
        <v>0</v>
      </c>
      <c r="O19" s="53">
        <f t="shared" si="3"/>
        <v>0</v>
      </c>
      <c r="Q19" s="285">
        <v>0</v>
      </c>
      <c r="R19" s="53">
        <f t="shared" si="4"/>
        <v>0</v>
      </c>
    </row>
    <row r="20" spans="1:18" ht="8.25" customHeight="1">
      <c r="C20" s="43" t="str">
        <f t="shared" si="5"/>
        <v/>
      </c>
      <c r="E20" s="326"/>
      <c r="F20" s="53" t="str">
        <f t="shared" si="0"/>
        <v/>
      </c>
      <c r="H20" s="285"/>
      <c r="I20" s="53" t="str">
        <f t="shared" si="1"/>
        <v/>
      </c>
      <c r="K20" s="285"/>
      <c r="L20" s="53" t="str">
        <f t="shared" si="2"/>
        <v/>
      </c>
      <c r="N20" s="285"/>
      <c r="O20" s="53" t="str">
        <f t="shared" si="3"/>
        <v/>
      </c>
      <c r="Q20" s="285"/>
      <c r="R20" s="53" t="str">
        <f t="shared" si="4"/>
        <v/>
      </c>
    </row>
    <row r="21" spans="1:18" ht="15" customHeight="1">
      <c r="A21" t="s">
        <v>980</v>
      </c>
      <c r="B21" s="41">
        <f t="shared" ref="B21:B29" si="6">E21+H21+K21+N21+Q21</f>
        <v>294</v>
      </c>
      <c r="C21" s="43">
        <f t="shared" si="5"/>
        <v>11.077618688771665</v>
      </c>
      <c r="E21" s="326">
        <v>0</v>
      </c>
      <c r="F21" s="53">
        <f t="shared" si="0"/>
        <v>0</v>
      </c>
      <c r="H21" s="285">
        <v>9</v>
      </c>
      <c r="I21" s="53">
        <f t="shared" si="1"/>
        <v>3.0612244897959182</v>
      </c>
      <c r="K21" s="285">
        <v>64</v>
      </c>
      <c r="L21" s="53">
        <f t="shared" si="2"/>
        <v>21.768707482993197</v>
      </c>
      <c r="N21" s="285">
        <v>221</v>
      </c>
      <c r="O21" s="53">
        <f t="shared" si="3"/>
        <v>75.170068027210874</v>
      </c>
      <c r="Q21" s="285">
        <v>0</v>
      </c>
      <c r="R21" s="53">
        <f t="shared" si="4"/>
        <v>0</v>
      </c>
    </row>
    <row r="22" spans="1:18" ht="8.25" customHeight="1">
      <c r="C22" s="43" t="str">
        <f t="shared" si="5"/>
        <v/>
      </c>
      <c r="E22" s="326"/>
      <c r="F22" s="53" t="str">
        <f t="shared" si="0"/>
        <v/>
      </c>
      <c r="H22" s="285"/>
      <c r="I22" s="53" t="str">
        <f t="shared" si="1"/>
        <v/>
      </c>
      <c r="K22" s="285"/>
      <c r="L22" s="53" t="str">
        <f t="shared" si="2"/>
        <v/>
      </c>
      <c r="N22" s="285"/>
      <c r="O22" s="53" t="str">
        <f t="shared" si="3"/>
        <v/>
      </c>
      <c r="Q22" s="285"/>
      <c r="R22" s="53" t="str">
        <f t="shared" si="4"/>
        <v/>
      </c>
    </row>
    <row r="23" spans="1:18" ht="15" customHeight="1">
      <c r="A23" t="s">
        <v>981</v>
      </c>
      <c r="B23" s="41">
        <f t="shared" si="6"/>
        <v>27</v>
      </c>
      <c r="C23" s="43">
        <f t="shared" si="5"/>
        <v>1.0173323285606632</v>
      </c>
      <c r="E23" s="326">
        <v>0</v>
      </c>
      <c r="F23" s="53">
        <f t="shared" si="0"/>
        <v>0</v>
      </c>
      <c r="H23" s="285">
        <v>1</v>
      </c>
      <c r="I23" s="53">
        <f t="shared" si="1"/>
        <v>3.7037037037037033</v>
      </c>
      <c r="K23" s="285">
        <v>4</v>
      </c>
      <c r="L23" s="53">
        <f t="shared" si="2"/>
        <v>14.814814814814813</v>
      </c>
      <c r="N23" s="285">
        <v>8</v>
      </c>
      <c r="O23" s="53">
        <f t="shared" si="3"/>
        <v>29.629629629629626</v>
      </c>
      <c r="Q23" s="285">
        <v>14</v>
      </c>
      <c r="R23" s="53">
        <f t="shared" si="4"/>
        <v>51.851851851851848</v>
      </c>
    </row>
    <row r="24" spans="1:18" ht="8.25" customHeight="1">
      <c r="C24" s="43" t="str">
        <f t="shared" si="5"/>
        <v/>
      </c>
      <c r="F24" s="53" t="str">
        <f t="shared" si="0"/>
        <v/>
      </c>
      <c r="I24" s="53" t="str">
        <f t="shared" si="1"/>
        <v/>
      </c>
      <c r="L24" s="53" t="str">
        <f t="shared" si="2"/>
        <v/>
      </c>
      <c r="O24" s="53" t="str">
        <f t="shared" si="3"/>
        <v/>
      </c>
      <c r="R24" s="53" t="str">
        <f t="shared" si="4"/>
        <v/>
      </c>
    </row>
    <row r="25" spans="1:18" ht="15" customHeight="1">
      <c r="A25" s="63" t="s">
        <v>346</v>
      </c>
      <c r="B25" s="41">
        <f>SUM(B27:B35)</f>
        <v>165</v>
      </c>
      <c r="C25" s="43">
        <f t="shared" si="5"/>
        <v>6.2170308967596082</v>
      </c>
      <c r="E25" s="41">
        <f>SUM(E27:E35)</f>
        <v>9</v>
      </c>
      <c r="F25" s="53">
        <f t="shared" si="0"/>
        <v>5.4545454545454541</v>
      </c>
      <c r="H25" s="41">
        <f>SUM(H27:H35)</f>
        <v>100</v>
      </c>
      <c r="I25" s="53">
        <f t="shared" si="1"/>
        <v>60.606060606060609</v>
      </c>
      <c r="K25" s="41">
        <f>SUM(K27:K35)</f>
        <v>39</v>
      </c>
      <c r="L25" s="53">
        <f t="shared" si="2"/>
        <v>23.636363636363637</v>
      </c>
      <c r="N25" s="41">
        <f>SUM(N27:N35)</f>
        <v>17</v>
      </c>
      <c r="O25" s="53">
        <f t="shared" si="3"/>
        <v>10.303030303030303</v>
      </c>
      <c r="Q25" s="41">
        <f>SUM(Q27:Q35)</f>
        <v>0</v>
      </c>
      <c r="R25" s="53">
        <f t="shared" si="4"/>
        <v>0</v>
      </c>
    </row>
    <row r="26" spans="1:18" ht="8.25" customHeight="1">
      <c r="C26" s="43" t="str">
        <f t="shared" si="5"/>
        <v/>
      </c>
      <c r="F26" s="53" t="str">
        <f t="shared" si="0"/>
        <v/>
      </c>
      <c r="I26" s="53" t="str">
        <f t="shared" si="1"/>
        <v/>
      </c>
      <c r="L26" s="53" t="str">
        <f t="shared" si="2"/>
        <v/>
      </c>
      <c r="O26" s="53" t="str">
        <f t="shared" si="3"/>
        <v/>
      </c>
      <c r="R26" s="53" t="str">
        <f t="shared" si="4"/>
        <v/>
      </c>
    </row>
    <row r="27" spans="1:18" ht="15" customHeight="1">
      <c r="A27" t="s">
        <v>977</v>
      </c>
      <c r="B27" s="41">
        <f t="shared" si="6"/>
        <v>4</v>
      </c>
      <c r="C27" s="43">
        <f t="shared" si="5"/>
        <v>0.15071590052750566</v>
      </c>
      <c r="E27" s="292">
        <v>4</v>
      </c>
      <c r="F27" s="53">
        <f t="shared" si="0"/>
        <v>100</v>
      </c>
      <c r="H27" s="293">
        <v>0</v>
      </c>
      <c r="I27" s="53">
        <f t="shared" si="1"/>
        <v>0</v>
      </c>
      <c r="K27" s="293">
        <v>0</v>
      </c>
      <c r="L27" s="53">
        <f t="shared" si="2"/>
        <v>0</v>
      </c>
      <c r="N27" s="293">
        <v>0</v>
      </c>
      <c r="O27" s="53">
        <f t="shared" si="3"/>
        <v>0</v>
      </c>
      <c r="Q27" s="41">
        <v>0</v>
      </c>
      <c r="R27" s="53">
        <f t="shared" si="4"/>
        <v>0</v>
      </c>
    </row>
    <row r="28" spans="1:18" ht="8.25" customHeight="1">
      <c r="C28" s="43" t="str">
        <f t="shared" si="5"/>
        <v/>
      </c>
      <c r="E28" s="292"/>
      <c r="F28" s="53" t="str">
        <f t="shared" si="0"/>
        <v/>
      </c>
      <c r="H28" s="293"/>
      <c r="I28" s="53" t="str">
        <f t="shared" si="1"/>
        <v/>
      </c>
      <c r="K28" s="293"/>
      <c r="L28" s="53" t="str">
        <f t="shared" si="2"/>
        <v/>
      </c>
      <c r="N28" s="293"/>
      <c r="O28" s="53" t="str">
        <f t="shared" si="3"/>
        <v/>
      </c>
      <c r="R28" s="53" t="str">
        <f t="shared" si="4"/>
        <v/>
      </c>
    </row>
    <row r="29" spans="1:18" ht="15" customHeight="1">
      <c r="A29" t="s">
        <v>978</v>
      </c>
      <c r="B29" s="41">
        <f t="shared" si="6"/>
        <v>79</v>
      </c>
      <c r="C29" s="43">
        <f t="shared" si="5"/>
        <v>2.9766390354182368</v>
      </c>
      <c r="E29" s="290">
        <v>5</v>
      </c>
      <c r="F29" s="53">
        <f t="shared" si="0"/>
        <v>6.3291139240506329</v>
      </c>
      <c r="H29" s="291">
        <v>74</v>
      </c>
      <c r="I29" s="53">
        <f t="shared" si="1"/>
        <v>93.670886075949369</v>
      </c>
      <c r="K29" s="291">
        <v>0</v>
      </c>
      <c r="L29" s="53">
        <f t="shared" si="2"/>
        <v>0</v>
      </c>
      <c r="N29" s="291">
        <v>0</v>
      </c>
      <c r="O29" s="53">
        <f t="shared" si="3"/>
        <v>0</v>
      </c>
      <c r="Q29">
        <v>0</v>
      </c>
      <c r="R29" s="53">
        <f t="shared" si="4"/>
        <v>0</v>
      </c>
    </row>
    <row r="30" spans="1:18" ht="8.25" customHeight="1">
      <c r="C30" s="43" t="str">
        <f t="shared" si="5"/>
        <v/>
      </c>
      <c r="E30" s="290"/>
      <c r="F30" s="53" t="str">
        <f t="shared" si="0"/>
        <v/>
      </c>
      <c r="H30" s="291"/>
      <c r="I30" s="53" t="str">
        <f t="shared" si="1"/>
        <v/>
      </c>
      <c r="K30" s="291"/>
      <c r="L30" s="53" t="str">
        <f t="shared" si="2"/>
        <v/>
      </c>
      <c r="N30" s="291"/>
      <c r="O30" s="53" t="str">
        <f t="shared" si="3"/>
        <v/>
      </c>
      <c r="Q30"/>
      <c r="R30" s="53" t="str">
        <f t="shared" si="4"/>
        <v/>
      </c>
    </row>
    <row r="31" spans="1:18" ht="15" customHeight="1">
      <c r="A31" t="s">
        <v>979</v>
      </c>
      <c r="B31" s="41">
        <f>E31+H31+K31+N31+Q31</f>
        <v>64</v>
      </c>
      <c r="C31" s="43">
        <f t="shared" si="5"/>
        <v>2.4114544084400906</v>
      </c>
      <c r="E31" s="290">
        <v>0</v>
      </c>
      <c r="F31" s="53">
        <f t="shared" si="0"/>
        <v>0</v>
      </c>
      <c r="H31" s="291">
        <v>26</v>
      </c>
      <c r="I31" s="53">
        <f t="shared" si="1"/>
        <v>40.625</v>
      </c>
      <c r="K31" s="291">
        <v>38</v>
      </c>
      <c r="L31" s="53">
        <f t="shared" si="2"/>
        <v>59.375</v>
      </c>
      <c r="N31" s="291">
        <v>0</v>
      </c>
      <c r="O31" s="53">
        <f t="shared" si="3"/>
        <v>0</v>
      </c>
      <c r="Q31">
        <v>0</v>
      </c>
      <c r="R31" s="53">
        <f t="shared" si="4"/>
        <v>0</v>
      </c>
    </row>
    <row r="32" spans="1:18" ht="8.25" customHeight="1">
      <c r="C32" s="43" t="str">
        <f t="shared" si="5"/>
        <v/>
      </c>
      <c r="E32" s="290"/>
      <c r="F32" s="53" t="str">
        <f t="shared" si="0"/>
        <v/>
      </c>
      <c r="H32" s="291"/>
      <c r="I32" s="53" t="str">
        <f t="shared" si="1"/>
        <v/>
      </c>
      <c r="K32" s="291"/>
      <c r="L32" s="53" t="str">
        <f t="shared" si="2"/>
        <v/>
      </c>
      <c r="N32" s="291"/>
      <c r="O32" s="53" t="str">
        <f t="shared" si="3"/>
        <v/>
      </c>
      <c r="Q32"/>
      <c r="R32" s="53" t="str">
        <f t="shared" si="4"/>
        <v/>
      </c>
    </row>
    <row r="33" spans="1:18" ht="15" customHeight="1">
      <c r="A33" t="s">
        <v>980</v>
      </c>
      <c r="B33" s="41">
        <f>E33+H33+K33+N33+Q33</f>
        <v>18</v>
      </c>
      <c r="C33" s="43">
        <f t="shared" si="5"/>
        <v>0.67822155237377535</v>
      </c>
      <c r="E33" s="290">
        <v>0</v>
      </c>
      <c r="F33" s="53">
        <f t="shared" si="0"/>
        <v>0</v>
      </c>
      <c r="H33" s="291">
        <v>0</v>
      </c>
      <c r="I33" s="53">
        <f t="shared" si="1"/>
        <v>0</v>
      </c>
      <c r="K33" s="291">
        <v>1</v>
      </c>
      <c r="L33" s="53">
        <f t="shared" si="2"/>
        <v>5.5555555555555554</v>
      </c>
      <c r="N33" s="291">
        <v>17</v>
      </c>
      <c r="O33" s="53">
        <f t="shared" si="3"/>
        <v>94.444444444444443</v>
      </c>
      <c r="Q33">
        <v>0</v>
      </c>
      <c r="R33" s="53">
        <f t="shared" si="4"/>
        <v>0</v>
      </c>
    </row>
    <row r="34" spans="1:18" ht="15" hidden="1" customHeight="1">
      <c r="B34" s="41">
        <f>E34+H34+K34+N34+Q34</f>
        <v>0</v>
      </c>
      <c r="C34" s="43" t="str">
        <f t="shared" si="5"/>
        <v/>
      </c>
      <c r="E34" s="335"/>
      <c r="F34" s="53" t="str">
        <f t="shared" si="0"/>
        <v/>
      </c>
      <c r="H34" s="336"/>
      <c r="I34" s="53" t="str">
        <f t="shared" si="1"/>
        <v/>
      </c>
      <c r="K34" s="336"/>
      <c r="L34" s="53" t="str">
        <f t="shared" si="2"/>
        <v/>
      </c>
      <c r="N34" s="336"/>
      <c r="O34" s="53" t="str">
        <f t="shared" si="3"/>
        <v/>
      </c>
      <c r="Q34"/>
      <c r="R34" s="53" t="str">
        <f t="shared" si="4"/>
        <v/>
      </c>
    </row>
    <row r="35" spans="1:18" ht="15" hidden="1" customHeight="1">
      <c r="A35" t="s">
        <v>981</v>
      </c>
      <c r="B35" s="41">
        <f>E35+H35+K35+N35+Q35</f>
        <v>0</v>
      </c>
      <c r="C35" s="43">
        <f t="shared" si="5"/>
        <v>0</v>
      </c>
      <c r="E35" s="335">
        <v>0</v>
      </c>
      <c r="F35" s="53" t="e">
        <f t="shared" si="0"/>
        <v>#DIV/0!</v>
      </c>
      <c r="H35" s="336">
        <v>0</v>
      </c>
      <c r="I35" s="53" t="e">
        <f t="shared" si="1"/>
        <v>#DIV/0!</v>
      </c>
      <c r="K35" s="336">
        <v>0</v>
      </c>
      <c r="L35" s="53" t="e">
        <f t="shared" si="2"/>
        <v>#DIV/0!</v>
      </c>
      <c r="N35" s="336"/>
      <c r="O35" s="53" t="e">
        <f t="shared" si="3"/>
        <v>#DIV/0!</v>
      </c>
      <c r="Q35"/>
      <c r="R35" s="53" t="e">
        <f t="shared" si="4"/>
        <v>#DIV/0!</v>
      </c>
    </row>
    <row r="36" spans="1:18" ht="8.25" customHeight="1" thickBot="1">
      <c r="A36" s="15"/>
      <c r="B36" s="59"/>
      <c r="C36" s="60"/>
      <c r="D36" s="60"/>
      <c r="E36" s="59"/>
      <c r="F36" s="60"/>
      <c r="G36" s="15"/>
      <c r="H36" s="59"/>
      <c r="I36" s="60"/>
      <c r="J36" s="15"/>
      <c r="K36" s="59"/>
      <c r="L36" s="60"/>
      <c r="M36" s="15"/>
      <c r="N36" s="59"/>
      <c r="O36" s="60"/>
      <c r="P36" s="15"/>
      <c r="Q36" s="59"/>
      <c r="R36" s="60"/>
    </row>
    <row r="37" spans="1:18" ht="9.75" customHeight="1"/>
    <row r="38" spans="1:18">
      <c r="A38" s="36" t="s">
        <v>2286</v>
      </c>
    </row>
    <row r="39" spans="1:18" ht="12.75" customHeight="1">
      <c r="A39" s="434" t="s">
        <v>2288</v>
      </c>
    </row>
    <row r="40" spans="1:18">
      <c r="A40" s="256" t="s">
        <v>983</v>
      </c>
      <c r="D40"/>
    </row>
    <row r="41" spans="1:18">
      <c r="A41" s="256" t="s">
        <v>946</v>
      </c>
      <c r="D41"/>
    </row>
    <row r="42" spans="1:18" ht="8.25" customHeight="1"/>
    <row r="43" spans="1:18">
      <c r="A43" s="4" t="s">
        <v>984</v>
      </c>
    </row>
    <row r="44" spans="1:18">
      <c r="A44" s="434" t="s">
        <v>683</v>
      </c>
    </row>
  </sheetData>
  <printOptions horizontalCentered="1" verticalCentered="1"/>
  <pageMargins left="0" right="0" top="0" bottom="0" header="0.31496062992125984" footer="0.31496062992125984"/>
  <pageSetup paperSize="9" scale="85" orientation="landscape" r:id="rId1"/>
  <drawing r:id="rId2"/>
</worksheet>
</file>

<file path=xl/worksheets/sheet52.xml><?xml version="1.0" encoding="utf-8"?>
<worksheet xmlns="http://schemas.openxmlformats.org/spreadsheetml/2006/main" xmlns:r="http://schemas.openxmlformats.org/officeDocument/2006/relationships">
  <dimension ref="A1:N127"/>
  <sheetViews>
    <sheetView workbookViewId="0">
      <selection activeCell="O28" sqref="O28"/>
    </sheetView>
  </sheetViews>
  <sheetFormatPr baseColWidth="10" defaultColWidth="8.85546875" defaultRowHeight="12.75"/>
  <cols>
    <col min="1" max="1" width="33.5703125" style="42" customWidth="1"/>
    <col min="2" max="2" width="9.7109375" style="65" customWidth="1"/>
    <col min="3" max="3" width="8.7109375" style="182" customWidth="1"/>
    <col min="4" max="4" width="2.5703125" style="93" customWidth="1"/>
    <col min="5" max="5" width="9.7109375" style="93" customWidth="1"/>
    <col min="6" max="6" width="9.7109375" style="182" customWidth="1"/>
    <col min="7" max="7" width="2.7109375" style="295" customWidth="1"/>
    <col min="8" max="8" width="9.7109375" style="93" customWidth="1"/>
    <col min="9" max="9" width="9.7109375" style="182" customWidth="1"/>
    <col min="10" max="10" width="2.5703125" style="93" customWidth="1"/>
    <col min="11" max="11" width="9.7109375" style="4" customWidth="1"/>
    <col min="12" max="12" width="2.7109375" style="42" customWidth="1"/>
    <col min="13" max="13" width="9.7109375" style="182" customWidth="1"/>
    <col min="14" max="14" width="4" style="42" customWidth="1"/>
    <col min="15" max="256" width="8.85546875" style="42"/>
    <col min="257" max="257" width="43.7109375" style="42" customWidth="1"/>
    <col min="258" max="258" width="9.7109375" style="42" customWidth="1"/>
    <col min="259" max="259" width="8.7109375" style="42" customWidth="1"/>
    <col min="260" max="260" width="2.5703125" style="42" customWidth="1"/>
    <col min="261" max="262" width="9.7109375" style="42" customWidth="1"/>
    <col min="263" max="263" width="2.7109375" style="42" customWidth="1"/>
    <col min="264" max="265" width="9.7109375" style="42" customWidth="1"/>
    <col min="266" max="266" width="2.5703125" style="42" customWidth="1"/>
    <col min="267" max="267" width="9.7109375" style="42" customWidth="1"/>
    <col min="268" max="268" width="2.7109375" style="42" customWidth="1"/>
    <col min="269" max="269" width="9.7109375" style="42" customWidth="1"/>
    <col min="270" max="270" width="4" style="42" customWidth="1"/>
    <col min="271" max="512" width="8.85546875" style="42"/>
    <col min="513" max="513" width="43.7109375" style="42" customWidth="1"/>
    <col min="514" max="514" width="9.7109375" style="42" customWidth="1"/>
    <col min="515" max="515" width="8.7109375" style="42" customWidth="1"/>
    <col min="516" max="516" width="2.5703125" style="42" customWidth="1"/>
    <col min="517" max="518" width="9.7109375" style="42" customWidth="1"/>
    <col min="519" max="519" width="2.7109375" style="42" customWidth="1"/>
    <col min="520" max="521" width="9.7109375" style="42" customWidth="1"/>
    <col min="522" max="522" width="2.5703125" style="42" customWidth="1"/>
    <col min="523" max="523" width="9.7109375" style="42" customWidth="1"/>
    <col min="524" max="524" width="2.7109375" style="42" customWidth="1"/>
    <col min="525" max="525" width="9.7109375" style="42" customWidth="1"/>
    <col min="526" max="526" width="4" style="42" customWidth="1"/>
    <col min="527" max="768" width="8.85546875" style="42"/>
    <col min="769" max="769" width="43.7109375" style="42" customWidth="1"/>
    <col min="770" max="770" width="9.7109375" style="42" customWidth="1"/>
    <col min="771" max="771" width="8.7109375" style="42" customWidth="1"/>
    <col min="772" max="772" width="2.5703125" style="42" customWidth="1"/>
    <col min="773" max="774" width="9.7109375" style="42" customWidth="1"/>
    <col min="775" max="775" width="2.7109375" style="42" customWidth="1"/>
    <col min="776" max="777" width="9.7109375" style="42" customWidth="1"/>
    <col min="778" max="778" width="2.5703125" style="42" customWidth="1"/>
    <col min="779" max="779" width="9.7109375" style="42" customWidth="1"/>
    <col min="780" max="780" width="2.7109375" style="42" customWidth="1"/>
    <col min="781" max="781" width="9.7109375" style="42" customWidth="1"/>
    <col min="782" max="782" width="4" style="42" customWidth="1"/>
    <col min="783" max="1024" width="8.85546875" style="42"/>
    <col min="1025" max="1025" width="43.7109375" style="42" customWidth="1"/>
    <col min="1026" max="1026" width="9.7109375" style="42" customWidth="1"/>
    <col min="1027" max="1027" width="8.7109375" style="42" customWidth="1"/>
    <col min="1028" max="1028" width="2.5703125" style="42" customWidth="1"/>
    <col min="1029" max="1030" width="9.7109375" style="42" customWidth="1"/>
    <col min="1031" max="1031" width="2.7109375" style="42" customWidth="1"/>
    <col min="1032" max="1033" width="9.7109375" style="42" customWidth="1"/>
    <col min="1034" max="1034" width="2.5703125" style="42" customWidth="1"/>
    <col min="1035" max="1035" width="9.7109375" style="42" customWidth="1"/>
    <col min="1036" max="1036" width="2.7109375" style="42" customWidth="1"/>
    <col min="1037" max="1037" width="9.7109375" style="42" customWidth="1"/>
    <col min="1038" max="1038" width="4" style="42" customWidth="1"/>
    <col min="1039" max="1280" width="8.85546875" style="42"/>
    <col min="1281" max="1281" width="43.7109375" style="42" customWidth="1"/>
    <col min="1282" max="1282" width="9.7109375" style="42" customWidth="1"/>
    <col min="1283" max="1283" width="8.7109375" style="42" customWidth="1"/>
    <col min="1284" max="1284" width="2.5703125" style="42" customWidth="1"/>
    <col min="1285" max="1286" width="9.7109375" style="42" customWidth="1"/>
    <col min="1287" max="1287" width="2.7109375" style="42" customWidth="1"/>
    <col min="1288" max="1289" width="9.7109375" style="42" customWidth="1"/>
    <col min="1290" max="1290" width="2.5703125" style="42" customWidth="1"/>
    <col min="1291" max="1291" width="9.7109375" style="42" customWidth="1"/>
    <col min="1292" max="1292" width="2.7109375" style="42" customWidth="1"/>
    <col min="1293" max="1293" width="9.7109375" style="42" customWidth="1"/>
    <col min="1294" max="1294" width="4" style="42" customWidth="1"/>
    <col min="1295" max="1536" width="8.85546875" style="42"/>
    <col min="1537" max="1537" width="43.7109375" style="42" customWidth="1"/>
    <col min="1538" max="1538" width="9.7109375" style="42" customWidth="1"/>
    <col min="1539" max="1539" width="8.7109375" style="42" customWidth="1"/>
    <col min="1540" max="1540" width="2.5703125" style="42" customWidth="1"/>
    <col min="1541" max="1542" width="9.7109375" style="42" customWidth="1"/>
    <col min="1543" max="1543" width="2.7109375" style="42" customWidth="1"/>
    <col min="1544" max="1545" width="9.7109375" style="42" customWidth="1"/>
    <col min="1546" max="1546" width="2.5703125" style="42" customWidth="1"/>
    <col min="1547" max="1547" width="9.7109375" style="42" customWidth="1"/>
    <col min="1548" max="1548" width="2.7109375" style="42" customWidth="1"/>
    <col min="1549" max="1549" width="9.7109375" style="42" customWidth="1"/>
    <col min="1550" max="1550" width="4" style="42" customWidth="1"/>
    <col min="1551" max="1792" width="8.85546875" style="42"/>
    <col min="1793" max="1793" width="43.7109375" style="42" customWidth="1"/>
    <col min="1794" max="1794" width="9.7109375" style="42" customWidth="1"/>
    <col min="1795" max="1795" width="8.7109375" style="42" customWidth="1"/>
    <col min="1796" max="1796" width="2.5703125" style="42" customWidth="1"/>
    <col min="1797" max="1798" width="9.7109375" style="42" customWidth="1"/>
    <col min="1799" max="1799" width="2.7109375" style="42" customWidth="1"/>
    <col min="1800" max="1801" width="9.7109375" style="42" customWidth="1"/>
    <col min="1802" max="1802" width="2.5703125" style="42" customWidth="1"/>
    <col min="1803" max="1803" width="9.7109375" style="42" customWidth="1"/>
    <col min="1804" max="1804" width="2.7109375" style="42" customWidth="1"/>
    <col min="1805" max="1805" width="9.7109375" style="42" customWidth="1"/>
    <col min="1806" max="1806" width="4" style="42" customWidth="1"/>
    <col min="1807" max="2048" width="8.85546875" style="42"/>
    <col min="2049" max="2049" width="43.7109375" style="42" customWidth="1"/>
    <col min="2050" max="2050" width="9.7109375" style="42" customWidth="1"/>
    <col min="2051" max="2051" width="8.7109375" style="42" customWidth="1"/>
    <col min="2052" max="2052" width="2.5703125" style="42" customWidth="1"/>
    <col min="2053" max="2054" width="9.7109375" style="42" customWidth="1"/>
    <col min="2055" max="2055" width="2.7109375" style="42" customWidth="1"/>
    <col min="2056" max="2057" width="9.7109375" style="42" customWidth="1"/>
    <col min="2058" max="2058" width="2.5703125" style="42" customWidth="1"/>
    <col min="2059" max="2059" width="9.7109375" style="42" customWidth="1"/>
    <col min="2060" max="2060" width="2.7109375" style="42" customWidth="1"/>
    <col min="2061" max="2061" width="9.7109375" style="42" customWidth="1"/>
    <col min="2062" max="2062" width="4" style="42" customWidth="1"/>
    <col min="2063" max="2304" width="8.85546875" style="42"/>
    <col min="2305" max="2305" width="43.7109375" style="42" customWidth="1"/>
    <col min="2306" max="2306" width="9.7109375" style="42" customWidth="1"/>
    <col min="2307" max="2307" width="8.7109375" style="42" customWidth="1"/>
    <col min="2308" max="2308" width="2.5703125" style="42" customWidth="1"/>
    <col min="2309" max="2310" width="9.7109375" style="42" customWidth="1"/>
    <col min="2311" max="2311" width="2.7109375" style="42" customWidth="1"/>
    <col min="2312" max="2313" width="9.7109375" style="42" customWidth="1"/>
    <col min="2314" max="2314" width="2.5703125" style="42" customWidth="1"/>
    <col min="2315" max="2315" width="9.7109375" style="42" customWidth="1"/>
    <col min="2316" max="2316" width="2.7109375" style="42" customWidth="1"/>
    <col min="2317" max="2317" width="9.7109375" style="42" customWidth="1"/>
    <col min="2318" max="2318" width="4" style="42" customWidth="1"/>
    <col min="2319" max="2560" width="8.85546875" style="42"/>
    <col min="2561" max="2561" width="43.7109375" style="42" customWidth="1"/>
    <col min="2562" max="2562" width="9.7109375" style="42" customWidth="1"/>
    <col min="2563" max="2563" width="8.7109375" style="42" customWidth="1"/>
    <col min="2564" max="2564" width="2.5703125" style="42" customWidth="1"/>
    <col min="2565" max="2566" width="9.7109375" style="42" customWidth="1"/>
    <col min="2567" max="2567" width="2.7109375" style="42" customWidth="1"/>
    <col min="2568" max="2569" width="9.7109375" style="42" customWidth="1"/>
    <col min="2570" max="2570" width="2.5703125" style="42" customWidth="1"/>
    <col min="2571" max="2571" width="9.7109375" style="42" customWidth="1"/>
    <col min="2572" max="2572" width="2.7109375" style="42" customWidth="1"/>
    <col min="2573" max="2573" width="9.7109375" style="42" customWidth="1"/>
    <col min="2574" max="2574" width="4" style="42" customWidth="1"/>
    <col min="2575" max="2816" width="8.85546875" style="42"/>
    <col min="2817" max="2817" width="43.7109375" style="42" customWidth="1"/>
    <col min="2818" max="2818" width="9.7109375" style="42" customWidth="1"/>
    <col min="2819" max="2819" width="8.7109375" style="42" customWidth="1"/>
    <col min="2820" max="2820" width="2.5703125" style="42" customWidth="1"/>
    <col min="2821" max="2822" width="9.7109375" style="42" customWidth="1"/>
    <col min="2823" max="2823" width="2.7109375" style="42" customWidth="1"/>
    <col min="2824" max="2825" width="9.7109375" style="42" customWidth="1"/>
    <col min="2826" max="2826" width="2.5703125" style="42" customWidth="1"/>
    <col min="2827" max="2827" width="9.7109375" style="42" customWidth="1"/>
    <col min="2828" max="2828" width="2.7109375" style="42" customWidth="1"/>
    <col min="2829" max="2829" width="9.7109375" style="42" customWidth="1"/>
    <col min="2830" max="2830" width="4" style="42" customWidth="1"/>
    <col min="2831" max="3072" width="8.85546875" style="42"/>
    <col min="3073" max="3073" width="43.7109375" style="42" customWidth="1"/>
    <col min="3074" max="3074" width="9.7109375" style="42" customWidth="1"/>
    <col min="3075" max="3075" width="8.7109375" style="42" customWidth="1"/>
    <col min="3076" max="3076" width="2.5703125" style="42" customWidth="1"/>
    <col min="3077" max="3078" width="9.7109375" style="42" customWidth="1"/>
    <col min="3079" max="3079" width="2.7109375" style="42" customWidth="1"/>
    <col min="3080" max="3081" width="9.7109375" style="42" customWidth="1"/>
    <col min="3082" max="3082" width="2.5703125" style="42" customWidth="1"/>
    <col min="3083" max="3083" width="9.7109375" style="42" customWidth="1"/>
    <col min="3084" max="3084" width="2.7109375" style="42" customWidth="1"/>
    <col min="3085" max="3085" width="9.7109375" style="42" customWidth="1"/>
    <col min="3086" max="3086" width="4" style="42" customWidth="1"/>
    <col min="3087" max="3328" width="8.85546875" style="42"/>
    <col min="3329" max="3329" width="43.7109375" style="42" customWidth="1"/>
    <col min="3330" max="3330" width="9.7109375" style="42" customWidth="1"/>
    <col min="3331" max="3331" width="8.7109375" style="42" customWidth="1"/>
    <col min="3332" max="3332" width="2.5703125" style="42" customWidth="1"/>
    <col min="3333" max="3334" width="9.7109375" style="42" customWidth="1"/>
    <col min="3335" max="3335" width="2.7109375" style="42" customWidth="1"/>
    <col min="3336" max="3337" width="9.7109375" style="42" customWidth="1"/>
    <col min="3338" max="3338" width="2.5703125" style="42" customWidth="1"/>
    <col min="3339" max="3339" width="9.7109375" style="42" customWidth="1"/>
    <col min="3340" max="3340" width="2.7109375" style="42" customWidth="1"/>
    <col min="3341" max="3341" width="9.7109375" style="42" customWidth="1"/>
    <col min="3342" max="3342" width="4" style="42" customWidth="1"/>
    <col min="3343" max="3584" width="8.85546875" style="42"/>
    <col min="3585" max="3585" width="43.7109375" style="42" customWidth="1"/>
    <col min="3586" max="3586" width="9.7109375" style="42" customWidth="1"/>
    <col min="3587" max="3587" width="8.7109375" style="42" customWidth="1"/>
    <col min="3588" max="3588" width="2.5703125" style="42" customWidth="1"/>
    <col min="3589" max="3590" width="9.7109375" style="42" customWidth="1"/>
    <col min="3591" max="3591" width="2.7109375" style="42" customWidth="1"/>
    <col min="3592" max="3593" width="9.7109375" style="42" customWidth="1"/>
    <col min="3594" max="3594" width="2.5703125" style="42" customWidth="1"/>
    <col min="3595" max="3595" width="9.7109375" style="42" customWidth="1"/>
    <col min="3596" max="3596" width="2.7109375" style="42" customWidth="1"/>
    <col min="3597" max="3597" width="9.7109375" style="42" customWidth="1"/>
    <col min="3598" max="3598" width="4" style="42" customWidth="1"/>
    <col min="3599" max="3840" width="8.85546875" style="42"/>
    <col min="3841" max="3841" width="43.7109375" style="42" customWidth="1"/>
    <col min="3842" max="3842" width="9.7109375" style="42" customWidth="1"/>
    <col min="3843" max="3843" width="8.7109375" style="42" customWidth="1"/>
    <col min="3844" max="3844" width="2.5703125" style="42" customWidth="1"/>
    <col min="3845" max="3846" width="9.7109375" style="42" customWidth="1"/>
    <col min="3847" max="3847" width="2.7109375" style="42" customWidth="1"/>
    <col min="3848" max="3849" width="9.7109375" style="42" customWidth="1"/>
    <col min="3850" max="3850" width="2.5703125" style="42" customWidth="1"/>
    <col min="3851" max="3851" width="9.7109375" style="42" customWidth="1"/>
    <col min="3852" max="3852" width="2.7109375" style="42" customWidth="1"/>
    <col min="3853" max="3853" width="9.7109375" style="42" customWidth="1"/>
    <col min="3854" max="3854" width="4" style="42" customWidth="1"/>
    <col min="3855" max="4096" width="8.85546875" style="42"/>
    <col min="4097" max="4097" width="43.7109375" style="42" customWidth="1"/>
    <col min="4098" max="4098" width="9.7109375" style="42" customWidth="1"/>
    <col min="4099" max="4099" width="8.7109375" style="42" customWidth="1"/>
    <col min="4100" max="4100" width="2.5703125" style="42" customWidth="1"/>
    <col min="4101" max="4102" width="9.7109375" style="42" customWidth="1"/>
    <col min="4103" max="4103" width="2.7109375" style="42" customWidth="1"/>
    <col min="4104" max="4105" width="9.7109375" style="42" customWidth="1"/>
    <col min="4106" max="4106" width="2.5703125" style="42" customWidth="1"/>
    <col min="4107" max="4107" width="9.7109375" style="42" customWidth="1"/>
    <col min="4108" max="4108" width="2.7109375" style="42" customWidth="1"/>
    <col min="4109" max="4109" width="9.7109375" style="42" customWidth="1"/>
    <col min="4110" max="4110" width="4" style="42" customWidth="1"/>
    <col min="4111" max="4352" width="8.85546875" style="42"/>
    <col min="4353" max="4353" width="43.7109375" style="42" customWidth="1"/>
    <col min="4354" max="4354" width="9.7109375" style="42" customWidth="1"/>
    <col min="4355" max="4355" width="8.7109375" style="42" customWidth="1"/>
    <col min="4356" max="4356" width="2.5703125" style="42" customWidth="1"/>
    <col min="4357" max="4358" width="9.7109375" style="42" customWidth="1"/>
    <col min="4359" max="4359" width="2.7109375" style="42" customWidth="1"/>
    <col min="4360" max="4361" width="9.7109375" style="42" customWidth="1"/>
    <col min="4362" max="4362" width="2.5703125" style="42" customWidth="1"/>
    <col min="4363" max="4363" width="9.7109375" style="42" customWidth="1"/>
    <col min="4364" max="4364" width="2.7109375" style="42" customWidth="1"/>
    <col min="4365" max="4365" width="9.7109375" style="42" customWidth="1"/>
    <col min="4366" max="4366" width="4" style="42" customWidth="1"/>
    <col min="4367" max="4608" width="8.85546875" style="42"/>
    <col min="4609" max="4609" width="43.7109375" style="42" customWidth="1"/>
    <col min="4610" max="4610" width="9.7109375" style="42" customWidth="1"/>
    <col min="4611" max="4611" width="8.7109375" style="42" customWidth="1"/>
    <col min="4612" max="4612" width="2.5703125" style="42" customWidth="1"/>
    <col min="4613" max="4614" width="9.7109375" style="42" customWidth="1"/>
    <col min="4615" max="4615" width="2.7109375" style="42" customWidth="1"/>
    <col min="4616" max="4617" width="9.7109375" style="42" customWidth="1"/>
    <col min="4618" max="4618" width="2.5703125" style="42" customWidth="1"/>
    <col min="4619" max="4619" width="9.7109375" style="42" customWidth="1"/>
    <col min="4620" max="4620" width="2.7109375" style="42" customWidth="1"/>
    <col min="4621" max="4621" width="9.7109375" style="42" customWidth="1"/>
    <col min="4622" max="4622" width="4" style="42" customWidth="1"/>
    <col min="4623" max="4864" width="8.85546875" style="42"/>
    <col min="4865" max="4865" width="43.7109375" style="42" customWidth="1"/>
    <col min="4866" max="4866" width="9.7109375" style="42" customWidth="1"/>
    <col min="4867" max="4867" width="8.7109375" style="42" customWidth="1"/>
    <col min="4868" max="4868" width="2.5703125" style="42" customWidth="1"/>
    <col min="4869" max="4870" width="9.7109375" style="42" customWidth="1"/>
    <col min="4871" max="4871" width="2.7109375" style="42" customWidth="1"/>
    <col min="4872" max="4873" width="9.7109375" style="42" customWidth="1"/>
    <col min="4874" max="4874" width="2.5703125" style="42" customWidth="1"/>
    <col min="4875" max="4875" width="9.7109375" style="42" customWidth="1"/>
    <col min="4876" max="4876" width="2.7109375" style="42" customWidth="1"/>
    <col min="4877" max="4877" width="9.7109375" style="42" customWidth="1"/>
    <col min="4878" max="4878" width="4" style="42" customWidth="1"/>
    <col min="4879" max="5120" width="8.85546875" style="42"/>
    <col min="5121" max="5121" width="43.7109375" style="42" customWidth="1"/>
    <col min="5122" max="5122" width="9.7109375" style="42" customWidth="1"/>
    <col min="5123" max="5123" width="8.7109375" style="42" customWidth="1"/>
    <col min="5124" max="5124" width="2.5703125" style="42" customWidth="1"/>
    <col min="5125" max="5126" width="9.7109375" style="42" customWidth="1"/>
    <col min="5127" max="5127" width="2.7109375" style="42" customWidth="1"/>
    <col min="5128" max="5129" width="9.7109375" style="42" customWidth="1"/>
    <col min="5130" max="5130" width="2.5703125" style="42" customWidth="1"/>
    <col min="5131" max="5131" width="9.7109375" style="42" customWidth="1"/>
    <col min="5132" max="5132" width="2.7109375" style="42" customWidth="1"/>
    <col min="5133" max="5133" width="9.7109375" style="42" customWidth="1"/>
    <col min="5134" max="5134" width="4" style="42" customWidth="1"/>
    <col min="5135" max="5376" width="8.85546875" style="42"/>
    <col min="5377" max="5377" width="43.7109375" style="42" customWidth="1"/>
    <col min="5378" max="5378" width="9.7109375" style="42" customWidth="1"/>
    <col min="5379" max="5379" width="8.7109375" style="42" customWidth="1"/>
    <col min="5380" max="5380" width="2.5703125" style="42" customWidth="1"/>
    <col min="5381" max="5382" width="9.7109375" style="42" customWidth="1"/>
    <col min="5383" max="5383" width="2.7109375" style="42" customWidth="1"/>
    <col min="5384" max="5385" width="9.7109375" style="42" customWidth="1"/>
    <col min="5386" max="5386" width="2.5703125" style="42" customWidth="1"/>
    <col min="5387" max="5387" width="9.7109375" style="42" customWidth="1"/>
    <col min="5388" max="5388" width="2.7109375" style="42" customWidth="1"/>
    <col min="5389" max="5389" width="9.7109375" style="42" customWidth="1"/>
    <col min="5390" max="5390" width="4" style="42" customWidth="1"/>
    <col min="5391" max="5632" width="8.85546875" style="42"/>
    <col min="5633" max="5633" width="43.7109375" style="42" customWidth="1"/>
    <col min="5634" max="5634" width="9.7109375" style="42" customWidth="1"/>
    <col min="5635" max="5635" width="8.7109375" style="42" customWidth="1"/>
    <col min="5636" max="5636" width="2.5703125" style="42" customWidth="1"/>
    <col min="5637" max="5638" width="9.7109375" style="42" customWidth="1"/>
    <col min="5639" max="5639" width="2.7109375" style="42" customWidth="1"/>
    <col min="5640" max="5641" width="9.7109375" style="42" customWidth="1"/>
    <col min="5642" max="5642" width="2.5703125" style="42" customWidth="1"/>
    <col min="5643" max="5643" width="9.7109375" style="42" customWidth="1"/>
    <col min="5644" max="5644" width="2.7109375" style="42" customWidth="1"/>
    <col min="5645" max="5645" width="9.7109375" style="42" customWidth="1"/>
    <col min="5646" max="5646" width="4" style="42" customWidth="1"/>
    <col min="5647" max="5888" width="8.85546875" style="42"/>
    <col min="5889" max="5889" width="43.7109375" style="42" customWidth="1"/>
    <col min="5890" max="5890" width="9.7109375" style="42" customWidth="1"/>
    <col min="5891" max="5891" width="8.7109375" style="42" customWidth="1"/>
    <col min="5892" max="5892" width="2.5703125" style="42" customWidth="1"/>
    <col min="5893" max="5894" width="9.7109375" style="42" customWidth="1"/>
    <col min="5895" max="5895" width="2.7109375" style="42" customWidth="1"/>
    <col min="5896" max="5897" width="9.7109375" style="42" customWidth="1"/>
    <col min="5898" max="5898" width="2.5703125" style="42" customWidth="1"/>
    <col min="5899" max="5899" width="9.7109375" style="42" customWidth="1"/>
    <col min="5900" max="5900" width="2.7109375" style="42" customWidth="1"/>
    <col min="5901" max="5901" width="9.7109375" style="42" customWidth="1"/>
    <col min="5902" max="5902" width="4" style="42" customWidth="1"/>
    <col min="5903" max="6144" width="8.85546875" style="42"/>
    <col min="6145" max="6145" width="43.7109375" style="42" customWidth="1"/>
    <col min="6146" max="6146" width="9.7109375" style="42" customWidth="1"/>
    <col min="6147" max="6147" width="8.7109375" style="42" customWidth="1"/>
    <col min="6148" max="6148" width="2.5703125" style="42" customWidth="1"/>
    <col min="6149" max="6150" width="9.7109375" style="42" customWidth="1"/>
    <col min="6151" max="6151" width="2.7109375" style="42" customWidth="1"/>
    <col min="6152" max="6153" width="9.7109375" style="42" customWidth="1"/>
    <col min="6154" max="6154" width="2.5703125" style="42" customWidth="1"/>
    <col min="6155" max="6155" width="9.7109375" style="42" customWidth="1"/>
    <col min="6156" max="6156" width="2.7109375" style="42" customWidth="1"/>
    <col min="6157" max="6157" width="9.7109375" style="42" customWidth="1"/>
    <col min="6158" max="6158" width="4" style="42" customWidth="1"/>
    <col min="6159" max="6400" width="8.85546875" style="42"/>
    <col min="6401" max="6401" width="43.7109375" style="42" customWidth="1"/>
    <col min="6402" max="6402" width="9.7109375" style="42" customWidth="1"/>
    <col min="6403" max="6403" width="8.7109375" style="42" customWidth="1"/>
    <col min="6404" max="6404" width="2.5703125" style="42" customWidth="1"/>
    <col min="6405" max="6406" width="9.7109375" style="42" customWidth="1"/>
    <col min="6407" max="6407" width="2.7109375" style="42" customWidth="1"/>
    <col min="6408" max="6409" width="9.7109375" style="42" customWidth="1"/>
    <col min="6410" max="6410" width="2.5703125" style="42" customWidth="1"/>
    <col min="6411" max="6411" width="9.7109375" style="42" customWidth="1"/>
    <col min="6412" max="6412" width="2.7109375" style="42" customWidth="1"/>
    <col min="6413" max="6413" width="9.7109375" style="42" customWidth="1"/>
    <col min="6414" max="6414" width="4" style="42" customWidth="1"/>
    <col min="6415" max="6656" width="8.85546875" style="42"/>
    <col min="6657" max="6657" width="43.7109375" style="42" customWidth="1"/>
    <col min="6658" max="6658" width="9.7109375" style="42" customWidth="1"/>
    <col min="6659" max="6659" width="8.7109375" style="42" customWidth="1"/>
    <col min="6660" max="6660" width="2.5703125" style="42" customWidth="1"/>
    <col min="6661" max="6662" width="9.7109375" style="42" customWidth="1"/>
    <col min="6663" max="6663" width="2.7109375" style="42" customWidth="1"/>
    <col min="6664" max="6665" width="9.7109375" style="42" customWidth="1"/>
    <col min="6666" max="6666" width="2.5703125" style="42" customWidth="1"/>
    <col min="6667" max="6667" width="9.7109375" style="42" customWidth="1"/>
    <col min="6668" max="6668" width="2.7109375" style="42" customWidth="1"/>
    <col min="6669" max="6669" width="9.7109375" style="42" customWidth="1"/>
    <col min="6670" max="6670" width="4" style="42" customWidth="1"/>
    <col min="6671" max="6912" width="8.85546875" style="42"/>
    <col min="6913" max="6913" width="43.7109375" style="42" customWidth="1"/>
    <col min="6914" max="6914" width="9.7109375" style="42" customWidth="1"/>
    <col min="6915" max="6915" width="8.7109375" style="42" customWidth="1"/>
    <col min="6916" max="6916" width="2.5703125" style="42" customWidth="1"/>
    <col min="6917" max="6918" width="9.7109375" style="42" customWidth="1"/>
    <col min="6919" max="6919" width="2.7109375" style="42" customWidth="1"/>
    <col min="6920" max="6921" width="9.7109375" style="42" customWidth="1"/>
    <col min="6922" max="6922" width="2.5703125" style="42" customWidth="1"/>
    <col min="6923" max="6923" width="9.7109375" style="42" customWidth="1"/>
    <col min="6924" max="6924" width="2.7109375" style="42" customWidth="1"/>
    <col min="6925" max="6925" width="9.7109375" style="42" customWidth="1"/>
    <col min="6926" max="6926" width="4" style="42" customWidth="1"/>
    <col min="6927" max="7168" width="8.85546875" style="42"/>
    <col min="7169" max="7169" width="43.7109375" style="42" customWidth="1"/>
    <col min="7170" max="7170" width="9.7109375" style="42" customWidth="1"/>
    <col min="7171" max="7171" width="8.7109375" style="42" customWidth="1"/>
    <col min="7172" max="7172" width="2.5703125" style="42" customWidth="1"/>
    <col min="7173" max="7174" width="9.7109375" style="42" customWidth="1"/>
    <col min="7175" max="7175" width="2.7109375" style="42" customWidth="1"/>
    <col min="7176" max="7177" width="9.7109375" style="42" customWidth="1"/>
    <col min="7178" max="7178" width="2.5703125" style="42" customWidth="1"/>
    <col min="7179" max="7179" width="9.7109375" style="42" customWidth="1"/>
    <col min="7180" max="7180" width="2.7109375" style="42" customWidth="1"/>
    <col min="7181" max="7181" width="9.7109375" style="42" customWidth="1"/>
    <col min="7182" max="7182" width="4" style="42" customWidth="1"/>
    <col min="7183" max="7424" width="8.85546875" style="42"/>
    <col min="7425" max="7425" width="43.7109375" style="42" customWidth="1"/>
    <col min="7426" max="7426" width="9.7109375" style="42" customWidth="1"/>
    <col min="7427" max="7427" width="8.7109375" style="42" customWidth="1"/>
    <col min="7428" max="7428" width="2.5703125" style="42" customWidth="1"/>
    <col min="7429" max="7430" width="9.7109375" style="42" customWidth="1"/>
    <col min="7431" max="7431" width="2.7109375" style="42" customWidth="1"/>
    <col min="7432" max="7433" width="9.7109375" style="42" customWidth="1"/>
    <col min="7434" max="7434" width="2.5703125" style="42" customWidth="1"/>
    <col min="7435" max="7435" width="9.7109375" style="42" customWidth="1"/>
    <col min="7436" max="7436" width="2.7109375" style="42" customWidth="1"/>
    <col min="7437" max="7437" width="9.7109375" style="42" customWidth="1"/>
    <col min="7438" max="7438" width="4" style="42" customWidth="1"/>
    <col min="7439" max="7680" width="8.85546875" style="42"/>
    <col min="7681" max="7681" width="43.7109375" style="42" customWidth="1"/>
    <col min="7682" max="7682" width="9.7109375" style="42" customWidth="1"/>
    <col min="7683" max="7683" width="8.7109375" style="42" customWidth="1"/>
    <col min="7684" max="7684" width="2.5703125" style="42" customWidth="1"/>
    <col min="7685" max="7686" width="9.7109375" style="42" customWidth="1"/>
    <col min="7687" max="7687" width="2.7109375" style="42" customWidth="1"/>
    <col min="7688" max="7689" width="9.7109375" style="42" customWidth="1"/>
    <col min="7690" max="7690" width="2.5703125" style="42" customWidth="1"/>
    <col min="7691" max="7691" width="9.7109375" style="42" customWidth="1"/>
    <col min="7692" max="7692" width="2.7109375" style="42" customWidth="1"/>
    <col min="7693" max="7693" width="9.7109375" style="42" customWidth="1"/>
    <col min="7694" max="7694" width="4" style="42" customWidth="1"/>
    <col min="7695" max="7936" width="8.85546875" style="42"/>
    <col min="7937" max="7937" width="43.7109375" style="42" customWidth="1"/>
    <col min="7938" max="7938" width="9.7109375" style="42" customWidth="1"/>
    <col min="7939" max="7939" width="8.7109375" style="42" customWidth="1"/>
    <col min="7940" max="7940" width="2.5703125" style="42" customWidth="1"/>
    <col min="7941" max="7942" width="9.7109375" style="42" customWidth="1"/>
    <col min="7943" max="7943" width="2.7109375" style="42" customWidth="1"/>
    <col min="7944" max="7945" width="9.7109375" style="42" customWidth="1"/>
    <col min="7946" max="7946" width="2.5703125" style="42" customWidth="1"/>
    <col min="7947" max="7947" width="9.7109375" style="42" customWidth="1"/>
    <col min="7948" max="7948" width="2.7109375" style="42" customWidth="1"/>
    <col min="7949" max="7949" width="9.7109375" style="42" customWidth="1"/>
    <col min="7950" max="7950" width="4" style="42" customWidth="1"/>
    <col min="7951" max="8192" width="8.85546875" style="42"/>
    <col min="8193" max="8193" width="43.7109375" style="42" customWidth="1"/>
    <col min="8194" max="8194" width="9.7109375" style="42" customWidth="1"/>
    <col min="8195" max="8195" width="8.7109375" style="42" customWidth="1"/>
    <col min="8196" max="8196" width="2.5703125" style="42" customWidth="1"/>
    <col min="8197" max="8198" width="9.7109375" style="42" customWidth="1"/>
    <col min="8199" max="8199" width="2.7109375" style="42" customWidth="1"/>
    <col min="8200" max="8201" width="9.7109375" style="42" customWidth="1"/>
    <col min="8202" max="8202" width="2.5703125" style="42" customWidth="1"/>
    <col min="8203" max="8203" width="9.7109375" style="42" customWidth="1"/>
    <col min="8204" max="8204" width="2.7109375" style="42" customWidth="1"/>
    <col min="8205" max="8205" width="9.7109375" style="42" customWidth="1"/>
    <col min="8206" max="8206" width="4" style="42" customWidth="1"/>
    <col min="8207" max="8448" width="8.85546875" style="42"/>
    <col min="8449" max="8449" width="43.7109375" style="42" customWidth="1"/>
    <col min="8450" max="8450" width="9.7109375" style="42" customWidth="1"/>
    <col min="8451" max="8451" width="8.7109375" style="42" customWidth="1"/>
    <col min="8452" max="8452" width="2.5703125" style="42" customWidth="1"/>
    <col min="8453" max="8454" width="9.7109375" style="42" customWidth="1"/>
    <col min="8455" max="8455" width="2.7109375" style="42" customWidth="1"/>
    <col min="8456" max="8457" width="9.7109375" style="42" customWidth="1"/>
    <col min="8458" max="8458" width="2.5703125" style="42" customWidth="1"/>
    <col min="8459" max="8459" width="9.7109375" style="42" customWidth="1"/>
    <col min="8460" max="8460" width="2.7109375" style="42" customWidth="1"/>
    <col min="8461" max="8461" width="9.7109375" style="42" customWidth="1"/>
    <col min="8462" max="8462" width="4" style="42" customWidth="1"/>
    <col min="8463" max="8704" width="8.85546875" style="42"/>
    <col min="8705" max="8705" width="43.7109375" style="42" customWidth="1"/>
    <col min="8706" max="8706" width="9.7109375" style="42" customWidth="1"/>
    <col min="8707" max="8707" width="8.7109375" style="42" customWidth="1"/>
    <col min="8708" max="8708" width="2.5703125" style="42" customWidth="1"/>
    <col min="8709" max="8710" width="9.7109375" style="42" customWidth="1"/>
    <col min="8711" max="8711" width="2.7109375" style="42" customWidth="1"/>
    <col min="8712" max="8713" width="9.7109375" style="42" customWidth="1"/>
    <col min="8714" max="8714" width="2.5703125" style="42" customWidth="1"/>
    <col min="8715" max="8715" width="9.7109375" style="42" customWidth="1"/>
    <col min="8716" max="8716" width="2.7109375" style="42" customWidth="1"/>
    <col min="8717" max="8717" width="9.7109375" style="42" customWidth="1"/>
    <col min="8718" max="8718" width="4" style="42" customWidth="1"/>
    <col min="8719" max="8960" width="8.85546875" style="42"/>
    <col min="8961" max="8961" width="43.7109375" style="42" customWidth="1"/>
    <col min="8962" max="8962" width="9.7109375" style="42" customWidth="1"/>
    <col min="8963" max="8963" width="8.7109375" style="42" customWidth="1"/>
    <col min="8964" max="8964" width="2.5703125" style="42" customWidth="1"/>
    <col min="8965" max="8966" width="9.7109375" style="42" customWidth="1"/>
    <col min="8967" max="8967" width="2.7109375" style="42" customWidth="1"/>
    <col min="8968" max="8969" width="9.7109375" style="42" customWidth="1"/>
    <col min="8970" max="8970" width="2.5703125" style="42" customWidth="1"/>
    <col min="8971" max="8971" width="9.7109375" style="42" customWidth="1"/>
    <col min="8972" max="8972" width="2.7109375" style="42" customWidth="1"/>
    <col min="8973" max="8973" width="9.7109375" style="42" customWidth="1"/>
    <col min="8974" max="8974" width="4" style="42" customWidth="1"/>
    <col min="8975" max="9216" width="8.85546875" style="42"/>
    <col min="9217" max="9217" width="43.7109375" style="42" customWidth="1"/>
    <col min="9218" max="9218" width="9.7109375" style="42" customWidth="1"/>
    <col min="9219" max="9219" width="8.7109375" style="42" customWidth="1"/>
    <col min="9220" max="9220" width="2.5703125" style="42" customWidth="1"/>
    <col min="9221" max="9222" width="9.7109375" style="42" customWidth="1"/>
    <col min="9223" max="9223" width="2.7109375" style="42" customWidth="1"/>
    <col min="9224" max="9225" width="9.7109375" style="42" customWidth="1"/>
    <col min="9226" max="9226" width="2.5703125" style="42" customWidth="1"/>
    <col min="9227" max="9227" width="9.7109375" style="42" customWidth="1"/>
    <col min="9228" max="9228" width="2.7109375" style="42" customWidth="1"/>
    <col min="9229" max="9229" width="9.7109375" style="42" customWidth="1"/>
    <col min="9230" max="9230" width="4" style="42" customWidth="1"/>
    <col min="9231" max="9472" width="8.85546875" style="42"/>
    <col min="9473" max="9473" width="43.7109375" style="42" customWidth="1"/>
    <col min="9474" max="9474" width="9.7109375" style="42" customWidth="1"/>
    <col min="9475" max="9475" width="8.7109375" style="42" customWidth="1"/>
    <col min="9476" max="9476" width="2.5703125" style="42" customWidth="1"/>
    <col min="9477" max="9478" width="9.7109375" style="42" customWidth="1"/>
    <col min="9479" max="9479" width="2.7109375" style="42" customWidth="1"/>
    <col min="9480" max="9481" width="9.7109375" style="42" customWidth="1"/>
    <col min="9482" max="9482" width="2.5703125" style="42" customWidth="1"/>
    <col min="9483" max="9483" width="9.7109375" style="42" customWidth="1"/>
    <col min="9484" max="9484" width="2.7109375" style="42" customWidth="1"/>
    <col min="9485" max="9485" width="9.7109375" style="42" customWidth="1"/>
    <col min="9486" max="9486" width="4" style="42" customWidth="1"/>
    <col min="9487" max="9728" width="8.85546875" style="42"/>
    <col min="9729" max="9729" width="43.7109375" style="42" customWidth="1"/>
    <col min="9730" max="9730" width="9.7109375" style="42" customWidth="1"/>
    <col min="9731" max="9731" width="8.7109375" style="42" customWidth="1"/>
    <col min="9732" max="9732" width="2.5703125" style="42" customWidth="1"/>
    <col min="9733" max="9734" width="9.7109375" style="42" customWidth="1"/>
    <col min="9735" max="9735" width="2.7109375" style="42" customWidth="1"/>
    <col min="9736" max="9737" width="9.7109375" style="42" customWidth="1"/>
    <col min="9738" max="9738" width="2.5703125" style="42" customWidth="1"/>
    <col min="9739" max="9739" width="9.7109375" style="42" customWidth="1"/>
    <col min="9740" max="9740" width="2.7109375" style="42" customWidth="1"/>
    <col min="9741" max="9741" width="9.7109375" style="42" customWidth="1"/>
    <col min="9742" max="9742" width="4" style="42" customWidth="1"/>
    <col min="9743" max="9984" width="8.85546875" style="42"/>
    <col min="9985" max="9985" width="43.7109375" style="42" customWidth="1"/>
    <col min="9986" max="9986" width="9.7109375" style="42" customWidth="1"/>
    <col min="9987" max="9987" width="8.7109375" style="42" customWidth="1"/>
    <col min="9988" max="9988" width="2.5703125" style="42" customWidth="1"/>
    <col min="9989" max="9990" width="9.7109375" style="42" customWidth="1"/>
    <col min="9991" max="9991" width="2.7109375" style="42" customWidth="1"/>
    <col min="9992" max="9993" width="9.7109375" style="42" customWidth="1"/>
    <col min="9994" max="9994" width="2.5703125" style="42" customWidth="1"/>
    <col min="9995" max="9995" width="9.7109375" style="42" customWidth="1"/>
    <col min="9996" max="9996" width="2.7109375" style="42" customWidth="1"/>
    <col min="9997" max="9997" width="9.7109375" style="42" customWidth="1"/>
    <col min="9998" max="9998" width="4" style="42" customWidth="1"/>
    <col min="9999" max="10240" width="8.85546875" style="42"/>
    <col min="10241" max="10241" width="43.7109375" style="42" customWidth="1"/>
    <col min="10242" max="10242" width="9.7109375" style="42" customWidth="1"/>
    <col min="10243" max="10243" width="8.7109375" style="42" customWidth="1"/>
    <col min="10244" max="10244" width="2.5703125" style="42" customWidth="1"/>
    <col min="10245" max="10246" width="9.7109375" style="42" customWidth="1"/>
    <col min="10247" max="10247" width="2.7109375" style="42" customWidth="1"/>
    <col min="10248" max="10249" width="9.7109375" style="42" customWidth="1"/>
    <col min="10250" max="10250" width="2.5703125" style="42" customWidth="1"/>
    <col min="10251" max="10251" width="9.7109375" style="42" customWidth="1"/>
    <col min="10252" max="10252" width="2.7109375" style="42" customWidth="1"/>
    <col min="10253" max="10253" width="9.7109375" style="42" customWidth="1"/>
    <col min="10254" max="10254" width="4" style="42" customWidth="1"/>
    <col min="10255" max="10496" width="8.85546875" style="42"/>
    <col min="10497" max="10497" width="43.7109375" style="42" customWidth="1"/>
    <col min="10498" max="10498" width="9.7109375" style="42" customWidth="1"/>
    <col min="10499" max="10499" width="8.7109375" style="42" customWidth="1"/>
    <col min="10500" max="10500" width="2.5703125" style="42" customWidth="1"/>
    <col min="10501" max="10502" width="9.7109375" style="42" customWidth="1"/>
    <col min="10503" max="10503" width="2.7109375" style="42" customWidth="1"/>
    <col min="10504" max="10505" width="9.7109375" style="42" customWidth="1"/>
    <col min="10506" max="10506" width="2.5703125" style="42" customWidth="1"/>
    <col min="10507" max="10507" width="9.7109375" style="42" customWidth="1"/>
    <col min="10508" max="10508" width="2.7109375" style="42" customWidth="1"/>
    <col min="10509" max="10509" width="9.7109375" style="42" customWidth="1"/>
    <col min="10510" max="10510" width="4" style="42" customWidth="1"/>
    <col min="10511" max="10752" width="8.85546875" style="42"/>
    <col min="10753" max="10753" width="43.7109375" style="42" customWidth="1"/>
    <col min="10754" max="10754" width="9.7109375" style="42" customWidth="1"/>
    <col min="10755" max="10755" width="8.7109375" style="42" customWidth="1"/>
    <col min="10756" max="10756" width="2.5703125" style="42" customWidth="1"/>
    <col min="10757" max="10758" width="9.7109375" style="42" customWidth="1"/>
    <col min="10759" max="10759" width="2.7109375" style="42" customWidth="1"/>
    <col min="10760" max="10761" width="9.7109375" style="42" customWidth="1"/>
    <col min="10762" max="10762" width="2.5703125" style="42" customWidth="1"/>
    <col min="10763" max="10763" width="9.7109375" style="42" customWidth="1"/>
    <col min="10764" max="10764" width="2.7109375" style="42" customWidth="1"/>
    <col min="10765" max="10765" width="9.7109375" style="42" customWidth="1"/>
    <col min="10766" max="10766" width="4" style="42" customWidth="1"/>
    <col min="10767" max="11008" width="8.85546875" style="42"/>
    <col min="11009" max="11009" width="43.7109375" style="42" customWidth="1"/>
    <col min="11010" max="11010" width="9.7109375" style="42" customWidth="1"/>
    <col min="11011" max="11011" width="8.7109375" style="42" customWidth="1"/>
    <col min="11012" max="11012" width="2.5703125" style="42" customWidth="1"/>
    <col min="11013" max="11014" width="9.7109375" style="42" customWidth="1"/>
    <col min="11015" max="11015" width="2.7109375" style="42" customWidth="1"/>
    <col min="11016" max="11017" width="9.7109375" style="42" customWidth="1"/>
    <col min="11018" max="11018" width="2.5703125" style="42" customWidth="1"/>
    <col min="11019" max="11019" width="9.7109375" style="42" customWidth="1"/>
    <col min="11020" max="11020" width="2.7109375" style="42" customWidth="1"/>
    <col min="11021" max="11021" width="9.7109375" style="42" customWidth="1"/>
    <col min="11022" max="11022" width="4" style="42" customWidth="1"/>
    <col min="11023" max="11264" width="8.85546875" style="42"/>
    <col min="11265" max="11265" width="43.7109375" style="42" customWidth="1"/>
    <col min="11266" max="11266" width="9.7109375" style="42" customWidth="1"/>
    <col min="11267" max="11267" width="8.7109375" style="42" customWidth="1"/>
    <col min="11268" max="11268" width="2.5703125" style="42" customWidth="1"/>
    <col min="11269" max="11270" width="9.7109375" style="42" customWidth="1"/>
    <col min="11271" max="11271" width="2.7109375" style="42" customWidth="1"/>
    <col min="11272" max="11273" width="9.7109375" style="42" customWidth="1"/>
    <col min="11274" max="11274" width="2.5703125" style="42" customWidth="1"/>
    <col min="11275" max="11275" width="9.7109375" style="42" customWidth="1"/>
    <col min="11276" max="11276" width="2.7109375" style="42" customWidth="1"/>
    <col min="11277" max="11277" width="9.7109375" style="42" customWidth="1"/>
    <col min="11278" max="11278" width="4" style="42" customWidth="1"/>
    <col min="11279" max="11520" width="8.85546875" style="42"/>
    <col min="11521" max="11521" width="43.7109375" style="42" customWidth="1"/>
    <col min="11522" max="11522" width="9.7109375" style="42" customWidth="1"/>
    <col min="11523" max="11523" width="8.7109375" style="42" customWidth="1"/>
    <col min="11524" max="11524" width="2.5703125" style="42" customWidth="1"/>
    <col min="11525" max="11526" width="9.7109375" style="42" customWidth="1"/>
    <col min="11527" max="11527" width="2.7109375" style="42" customWidth="1"/>
    <col min="11528" max="11529" width="9.7109375" style="42" customWidth="1"/>
    <col min="11530" max="11530" width="2.5703125" style="42" customWidth="1"/>
    <col min="11531" max="11531" width="9.7109375" style="42" customWidth="1"/>
    <col min="11532" max="11532" width="2.7109375" style="42" customWidth="1"/>
    <col min="11533" max="11533" width="9.7109375" style="42" customWidth="1"/>
    <col min="11534" max="11534" width="4" style="42" customWidth="1"/>
    <col min="11535" max="11776" width="8.85546875" style="42"/>
    <col min="11777" max="11777" width="43.7109375" style="42" customWidth="1"/>
    <col min="11778" max="11778" width="9.7109375" style="42" customWidth="1"/>
    <col min="11779" max="11779" width="8.7109375" style="42" customWidth="1"/>
    <col min="11780" max="11780" width="2.5703125" style="42" customWidth="1"/>
    <col min="11781" max="11782" width="9.7109375" style="42" customWidth="1"/>
    <col min="11783" max="11783" width="2.7109375" style="42" customWidth="1"/>
    <col min="11784" max="11785" width="9.7109375" style="42" customWidth="1"/>
    <col min="11786" max="11786" width="2.5703125" style="42" customWidth="1"/>
    <col min="11787" max="11787" width="9.7109375" style="42" customWidth="1"/>
    <col min="11788" max="11788" width="2.7109375" style="42" customWidth="1"/>
    <col min="11789" max="11789" width="9.7109375" style="42" customWidth="1"/>
    <col min="11790" max="11790" width="4" style="42" customWidth="1"/>
    <col min="11791" max="12032" width="8.85546875" style="42"/>
    <col min="12033" max="12033" width="43.7109375" style="42" customWidth="1"/>
    <col min="12034" max="12034" width="9.7109375" style="42" customWidth="1"/>
    <col min="12035" max="12035" width="8.7109375" style="42" customWidth="1"/>
    <col min="12036" max="12036" width="2.5703125" style="42" customWidth="1"/>
    <col min="12037" max="12038" width="9.7109375" style="42" customWidth="1"/>
    <col min="12039" max="12039" width="2.7109375" style="42" customWidth="1"/>
    <col min="12040" max="12041" width="9.7109375" style="42" customWidth="1"/>
    <col min="12042" max="12042" width="2.5703125" style="42" customWidth="1"/>
    <col min="12043" max="12043" width="9.7109375" style="42" customWidth="1"/>
    <col min="12044" max="12044" width="2.7109375" style="42" customWidth="1"/>
    <col min="12045" max="12045" width="9.7109375" style="42" customWidth="1"/>
    <col min="12046" max="12046" width="4" style="42" customWidth="1"/>
    <col min="12047" max="12288" width="8.85546875" style="42"/>
    <col min="12289" max="12289" width="43.7109375" style="42" customWidth="1"/>
    <col min="12290" max="12290" width="9.7109375" style="42" customWidth="1"/>
    <col min="12291" max="12291" width="8.7109375" style="42" customWidth="1"/>
    <col min="12292" max="12292" width="2.5703125" style="42" customWidth="1"/>
    <col min="12293" max="12294" width="9.7109375" style="42" customWidth="1"/>
    <col min="12295" max="12295" width="2.7109375" style="42" customWidth="1"/>
    <col min="12296" max="12297" width="9.7109375" style="42" customWidth="1"/>
    <col min="12298" max="12298" width="2.5703125" style="42" customWidth="1"/>
    <col min="12299" max="12299" width="9.7109375" style="42" customWidth="1"/>
    <col min="12300" max="12300" width="2.7109375" style="42" customWidth="1"/>
    <col min="12301" max="12301" width="9.7109375" style="42" customWidth="1"/>
    <col min="12302" max="12302" width="4" style="42" customWidth="1"/>
    <col min="12303" max="12544" width="8.85546875" style="42"/>
    <col min="12545" max="12545" width="43.7109375" style="42" customWidth="1"/>
    <col min="12546" max="12546" width="9.7109375" style="42" customWidth="1"/>
    <col min="12547" max="12547" width="8.7109375" style="42" customWidth="1"/>
    <col min="12548" max="12548" width="2.5703125" style="42" customWidth="1"/>
    <col min="12549" max="12550" width="9.7109375" style="42" customWidth="1"/>
    <col min="12551" max="12551" width="2.7109375" style="42" customWidth="1"/>
    <col min="12552" max="12553" width="9.7109375" style="42" customWidth="1"/>
    <col min="12554" max="12554" width="2.5703125" style="42" customWidth="1"/>
    <col min="12555" max="12555" width="9.7109375" style="42" customWidth="1"/>
    <col min="12556" max="12556" width="2.7109375" style="42" customWidth="1"/>
    <col min="12557" max="12557" width="9.7109375" style="42" customWidth="1"/>
    <col min="12558" max="12558" width="4" style="42" customWidth="1"/>
    <col min="12559" max="12800" width="8.85546875" style="42"/>
    <col min="12801" max="12801" width="43.7109375" style="42" customWidth="1"/>
    <col min="12802" max="12802" width="9.7109375" style="42" customWidth="1"/>
    <col min="12803" max="12803" width="8.7109375" style="42" customWidth="1"/>
    <col min="12804" max="12804" width="2.5703125" style="42" customWidth="1"/>
    <col min="12805" max="12806" width="9.7109375" style="42" customWidth="1"/>
    <col min="12807" max="12807" width="2.7109375" style="42" customWidth="1"/>
    <col min="12808" max="12809" width="9.7109375" style="42" customWidth="1"/>
    <col min="12810" max="12810" width="2.5703125" style="42" customWidth="1"/>
    <col min="12811" max="12811" width="9.7109375" style="42" customWidth="1"/>
    <col min="12812" max="12812" width="2.7109375" style="42" customWidth="1"/>
    <col min="12813" max="12813" width="9.7109375" style="42" customWidth="1"/>
    <col min="12814" max="12814" width="4" style="42" customWidth="1"/>
    <col min="12815" max="13056" width="8.85546875" style="42"/>
    <col min="13057" max="13057" width="43.7109375" style="42" customWidth="1"/>
    <col min="13058" max="13058" width="9.7109375" style="42" customWidth="1"/>
    <col min="13059" max="13059" width="8.7109375" style="42" customWidth="1"/>
    <col min="13060" max="13060" width="2.5703125" style="42" customWidth="1"/>
    <col min="13061" max="13062" width="9.7109375" style="42" customWidth="1"/>
    <col min="13063" max="13063" width="2.7109375" style="42" customWidth="1"/>
    <col min="13064" max="13065" width="9.7109375" style="42" customWidth="1"/>
    <col min="13066" max="13066" width="2.5703125" style="42" customWidth="1"/>
    <col min="13067" max="13067" width="9.7109375" style="42" customWidth="1"/>
    <col min="13068" max="13068" width="2.7109375" style="42" customWidth="1"/>
    <col min="13069" max="13069" width="9.7109375" style="42" customWidth="1"/>
    <col min="13070" max="13070" width="4" style="42" customWidth="1"/>
    <col min="13071" max="13312" width="8.85546875" style="42"/>
    <col min="13313" max="13313" width="43.7109375" style="42" customWidth="1"/>
    <col min="13314" max="13314" width="9.7109375" style="42" customWidth="1"/>
    <col min="13315" max="13315" width="8.7109375" style="42" customWidth="1"/>
    <col min="13316" max="13316" width="2.5703125" style="42" customWidth="1"/>
    <col min="13317" max="13318" width="9.7109375" style="42" customWidth="1"/>
    <col min="13319" max="13319" width="2.7109375" style="42" customWidth="1"/>
    <col min="13320" max="13321" width="9.7109375" style="42" customWidth="1"/>
    <col min="13322" max="13322" width="2.5703125" style="42" customWidth="1"/>
    <col min="13323" max="13323" width="9.7109375" style="42" customWidth="1"/>
    <col min="13324" max="13324" width="2.7109375" style="42" customWidth="1"/>
    <col min="13325" max="13325" width="9.7109375" style="42" customWidth="1"/>
    <col min="13326" max="13326" width="4" style="42" customWidth="1"/>
    <col min="13327" max="13568" width="8.85546875" style="42"/>
    <col min="13569" max="13569" width="43.7109375" style="42" customWidth="1"/>
    <col min="13570" max="13570" width="9.7109375" style="42" customWidth="1"/>
    <col min="13571" max="13571" width="8.7109375" style="42" customWidth="1"/>
    <col min="13572" max="13572" width="2.5703125" style="42" customWidth="1"/>
    <col min="13573" max="13574" width="9.7109375" style="42" customWidth="1"/>
    <col min="13575" max="13575" width="2.7109375" style="42" customWidth="1"/>
    <col min="13576" max="13577" width="9.7109375" style="42" customWidth="1"/>
    <col min="13578" max="13578" width="2.5703125" style="42" customWidth="1"/>
    <col min="13579" max="13579" width="9.7109375" style="42" customWidth="1"/>
    <col min="13580" max="13580" width="2.7109375" style="42" customWidth="1"/>
    <col min="13581" max="13581" width="9.7109375" style="42" customWidth="1"/>
    <col min="13582" max="13582" width="4" style="42" customWidth="1"/>
    <col min="13583" max="13824" width="8.85546875" style="42"/>
    <col min="13825" max="13825" width="43.7109375" style="42" customWidth="1"/>
    <col min="13826" max="13826" width="9.7109375" style="42" customWidth="1"/>
    <col min="13827" max="13827" width="8.7109375" style="42" customWidth="1"/>
    <col min="13828" max="13828" width="2.5703125" style="42" customWidth="1"/>
    <col min="13829" max="13830" width="9.7109375" style="42" customWidth="1"/>
    <col min="13831" max="13831" width="2.7109375" style="42" customWidth="1"/>
    <col min="13832" max="13833" width="9.7109375" style="42" customWidth="1"/>
    <col min="13834" max="13834" width="2.5703125" style="42" customWidth="1"/>
    <col min="13835" max="13835" width="9.7109375" style="42" customWidth="1"/>
    <col min="13836" max="13836" width="2.7109375" style="42" customWidth="1"/>
    <col min="13837" max="13837" width="9.7109375" style="42" customWidth="1"/>
    <col min="13838" max="13838" width="4" style="42" customWidth="1"/>
    <col min="13839" max="14080" width="8.85546875" style="42"/>
    <col min="14081" max="14081" width="43.7109375" style="42" customWidth="1"/>
    <col min="14082" max="14082" width="9.7109375" style="42" customWidth="1"/>
    <col min="14083" max="14083" width="8.7109375" style="42" customWidth="1"/>
    <col min="14084" max="14084" width="2.5703125" style="42" customWidth="1"/>
    <col min="14085" max="14086" width="9.7109375" style="42" customWidth="1"/>
    <col min="14087" max="14087" width="2.7109375" style="42" customWidth="1"/>
    <col min="14088" max="14089" width="9.7109375" style="42" customWidth="1"/>
    <col min="14090" max="14090" width="2.5703125" style="42" customWidth="1"/>
    <col min="14091" max="14091" width="9.7109375" style="42" customWidth="1"/>
    <col min="14092" max="14092" width="2.7109375" style="42" customWidth="1"/>
    <col min="14093" max="14093" width="9.7109375" style="42" customWidth="1"/>
    <col min="14094" max="14094" width="4" style="42" customWidth="1"/>
    <col min="14095" max="14336" width="8.85546875" style="42"/>
    <col min="14337" max="14337" width="43.7109375" style="42" customWidth="1"/>
    <col min="14338" max="14338" width="9.7109375" style="42" customWidth="1"/>
    <col min="14339" max="14339" width="8.7109375" style="42" customWidth="1"/>
    <col min="14340" max="14340" width="2.5703125" style="42" customWidth="1"/>
    <col min="14341" max="14342" width="9.7109375" style="42" customWidth="1"/>
    <col min="14343" max="14343" width="2.7109375" style="42" customWidth="1"/>
    <col min="14344" max="14345" width="9.7109375" style="42" customWidth="1"/>
    <col min="14346" max="14346" width="2.5703125" style="42" customWidth="1"/>
    <col min="14347" max="14347" width="9.7109375" style="42" customWidth="1"/>
    <col min="14348" max="14348" width="2.7109375" style="42" customWidth="1"/>
    <col min="14349" max="14349" width="9.7109375" style="42" customWidth="1"/>
    <col min="14350" max="14350" width="4" style="42" customWidth="1"/>
    <col min="14351" max="14592" width="8.85546875" style="42"/>
    <col min="14593" max="14593" width="43.7109375" style="42" customWidth="1"/>
    <col min="14594" max="14594" width="9.7109375" style="42" customWidth="1"/>
    <col min="14595" max="14595" width="8.7109375" style="42" customWidth="1"/>
    <col min="14596" max="14596" width="2.5703125" style="42" customWidth="1"/>
    <col min="14597" max="14598" width="9.7109375" style="42" customWidth="1"/>
    <col min="14599" max="14599" width="2.7109375" style="42" customWidth="1"/>
    <col min="14600" max="14601" width="9.7109375" style="42" customWidth="1"/>
    <col min="14602" max="14602" width="2.5703125" style="42" customWidth="1"/>
    <col min="14603" max="14603" width="9.7109375" style="42" customWidth="1"/>
    <col min="14604" max="14604" width="2.7109375" style="42" customWidth="1"/>
    <col min="14605" max="14605" width="9.7109375" style="42" customWidth="1"/>
    <col min="14606" max="14606" width="4" style="42" customWidth="1"/>
    <col min="14607" max="14848" width="8.85546875" style="42"/>
    <col min="14849" max="14849" width="43.7109375" style="42" customWidth="1"/>
    <col min="14850" max="14850" width="9.7109375" style="42" customWidth="1"/>
    <col min="14851" max="14851" width="8.7109375" style="42" customWidth="1"/>
    <col min="14852" max="14852" width="2.5703125" style="42" customWidth="1"/>
    <col min="14853" max="14854" width="9.7109375" style="42" customWidth="1"/>
    <col min="14855" max="14855" width="2.7109375" style="42" customWidth="1"/>
    <col min="14856" max="14857" width="9.7109375" style="42" customWidth="1"/>
    <col min="14858" max="14858" width="2.5703125" style="42" customWidth="1"/>
    <col min="14859" max="14859" width="9.7109375" style="42" customWidth="1"/>
    <col min="14860" max="14860" width="2.7109375" style="42" customWidth="1"/>
    <col min="14861" max="14861" width="9.7109375" style="42" customWidth="1"/>
    <col min="14862" max="14862" width="4" style="42" customWidth="1"/>
    <col min="14863" max="15104" width="8.85546875" style="42"/>
    <col min="15105" max="15105" width="43.7109375" style="42" customWidth="1"/>
    <col min="15106" max="15106" width="9.7109375" style="42" customWidth="1"/>
    <col min="15107" max="15107" width="8.7109375" style="42" customWidth="1"/>
    <col min="15108" max="15108" width="2.5703125" style="42" customWidth="1"/>
    <col min="15109" max="15110" width="9.7109375" style="42" customWidth="1"/>
    <col min="15111" max="15111" width="2.7109375" style="42" customWidth="1"/>
    <col min="15112" max="15113" width="9.7109375" style="42" customWidth="1"/>
    <col min="15114" max="15114" width="2.5703125" style="42" customWidth="1"/>
    <col min="15115" max="15115" width="9.7109375" style="42" customWidth="1"/>
    <col min="15116" max="15116" width="2.7109375" style="42" customWidth="1"/>
    <col min="15117" max="15117" width="9.7109375" style="42" customWidth="1"/>
    <col min="15118" max="15118" width="4" style="42" customWidth="1"/>
    <col min="15119" max="15360" width="8.85546875" style="42"/>
    <col min="15361" max="15361" width="43.7109375" style="42" customWidth="1"/>
    <col min="15362" max="15362" width="9.7109375" style="42" customWidth="1"/>
    <col min="15363" max="15363" width="8.7109375" style="42" customWidth="1"/>
    <col min="15364" max="15364" width="2.5703125" style="42" customWidth="1"/>
    <col min="15365" max="15366" width="9.7109375" style="42" customWidth="1"/>
    <col min="15367" max="15367" width="2.7109375" style="42" customWidth="1"/>
    <col min="15368" max="15369" width="9.7109375" style="42" customWidth="1"/>
    <col min="15370" max="15370" width="2.5703125" style="42" customWidth="1"/>
    <col min="15371" max="15371" width="9.7109375" style="42" customWidth="1"/>
    <col min="15372" max="15372" width="2.7109375" style="42" customWidth="1"/>
    <col min="15373" max="15373" width="9.7109375" style="42" customWidth="1"/>
    <col min="15374" max="15374" width="4" style="42" customWidth="1"/>
    <col min="15375" max="15616" width="8.85546875" style="42"/>
    <col min="15617" max="15617" width="43.7109375" style="42" customWidth="1"/>
    <col min="15618" max="15618" width="9.7109375" style="42" customWidth="1"/>
    <col min="15619" max="15619" width="8.7109375" style="42" customWidth="1"/>
    <col min="15620" max="15620" width="2.5703125" style="42" customWidth="1"/>
    <col min="15621" max="15622" width="9.7109375" style="42" customWidth="1"/>
    <col min="15623" max="15623" width="2.7109375" style="42" customWidth="1"/>
    <col min="15624" max="15625" width="9.7109375" style="42" customWidth="1"/>
    <col min="15626" max="15626" width="2.5703125" style="42" customWidth="1"/>
    <col min="15627" max="15627" width="9.7109375" style="42" customWidth="1"/>
    <col min="15628" max="15628" width="2.7109375" style="42" customWidth="1"/>
    <col min="15629" max="15629" width="9.7109375" style="42" customWidth="1"/>
    <col min="15630" max="15630" width="4" style="42" customWidth="1"/>
    <col min="15631" max="15872" width="8.85546875" style="42"/>
    <col min="15873" max="15873" width="43.7109375" style="42" customWidth="1"/>
    <col min="15874" max="15874" width="9.7109375" style="42" customWidth="1"/>
    <col min="15875" max="15875" width="8.7109375" style="42" customWidth="1"/>
    <col min="15876" max="15876" width="2.5703125" style="42" customWidth="1"/>
    <col min="15877" max="15878" width="9.7109375" style="42" customWidth="1"/>
    <col min="15879" max="15879" width="2.7109375" style="42" customWidth="1"/>
    <col min="15880" max="15881" width="9.7109375" style="42" customWidth="1"/>
    <col min="15882" max="15882" width="2.5703125" style="42" customWidth="1"/>
    <col min="15883" max="15883" width="9.7109375" style="42" customWidth="1"/>
    <col min="15884" max="15884" width="2.7109375" style="42" customWidth="1"/>
    <col min="15885" max="15885" width="9.7109375" style="42" customWidth="1"/>
    <col min="15886" max="15886" width="4" style="42" customWidth="1"/>
    <col min="15887" max="16128" width="8.85546875" style="42"/>
    <col min="16129" max="16129" width="43.7109375" style="42" customWidth="1"/>
    <col min="16130" max="16130" width="9.7109375" style="42" customWidth="1"/>
    <col min="16131" max="16131" width="8.7109375" style="42" customWidth="1"/>
    <col min="16132" max="16132" width="2.5703125" style="42" customWidth="1"/>
    <col min="16133" max="16134" width="9.7109375" style="42" customWidth="1"/>
    <col min="16135" max="16135" width="2.7109375" style="42" customWidth="1"/>
    <col min="16136" max="16137" width="9.7109375" style="42" customWidth="1"/>
    <col min="16138" max="16138" width="2.5703125" style="42" customWidth="1"/>
    <col min="16139" max="16139" width="9.7109375" style="42" customWidth="1"/>
    <col min="16140" max="16140" width="2.7109375" style="42" customWidth="1"/>
    <col min="16141" max="16141" width="9.7109375" style="42" customWidth="1"/>
    <col min="16142" max="16142" width="4" style="42" customWidth="1"/>
    <col min="16143" max="16384" width="8.85546875" style="42"/>
  </cols>
  <sheetData>
    <row r="1" spans="1:14" ht="13.5" customHeight="1">
      <c r="A1" s="180" t="s">
        <v>311</v>
      </c>
    </row>
    <row r="2" spans="1:14" ht="14.25" customHeight="1">
      <c r="A2" s="42" t="s">
        <v>312</v>
      </c>
    </row>
    <row r="3" spans="1:14" ht="10.5" customHeight="1">
      <c r="E3" s="459"/>
      <c r="G3" s="460"/>
    </row>
    <row r="4" spans="1:14" ht="15.75" customHeight="1">
      <c r="A4" s="42" t="s">
        <v>985</v>
      </c>
    </row>
    <row r="5" spans="1:14" ht="11.25" customHeight="1" thickBot="1"/>
    <row r="6" spans="1:14" ht="10.5" customHeight="1">
      <c r="A6" s="237"/>
      <c r="B6" s="235"/>
      <c r="C6" s="461"/>
      <c r="D6" s="238"/>
      <c r="E6" s="238"/>
      <c r="F6" s="461"/>
      <c r="G6" s="462"/>
      <c r="H6" s="238"/>
      <c r="I6" s="461"/>
      <c r="J6" s="238"/>
      <c r="K6" s="463"/>
      <c r="L6" s="237"/>
      <c r="M6" s="461"/>
      <c r="N6" s="237"/>
    </row>
    <row r="7" spans="1:14" ht="15.95" customHeight="1">
      <c r="A7" s="95" t="s">
        <v>986</v>
      </c>
      <c r="B7" s="1268" t="s">
        <v>1092</v>
      </c>
      <c r="C7" s="1268"/>
      <c r="D7" s="294"/>
      <c r="E7" s="1268" t="s">
        <v>757</v>
      </c>
      <c r="F7" s="1268"/>
      <c r="G7" s="306"/>
      <c r="H7" s="1268" t="s">
        <v>299</v>
      </c>
      <c r="I7" s="1268"/>
      <c r="J7" s="306"/>
      <c r="K7" s="1288" t="s">
        <v>296</v>
      </c>
      <c r="L7" s="1288"/>
      <c r="M7" s="1288"/>
    </row>
    <row r="8" spans="1:14" ht="15.95" customHeight="1">
      <c r="A8" s="95"/>
      <c r="B8" s="284" t="s">
        <v>9</v>
      </c>
      <c r="C8" s="410" t="s">
        <v>10</v>
      </c>
      <c r="D8" s="294"/>
      <c r="E8" s="294" t="s">
        <v>9</v>
      </c>
      <c r="F8" s="410" t="s">
        <v>10</v>
      </c>
      <c r="G8" s="306"/>
      <c r="H8" s="294" t="s">
        <v>9</v>
      </c>
      <c r="I8" s="410" t="s">
        <v>10</v>
      </c>
      <c r="J8" s="306"/>
      <c r="K8" s="284" t="s">
        <v>9</v>
      </c>
      <c r="L8" s="294"/>
      <c r="M8" s="410" t="s">
        <v>10</v>
      </c>
    </row>
    <row r="9" spans="1:14" ht="12.75" customHeight="1" thickBot="1">
      <c r="A9" s="249"/>
      <c r="B9" s="247"/>
      <c r="C9" s="464"/>
      <c r="D9" s="250"/>
      <c r="E9" s="250"/>
      <c r="F9" s="464"/>
      <c r="G9" s="304"/>
      <c r="H9" s="250"/>
      <c r="I9" s="464"/>
      <c r="J9" s="250"/>
      <c r="K9" s="165"/>
      <c r="L9" s="249"/>
      <c r="M9" s="464"/>
      <c r="N9" s="249"/>
    </row>
    <row r="10" spans="1:14" ht="8.25" customHeight="1">
      <c r="A10" s="95"/>
      <c r="B10" s="239"/>
      <c r="C10" s="322"/>
      <c r="F10" s="322"/>
      <c r="G10" s="465"/>
      <c r="H10" s="251"/>
      <c r="I10" s="322"/>
      <c r="J10" s="251"/>
      <c r="K10" s="97"/>
      <c r="L10" s="95"/>
      <c r="M10" s="322"/>
      <c r="N10" s="95"/>
    </row>
    <row r="11" spans="1:14" s="63" customFormat="1" ht="13.9" customHeight="1">
      <c r="A11" s="63" t="s">
        <v>325</v>
      </c>
      <c r="B11" s="317">
        <f>B13+B96</f>
        <v>5189</v>
      </c>
      <c r="C11" s="320">
        <f>C13+C96</f>
        <v>100</v>
      </c>
      <c r="D11" s="318"/>
      <c r="E11" s="318">
        <f>E13+E96</f>
        <v>312</v>
      </c>
      <c r="F11" s="320">
        <f>IF($A11&lt;&gt;"",E11/$B11*100,"")</f>
        <v>6.0127192137213337</v>
      </c>
      <c r="G11" s="466"/>
      <c r="H11" s="318">
        <f>H13+H96</f>
        <v>3110</v>
      </c>
      <c r="I11" s="320">
        <f>IF($A11&lt;&gt;"",H11/$B11*100,"")</f>
        <v>59.934476777799198</v>
      </c>
      <c r="J11" s="318"/>
      <c r="K11" s="317">
        <f>K13+K96</f>
        <v>1767</v>
      </c>
      <c r="L11" s="318"/>
      <c r="M11" s="320">
        <f>IF($A11&lt;&gt;"",K11/$B11*100,"")</f>
        <v>34.052804008479477</v>
      </c>
    </row>
    <row r="12" spans="1:14" ht="9.75" customHeight="1">
      <c r="B12" s="65" t="str">
        <f t="shared" ref="B12:B75" si="0">IF(A12&lt;&gt;0,E12+H12+K12,"")</f>
        <v/>
      </c>
      <c r="F12" s="182" t="str">
        <f>IF($A12&lt;&gt;"",E12/$B12*100,"")</f>
        <v/>
      </c>
      <c r="I12" s="182" t="str">
        <f>IF($A12&lt;&gt;"",H12/$B12*100,"")</f>
        <v/>
      </c>
      <c r="K12" s="65"/>
      <c r="L12" s="93"/>
      <c r="M12" s="182" t="str">
        <f>IF($A12&lt;&gt;"",K12/$B12*100,"")</f>
        <v/>
      </c>
    </row>
    <row r="13" spans="1:14" ht="13.9" customHeight="1">
      <c r="A13" s="63" t="s">
        <v>326</v>
      </c>
      <c r="B13" s="65">
        <f t="shared" si="0"/>
        <v>3846</v>
      </c>
      <c r="C13" s="182">
        <f t="shared" ref="C13:C79" si="1">IF($A$11&lt;&gt;"",$B13/$B$11*100,"")</f>
        <v>74.118327230680279</v>
      </c>
      <c r="E13" s="93">
        <f>E15+E26+E34+E74+E81+E60+E93+E94</f>
        <v>238</v>
      </c>
      <c r="F13" s="182">
        <f>IF($A13&lt;&gt;"",E13/$B13*100,"")</f>
        <v>6.1882475299011963</v>
      </c>
      <c r="H13" s="93">
        <f>H15+H26+H34+H74+H81+H60+H93+H94</f>
        <v>2169</v>
      </c>
      <c r="I13" s="182">
        <f>IF($A13&lt;&gt;"",H13/$B13*100,"")</f>
        <v>56.396255850234013</v>
      </c>
      <c r="K13" s="65">
        <f>K15+K26+K34+K74+K81+K60+K93+K94</f>
        <v>1439</v>
      </c>
      <c r="L13" s="93"/>
      <c r="M13" s="182">
        <f>IF($A13&lt;&gt;"",K13/$B13*100,"")</f>
        <v>37.415496619864797</v>
      </c>
    </row>
    <row r="14" spans="1:14" ht="6.75" customHeight="1">
      <c r="A14" s="42" t="s">
        <v>253</v>
      </c>
      <c r="K14" s="65"/>
      <c r="L14" s="93"/>
    </row>
    <row r="15" spans="1:14" ht="13.9" customHeight="1">
      <c r="A15" s="63" t="s">
        <v>19</v>
      </c>
      <c r="B15" s="65">
        <f t="shared" si="0"/>
        <v>227</v>
      </c>
      <c r="C15" s="182">
        <f t="shared" si="1"/>
        <v>4.374638658701099</v>
      </c>
      <c r="E15" s="93">
        <f>E16+E21</f>
        <v>0</v>
      </c>
      <c r="F15" s="182">
        <f>IF($A15&lt;&gt;"",E15/$B15*100,"")</f>
        <v>0</v>
      </c>
      <c r="H15" s="93">
        <f>H16+H21</f>
        <v>198</v>
      </c>
      <c r="I15" s="182">
        <f>IF($A15&lt;&gt;"",H15/$B15*100,"")</f>
        <v>87.224669603524234</v>
      </c>
      <c r="K15" s="65">
        <f>K16+K21</f>
        <v>29</v>
      </c>
      <c r="L15" s="93"/>
      <c r="M15" s="182">
        <f t="shared" ref="M15:M78" si="2">IF($A15&lt;&gt;"",K15/$B15*100,"")</f>
        <v>12.77533039647577</v>
      </c>
    </row>
    <row r="16" spans="1:14" ht="13.9" customHeight="1">
      <c r="A16" s="42" t="s">
        <v>20</v>
      </c>
      <c r="B16" s="65">
        <f t="shared" si="0"/>
        <v>89</v>
      </c>
      <c r="C16" s="182">
        <f t="shared" si="1"/>
        <v>1.7151666987858933</v>
      </c>
      <c r="E16" s="93">
        <f>SUM(E17:E19)</f>
        <v>0</v>
      </c>
      <c r="F16" s="182">
        <f>IF($A16&lt;&gt;"",E16/$B16*100,"")</f>
        <v>0</v>
      </c>
      <c r="H16" s="93">
        <f>SUM(H17:H19)</f>
        <v>63</v>
      </c>
      <c r="I16" s="182">
        <f>IF($A16&lt;&gt;"",H16/$B16*100,"")</f>
        <v>70.786516853932582</v>
      </c>
      <c r="K16" s="65">
        <f>SUM(K17:K19)</f>
        <v>26</v>
      </c>
      <c r="L16" s="93"/>
      <c r="M16" s="182">
        <f t="shared" si="2"/>
        <v>29.213483146067414</v>
      </c>
    </row>
    <row r="17" spans="1:13" ht="13.9" customHeight="1">
      <c r="A17" s="42" t="s">
        <v>21</v>
      </c>
      <c r="B17" s="65">
        <f t="shared" si="0"/>
        <v>14</v>
      </c>
      <c r="C17" s="182">
        <f t="shared" si="1"/>
        <v>0.26980150317980345</v>
      </c>
      <c r="E17" s="467"/>
      <c r="F17" s="182">
        <f t="shared" ref="F17:F80" si="3">IF($A17&lt;&gt;"",E17/$B17*100,"")</f>
        <v>0</v>
      </c>
      <c r="G17" s="467"/>
      <c r="H17" s="468">
        <v>13</v>
      </c>
      <c r="I17" s="182">
        <f t="shared" ref="I17:I80" si="4">IF($A17&lt;&gt;"",H17/$B17*100,"")</f>
        <v>92.857142857142861</v>
      </c>
      <c r="J17" s="468"/>
      <c r="K17" s="468">
        <v>1</v>
      </c>
      <c r="L17" s="93"/>
      <c r="M17" s="182">
        <f t="shared" si="2"/>
        <v>7.1428571428571423</v>
      </c>
    </row>
    <row r="18" spans="1:13" ht="13.9" customHeight="1">
      <c r="A18" s="42" t="s">
        <v>22</v>
      </c>
      <c r="B18" s="65">
        <f t="shared" si="0"/>
        <v>25</v>
      </c>
      <c r="C18" s="182">
        <f t="shared" si="1"/>
        <v>0.4817883985353632</v>
      </c>
      <c r="E18" s="467"/>
      <c r="F18" s="182">
        <f t="shared" si="3"/>
        <v>0</v>
      </c>
      <c r="G18" s="467"/>
      <c r="H18" s="468">
        <v>14</v>
      </c>
      <c r="I18" s="182">
        <f t="shared" si="4"/>
        <v>56.000000000000007</v>
      </c>
      <c r="J18" s="468"/>
      <c r="K18" s="468">
        <v>11</v>
      </c>
      <c r="L18" s="93"/>
      <c r="M18" s="182">
        <f t="shared" si="2"/>
        <v>44</v>
      </c>
    </row>
    <row r="19" spans="1:13" ht="13.9" customHeight="1">
      <c r="A19" s="42" t="s">
        <v>23</v>
      </c>
      <c r="B19" s="65">
        <f t="shared" si="0"/>
        <v>50</v>
      </c>
      <c r="C19" s="182">
        <f t="shared" si="1"/>
        <v>0.96357679707072641</v>
      </c>
      <c r="E19" s="467"/>
      <c r="F19" s="182">
        <f t="shared" si="3"/>
        <v>0</v>
      </c>
      <c r="G19" s="467"/>
      <c r="H19" s="468">
        <v>36</v>
      </c>
      <c r="I19" s="182">
        <f t="shared" si="4"/>
        <v>72</v>
      </c>
      <c r="J19" s="468"/>
      <c r="K19" s="468">
        <v>14</v>
      </c>
      <c r="L19" s="93"/>
      <c r="M19" s="182">
        <f t="shared" si="2"/>
        <v>28.000000000000004</v>
      </c>
    </row>
    <row r="20" spans="1:13" ht="8.25" customHeight="1">
      <c r="B20" s="65" t="str">
        <f t="shared" si="0"/>
        <v/>
      </c>
      <c r="F20" s="182" t="str">
        <f t="shared" si="3"/>
        <v/>
      </c>
      <c r="I20" s="182" t="str">
        <f t="shared" si="4"/>
        <v/>
      </c>
      <c r="K20" s="65"/>
      <c r="L20" s="93"/>
      <c r="M20" s="182" t="str">
        <f t="shared" si="2"/>
        <v/>
      </c>
    </row>
    <row r="21" spans="1:13" ht="13.9" customHeight="1">
      <c r="A21" s="42" t="s">
        <v>24</v>
      </c>
      <c r="B21" s="65">
        <f t="shared" si="0"/>
        <v>138</v>
      </c>
      <c r="C21" s="182">
        <f t="shared" si="1"/>
        <v>2.6594719599152055</v>
      </c>
      <c r="E21" s="93">
        <f>SUM(E22:E24)</f>
        <v>0</v>
      </c>
      <c r="F21" s="182">
        <f t="shared" si="3"/>
        <v>0</v>
      </c>
      <c r="H21" s="93">
        <f>SUM(H22:H24)</f>
        <v>135</v>
      </c>
      <c r="I21" s="182">
        <f t="shared" si="4"/>
        <v>97.826086956521735</v>
      </c>
      <c r="K21" s="65">
        <f>SUM(K22:K24)</f>
        <v>3</v>
      </c>
      <c r="L21" s="93"/>
      <c r="M21" s="182">
        <f t="shared" si="2"/>
        <v>2.1739130434782608</v>
      </c>
    </row>
    <row r="22" spans="1:13" ht="13.9" customHeight="1">
      <c r="A22" s="42" t="s">
        <v>25</v>
      </c>
      <c r="B22" s="65">
        <f t="shared" si="0"/>
        <v>43</v>
      </c>
      <c r="C22" s="182">
        <f t="shared" si="1"/>
        <v>0.82867604548082485</v>
      </c>
      <c r="E22" s="312"/>
      <c r="F22" s="182">
        <f t="shared" si="3"/>
        <v>0</v>
      </c>
      <c r="G22" s="312"/>
      <c r="H22" s="468">
        <v>42</v>
      </c>
      <c r="I22" s="182">
        <f t="shared" si="4"/>
        <v>97.674418604651152</v>
      </c>
      <c r="J22" s="468"/>
      <c r="K22" s="468">
        <v>1</v>
      </c>
      <c r="L22" s="93"/>
      <c r="M22" s="182">
        <f t="shared" si="2"/>
        <v>2.3255813953488373</v>
      </c>
    </row>
    <row r="23" spans="1:13" ht="13.9" customHeight="1">
      <c r="A23" s="42" t="s">
        <v>26</v>
      </c>
      <c r="B23" s="65">
        <f t="shared" si="0"/>
        <v>24</v>
      </c>
      <c r="C23" s="182">
        <f t="shared" si="1"/>
        <v>0.46251686259394875</v>
      </c>
      <c r="E23" s="312"/>
      <c r="F23" s="182">
        <f t="shared" si="3"/>
        <v>0</v>
      </c>
      <c r="G23" s="312"/>
      <c r="H23" s="468">
        <v>22</v>
      </c>
      <c r="I23" s="182">
        <f t="shared" si="4"/>
        <v>91.666666666666657</v>
      </c>
      <c r="J23" s="468"/>
      <c r="K23" s="468">
        <v>2</v>
      </c>
      <c r="L23" s="93"/>
      <c r="M23" s="182">
        <f t="shared" si="2"/>
        <v>8.3333333333333321</v>
      </c>
    </row>
    <row r="24" spans="1:13" ht="13.9" customHeight="1">
      <c r="A24" s="42" t="s">
        <v>27</v>
      </c>
      <c r="B24" s="65">
        <f t="shared" si="0"/>
        <v>71</v>
      </c>
      <c r="C24" s="182">
        <f t="shared" si="1"/>
        <v>1.3682790518404315</v>
      </c>
      <c r="E24" s="312"/>
      <c r="F24" s="182">
        <f t="shared" si="3"/>
        <v>0</v>
      </c>
      <c r="G24" s="312"/>
      <c r="H24" s="468">
        <v>71</v>
      </c>
      <c r="I24" s="182">
        <f t="shared" si="4"/>
        <v>100</v>
      </c>
      <c r="J24" s="468"/>
      <c r="K24" s="469"/>
      <c r="L24" s="93"/>
      <c r="M24" s="182">
        <f t="shared" si="2"/>
        <v>0</v>
      </c>
    </row>
    <row r="25" spans="1:13" ht="9.75" customHeight="1">
      <c r="B25" s="65" t="str">
        <f t="shared" si="0"/>
        <v/>
      </c>
      <c r="F25" s="182" t="str">
        <f t="shared" si="3"/>
        <v/>
      </c>
      <c r="I25" s="182" t="str">
        <f t="shared" si="4"/>
        <v/>
      </c>
      <c r="K25" s="65"/>
      <c r="L25" s="93"/>
      <c r="M25" s="182" t="str">
        <f t="shared" si="2"/>
        <v/>
      </c>
    </row>
    <row r="26" spans="1:13" ht="13.9" customHeight="1">
      <c r="A26" s="63" t="s">
        <v>375</v>
      </c>
      <c r="B26" s="65">
        <f t="shared" si="0"/>
        <v>152</v>
      </c>
      <c r="C26" s="182">
        <f t="shared" si="1"/>
        <v>2.9292734630950088</v>
      </c>
      <c r="E26" s="93">
        <f>SUM(E28:E32)</f>
        <v>0</v>
      </c>
      <c r="F26" s="182">
        <f t="shared" si="3"/>
        <v>0</v>
      </c>
      <c r="H26" s="93">
        <f>SUM(H28:H32)</f>
        <v>116</v>
      </c>
      <c r="I26" s="182">
        <f t="shared" si="4"/>
        <v>76.31578947368422</v>
      </c>
      <c r="K26" s="65">
        <f>SUM(K28:K32)</f>
        <v>36</v>
      </c>
      <c r="L26" s="93"/>
      <c r="M26" s="182">
        <f t="shared" si="2"/>
        <v>23.684210526315788</v>
      </c>
    </row>
    <row r="27" spans="1:13" ht="13.9" customHeight="1">
      <c r="A27" s="42" t="s">
        <v>29</v>
      </c>
      <c r="B27" s="65">
        <f t="shared" si="0"/>
        <v>152</v>
      </c>
      <c r="C27" s="182">
        <f t="shared" si="1"/>
        <v>2.9292734630950088</v>
      </c>
      <c r="E27" s="93">
        <f>SUM(E28:E32)</f>
        <v>0</v>
      </c>
      <c r="F27" s="182">
        <f t="shared" si="3"/>
        <v>0</v>
      </c>
      <c r="H27" s="93">
        <f>SUM(H28:H32)</f>
        <v>116</v>
      </c>
      <c r="I27" s="182">
        <f t="shared" si="4"/>
        <v>76.31578947368422</v>
      </c>
      <c r="K27" s="93">
        <f>SUM(K28:K32)</f>
        <v>36</v>
      </c>
      <c r="L27" s="93"/>
      <c r="M27" s="182">
        <f t="shared" si="2"/>
        <v>23.684210526315788</v>
      </c>
    </row>
    <row r="28" spans="1:13" ht="13.9" customHeight="1">
      <c r="A28" s="42" t="s">
        <v>30</v>
      </c>
      <c r="B28" s="65">
        <f t="shared" si="0"/>
        <v>29</v>
      </c>
      <c r="C28" s="182">
        <f t="shared" si="1"/>
        <v>0.5588745423010214</v>
      </c>
      <c r="E28" s="467"/>
      <c r="F28" s="182">
        <f t="shared" si="3"/>
        <v>0</v>
      </c>
      <c r="G28" s="467"/>
      <c r="H28" s="468">
        <v>19</v>
      </c>
      <c r="I28" s="182">
        <f t="shared" si="4"/>
        <v>65.517241379310349</v>
      </c>
      <c r="J28" s="468"/>
      <c r="K28" s="468">
        <v>10</v>
      </c>
      <c r="L28" s="93"/>
      <c r="M28" s="182">
        <f t="shared" si="2"/>
        <v>34.482758620689658</v>
      </c>
    </row>
    <row r="29" spans="1:13" ht="13.9" customHeight="1">
      <c r="A29" s="42" t="s">
        <v>31</v>
      </c>
      <c r="B29" s="65">
        <f t="shared" si="0"/>
        <v>27</v>
      </c>
      <c r="C29" s="182">
        <f t="shared" si="1"/>
        <v>0.52033147041819239</v>
      </c>
      <c r="E29" s="467"/>
      <c r="F29" s="182">
        <f t="shared" si="3"/>
        <v>0</v>
      </c>
      <c r="G29" s="467"/>
      <c r="H29" s="468">
        <v>27</v>
      </c>
      <c r="I29" s="182">
        <f t="shared" si="4"/>
        <v>100</v>
      </c>
      <c r="J29" s="468"/>
      <c r="K29" s="470"/>
      <c r="L29" s="93"/>
      <c r="M29" s="182">
        <f t="shared" si="2"/>
        <v>0</v>
      </c>
    </row>
    <row r="30" spans="1:13" ht="13.9" customHeight="1">
      <c r="A30" s="42" t="s">
        <v>32</v>
      </c>
      <c r="B30" s="65">
        <f t="shared" si="0"/>
        <v>37</v>
      </c>
      <c r="C30" s="182">
        <f t="shared" si="1"/>
        <v>0.71304682983233769</v>
      </c>
      <c r="E30" s="467"/>
      <c r="F30" s="182">
        <f t="shared" si="3"/>
        <v>0</v>
      </c>
      <c r="G30" s="467"/>
      <c r="H30" s="468">
        <v>27</v>
      </c>
      <c r="I30" s="182">
        <f t="shared" si="4"/>
        <v>72.972972972972968</v>
      </c>
      <c r="J30" s="468"/>
      <c r="K30" s="468">
        <v>10</v>
      </c>
      <c r="L30" s="93"/>
      <c r="M30" s="182">
        <f t="shared" si="2"/>
        <v>27.027027027027028</v>
      </c>
    </row>
    <row r="31" spans="1:13" ht="13.9" customHeight="1">
      <c r="A31" s="42" t="s">
        <v>33</v>
      </c>
      <c r="B31" s="65">
        <f t="shared" si="0"/>
        <v>22</v>
      </c>
      <c r="C31" s="182">
        <f t="shared" si="1"/>
        <v>0.42397379071111962</v>
      </c>
      <c r="E31" s="467"/>
      <c r="F31" s="182">
        <f t="shared" si="3"/>
        <v>0</v>
      </c>
      <c r="G31" s="467"/>
      <c r="H31" s="468">
        <v>18</v>
      </c>
      <c r="I31" s="182">
        <f t="shared" si="4"/>
        <v>81.818181818181827</v>
      </c>
      <c r="J31" s="468"/>
      <c r="K31" s="468">
        <v>4</v>
      </c>
      <c r="L31" s="93"/>
      <c r="M31" s="182">
        <f t="shared" si="2"/>
        <v>18.181818181818183</v>
      </c>
    </row>
    <row r="32" spans="1:13" ht="13.9" customHeight="1">
      <c r="A32" s="42" t="s">
        <v>34</v>
      </c>
      <c r="B32" s="65">
        <f t="shared" si="0"/>
        <v>37</v>
      </c>
      <c r="C32" s="182">
        <f t="shared" si="1"/>
        <v>0.71304682983233769</v>
      </c>
      <c r="E32" s="467"/>
      <c r="F32" s="182">
        <f t="shared" si="3"/>
        <v>0</v>
      </c>
      <c r="G32" s="467"/>
      <c r="H32" s="468">
        <v>25</v>
      </c>
      <c r="I32" s="182">
        <f t="shared" si="4"/>
        <v>67.567567567567565</v>
      </c>
      <c r="J32" s="468"/>
      <c r="K32" s="468">
        <v>12</v>
      </c>
      <c r="L32" s="93"/>
      <c r="M32" s="182">
        <f t="shared" si="2"/>
        <v>32.432432432432435</v>
      </c>
    </row>
    <row r="33" spans="1:13" ht="8.25" customHeight="1">
      <c r="B33" s="65" t="str">
        <f t="shared" si="0"/>
        <v/>
      </c>
      <c r="F33" s="182" t="str">
        <f t="shared" si="3"/>
        <v/>
      </c>
      <c r="I33" s="182" t="str">
        <f t="shared" si="4"/>
        <v/>
      </c>
      <c r="K33" s="65"/>
      <c r="L33" s="93"/>
      <c r="M33" s="182" t="str">
        <f t="shared" si="2"/>
        <v/>
      </c>
    </row>
    <row r="34" spans="1:13" ht="13.9" customHeight="1">
      <c r="A34" s="63" t="s">
        <v>329</v>
      </c>
      <c r="B34" s="65">
        <f t="shared" si="0"/>
        <v>2016</v>
      </c>
      <c r="C34" s="182">
        <f t="shared" si="1"/>
        <v>38.851416457891695</v>
      </c>
      <c r="E34" s="93">
        <f>E35+E41+E51+E53</f>
        <v>176</v>
      </c>
      <c r="F34" s="182">
        <f t="shared" si="3"/>
        <v>8.7301587301587293</v>
      </c>
      <c r="H34" s="93">
        <f>H35+H41+H51+H53</f>
        <v>1236</v>
      </c>
      <c r="I34" s="182">
        <f t="shared" si="4"/>
        <v>61.30952380952381</v>
      </c>
      <c r="K34" s="65">
        <f>K35+K41+K51+K53</f>
        <v>604</v>
      </c>
      <c r="L34" s="93"/>
      <c r="M34" s="182">
        <f t="shared" si="2"/>
        <v>29.960317460317459</v>
      </c>
    </row>
    <row r="35" spans="1:13" ht="13.9" customHeight="1">
      <c r="A35" s="42" t="s">
        <v>36</v>
      </c>
      <c r="B35" s="65">
        <f t="shared" si="0"/>
        <v>694</v>
      </c>
      <c r="C35" s="182">
        <f t="shared" si="1"/>
        <v>13.374445943341684</v>
      </c>
      <c r="E35" s="93">
        <f>SUM(E36:E39)</f>
        <v>58</v>
      </c>
      <c r="F35" s="182">
        <f t="shared" si="3"/>
        <v>8.3573487031700289</v>
      </c>
      <c r="H35" s="93">
        <f>SUM(H36:H39)</f>
        <v>425</v>
      </c>
      <c r="I35" s="182">
        <f t="shared" si="4"/>
        <v>61.239193083573483</v>
      </c>
      <c r="K35" s="65">
        <f>SUM(K36:K39)</f>
        <v>211</v>
      </c>
      <c r="L35" s="93"/>
      <c r="M35" s="182">
        <f t="shared" si="2"/>
        <v>30.403458213256485</v>
      </c>
    </row>
    <row r="36" spans="1:13" ht="13.9" customHeight="1">
      <c r="A36" s="42" t="s">
        <v>37</v>
      </c>
      <c r="B36" s="65">
        <f t="shared" si="0"/>
        <v>356</v>
      </c>
      <c r="C36" s="182">
        <f t="shared" si="1"/>
        <v>6.8606667951435734</v>
      </c>
      <c r="E36" s="312"/>
      <c r="F36" s="182">
        <f t="shared" si="3"/>
        <v>0</v>
      </c>
      <c r="G36" s="312"/>
      <c r="H36" s="468">
        <v>223</v>
      </c>
      <c r="I36" s="182">
        <f t="shared" si="4"/>
        <v>62.640449438202253</v>
      </c>
      <c r="J36" s="468"/>
      <c r="K36" s="468">
        <v>133</v>
      </c>
      <c r="L36" s="93"/>
      <c r="M36" s="182">
        <f t="shared" si="2"/>
        <v>37.359550561797754</v>
      </c>
    </row>
    <row r="37" spans="1:13" ht="13.9" customHeight="1">
      <c r="A37" s="42" t="s">
        <v>38</v>
      </c>
      <c r="B37" s="65">
        <f t="shared" si="0"/>
        <v>270</v>
      </c>
      <c r="C37" s="182">
        <f t="shared" si="1"/>
        <v>5.2033147041819232</v>
      </c>
      <c r="E37" s="312">
        <v>58</v>
      </c>
      <c r="F37" s="182">
        <f t="shared" si="3"/>
        <v>21.481481481481481</v>
      </c>
      <c r="G37" s="312" t="s">
        <v>987</v>
      </c>
      <c r="H37" s="468">
        <v>143</v>
      </c>
      <c r="I37" s="182">
        <f t="shared" si="4"/>
        <v>52.962962962962969</v>
      </c>
      <c r="J37" s="468"/>
      <c r="K37" s="468">
        <v>69</v>
      </c>
      <c r="L37" s="93"/>
      <c r="M37" s="182">
        <f t="shared" si="2"/>
        <v>25.555555555555554</v>
      </c>
    </row>
    <row r="38" spans="1:13" ht="13.9" customHeight="1">
      <c r="A38" s="42" t="s">
        <v>39</v>
      </c>
      <c r="B38" s="65">
        <f t="shared" si="0"/>
        <v>49</v>
      </c>
      <c r="C38" s="182">
        <f t="shared" si="1"/>
        <v>0.94430526112931212</v>
      </c>
      <c r="E38" s="312"/>
      <c r="F38" s="182">
        <f t="shared" si="3"/>
        <v>0</v>
      </c>
      <c r="G38" s="312"/>
      <c r="H38" s="468">
        <v>40</v>
      </c>
      <c r="I38" s="182">
        <f t="shared" si="4"/>
        <v>81.632653061224488</v>
      </c>
      <c r="J38" s="468"/>
      <c r="K38" s="468">
        <v>9</v>
      </c>
      <c r="L38" s="93"/>
      <c r="M38" s="182">
        <f t="shared" si="2"/>
        <v>18.367346938775512</v>
      </c>
    </row>
    <row r="39" spans="1:13" ht="13.9" customHeight="1">
      <c r="A39" s="42" t="s">
        <v>40</v>
      </c>
      <c r="B39" s="65">
        <f t="shared" si="0"/>
        <v>19</v>
      </c>
      <c r="C39" s="182">
        <f t="shared" si="1"/>
        <v>0.3661591828868761</v>
      </c>
      <c r="E39" s="312"/>
      <c r="F39" s="182">
        <f t="shared" si="3"/>
        <v>0</v>
      </c>
      <c r="G39" s="312"/>
      <c r="H39" s="468">
        <v>19</v>
      </c>
      <c r="I39" s="182">
        <f t="shared" si="4"/>
        <v>100</v>
      </c>
      <c r="J39" s="468"/>
      <c r="K39" s="470"/>
      <c r="L39" s="93"/>
      <c r="M39" s="182">
        <f t="shared" si="2"/>
        <v>0</v>
      </c>
    </row>
    <row r="40" spans="1:13" ht="8.25" customHeight="1">
      <c r="B40" s="65" t="str">
        <f t="shared" si="0"/>
        <v/>
      </c>
      <c r="F40" s="182" t="str">
        <f t="shared" si="3"/>
        <v/>
      </c>
      <c r="I40" s="182" t="str">
        <f t="shared" si="4"/>
        <v/>
      </c>
      <c r="K40" s="65"/>
      <c r="L40" s="93"/>
      <c r="M40" s="182" t="str">
        <f t="shared" si="2"/>
        <v/>
      </c>
    </row>
    <row r="41" spans="1:13" ht="13.9" customHeight="1">
      <c r="A41" s="42" t="s">
        <v>41</v>
      </c>
      <c r="B41" s="65">
        <f t="shared" si="0"/>
        <v>558</v>
      </c>
      <c r="C41" s="182">
        <f t="shared" si="1"/>
        <v>10.753517055309308</v>
      </c>
      <c r="E41" s="93">
        <f>SUM(E42:E49)</f>
        <v>0</v>
      </c>
      <c r="F41" s="182">
        <f t="shared" si="3"/>
        <v>0</v>
      </c>
      <c r="H41" s="93">
        <f>SUM(H42:H49)</f>
        <v>393</v>
      </c>
      <c r="I41" s="182">
        <f t="shared" si="4"/>
        <v>70.430107526881727</v>
      </c>
      <c r="K41" s="65">
        <f>SUM(K42:K49)</f>
        <v>165</v>
      </c>
      <c r="L41" s="93"/>
      <c r="M41" s="182">
        <f t="shared" si="2"/>
        <v>29.56989247311828</v>
      </c>
    </row>
    <row r="42" spans="1:13" ht="13.9" customHeight="1">
      <c r="A42" s="42" t="s">
        <v>49</v>
      </c>
      <c r="B42" s="65">
        <f t="shared" si="0"/>
        <v>49</v>
      </c>
      <c r="C42" s="182">
        <f t="shared" si="1"/>
        <v>0.94430526112931212</v>
      </c>
      <c r="E42" s="467"/>
      <c r="F42" s="182">
        <f t="shared" si="3"/>
        <v>0</v>
      </c>
      <c r="G42" s="467"/>
      <c r="H42" s="468">
        <v>35</v>
      </c>
      <c r="I42" s="182">
        <f t="shared" si="4"/>
        <v>71.428571428571431</v>
      </c>
      <c r="J42" s="468"/>
      <c r="K42" s="468">
        <v>14</v>
      </c>
      <c r="L42" s="93"/>
      <c r="M42" s="182">
        <f t="shared" si="2"/>
        <v>28.571428571428569</v>
      </c>
    </row>
    <row r="43" spans="1:13" ht="13.9" customHeight="1">
      <c r="A43" s="42" t="s">
        <v>42</v>
      </c>
      <c r="B43" s="65">
        <f t="shared" si="0"/>
        <v>52</v>
      </c>
      <c r="C43" s="182">
        <f t="shared" si="1"/>
        <v>1.0021198689535555</v>
      </c>
      <c r="E43" s="467"/>
      <c r="F43" s="182">
        <f t="shared" si="3"/>
        <v>0</v>
      </c>
      <c r="G43" s="467"/>
      <c r="H43" s="468">
        <v>43</v>
      </c>
      <c r="I43" s="182">
        <f t="shared" si="4"/>
        <v>82.692307692307693</v>
      </c>
      <c r="J43" s="468"/>
      <c r="K43" s="468">
        <v>9</v>
      </c>
      <c r="L43" s="93"/>
      <c r="M43" s="182">
        <f t="shared" si="2"/>
        <v>17.307692307692307</v>
      </c>
    </row>
    <row r="44" spans="1:13" ht="13.9" customHeight="1">
      <c r="A44" s="42" t="s">
        <v>43</v>
      </c>
      <c r="B44" s="65">
        <f t="shared" si="0"/>
        <v>93</v>
      </c>
      <c r="C44" s="182">
        <f t="shared" si="1"/>
        <v>1.7922528425515516</v>
      </c>
      <c r="E44" s="467"/>
      <c r="F44" s="182">
        <f t="shared" si="3"/>
        <v>0</v>
      </c>
      <c r="G44" s="467"/>
      <c r="H44" s="468">
        <v>69</v>
      </c>
      <c r="I44" s="182">
        <f t="shared" si="4"/>
        <v>74.193548387096769</v>
      </c>
      <c r="J44" s="468"/>
      <c r="K44" s="468">
        <v>24</v>
      </c>
      <c r="L44" s="93"/>
      <c r="M44" s="182">
        <f t="shared" si="2"/>
        <v>25.806451612903224</v>
      </c>
    </row>
    <row r="45" spans="1:13" ht="13.9" customHeight="1">
      <c r="A45" s="42" t="s">
        <v>44</v>
      </c>
      <c r="B45" s="65">
        <f t="shared" si="0"/>
        <v>68</v>
      </c>
      <c r="C45" s="182">
        <f t="shared" si="1"/>
        <v>1.3104644440161881</v>
      </c>
      <c r="E45" s="467"/>
      <c r="F45" s="182">
        <f t="shared" si="3"/>
        <v>0</v>
      </c>
      <c r="G45" s="467"/>
      <c r="H45" s="468">
        <v>42</v>
      </c>
      <c r="I45" s="182">
        <f t="shared" si="4"/>
        <v>61.764705882352942</v>
      </c>
      <c r="J45" s="468"/>
      <c r="K45" s="468">
        <v>26</v>
      </c>
      <c r="L45" s="93"/>
      <c r="M45" s="182">
        <f t="shared" si="2"/>
        <v>38.235294117647058</v>
      </c>
    </row>
    <row r="46" spans="1:13" ht="13.9" customHeight="1">
      <c r="A46" s="42" t="s">
        <v>48</v>
      </c>
      <c r="B46" s="65">
        <f t="shared" si="0"/>
        <v>52</v>
      </c>
      <c r="C46" s="182">
        <f t="shared" si="1"/>
        <v>1.0021198689535555</v>
      </c>
      <c r="E46" s="467"/>
      <c r="F46" s="182">
        <f t="shared" si="3"/>
        <v>0</v>
      </c>
      <c r="G46" s="467"/>
      <c r="H46" s="468">
        <v>48</v>
      </c>
      <c r="I46" s="182">
        <f t="shared" si="4"/>
        <v>92.307692307692307</v>
      </c>
      <c r="J46" s="468"/>
      <c r="K46" s="468">
        <v>4</v>
      </c>
      <c r="L46" s="93"/>
      <c r="M46" s="182">
        <f t="shared" si="2"/>
        <v>7.6923076923076925</v>
      </c>
    </row>
    <row r="47" spans="1:13" ht="13.9" customHeight="1">
      <c r="A47" s="42" t="s">
        <v>331</v>
      </c>
      <c r="B47" s="65">
        <f t="shared" si="0"/>
        <v>40</v>
      </c>
      <c r="C47" s="182">
        <f t="shared" si="1"/>
        <v>0.77086143765658122</v>
      </c>
      <c r="E47" s="467"/>
      <c r="F47" s="182">
        <f t="shared" si="3"/>
        <v>0</v>
      </c>
      <c r="G47" s="467"/>
      <c r="H47" s="468">
        <v>38</v>
      </c>
      <c r="I47" s="182">
        <f t="shared" si="4"/>
        <v>95</v>
      </c>
      <c r="J47" s="468"/>
      <c r="K47" s="468">
        <v>2</v>
      </c>
      <c r="L47" s="93"/>
      <c r="M47" s="182">
        <f t="shared" si="2"/>
        <v>5</v>
      </c>
    </row>
    <row r="48" spans="1:13" ht="13.9" customHeight="1">
      <c r="A48" s="42" t="s">
        <v>47</v>
      </c>
      <c r="B48" s="65">
        <f t="shared" si="0"/>
        <v>120</v>
      </c>
      <c r="C48" s="182">
        <f t="shared" si="1"/>
        <v>2.3125843129697436</v>
      </c>
      <c r="E48" s="467"/>
      <c r="F48" s="182">
        <f t="shared" si="3"/>
        <v>0</v>
      </c>
      <c r="G48" s="467"/>
      <c r="H48" s="468">
        <v>65</v>
      </c>
      <c r="I48" s="182">
        <f t="shared" si="4"/>
        <v>54.166666666666664</v>
      </c>
      <c r="J48" s="468"/>
      <c r="K48" s="468">
        <v>55</v>
      </c>
      <c r="L48" s="93"/>
      <c r="M48" s="182">
        <f t="shared" si="2"/>
        <v>45.833333333333329</v>
      </c>
    </row>
    <row r="49" spans="1:13" ht="13.9" customHeight="1">
      <c r="A49" s="42" t="s">
        <v>46</v>
      </c>
      <c r="B49" s="65">
        <f t="shared" si="0"/>
        <v>84</v>
      </c>
      <c r="C49" s="182">
        <f t="shared" si="1"/>
        <v>1.6188090190788207</v>
      </c>
      <c r="E49" s="467"/>
      <c r="F49" s="182">
        <f t="shared" si="3"/>
        <v>0</v>
      </c>
      <c r="G49" s="467"/>
      <c r="H49" s="468">
        <v>53</v>
      </c>
      <c r="I49" s="182">
        <f t="shared" si="4"/>
        <v>63.095238095238095</v>
      </c>
      <c r="J49" s="468"/>
      <c r="K49" s="468">
        <v>31</v>
      </c>
      <c r="L49" s="93"/>
      <c r="M49" s="182">
        <f t="shared" si="2"/>
        <v>36.904761904761905</v>
      </c>
    </row>
    <row r="50" spans="1:13" ht="8.25" customHeight="1">
      <c r="B50" s="65" t="str">
        <f t="shared" si="0"/>
        <v/>
      </c>
      <c r="E50" s="467"/>
      <c r="F50" s="182" t="str">
        <f t="shared" si="3"/>
        <v/>
      </c>
      <c r="G50" s="467"/>
      <c r="H50" s="468"/>
      <c r="I50" s="182" t="str">
        <f t="shared" si="4"/>
        <v/>
      </c>
      <c r="J50" s="468"/>
      <c r="K50" s="468"/>
      <c r="L50" s="93"/>
      <c r="M50" s="182" t="str">
        <f t="shared" si="2"/>
        <v/>
      </c>
    </row>
    <row r="51" spans="1:13" ht="13.9" customHeight="1">
      <c r="A51" s="42" t="s">
        <v>50</v>
      </c>
      <c r="B51" s="65">
        <f t="shared" si="0"/>
        <v>196</v>
      </c>
      <c r="C51" s="182">
        <f t="shared" si="1"/>
        <v>3.7772210445172485</v>
      </c>
      <c r="E51" s="467"/>
      <c r="F51" s="182">
        <f t="shared" si="3"/>
        <v>0</v>
      </c>
      <c r="G51" s="467"/>
      <c r="H51" s="468">
        <v>95</v>
      </c>
      <c r="I51" s="182">
        <f t="shared" si="4"/>
        <v>48.469387755102041</v>
      </c>
      <c r="J51" s="468"/>
      <c r="K51" s="468">
        <v>101</v>
      </c>
      <c r="L51" s="295"/>
      <c r="M51" s="182">
        <f t="shared" si="2"/>
        <v>51.530612244897952</v>
      </c>
    </row>
    <row r="52" spans="1:13" ht="8.25" customHeight="1">
      <c r="B52" s="65" t="str">
        <f t="shared" si="0"/>
        <v/>
      </c>
      <c r="F52" s="182" t="str">
        <f t="shared" si="3"/>
        <v/>
      </c>
      <c r="I52" s="182" t="str">
        <f t="shared" si="4"/>
        <v/>
      </c>
      <c r="K52" s="65"/>
      <c r="L52" s="93"/>
      <c r="M52" s="182" t="str">
        <f t="shared" si="2"/>
        <v/>
      </c>
    </row>
    <row r="53" spans="1:13" ht="13.9" customHeight="1">
      <c r="A53" s="42" t="s">
        <v>51</v>
      </c>
      <c r="B53" s="65">
        <f t="shared" si="0"/>
        <v>568</v>
      </c>
      <c r="C53" s="182">
        <f t="shared" si="1"/>
        <v>10.946232414723452</v>
      </c>
      <c r="E53" s="93">
        <f>SUM(E54:E58)</f>
        <v>118</v>
      </c>
      <c r="F53" s="182">
        <f t="shared" si="3"/>
        <v>20.774647887323944</v>
      </c>
      <c r="H53" s="93">
        <f>SUM(H54:H58)</f>
        <v>323</v>
      </c>
      <c r="I53" s="182">
        <f t="shared" si="4"/>
        <v>56.866197183098585</v>
      </c>
      <c r="K53" s="65">
        <f>SUM(K54:K58)</f>
        <v>127</v>
      </c>
      <c r="L53" s="93"/>
      <c r="M53" s="182">
        <f t="shared" si="2"/>
        <v>22.359154929577464</v>
      </c>
    </row>
    <row r="54" spans="1:13" ht="13.9" customHeight="1">
      <c r="A54" s="42" t="s">
        <v>52</v>
      </c>
      <c r="B54" s="65">
        <f t="shared" si="0"/>
        <v>14</v>
      </c>
      <c r="C54" s="182">
        <f t="shared" si="1"/>
        <v>0.26980150317980345</v>
      </c>
      <c r="E54" s="467"/>
      <c r="F54" s="182">
        <f t="shared" si="3"/>
        <v>0</v>
      </c>
      <c r="G54" s="467"/>
      <c r="H54" s="470"/>
      <c r="I54" s="182">
        <f t="shared" si="4"/>
        <v>0</v>
      </c>
      <c r="J54" s="470"/>
      <c r="K54" s="468">
        <v>14</v>
      </c>
      <c r="L54" s="93"/>
      <c r="M54" s="182">
        <f t="shared" si="2"/>
        <v>100</v>
      </c>
    </row>
    <row r="55" spans="1:13" ht="13.9" customHeight="1">
      <c r="A55" s="42" t="s">
        <v>53</v>
      </c>
      <c r="B55" s="65">
        <f t="shared" si="0"/>
        <v>362</v>
      </c>
      <c r="C55" s="182">
        <f t="shared" si="1"/>
        <v>6.9762960107920602</v>
      </c>
      <c r="E55" s="467">
        <v>96</v>
      </c>
      <c r="F55" s="182">
        <f t="shared" si="3"/>
        <v>26.519337016574585</v>
      </c>
      <c r="G55" s="467" t="s">
        <v>988</v>
      </c>
      <c r="H55" s="468">
        <v>201</v>
      </c>
      <c r="I55" s="182">
        <f t="shared" si="4"/>
        <v>55.524861878453038</v>
      </c>
      <c r="J55" s="468"/>
      <c r="K55" s="468">
        <v>65</v>
      </c>
      <c r="L55" s="93"/>
      <c r="M55" s="182">
        <f t="shared" si="2"/>
        <v>17.955801104972377</v>
      </c>
    </row>
    <row r="56" spans="1:13" ht="13.9" customHeight="1">
      <c r="A56" s="42" t="s">
        <v>54</v>
      </c>
      <c r="B56" s="65">
        <f t="shared" si="0"/>
        <v>78</v>
      </c>
      <c r="C56" s="182">
        <f t="shared" si="1"/>
        <v>1.5031798034303334</v>
      </c>
      <c r="E56" s="467"/>
      <c r="F56" s="182">
        <f t="shared" si="3"/>
        <v>0</v>
      </c>
      <c r="G56" s="467"/>
      <c r="H56" s="468">
        <v>49</v>
      </c>
      <c r="I56" s="182">
        <f t="shared" si="4"/>
        <v>62.820512820512818</v>
      </c>
      <c r="J56" s="468"/>
      <c r="K56" s="468">
        <v>29</v>
      </c>
      <c r="L56" s="93"/>
      <c r="M56" s="182">
        <f t="shared" si="2"/>
        <v>37.179487179487182</v>
      </c>
    </row>
    <row r="57" spans="1:13" ht="13.9" customHeight="1">
      <c r="A57" s="42" t="s">
        <v>332</v>
      </c>
      <c r="B57" s="65">
        <f t="shared" si="0"/>
        <v>68</v>
      </c>
      <c r="C57" s="182">
        <f t="shared" si="1"/>
        <v>1.3104644440161881</v>
      </c>
      <c r="E57" s="467"/>
      <c r="F57" s="182">
        <f t="shared" si="3"/>
        <v>0</v>
      </c>
      <c r="G57" s="467"/>
      <c r="H57" s="468">
        <v>49</v>
      </c>
      <c r="I57" s="182">
        <f t="shared" si="4"/>
        <v>72.058823529411768</v>
      </c>
      <c r="J57" s="468"/>
      <c r="K57" s="468">
        <v>19</v>
      </c>
      <c r="L57" s="93"/>
      <c r="M57" s="182">
        <f t="shared" si="2"/>
        <v>27.941176470588236</v>
      </c>
    </row>
    <row r="58" spans="1:13" ht="13.9" customHeight="1">
      <c r="A58" s="42" t="s">
        <v>56</v>
      </c>
      <c r="B58" s="65">
        <f>IF(A58&lt;&gt;0,E58+H58+K58,"")</f>
        <v>46</v>
      </c>
      <c r="C58" s="182">
        <f t="shared" si="1"/>
        <v>0.88649065330506838</v>
      </c>
      <c r="E58" s="467">
        <v>22</v>
      </c>
      <c r="F58" s="182">
        <f t="shared" si="3"/>
        <v>47.826086956521742</v>
      </c>
      <c r="G58" s="467" t="s">
        <v>989</v>
      </c>
      <c r="H58" s="468">
        <v>24</v>
      </c>
      <c r="I58" s="182">
        <f t="shared" si="4"/>
        <v>52.173913043478258</v>
      </c>
      <c r="J58" s="468"/>
      <c r="K58" s="470"/>
      <c r="L58" s="93"/>
      <c r="M58" s="182">
        <v>0</v>
      </c>
    </row>
    <row r="59" spans="1:13" ht="8.25" customHeight="1">
      <c r="B59" s="65" t="str">
        <f t="shared" si="0"/>
        <v/>
      </c>
      <c r="C59" s="182">
        <v>0</v>
      </c>
      <c r="E59" s="312"/>
      <c r="F59" s="182" t="str">
        <f t="shared" si="3"/>
        <v/>
      </c>
      <c r="I59" s="182" t="str">
        <f t="shared" si="4"/>
        <v/>
      </c>
      <c r="K59" s="65"/>
      <c r="L59" s="93"/>
      <c r="M59" s="182" t="str">
        <f t="shared" si="2"/>
        <v/>
      </c>
    </row>
    <row r="60" spans="1:13" ht="13.9" customHeight="1">
      <c r="A60" s="63" t="s">
        <v>333</v>
      </c>
      <c r="B60" s="65">
        <f t="shared" si="0"/>
        <v>683</v>
      </c>
      <c r="C60" s="182">
        <f t="shared" si="1"/>
        <v>13.162459047986125</v>
      </c>
      <c r="E60" s="312">
        <f>E61+E63+E70+E72</f>
        <v>61</v>
      </c>
      <c r="F60" s="182">
        <f t="shared" si="3"/>
        <v>8.9311859443631043</v>
      </c>
      <c r="H60" s="93">
        <f>H61+H63+H70+H72</f>
        <v>244</v>
      </c>
      <c r="I60" s="182">
        <f t="shared" si="4"/>
        <v>35.724743777452417</v>
      </c>
      <c r="K60" s="65">
        <f>K61+K63+K70+K72</f>
        <v>378</v>
      </c>
      <c r="L60" s="93"/>
      <c r="M60" s="182">
        <f t="shared" si="2"/>
        <v>55.344070278184475</v>
      </c>
    </row>
    <row r="61" spans="1:13" ht="13.9" customHeight="1">
      <c r="A61" s="42" t="s">
        <v>334</v>
      </c>
      <c r="B61" s="65">
        <f t="shared" si="0"/>
        <v>52</v>
      </c>
      <c r="C61" s="182">
        <f t="shared" si="1"/>
        <v>1.0021198689535555</v>
      </c>
      <c r="E61" s="312"/>
      <c r="F61" s="182">
        <f t="shared" si="3"/>
        <v>0</v>
      </c>
      <c r="G61" s="312"/>
      <c r="H61" s="312"/>
      <c r="I61" s="182">
        <f t="shared" si="4"/>
        <v>0</v>
      </c>
      <c r="J61" s="312"/>
      <c r="K61" s="471">
        <v>52</v>
      </c>
      <c r="L61" s="93"/>
      <c r="M61" s="182">
        <f t="shared" si="2"/>
        <v>100</v>
      </c>
    </row>
    <row r="62" spans="1:13" ht="8.25" customHeight="1">
      <c r="B62" s="65" t="str">
        <f t="shared" si="0"/>
        <v/>
      </c>
      <c r="E62" s="312"/>
      <c r="F62" s="182" t="str">
        <f t="shared" si="3"/>
        <v/>
      </c>
      <c r="I62" s="182" t="str">
        <f t="shared" si="4"/>
        <v/>
      </c>
      <c r="K62" s="65"/>
      <c r="L62" s="93"/>
    </row>
    <row r="63" spans="1:13" ht="13.9" customHeight="1">
      <c r="A63" s="42" t="s">
        <v>60</v>
      </c>
      <c r="B63" s="65">
        <f t="shared" si="0"/>
        <v>483</v>
      </c>
      <c r="C63" s="182">
        <f t="shared" si="1"/>
        <v>9.3081518597032193</v>
      </c>
      <c r="E63" s="312">
        <f>SUM(E64:E68)</f>
        <v>27</v>
      </c>
      <c r="F63" s="182">
        <f t="shared" si="3"/>
        <v>5.5900621118012426</v>
      </c>
      <c r="H63" s="93">
        <f>SUM(H64:H68)</f>
        <v>244</v>
      </c>
      <c r="I63" s="182">
        <f t="shared" si="4"/>
        <v>50.5175983436853</v>
      </c>
      <c r="K63" s="65">
        <f>SUM(K64:K68)</f>
        <v>212</v>
      </c>
      <c r="L63" s="93"/>
      <c r="M63" s="182">
        <f t="shared" si="2"/>
        <v>43.892339544513462</v>
      </c>
    </row>
    <row r="64" spans="1:13" ht="13.9" customHeight="1">
      <c r="A64" s="42" t="s">
        <v>61</v>
      </c>
      <c r="B64" s="65">
        <f t="shared" si="0"/>
        <v>218</v>
      </c>
      <c r="C64" s="182">
        <f t="shared" si="1"/>
        <v>4.2011948352283675</v>
      </c>
      <c r="E64" s="467"/>
      <c r="F64" s="182">
        <f t="shared" si="3"/>
        <v>0</v>
      </c>
      <c r="G64" s="467"/>
      <c r="H64" s="468">
        <v>122</v>
      </c>
      <c r="I64" s="182">
        <f t="shared" si="4"/>
        <v>55.963302752293572</v>
      </c>
      <c r="J64" s="468"/>
      <c r="K64" s="468">
        <v>96</v>
      </c>
      <c r="L64" s="93"/>
      <c r="M64" s="182">
        <f t="shared" si="2"/>
        <v>44.036697247706428</v>
      </c>
    </row>
    <row r="65" spans="1:13" ht="13.9" customHeight="1">
      <c r="A65" s="42" t="s">
        <v>62</v>
      </c>
      <c r="B65" s="65">
        <f t="shared" si="0"/>
        <v>56</v>
      </c>
      <c r="C65" s="182">
        <f t="shared" si="1"/>
        <v>1.0792060127192138</v>
      </c>
      <c r="E65" s="467"/>
      <c r="F65" s="182">
        <f t="shared" si="3"/>
        <v>0</v>
      </c>
      <c r="G65" s="467"/>
      <c r="H65" s="470"/>
      <c r="I65" s="182">
        <f t="shared" si="4"/>
        <v>0</v>
      </c>
      <c r="J65" s="470"/>
      <c r="K65" s="468">
        <v>56</v>
      </c>
      <c r="L65" s="93"/>
      <c r="M65" s="182">
        <f t="shared" si="2"/>
        <v>100</v>
      </c>
    </row>
    <row r="66" spans="1:13" ht="13.9" customHeight="1">
      <c r="A66" s="42" t="s">
        <v>65</v>
      </c>
      <c r="B66" s="65">
        <f t="shared" si="0"/>
        <v>122</v>
      </c>
      <c r="C66" s="182">
        <f t="shared" si="1"/>
        <v>2.3511273848525729</v>
      </c>
      <c r="E66" s="467">
        <v>27</v>
      </c>
      <c r="F66" s="182">
        <f t="shared" si="3"/>
        <v>22.131147540983605</v>
      </c>
      <c r="G66" s="467" t="s">
        <v>990</v>
      </c>
      <c r="H66" s="468">
        <v>79</v>
      </c>
      <c r="I66" s="182">
        <f t="shared" si="4"/>
        <v>64.754098360655746</v>
      </c>
      <c r="J66" s="468"/>
      <c r="K66" s="468">
        <v>16</v>
      </c>
      <c r="L66" s="93"/>
      <c r="M66" s="182">
        <f t="shared" si="2"/>
        <v>13.114754098360656</v>
      </c>
    </row>
    <row r="67" spans="1:13" ht="13.9" customHeight="1">
      <c r="A67" s="42" t="s">
        <v>63</v>
      </c>
      <c r="B67" s="65">
        <f t="shared" si="0"/>
        <v>26</v>
      </c>
      <c r="C67" s="182">
        <f t="shared" si="1"/>
        <v>0.50105993447677777</v>
      </c>
      <c r="E67" s="467"/>
      <c r="F67" s="182">
        <f t="shared" si="3"/>
        <v>0</v>
      </c>
      <c r="G67" s="467"/>
      <c r="H67" s="468">
        <v>15</v>
      </c>
      <c r="I67" s="182">
        <f t="shared" si="4"/>
        <v>57.692307692307686</v>
      </c>
      <c r="J67" s="468"/>
      <c r="K67" s="468">
        <v>11</v>
      </c>
      <c r="L67" s="93"/>
      <c r="M67" s="182">
        <f t="shared" si="2"/>
        <v>42.307692307692307</v>
      </c>
    </row>
    <row r="68" spans="1:13" ht="13.9" customHeight="1">
      <c r="A68" s="42" t="s">
        <v>64</v>
      </c>
      <c r="B68" s="65">
        <f t="shared" si="0"/>
        <v>61</v>
      </c>
      <c r="C68" s="182">
        <f t="shared" si="1"/>
        <v>1.1755636924262864</v>
      </c>
      <c r="E68" s="467"/>
      <c r="F68" s="182">
        <f t="shared" si="3"/>
        <v>0</v>
      </c>
      <c r="G68" s="467"/>
      <c r="H68" s="468">
        <v>28</v>
      </c>
      <c r="I68" s="182">
        <f t="shared" si="4"/>
        <v>45.901639344262293</v>
      </c>
      <c r="J68" s="468"/>
      <c r="K68" s="468">
        <v>33</v>
      </c>
      <c r="L68" s="93"/>
      <c r="M68" s="182">
        <f t="shared" si="2"/>
        <v>54.098360655737707</v>
      </c>
    </row>
    <row r="69" spans="1:13" ht="8.25" customHeight="1">
      <c r="B69" s="65" t="str">
        <f t="shared" si="0"/>
        <v/>
      </c>
      <c r="E69" s="467"/>
      <c r="F69" s="182" t="str">
        <f t="shared" si="3"/>
        <v/>
      </c>
      <c r="G69" s="467"/>
      <c r="H69" s="95"/>
      <c r="I69" s="182" t="str">
        <f t="shared" si="4"/>
        <v/>
      </c>
      <c r="J69" s="95"/>
      <c r="K69" s="95"/>
      <c r="L69" s="93"/>
      <c r="M69" s="182" t="str">
        <f t="shared" si="2"/>
        <v/>
      </c>
    </row>
    <row r="70" spans="1:13" ht="13.9" customHeight="1">
      <c r="A70" s="42" t="s">
        <v>66</v>
      </c>
      <c r="B70" s="65">
        <f t="shared" si="0"/>
        <v>75</v>
      </c>
      <c r="C70" s="182">
        <f t="shared" si="1"/>
        <v>1.4453651956060898</v>
      </c>
      <c r="E70" s="467">
        <v>34</v>
      </c>
      <c r="F70" s="182">
        <f t="shared" si="3"/>
        <v>45.333333333333329</v>
      </c>
      <c r="G70" s="467" t="s">
        <v>991</v>
      </c>
      <c r="H70" s="470"/>
      <c r="I70" s="182">
        <f t="shared" si="4"/>
        <v>0</v>
      </c>
      <c r="J70" s="470"/>
      <c r="K70" s="468">
        <v>41</v>
      </c>
      <c r="L70" s="93"/>
      <c r="M70" s="182">
        <f t="shared" si="2"/>
        <v>54.666666666666664</v>
      </c>
    </row>
    <row r="71" spans="1:13" ht="10.5" customHeight="1">
      <c r="B71" s="65" t="str">
        <f t="shared" si="0"/>
        <v/>
      </c>
      <c r="E71" s="467"/>
      <c r="F71" s="182" t="str">
        <f t="shared" si="3"/>
        <v/>
      </c>
      <c r="G71" s="467"/>
      <c r="H71" s="95"/>
      <c r="I71" s="182" t="str">
        <f t="shared" si="4"/>
        <v/>
      </c>
      <c r="J71" s="95"/>
      <c r="K71" s="95"/>
      <c r="L71" s="93"/>
      <c r="M71" s="182" t="str">
        <f t="shared" si="2"/>
        <v/>
      </c>
    </row>
    <row r="72" spans="1:13" ht="13.9" customHeight="1">
      <c r="A72" s="42" t="s">
        <v>67</v>
      </c>
      <c r="B72" s="65">
        <f t="shared" si="0"/>
        <v>73</v>
      </c>
      <c r="C72" s="182">
        <f t="shared" si="1"/>
        <v>1.4068221237232608</v>
      </c>
      <c r="E72" s="467"/>
      <c r="F72" s="182">
        <f t="shared" si="3"/>
        <v>0</v>
      </c>
      <c r="G72" s="467"/>
      <c r="H72" s="470"/>
      <c r="I72" s="182">
        <f t="shared" si="4"/>
        <v>0</v>
      </c>
      <c r="J72" s="470"/>
      <c r="K72" s="468">
        <v>73</v>
      </c>
      <c r="L72" s="93"/>
      <c r="M72" s="182">
        <f t="shared" si="2"/>
        <v>100</v>
      </c>
    </row>
    <row r="73" spans="1:13" ht="8.25" customHeight="1">
      <c r="B73" s="65" t="str">
        <f t="shared" si="0"/>
        <v/>
      </c>
      <c r="F73" s="182" t="str">
        <f t="shared" si="3"/>
        <v/>
      </c>
      <c r="I73" s="182" t="str">
        <f t="shared" si="4"/>
        <v/>
      </c>
      <c r="K73" s="65"/>
      <c r="L73" s="93"/>
      <c r="M73" s="182" t="str">
        <f t="shared" si="2"/>
        <v/>
      </c>
    </row>
    <row r="74" spans="1:13" ht="14.1" customHeight="1">
      <c r="A74" s="63" t="s">
        <v>336</v>
      </c>
      <c r="B74" s="65">
        <f t="shared" si="0"/>
        <v>150</v>
      </c>
      <c r="C74" s="182">
        <f t="shared" si="1"/>
        <v>2.8907303912121796</v>
      </c>
      <c r="E74" s="93">
        <f>SUM(E75)</f>
        <v>0</v>
      </c>
      <c r="F74" s="182">
        <f t="shared" si="3"/>
        <v>0</v>
      </c>
      <c r="H74" s="93">
        <f>SUM(H75)</f>
        <v>91</v>
      </c>
      <c r="I74" s="182">
        <f t="shared" si="4"/>
        <v>60.666666666666671</v>
      </c>
      <c r="K74" s="65">
        <f>SUM(K75)</f>
        <v>59</v>
      </c>
      <c r="L74" s="93"/>
      <c r="M74" s="182">
        <f t="shared" si="2"/>
        <v>39.333333333333329</v>
      </c>
    </row>
    <row r="75" spans="1:13" ht="14.1" customHeight="1">
      <c r="A75" s="42" t="s">
        <v>337</v>
      </c>
      <c r="B75" s="65">
        <f t="shared" si="0"/>
        <v>150</v>
      </c>
      <c r="C75" s="182">
        <f t="shared" si="1"/>
        <v>2.8907303912121796</v>
      </c>
      <c r="E75" s="93">
        <f>SUM(E76:E79)</f>
        <v>0</v>
      </c>
      <c r="F75" s="182">
        <f t="shared" si="3"/>
        <v>0</v>
      </c>
      <c r="H75" s="93">
        <f>SUM(H76:H78)</f>
        <v>91</v>
      </c>
      <c r="I75" s="182">
        <f t="shared" si="4"/>
        <v>60.666666666666671</v>
      </c>
      <c r="K75" s="65">
        <f>SUM(K76:K79)</f>
        <v>59</v>
      </c>
      <c r="L75" s="93"/>
      <c r="M75" s="182">
        <f t="shared" si="2"/>
        <v>39.333333333333329</v>
      </c>
    </row>
    <row r="76" spans="1:13" ht="14.1" customHeight="1">
      <c r="A76" s="42" t="s">
        <v>70</v>
      </c>
      <c r="B76" s="65">
        <f>IF(A76&lt;&gt;0,E76+H76+K76,"")</f>
        <v>25</v>
      </c>
      <c r="C76" s="182">
        <f t="shared" si="1"/>
        <v>0.4817883985353632</v>
      </c>
      <c r="E76" s="467"/>
      <c r="F76" s="182">
        <f t="shared" si="3"/>
        <v>0</v>
      </c>
      <c r="G76" s="467"/>
      <c r="H76" s="468">
        <v>17</v>
      </c>
      <c r="I76" s="182">
        <f t="shared" si="4"/>
        <v>68</v>
      </c>
      <c r="J76" s="468"/>
      <c r="K76" s="468">
        <v>8</v>
      </c>
      <c r="L76" s="93"/>
      <c r="M76" s="182">
        <f t="shared" si="2"/>
        <v>32</v>
      </c>
    </row>
    <row r="77" spans="1:13" ht="14.1" customHeight="1">
      <c r="A77" s="42" t="s">
        <v>71</v>
      </c>
      <c r="B77" s="65">
        <f>IF(A77&lt;&gt;0,E77+H77+K77,"")</f>
        <v>60</v>
      </c>
      <c r="C77" s="182">
        <f t="shared" si="1"/>
        <v>1.1562921564848718</v>
      </c>
      <c r="E77" s="467"/>
      <c r="F77" s="182">
        <f t="shared" si="3"/>
        <v>0</v>
      </c>
      <c r="G77" s="467"/>
      <c r="H77" s="468">
        <v>38</v>
      </c>
      <c r="I77" s="182">
        <f t="shared" si="4"/>
        <v>63.333333333333329</v>
      </c>
      <c r="J77" s="468"/>
      <c r="K77" s="468">
        <v>22</v>
      </c>
      <c r="L77" s="93"/>
      <c r="M77" s="182">
        <f t="shared" si="2"/>
        <v>36.666666666666664</v>
      </c>
    </row>
    <row r="78" spans="1:13" ht="14.1" customHeight="1">
      <c r="A78" s="42" t="s">
        <v>72</v>
      </c>
      <c r="B78" s="65">
        <f>IF(A78&lt;&gt;0,E78+H78+K78,"")</f>
        <v>45</v>
      </c>
      <c r="C78" s="182">
        <f t="shared" si="1"/>
        <v>0.86721911736365387</v>
      </c>
      <c r="E78" s="467"/>
      <c r="F78" s="182">
        <f t="shared" si="3"/>
        <v>0</v>
      </c>
      <c r="G78" s="467"/>
      <c r="H78" s="468">
        <v>36</v>
      </c>
      <c r="I78" s="182">
        <f t="shared" si="4"/>
        <v>80</v>
      </c>
      <c r="J78" s="468"/>
      <c r="K78" s="468">
        <v>9</v>
      </c>
      <c r="L78" s="93"/>
      <c r="M78" s="182">
        <f t="shared" si="2"/>
        <v>20</v>
      </c>
    </row>
    <row r="79" spans="1:13" ht="14.1" customHeight="1">
      <c r="A79" s="42" t="s">
        <v>73</v>
      </c>
      <c r="B79" s="65">
        <f>IF(A79&lt;&gt;0,E79+H79+K79,"")</f>
        <v>20</v>
      </c>
      <c r="C79" s="182">
        <f t="shared" si="1"/>
        <v>0.38543071882829061</v>
      </c>
      <c r="E79" s="467"/>
      <c r="F79" s="182">
        <f t="shared" si="3"/>
        <v>0</v>
      </c>
      <c r="G79" s="467"/>
      <c r="H79" s="470"/>
      <c r="I79" s="182">
        <f t="shared" si="4"/>
        <v>0</v>
      </c>
      <c r="J79" s="470"/>
      <c r="K79" s="468">
        <v>20</v>
      </c>
      <c r="L79" s="93"/>
      <c r="M79" s="182">
        <f t="shared" ref="M79:M101" si="5">IF($A79&lt;&gt;"",K79/$B79*100,"")</f>
        <v>100</v>
      </c>
    </row>
    <row r="80" spans="1:13" ht="8.25" customHeight="1">
      <c r="F80" s="182" t="str">
        <f t="shared" si="3"/>
        <v/>
      </c>
      <c r="I80" s="182" t="str">
        <f t="shared" si="4"/>
        <v/>
      </c>
      <c r="K80" s="65"/>
      <c r="L80" s="93"/>
      <c r="M80" s="182" t="str">
        <f t="shared" si="5"/>
        <v/>
      </c>
    </row>
    <row r="81" spans="1:13" ht="13.9" customHeight="1">
      <c r="A81" s="63" t="s">
        <v>396</v>
      </c>
      <c r="B81" s="65">
        <f t="shared" ref="B81:B96" si="6">IF(A81&lt;&gt;0,E81+H81+K81,"")</f>
        <v>537</v>
      </c>
      <c r="C81" s="182">
        <f t="shared" ref="C81:C101" si="7">IF($A$11&lt;&gt;"",$B81/$B$11*100,"")</f>
        <v>10.348814800539603</v>
      </c>
      <c r="E81" s="93">
        <f>SUM(E82)</f>
        <v>0</v>
      </c>
      <c r="F81" s="182">
        <f t="shared" ref="F81:F101" si="8">IF($A81&lt;&gt;"",E81/$B81*100,"")</f>
        <v>0</v>
      </c>
      <c r="H81" s="93">
        <f>SUM(H82)</f>
        <v>244</v>
      </c>
      <c r="I81" s="182">
        <f t="shared" ref="I81:I101" si="9">IF($A81&lt;&gt;"",H81/$B81*100,"")</f>
        <v>45.437616387337059</v>
      </c>
      <c r="K81" s="65">
        <f>SUM(K82)</f>
        <v>293</v>
      </c>
      <c r="L81" s="93"/>
      <c r="M81" s="182">
        <f t="shared" si="5"/>
        <v>54.562383612662948</v>
      </c>
    </row>
    <row r="82" spans="1:13" ht="13.9" customHeight="1">
      <c r="A82" s="42" t="s">
        <v>75</v>
      </c>
      <c r="B82" s="65">
        <f t="shared" si="6"/>
        <v>537</v>
      </c>
      <c r="C82" s="182">
        <f t="shared" si="7"/>
        <v>10.348814800539603</v>
      </c>
      <c r="E82" s="93">
        <f>SUM(E83:E91)</f>
        <v>0</v>
      </c>
      <c r="F82" s="182">
        <f t="shared" si="8"/>
        <v>0</v>
      </c>
      <c r="H82" s="93">
        <f>SUM(H83:H91)</f>
        <v>244</v>
      </c>
      <c r="I82" s="182">
        <f t="shared" si="9"/>
        <v>45.437616387337059</v>
      </c>
      <c r="K82" s="65">
        <f>SUM(K83:K91)</f>
        <v>293</v>
      </c>
      <c r="L82" s="93"/>
      <c r="M82" s="182">
        <f t="shared" si="5"/>
        <v>54.562383612662948</v>
      </c>
    </row>
    <row r="83" spans="1:13" ht="13.9" customHeight="1">
      <c r="A83" s="42" t="s">
        <v>338</v>
      </c>
      <c r="B83" s="65">
        <f t="shared" si="6"/>
        <v>20</v>
      </c>
      <c r="C83" s="182">
        <f t="shared" si="7"/>
        <v>0.38543071882829061</v>
      </c>
      <c r="E83" s="467"/>
      <c r="F83" s="182">
        <f t="shared" si="8"/>
        <v>0</v>
      </c>
      <c r="G83" s="467"/>
      <c r="H83" s="468">
        <v>13</v>
      </c>
      <c r="I83" s="182">
        <f t="shared" si="9"/>
        <v>65</v>
      </c>
      <c r="J83" s="468"/>
      <c r="K83" s="468">
        <v>7</v>
      </c>
      <c r="L83" s="93"/>
      <c r="M83" s="182">
        <f t="shared" si="5"/>
        <v>35</v>
      </c>
    </row>
    <row r="84" spans="1:13" ht="13.9" customHeight="1">
      <c r="A84" s="42" t="s">
        <v>76</v>
      </c>
      <c r="B84" s="65">
        <f t="shared" si="6"/>
        <v>73</v>
      </c>
      <c r="C84" s="182">
        <f t="shared" si="7"/>
        <v>1.4068221237232608</v>
      </c>
      <c r="E84" s="467"/>
      <c r="F84" s="182">
        <f t="shared" si="8"/>
        <v>0</v>
      </c>
      <c r="G84" s="467"/>
      <c r="H84" s="470"/>
      <c r="I84" s="182">
        <f t="shared" si="9"/>
        <v>0</v>
      </c>
      <c r="J84" s="470"/>
      <c r="K84" s="468">
        <v>73</v>
      </c>
      <c r="L84" s="93"/>
      <c r="M84" s="182">
        <f t="shared" si="5"/>
        <v>100</v>
      </c>
    </row>
    <row r="85" spans="1:13" ht="13.9" customHeight="1">
      <c r="A85" s="42" t="s">
        <v>78</v>
      </c>
      <c r="B85" s="65">
        <f t="shared" si="6"/>
        <v>123</v>
      </c>
      <c r="C85" s="182">
        <f t="shared" si="7"/>
        <v>2.3703989207939871</v>
      </c>
      <c r="E85" s="467"/>
      <c r="F85" s="182">
        <f t="shared" si="8"/>
        <v>0</v>
      </c>
      <c r="G85" s="467"/>
      <c r="H85" s="468">
        <v>90</v>
      </c>
      <c r="I85" s="182">
        <f t="shared" si="9"/>
        <v>73.170731707317074</v>
      </c>
      <c r="J85" s="468"/>
      <c r="K85" s="468">
        <v>33</v>
      </c>
      <c r="L85" s="93"/>
      <c r="M85" s="182">
        <f t="shared" si="5"/>
        <v>26.829268292682929</v>
      </c>
    </row>
    <row r="86" spans="1:13" ht="13.9" customHeight="1">
      <c r="A86" s="42" t="s">
        <v>80</v>
      </c>
      <c r="B86" s="65">
        <f t="shared" si="6"/>
        <v>62</v>
      </c>
      <c r="C86" s="182">
        <f t="shared" si="7"/>
        <v>1.1948352283677011</v>
      </c>
      <c r="E86" s="467"/>
      <c r="F86" s="182">
        <f t="shared" si="8"/>
        <v>0</v>
      </c>
      <c r="G86" s="467"/>
      <c r="H86" s="470"/>
      <c r="I86" s="182">
        <f t="shared" si="9"/>
        <v>0</v>
      </c>
      <c r="J86" s="470"/>
      <c r="K86" s="468">
        <v>62</v>
      </c>
      <c r="L86" s="93"/>
      <c r="M86" s="182">
        <f t="shared" si="5"/>
        <v>100</v>
      </c>
    </row>
    <row r="87" spans="1:13" ht="13.9" customHeight="1">
      <c r="A87" s="42" t="s">
        <v>79</v>
      </c>
      <c r="B87" s="65">
        <f t="shared" si="6"/>
        <v>71</v>
      </c>
      <c r="C87" s="182">
        <f t="shared" si="7"/>
        <v>1.3682790518404315</v>
      </c>
      <c r="E87" s="467"/>
      <c r="F87" s="182">
        <f t="shared" si="8"/>
        <v>0</v>
      </c>
      <c r="G87" s="467"/>
      <c r="H87" s="468">
        <v>46</v>
      </c>
      <c r="I87" s="182">
        <f t="shared" si="9"/>
        <v>64.788732394366207</v>
      </c>
      <c r="J87" s="468"/>
      <c r="K87" s="468">
        <v>25</v>
      </c>
      <c r="L87" s="93"/>
      <c r="M87" s="182">
        <f t="shared" si="5"/>
        <v>35.2112676056338</v>
      </c>
    </row>
    <row r="88" spans="1:13" ht="13.9" customHeight="1">
      <c r="A88" s="42" t="s">
        <v>77</v>
      </c>
      <c r="B88" s="65">
        <f t="shared" si="6"/>
        <v>42</v>
      </c>
      <c r="C88" s="182">
        <f t="shared" si="7"/>
        <v>0.80940450953941034</v>
      </c>
      <c r="E88" s="467"/>
      <c r="F88" s="182">
        <f t="shared" si="8"/>
        <v>0</v>
      </c>
      <c r="G88" s="467"/>
      <c r="H88" s="470"/>
      <c r="I88" s="182">
        <f t="shared" si="9"/>
        <v>0</v>
      </c>
      <c r="J88" s="470"/>
      <c r="K88" s="468">
        <v>42</v>
      </c>
      <c r="L88" s="93"/>
      <c r="M88" s="182">
        <f t="shared" si="5"/>
        <v>100</v>
      </c>
    </row>
    <row r="89" spans="1:13" ht="13.9" customHeight="1">
      <c r="A89" s="42" t="s">
        <v>81</v>
      </c>
      <c r="B89" s="65">
        <f t="shared" si="6"/>
        <v>45</v>
      </c>
      <c r="C89" s="182">
        <f t="shared" si="7"/>
        <v>0.86721911736365387</v>
      </c>
      <c r="E89" s="467"/>
      <c r="F89" s="182">
        <f t="shared" si="8"/>
        <v>0</v>
      </c>
      <c r="G89" s="467"/>
      <c r="H89" s="470"/>
      <c r="I89" s="182">
        <f t="shared" si="9"/>
        <v>0</v>
      </c>
      <c r="J89" s="470"/>
      <c r="K89" s="468">
        <v>45</v>
      </c>
      <c r="L89" s="93"/>
      <c r="M89" s="182">
        <f t="shared" si="5"/>
        <v>100</v>
      </c>
    </row>
    <row r="90" spans="1:13" ht="13.9" customHeight="1">
      <c r="A90" s="42" t="s">
        <v>377</v>
      </c>
      <c r="B90" s="65">
        <f t="shared" si="6"/>
        <v>31</v>
      </c>
      <c r="C90" s="182">
        <f t="shared" si="7"/>
        <v>0.59741761418385053</v>
      </c>
      <c r="E90" s="467"/>
      <c r="F90" s="182">
        <f t="shared" si="8"/>
        <v>0</v>
      </c>
      <c r="G90" s="467"/>
      <c r="H90" s="468">
        <v>29</v>
      </c>
      <c r="I90" s="182">
        <f t="shared" si="9"/>
        <v>93.548387096774192</v>
      </c>
      <c r="J90" s="468"/>
      <c r="K90" s="468">
        <v>2</v>
      </c>
      <c r="L90" s="93"/>
      <c r="M90" s="182">
        <f t="shared" si="5"/>
        <v>6.4516129032258061</v>
      </c>
    </row>
    <row r="91" spans="1:13" ht="13.9" customHeight="1">
      <c r="A91" s="42" t="s">
        <v>83</v>
      </c>
      <c r="B91" s="65">
        <f t="shared" si="6"/>
        <v>70</v>
      </c>
      <c r="C91" s="182">
        <f t="shared" si="7"/>
        <v>1.3490075158990171</v>
      </c>
      <c r="E91" s="467"/>
      <c r="F91" s="182">
        <f t="shared" si="8"/>
        <v>0</v>
      </c>
      <c r="G91" s="467"/>
      <c r="H91" s="468">
        <v>66</v>
      </c>
      <c r="I91" s="182">
        <f t="shared" si="9"/>
        <v>94.285714285714278</v>
      </c>
      <c r="J91" s="468"/>
      <c r="K91" s="468">
        <v>4</v>
      </c>
      <c r="L91" s="93"/>
      <c r="M91" s="182">
        <f t="shared" si="5"/>
        <v>5.7142857142857144</v>
      </c>
    </row>
    <row r="92" spans="1:13" ht="6.75" customHeight="1">
      <c r="E92" s="467"/>
      <c r="F92" s="182" t="str">
        <f t="shared" si="8"/>
        <v/>
      </c>
      <c r="G92" s="467"/>
      <c r="H92" s="95"/>
      <c r="I92" s="182" t="str">
        <f t="shared" si="9"/>
        <v/>
      </c>
      <c r="J92" s="95"/>
      <c r="K92" s="95"/>
      <c r="L92" s="93"/>
    </row>
    <row r="93" spans="1:13" ht="13.9" customHeight="1">
      <c r="A93" s="42" t="s">
        <v>443</v>
      </c>
      <c r="B93" s="65">
        <f t="shared" si="6"/>
        <v>28</v>
      </c>
      <c r="C93" s="182">
        <f t="shared" si="7"/>
        <v>0.5396030063596069</v>
      </c>
      <c r="E93" s="467">
        <v>1</v>
      </c>
      <c r="F93" s="182">
        <f t="shared" si="8"/>
        <v>3.5714285714285712</v>
      </c>
      <c r="G93" s="467"/>
      <c r="H93" s="467">
        <v>27</v>
      </c>
      <c r="I93" s="182">
        <f t="shared" si="9"/>
        <v>96.428571428571431</v>
      </c>
      <c r="J93" s="467"/>
      <c r="K93" s="467">
        <v>0</v>
      </c>
      <c r="L93" s="93"/>
      <c r="M93" s="182">
        <f t="shared" si="5"/>
        <v>0</v>
      </c>
    </row>
    <row r="94" spans="1:13" ht="13.9" customHeight="1">
      <c r="A94" s="472" t="s">
        <v>992</v>
      </c>
      <c r="B94" s="65">
        <f>IF(A94&lt;&gt;0,E94+H94+K94,"")</f>
        <v>53</v>
      </c>
      <c r="C94" s="182">
        <f t="shared" si="7"/>
        <v>1.0213914048949702</v>
      </c>
      <c r="E94" s="467"/>
      <c r="F94" s="182">
        <f t="shared" si="8"/>
        <v>0</v>
      </c>
      <c r="G94" s="467"/>
      <c r="H94" s="95">
        <v>13</v>
      </c>
      <c r="I94" s="182">
        <f t="shared" si="9"/>
        <v>24.528301886792452</v>
      </c>
      <c r="J94" s="95"/>
      <c r="K94" s="95">
        <v>40</v>
      </c>
      <c r="L94" s="182"/>
      <c r="M94" s="182">
        <f>IF($A94&lt;&gt;"",K94/$B94*100,"")</f>
        <v>75.471698113207552</v>
      </c>
    </row>
    <row r="95" spans="1:13" ht="8.25" customHeight="1">
      <c r="B95" s="65" t="str">
        <f t="shared" si="6"/>
        <v/>
      </c>
      <c r="F95" s="182" t="str">
        <f t="shared" si="8"/>
        <v/>
      </c>
      <c r="I95" s="182" t="str">
        <f t="shared" si="9"/>
        <v/>
      </c>
      <c r="K95" s="65"/>
      <c r="L95" s="93"/>
      <c r="M95" s="182" t="str">
        <f t="shared" si="5"/>
        <v/>
      </c>
    </row>
    <row r="96" spans="1:13" ht="14.1" customHeight="1">
      <c r="A96" s="63" t="s">
        <v>346</v>
      </c>
      <c r="B96" s="65">
        <f t="shared" si="6"/>
        <v>1343</v>
      </c>
      <c r="C96" s="182">
        <f t="shared" si="7"/>
        <v>25.881672769319714</v>
      </c>
      <c r="E96" s="93">
        <f>SUM(E97:E101)</f>
        <v>74</v>
      </c>
      <c r="F96" s="182">
        <f t="shared" si="8"/>
        <v>5.5100521221146685</v>
      </c>
      <c r="H96" s="93">
        <f>SUM(H97:H101)</f>
        <v>941</v>
      </c>
      <c r="I96" s="182">
        <f t="shared" si="9"/>
        <v>70.067014147431124</v>
      </c>
      <c r="K96" s="65">
        <f>SUM(K97:K101)</f>
        <v>328</v>
      </c>
      <c r="L96" s="93"/>
      <c r="M96" s="182">
        <f t="shared" si="5"/>
        <v>24.422933730454208</v>
      </c>
    </row>
    <row r="97" spans="1:14" ht="13.9" customHeight="1">
      <c r="A97" s="42" t="s">
        <v>347</v>
      </c>
      <c r="B97" s="65">
        <f>IF(A97&lt;&gt;0,E97+H97+K97,"")</f>
        <v>482</v>
      </c>
      <c r="C97" s="182">
        <f t="shared" si="7"/>
        <v>9.2888803237618038</v>
      </c>
      <c r="E97" s="467">
        <v>9</v>
      </c>
      <c r="F97" s="182">
        <f t="shared" si="8"/>
        <v>1.8672199170124482</v>
      </c>
      <c r="G97" s="313" t="s">
        <v>993</v>
      </c>
      <c r="H97" s="312">
        <v>322</v>
      </c>
      <c r="I97" s="182">
        <f t="shared" si="9"/>
        <v>66.804979253112023</v>
      </c>
      <c r="J97" s="312"/>
      <c r="K97" s="312">
        <v>151</v>
      </c>
      <c r="L97" s="93"/>
      <c r="M97" s="182">
        <f t="shared" si="5"/>
        <v>31.327800829875518</v>
      </c>
    </row>
    <row r="98" spans="1:14" ht="13.9" customHeight="1">
      <c r="A98" s="42" t="s">
        <v>348</v>
      </c>
      <c r="B98" s="65">
        <f>IF(A98&lt;&gt;0,E98+H98+K98,"")</f>
        <v>267</v>
      </c>
      <c r="C98" s="182">
        <f t="shared" si="7"/>
        <v>5.1455000963576794</v>
      </c>
      <c r="E98" s="467">
        <v>13</v>
      </c>
      <c r="F98" s="182">
        <f t="shared" si="8"/>
        <v>4.868913857677903</v>
      </c>
      <c r="G98" s="313" t="s">
        <v>994</v>
      </c>
      <c r="H98" s="467">
        <v>196</v>
      </c>
      <c r="I98" s="182">
        <f t="shared" si="9"/>
        <v>73.408239700374537</v>
      </c>
      <c r="J98" s="467"/>
      <c r="K98" s="467">
        <v>58</v>
      </c>
      <c r="L98" s="93"/>
      <c r="M98" s="182">
        <f t="shared" si="5"/>
        <v>21.722846441947567</v>
      </c>
    </row>
    <row r="99" spans="1:14" ht="13.9" customHeight="1">
      <c r="A99" s="42" t="s">
        <v>349</v>
      </c>
      <c r="B99" s="65">
        <f>IF(A99&lt;&gt;0,E99+H99+K99,"")</f>
        <v>241</v>
      </c>
      <c r="C99" s="182">
        <f t="shared" si="7"/>
        <v>4.6444401618809019</v>
      </c>
      <c r="E99" s="467">
        <v>15</v>
      </c>
      <c r="F99" s="182">
        <f t="shared" si="8"/>
        <v>6.2240663900414939</v>
      </c>
      <c r="G99" s="313" t="s">
        <v>995</v>
      </c>
      <c r="H99" s="467">
        <v>171</v>
      </c>
      <c r="I99" s="182">
        <f t="shared" si="9"/>
        <v>70.954356846473033</v>
      </c>
      <c r="J99" s="467"/>
      <c r="K99" s="467">
        <v>55</v>
      </c>
      <c r="L99" s="93"/>
      <c r="M99" s="182">
        <f t="shared" si="5"/>
        <v>22.821576763485478</v>
      </c>
    </row>
    <row r="100" spans="1:14" ht="13.9" customHeight="1">
      <c r="A100" s="42" t="s">
        <v>898</v>
      </c>
      <c r="B100" s="65">
        <f>IF(A100&lt;&gt;0,E100+H100+K100,"")</f>
        <v>191</v>
      </c>
      <c r="C100" s="182">
        <f t="shared" si="7"/>
        <v>3.6808633648101754</v>
      </c>
      <c r="E100" s="467">
        <v>29</v>
      </c>
      <c r="F100" s="182">
        <f t="shared" si="8"/>
        <v>15.183246073298429</v>
      </c>
      <c r="G100" s="313" t="s">
        <v>996</v>
      </c>
      <c r="H100" s="467">
        <v>116</v>
      </c>
      <c r="I100" s="182">
        <f t="shared" si="9"/>
        <v>60.732984293193716</v>
      </c>
      <c r="J100" s="467"/>
      <c r="K100" s="467">
        <v>46</v>
      </c>
      <c r="L100" s="93"/>
      <c r="M100" s="182">
        <f t="shared" si="5"/>
        <v>24.083769633507853</v>
      </c>
    </row>
    <row r="101" spans="1:14" ht="13.9" customHeight="1">
      <c r="A101" s="42" t="s">
        <v>808</v>
      </c>
      <c r="B101" s="65">
        <f>IF(A101&lt;&gt;0,E101+H101+K101,"")</f>
        <v>162</v>
      </c>
      <c r="C101" s="182">
        <f t="shared" si="7"/>
        <v>3.1219888225091541</v>
      </c>
      <c r="E101" s="467">
        <v>8</v>
      </c>
      <c r="F101" s="182">
        <f t="shared" si="8"/>
        <v>4.9382716049382713</v>
      </c>
      <c r="G101" s="313" t="s">
        <v>997</v>
      </c>
      <c r="H101" s="473">
        <v>136</v>
      </c>
      <c r="I101" s="182">
        <f t="shared" si="9"/>
        <v>83.950617283950606</v>
      </c>
      <c r="J101" s="473"/>
      <c r="K101" s="473">
        <v>18</v>
      </c>
      <c r="L101" s="93"/>
      <c r="M101" s="182">
        <f t="shared" si="5"/>
        <v>11.111111111111111</v>
      </c>
    </row>
    <row r="102" spans="1:14" ht="9" customHeight="1" thickBot="1">
      <c r="A102" s="249"/>
      <c r="B102" s="247"/>
      <c r="C102" s="464"/>
      <c r="D102" s="250"/>
      <c r="E102" s="250"/>
      <c r="F102" s="464"/>
      <c r="G102" s="304"/>
      <c r="H102" s="250"/>
      <c r="I102" s="464"/>
      <c r="J102" s="250"/>
      <c r="K102" s="247"/>
      <c r="L102" s="249"/>
      <c r="M102" s="464"/>
      <c r="N102" s="249"/>
    </row>
    <row r="103" spans="1:14" ht="6" customHeight="1">
      <c r="A103" s="95"/>
      <c r="B103" s="239"/>
      <c r="C103" s="322"/>
      <c r="D103" s="251"/>
      <c r="E103" s="251"/>
      <c r="F103" s="322"/>
      <c r="G103" s="465"/>
      <c r="H103" s="251"/>
      <c r="I103" s="322"/>
      <c r="J103" s="251"/>
      <c r="K103" s="239"/>
      <c r="L103" s="95"/>
      <c r="M103" s="322"/>
      <c r="N103" s="95"/>
    </row>
    <row r="104" spans="1:14" ht="13.5" customHeight="1">
      <c r="A104" s="95" t="s">
        <v>998</v>
      </c>
      <c r="B104" s="239"/>
      <c r="C104" s="322"/>
      <c r="D104" s="251"/>
      <c r="E104" s="251"/>
      <c r="F104" s="322"/>
      <c r="G104" s="465"/>
      <c r="H104" s="251"/>
      <c r="I104" s="322"/>
      <c r="J104" s="251"/>
      <c r="K104" s="239"/>
      <c r="L104" s="95"/>
      <c r="M104" s="322"/>
      <c r="N104" s="95"/>
    </row>
    <row r="105" spans="1:14" ht="6.75" customHeight="1">
      <c r="A105" s="95"/>
      <c r="B105" s="239"/>
      <c r="C105" s="322"/>
      <c r="D105" s="251"/>
      <c r="E105" s="251"/>
      <c r="F105" s="322"/>
      <c r="G105" s="465"/>
      <c r="H105" s="251"/>
      <c r="I105" s="322"/>
      <c r="J105" s="251"/>
      <c r="K105" s="239"/>
      <c r="L105" s="95"/>
      <c r="M105" s="322"/>
      <c r="N105" s="95"/>
    </row>
    <row r="106" spans="1:14" ht="12.75" customHeight="1">
      <c r="A106" s="97" t="s">
        <v>999</v>
      </c>
      <c r="B106" s="239"/>
      <c r="C106" s="322"/>
      <c r="D106" s="251"/>
      <c r="E106" s="251"/>
      <c r="F106" s="322"/>
      <c r="G106" s="465"/>
      <c r="H106" s="251"/>
      <c r="I106" s="322"/>
      <c r="J106" s="251"/>
      <c r="K106" s="97"/>
      <c r="L106" s="95"/>
      <c r="M106" s="322"/>
      <c r="N106" s="95"/>
    </row>
    <row r="107" spans="1:14" ht="12" customHeight="1">
      <c r="A107" s="97" t="s">
        <v>1000</v>
      </c>
      <c r="B107" s="239"/>
      <c r="C107" s="322"/>
      <c r="D107" s="251"/>
      <c r="E107" s="251"/>
      <c r="F107" s="322"/>
      <c r="G107" s="465"/>
      <c r="H107" s="251"/>
      <c r="I107" s="322"/>
      <c r="J107" s="251"/>
      <c r="K107" s="97"/>
      <c r="L107" s="95"/>
      <c r="M107" s="322"/>
      <c r="N107" s="95"/>
    </row>
    <row r="108" spans="1:14" ht="13.5" customHeight="1">
      <c r="A108" s="97" t="s">
        <v>1001</v>
      </c>
      <c r="B108" s="239"/>
      <c r="C108" s="322"/>
      <c r="D108" s="251"/>
      <c r="E108" s="251"/>
      <c r="F108" s="322"/>
      <c r="G108" s="465"/>
      <c r="H108" s="251"/>
      <c r="I108" s="322"/>
      <c r="J108" s="251"/>
      <c r="K108" s="97"/>
      <c r="L108" s="95"/>
      <c r="M108" s="322"/>
      <c r="N108" s="95"/>
    </row>
    <row r="109" spans="1:14" ht="13.5" customHeight="1">
      <c r="A109" s="97" t="s">
        <v>1002</v>
      </c>
      <c r="B109" s="239"/>
      <c r="C109" s="322"/>
      <c r="D109" s="251"/>
      <c r="E109" s="251"/>
      <c r="F109" s="322"/>
      <c r="G109" s="465"/>
      <c r="H109" s="251"/>
      <c r="I109" s="322"/>
      <c r="J109" s="251"/>
      <c r="K109" s="97"/>
      <c r="L109" s="95"/>
      <c r="M109" s="322"/>
      <c r="N109" s="95"/>
    </row>
    <row r="110" spans="1:14">
      <c r="A110" s="97" t="s">
        <v>1003</v>
      </c>
      <c r="B110" s="239"/>
      <c r="C110" s="322"/>
      <c r="D110" s="251"/>
      <c r="E110" s="251"/>
      <c r="F110" s="322"/>
      <c r="G110" s="465"/>
      <c r="H110" s="251"/>
      <c r="I110" s="322"/>
      <c r="J110" s="251"/>
      <c r="K110" s="97"/>
      <c r="L110" s="95"/>
      <c r="M110" s="322"/>
      <c r="N110" s="95"/>
    </row>
    <row r="111" spans="1:14">
      <c r="A111" s="97" t="s">
        <v>1004</v>
      </c>
      <c r="B111" s="239"/>
      <c r="C111" s="322"/>
      <c r="D111" s="251"/>
      <c r="E111" s="251"/>
      <c r="F111" s="322"/>
      <c r="G111" s="465"/>
      <c r="H111" s="251"/>
      <c r="I111" s="322"/>
      <c r="J111" s="251"/>
      <c r="K111" s="97"/>
      <c r="L111" s="95"/>
      <c r="M111" s="322"/>
      <c r="N111" s="95"/>
    </row>
    <row r="112" spans="1:14">
      <c r="A112" s="97" t="s">
        <v>1005</v>
      </c>
      <c r="B112" s="239"/>
      <c r="C112" s="322"/>
      <c r="D112" s="251"/>
      <c r="E112" s="251"/>
      <c r="F112" s="322"/>
      <c r="G112" s="465"/>
      <c r="H112" s="251"/>
      <c r="I112" s="322"/>
      <c r="J112" s="251"/>
      <c r="K112" s="97"/>
      <c r="L112" s="95"/>
      <c r="M112" s="322"/>
      <c r="N112" s="95"/>
    </row>
    <row r="113" spans="1:14">
      <c r="A113" s="97" t="s">
        <v>1006</v>
      </c>
      <c r="B113" s="239"/>
      <c r="C113" s="322"/>
      <c r="D113" s="251"/>
      <c r="E113" s="251"/>
      <c r="F113" s="322"/>
      <c r="G113" s="465"/>
      <c r="H113" s="251"/>
      <c r="I113" s="322"/>
      <c r="J113" s="251"/>
      <c r="K113" s="97"/>
      <c r="L113" s="95"/>
      <c r="M113" s="322"/>
      <c r="N113" s="95"/>
    </row>
    <row r="114" spans="1:14">
      <c r="A114" s="97" t="s">
        <v>1007</v>
      </c>
      <c r="B114" s="239"/>
      <c r="C114" s="322"/>
      <c r="D114" s="251"/>
      <c r="E114" s="251"/>
      <c r="F114" s="322"/>
      <c r="G114" s="465"/>
      <c r="H114" s="251"/>
      <c r="I114" s="322"/>
      <c r="J114" s="251"/>
      <c r="K114" s="97"/>
      <c r="L114" s="95"/>
      <c r="M114" s="322"/>
      <c r="N114" s="95"/>
    </row>
    <row r="115" spans="1:14">
      <c r="A115" s="97" t="s">
        <v>1008</v>
      </c>
      <c r="B115" s="239"/>
      <c r="C115" s="322"/>
      <c r="D115" s="251"/>
      <c r="E115" s="251"/>
      <c r="F115" s="322"/>
      <c r="G115" s="465"/>
      <c r="H115" s="251"/>
      <c r="I115" s="322"/>
      <c r="J115" s="251"/>
      <c r="K115" s="97"/>
      <c r="L115" s="95"/>
      <c r="M115" s="322"/>
      <c r="N115" s="95"/>
    </row>
    <row r="116" spans="1:14" ht="14.25">
      <c r="A116" s="42" t="s">
        <v>1093</v>
      </c>
      <c r="B116" s="239"/>
      <c r="C116" s="322"/>
      <c r="D116" s="251"/>
      <c r="E116" s="251"/>
      <c r="F116" s="322"/>
      <c r="G116" s="465"/>
      <c r="H116" s="251"/>
      <c r="I116" s="322"/>
      <c r="J116" s="251"/>
      <c r="K116" s="97"/>
      <c r="L116" s="95"/>
      <c r="M116" s="322"/>
      <c r="N116" s="95"/>
    </row>
    <row r="117" spans="1:14" ht="8.25" customHeight="1">
      <c r="A117" s="95"/>
      <c r="B117" s="239"/>
      <c r="C117" s="322"/>
      <c r="D117" s="251"/>
      <c r="E117" s="251"/>
      <c r="F117" s="322"/>
      <c r="G117" s="465"/>
      <c r="H117" s="251"/>
      <c r="I117" s="322"/>
      <c r="J117" s="251"/>
      <c r="K117" s="97"/>
      <c r="L117" s="95"/>
      <c r="M117" s="322"/>
      <c r="N117" s="95"/>
    </row>
    <row r="118" spans="1:14" ht="14.25" customHeight="1">
      <c r="A118" s="42" t="s">
        <v>1009</v>
      </c>
    </row>
    <row r="119" spans="1:14" ht="11.25" customHeight="1">
      <c r="A119" s="42" t="s">
        <v>385</v>
      </c>
    </row>
    <row r="122" spans="1:14">
      <c r="C122" s="474"/>
      <c r="D122" s="474"/>
      <c r="E122" s="474"/>
    </row>
    <row r="123" spans="1:14">
      <c r="C123" s="474"/>
      <c r="D123" s="474"/>
      <c r="E123" s="474"/>
    </row>
    <row r="124" spans="1:14">
      <c r="C124" s="474"/>
      <c r="D124" s="474"/>
      <c r="E124" s="474"/>
    </row>
    <row r="125" spans="1:14">
      <c r="C125" s="65"/>
      <c r="D125" s="474"/>
      <c r="E125" s="65"/>
    </row>
    <row r="126" spans="1:14">
      <c r="C126" s="474"/>
      <c r="D126" s="474"/>
      <c r="E126" s="474"/>
    </row>
    <row r="127" spans="1:14">
      <c r="C127" s="474"/>
      <c r="D127" s="474"/>
      <c r="E127" s="474"/>
    </row>
  </sheetData>
  <mergeCells count="4">
    <mergeCell ref="B7:C7"/>
    <mergeCell ref="E7:F7"/>
    <mergeCell ref="H7:I7"/>
    <mergeCell ref="K7:M7"/>
  </mergeCells>
  <printOptions horizontalCentered="1" verticalCentered="1"/>
  <pageMargins left="0" right="0" top="0" bottom="0" header="0.31496062992125984" footer="0.31496062992125984"/>
  <pageSetup paperSize="9" scale="55" orientation="portrait" r:id="rId1"/>
</worksheet>
</file>

<file path=xl/worksheets/sheet53.xml><?xml version="1.0" encoding="utf-8"?>
<worksheet xmlns="http://schemas.openxmlformats.org/spreadsheetml/2006/main" xmlns:r="http://schemas.openxmlformats.org/officeDocument/2006/relationships">
  <sheetPr>
    <tabColor theme="5" tint="0.59999389629810485"/>
  </sheetPr>
  <dimension ref="B4:D5"/>
  <sheetViews>
    <sheetView workbookViewId="0">
      <selection activeCell="J3" sqref="J3"/>
    </sheetView>
  </sheetViews>
  <sheetFormatPr baseColWidth="10" defaultRowHeight="15"/>
  <sheetData>
    <row r="4" spans="2:4">
      <c r="B4" t="s">
        <v>299</v>
      </c>
      <c r="C4" t="s">
        <v>296</v>
      </c>
      <c r="D4" t="s">
        <v>757</v>
      </c>
    </row>
    <row r="5" spans="2:4">
      <c r="B5" s="31">
        <v>59.93</v>
      </c>
      <c r="C5" s="31">
        <v>34.049999999999997</v>
      </c>
      <c r="D5" s="31">
        <v>6.01</v>
      </c>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54.xml><?xml version="1.0" encoding="utf-8"?>
<worksheet xmlns="http://schemas.openxmlformats.org/spreadsheetml/2006/main" xmlns:r="http://schemas.openxmlformats.org/officeDocument/2006/relationships">
  <dimension ref="A1:K109"/>
  <sheetViews>
    <sheetView workbookViewId="0">
      <selection activeCell="A5" sqref="A5"/>
    </sheetView>
  </sheetViews>
  <sheetFormatPr baseColWidth="10" defaultColWidth="8.85546875" defaultRowHeight="15" customHeight="1"/>
  <cols>
    <col min="1" max="1" width="45.28515625" style="339" customWidth="1"/>
    <col min="2" max="3" width="10.7109375" style="351" customWidth="1"/>
    <col min="4" max="4" width="3.28515625" style="351" customWidth="1"/>
    <col min="5" max="6" width="10.7109375" style="352" customWidth="1"/>
    <col min="7" max="7" width="3.140625" style="352" customWidth="1"/>
    <col min="8" max="8" width="10.7109375" style="352" customWidth="1"/>
    <col min="9" max="9" width="12.85546875" style="353" customWidth="1"/>
    <col min="10" max="10" width="8" style="339" customWidth="1"/>
    <col min="257" max="257" width="45.28515625" customWidth="1"/>
    <col min="258" max="259" width="10.7109375" customWidth="1"/>
    <col min="260" max="260" width="3.28515625" customWidth="1"/>
    <col min="261" max="262" width="10.7109375" customWidth="1"/>
    <col min="263" max="263" width="3.140625" customWidth="1"/>
    <col min="264" max="264" width="10.7109375" customWidth="1"/>
    <col min="265" max="265" width="12.85546875" customWidth="1"/>
    <col min="266" max="266" width="8" customWidth="1"/>
    <col min="513" max="513" width="45.28515625" customWidth="1"/>
    <col min="514" max="515" width="10.7109375" customWidth="1"/>
    <col min="516" max="516" width="3.28515625" customWidth="1"/>
    <col min="517" max="518" width="10.7109375" customWidth="1"/>
    <col min="519" max="519" width="3.140625" customWidth="1"/>
    <col min="520" max="520" width="10.7109375" customWidth="1"/>
    <col min="521" max="521" width="12.85546875" customWidth="1"/>
    <col min="522" max="522" width="8" customWidth="1"/>
    <col min="769" max="769" width="45.28515625" customWidth="1"/>
    <col min="770" max="771" width="10.7109375" customWidth="1"/>
    <col min="772" max="772" width="3.28515625" customWidth="1"/>
    <col min="773" max="774" width="10.7109375" customWidth="1"/>
    <col min="775" max="775" width="3.140625" customWidth="1"/>
    <col min="776" max="776" width="10.7109375" customWidth="1"/>
    <col min="777" max="777" width="12.85546875" customWidth="1"/>
    <col min="778" max="778" width="8" customWidth="1"/>
    <col min="1025" max="1025" width="45.28515625" customWidth="1"/>
    <col min="1026" max="1027" width="10.7109375" customWidth="1"/>
    <col min="1028" max="1028" width="3.28515625" customWidth="1"/>
    <col min="1029" max="1030" width="10.7109375" customWidth="1"/>
    <col min="1031" max="1031" width="3.140625" customWidth="1"/>
    <col min="1032" max="1032" width="10.7109375" customWidth="1"/>
    <col min="1033" max="1033" width="12.85546875" customWidth="1"/>
    <col min="1034" max="1034" width="8" customWidth="1"/>
    <col min="1281" max="1281" width="45.28515625" customWidth="1"/>
    <col min="1282" max="1283" width="10.7109375" customWidth="1"/>
    <col min="1284" max="1284" width="3.28515625" customWidth="1"/>
    <col min="1285" max="1286" width="10.7109375" customWidth="1"/>
    <col min="1287" max="1287" width="3.140625" customWidth="1"/>
    <col min="1288" max="1288" width="10.7109375" customWidth="1"/>
    <col min="1289" max="1289" width="12.85546875" customWidth="1"/>
    <col min="1290" max="1290" width="8" customWidth="1"/>
    <col min="1537" max="1537" width="45.28515625" customWidth="1"/>
    <col min="1538" max="1539" width="10.7109375" customWidth="1"/>
    <col min="1540" max="1540" width="3.28515625" customWidth="1"/>
    <col min="1541" max="1542" width="10.7109375" customWidth="1"/>
    <col min="1543" max="1543" width="3.140625" customWidth="1"/>
    <col min="1544" max="1544" width="10.7109375" customWidth="1"/>
    <col min="1545" max="1545" width="12.85546875" customWidth="1"/>
    <col min="1546" max="1546" width="8" customWidth="1"/>
    <col min="1793" max="1793" width="45.28515625" customWidth="1"/>
    <col min="1794" max="1795" width="10.7109375" customWidth="1"/>
    <col min="1796" max="1796" width="3.28515625" customWidth="1"/>
    <col min="1797" max="1798" width="10.7109375" customWidth="1"/>
    <col min="1799" max="1799" width="3.140625" customWidth="1"/>
    <col min="1800" max="1800" width="10.7109375" customWidth="1"/>
    <col min="1801" max="1801" width="12.85546875" customWidth="1"/>
    <col min="1802" max="1802" width="8" customWidth="1"/>
    <col min="2049" max="2049" width="45.28515625" customWidth="1"/>
    <col min="2050" max="2051" width="10.7109375" customWidth="1"/>
    <col min="2052" max="2052" width="3.28515625" customWidth="1"/>
    <col min="2053" max="2054" width="10.7109375" customWidth="1"/>
    <col min="2055" max="2055" width="3.140625" customWidth="1"/>
    <col min="2056" max="2056" width="10.7109375" customWidth="1"/>
    <col min="2057" max="2057" width="12.85546875" customWidth="1"/>
    <col min="2058" max="2058" width="8" customWidth="1"/>
    <col min="2305" max="2305" width="45.28515625" customWidth="1"/>
    <col min="2306" max="2307" width="10.7109375" customWidth="1"/>
    <col min="2308" max="2308" width="3.28515625" customWidth="1"/>
    <col min="2309" max="2310" width="10.7109375" customWidth="1"/>
    <col min="2311" max="2311" width="3.140625" customWidth="1"/>
    <col min="2312" max="2312" width="10.7109375" customWidth="1"/>
    <col min="2313" max="2313" width="12.85546875" customWidth="1"/>
    <col min="2314" max="2314" width="8" customWidth="1"/>
    <col min="2561" max="2561" width="45.28515625" customWidth="1"/>
    <col min="2562" max="2563" width="10.7109375" customWidth="1"/>
    <col min="2564" max="2564" width="3.28515625" customWidth="1"/>
    <col min="2565" max="2566" width="10.7109375" customWidth="1"/>
    <col min="2567" max="2567" width="3.140625" customWidth="1"/>
    <col min="2568" max="2568" width="10.7109375" customWidth="1"/>
    <col min="2569" max="2569" width="12.85546875" customWidth="1"/>
    <col min="2570" max="2570" width="8" customWidth="1"/>
    <col min="2817" max="2817" width="45.28515625" customWidth="1"/>
    <col min="2818" max="2819" width="10.7109375" customWidth="1"/>
    <col min="2820" max="2820" width="3.28515625" customWidth="1"/>
    <col min="2821" max="2822" width="10.7109375" customWidth="1"/>
    <col min="2823" max="2823" width="3.140625" customWidth="1"/>
    <col min="2824" max="2824" width="10.7109375" customWidth="1"/>
    <col min="2825" max="2825" width="12.85546875" customWidth="1"/>
    <col min="2826" max="2826" width="8" customWidth="1"/>
    <col min="3073" max="3073" width="45.28515625" customWidth="1"/>
    <col min="3074" max="3075" width="10.7109375" customWidth="1"/>
    <col min="3076" max="3076" width="3.28515625" customWidth="1"/>
    <col min="3077" max="3078" width="10.7109375" customWidth="1"/>
    <col min="3079" max="3079" width="3.140625" customWidth="1"/>
    <col min="3080" max="3080" width="10.7109375" customWidth="1"/>
    <col min="3081" max="3081" width="12.85546875" customWidth="1"/>
    <col min="3082" max="3082" width="8" customWidth="1"/>
    <col min="3329" max="3329" width="45.28515625" customWidth="1"/>
    <col min="3330" max="3331" width="10.7109375" customWidth="1"/>
    <col min="3332" max="3332" width="3.28515625" customWidth="1"/>
    <col min="3333" max="3334" width="10.7109375" customWidth="1"/>
    <col min="3335" max="3335" width="3.140625" customWidth="1"/>
    <col min="3336" max="3336" width="10.7109375" customWidth="1"/>
    <col min="3337" max="3337" width="12.85546875" customWidth="1"/>
    <col min="3338" max="3338" width="8" customWidth="1"/>
    <col min="3585" max="3585" width="45.28515625" customWidth="1"/>
    <col min="3586" max="3587" width="10.7109375" customWidth="1"/>
    <col min="3588" max="3588" width="3.28515625" customWidth="1"/>
    <col min="3589" max="3590" width="10.7109375" customWidth="1"/>
    <col min="3591" max="3591" width="3.140625" customWidth="1"/>
    <col min="3592" max="3592" width="10.7109375" customWidth="1"/>
    <col min="3593" max="3593" width="12.85546875" customWidth="1"/>
    <col min="3594" max="3594" width="8" customWidth="1"/>
    <col min="3841" max="3841" width="45.28515625" customWidth="1"/>
    <col min="3842" max="3843" width="10.7109375" customWidth="1"/>
    <col min="3844" max="3844" width="3.28515625" customWidth="1"/>
    <col min="3845" max="3846" width="10.7109375" customWidth="1"/>
    <col min="3847" max="3847" width="3.140625" customWidth="1"/>
    <col min="3848" max="3848" width="10.7109375" customWidth="1"/>
    <col min="3849" max="3849" width="12.85546875" customWidth="1"/>
    <col min="3850" max="3850" width="8" customWidth="1"/>
    <col min="4097" max="4097" width="45.28515625" customWidth="1"/>
    <col min="4098" max="4099" width="10.7109375" customWidth="1"/>
    <col min="4100" max="4100" width="3.28515625" customWidth="1"/>
    <col min="4101" max="4102" width="10.7109375" customWidth="1"/>
    <col min="4103" max="4103" width="3.140625" customWidth="1"/>
    <col min="4104" max="4104" width="10.7109375" customWidth="1"/>
    <col min="4105" max="4105" width="12.85546875" customWidth="1"/>
    <col min="4106" max="4106" width="8" customWidth="1"/>
    <col min="4353" max="4353" width="45.28515625" customWidth="1"/>
    <col min="4354" max="4355" width="10.7109375" customWidth="1"/>
    <col min="4356" max="4356" width="3.28515625" customWidth="1"/>
    <col min="4357" max="4358" width="10.7109375" customWidth="1"/>
    <col min="4359" max="4359" width="3.140625" customWidth="1"/>
    <col min="4360" max="4360" width="10.7109375" customWidth="1"/>
    <col min="4361" max="4361" width="12.85546875" customWidth="1"/>
    <col min="4362" max="4362" width="8" customWidth="1"/>
    <col min="4609" max="4609" width="45.28515625" customWidth="1"/>
    <col min="4610" max="4611" width="10.7109375" customWidth="1"/>
    <col min="4612" max="4612" width="3.28515625" customWidth="1"/>
    <col min="4613" max="4614" width="10.7109375" customWidth="1"/>
    <col min="4615" max="4615" width="3.140625" customWidth="1"/>
    <col min="4616" max="4616" width="10.7109375" customWidth="1"/>
    <col min="4617" max="4617" width="12.85546875" customWidth="1"/>
    <col min="4618" max="4618" width="8" customWidth="1"/>
    <col min="4865" max="4865" width="45.28515625" customWidth="1"/>
    <col min="4866" max="4867" width="10.7109375" customWidth="1"/>
    <col min="4868" max="4868" width="3.28515625" customWidth="1"/>
    <col min="4869" max="4870" width="10.7109375" customWidth="1"/>
    <col min="4871" max="4871" width="3.140625" customWidth="1"/>
    <col min="4872" max="4872" width="10.7109375" customWidth="1"/>
    <col min="4873" max="4873" width="12.85546875" customWidth="1"/>
    <col min="4874" max="4874" width="8" customWidth="1"/>
    <col min="5121" max="5121" width="45.28515625" customWidth="1"/>
    <col min="5122" max="5123" width="10.7109375" customWidth="1"/>
    <col min="5124" max="5124" width="3.28515625" customWidth="1"/>
    <col min="5125" max="5126" width="10.7109375" customWidth="1"/>
    <col min="5127" max="5127" width="3.140625" customWidth="1"/>
    <col min="5128" max="5128" width="10.7109375" customWidth="1"/>
    <col min="5129" max="5129" width="12.85546875" customWidth="1"/>
    <col min="5130" max="5130" width="8" customWidth="1"/>
    <col min="5377" max="5377" width="45.28515625" customWidth="1"/>
    <col min="5378" max="5379" width="10.7109375" customWidth="1"/>
    <col min="5380" max="5380" width="3.28515625" customWidth="1"/>
    <col min="5381" max="5382" width="10.7109375" customWidth="1"/>
    <col min="5383" max="5383" width="3.140625" customWidth="1"/>
    <col min="5384" max="5384" width="10.7109375" customWidth="1"/>
    <col min="5385" max="5385" width="12.85546875" customWidth="1"/>
    <col min="5386" max="5386" width="8" customWidth="1"/>
    <col min="5633" max="5633" width="45.28515625" customWidth="1"/>
    <col min="5634" max="5635" width="10.7109375" customWidth="1"/>
    <col min="5636" max="5636" width="3.28515625" customWidth="1"/>
    <col min="5637" max="5638" width="10.7109375" customWidth="1"/>
    <col min="5639" max="5639" width="3.140625" customWidth="1"/>
    <col min="5640" max="5640" width="10.7109375" customWidth="1"/>
    <col min="5641" max="5641" width="12.85546875" customWidth="1"/>
    <col min="5642" max="5642" width="8" customWidth="1"/>
    <col min="5889" max="5889" width="45.28515625" customWidth="1"/>
    <col min="5890" max="5891" width="10.7109375" customWidth="1"/>
    <col min="5892" max="5892" width="3.28515625" customWidth="1"/>
    <col min="5893" max="5894" width="10.7109375" customWidth="1"/>
    <col min="5895" max="5895" width="3.140625" customWidth="1"/>
    <col min="5896" max="5896" width="10.7109375" customWidth="1"/>
    <col min="5897" max="5897" width="12.85546875" customWidth="1"/>
    <col min="5898" max="5898" width="8" customWidth="1"/>
    <col min="6145" max="6145" width="45.28515625" customWidth="1"/>
    <col min="6146" max="6147" width="10.7109375" customWidth="1"/>
    <col min="6148" max="6148" width="3.28515625" customWidth="1"/>
    <col min="6149" max="6150" width="10.7109375" customWidth="1"/>
    <col min="6151" max="6151" width="3.140625" customWidth="1"/>
    <col min="6152" max="6152" width="10.7109375" customWidth="1"/>
    <col min="6153" max="6153" width="12.85546875" customWidth="1"/>
    <col min="6154" max="6154" width="8" customWidth="1"/>
    <col min="6401" max="6401" width="45.28515625" customWidth="1"/>
    <col min="6402" max="6403" width="10.7109375" customWidth="1"/>
    <col min="6404" max="6404" width="3.28515625" customWidth="1"/>
    <col min="6405" max="6406" width="10.7109375" customWidth="1"/>
    <col min="6407" max="6407" width="3.140625" customWidth="1"/>
    <col min="6408" max="6408" width="10.7109375" customWidth="1"/>
    <col min="6409" max="6409" width="12.85546875" customWidth="1"/>
    <col min="6410" max="6410" width="8" customWidth="1"/>
    <col min="6657" max="6657" width="45.28515625" customWidth="1"/>
    <col min="6658" max="6659" width="10.7109375" customWidth="1"/>
    <col min="6660" max="6660" width="3.28515625" customWidth="1"/>
    <col min="6661" max="6662" width="10.7109375" customWidth="1"/>
    <col min="6663" max="6663" width="3.140625" customWidth="1"/>
    <col min="6664" max="6664" width="10.7109375" customWidth="1"/>
    <col min="6665" max="6665" width="12.85546875" customWidth="1"/>
    <col min="6666" max="6666" width="8" customWidth="1"/>
    <col min="6913" max="6913" width="45.28515625" customWidth="1"/>
    <col min="6914" max="6915" width="10.7109375" customWidth="1"/>
    <col min="6916" max="6916" width="3.28515625" customWidth="1"/>
    <col min="6917" max="6918" width="10.7109375" customWidth="1"/>
    <col min="6919" max="6919" width="3.140625" customWidth="1"/>
    <col min="6920" max="6920" width="10.7109375" customWidth="1"/>
    <col min="6921" max="6921" width="12.85546875" customWidth="1"/>
    <col min="6922" max="6922" width="8" customWidth="1"/>
    <col min="7169" max="7169" width="45.28515625" customWidth="1"/>
    <col min="7170" max="7171" width="10.7109375" customWidth="1"/>
    <col min="7172" max="7172" width="3.28515625" customWidth="1"/>
    <col min="7173" max="7174" width="10.7109375" customWidth="1"/>
    <col min="7175" max="7175" width="3.140625" customWidth="1"/>
    <col min="7176" max="7176" width="10.7109375" customWidth="1"/>
    <col min="7177" max="7177" width="12.85546875" customWidth="1"/>
    <col min="7178" max="7178" width="8" customWidth="1"/>
    <col min="7425" max="7425" width="45.28515625" customWidth="1"/>
    <col min="7426" max="7427" width="10.7109375" customWidth="1"/>
    <col min="7428" max="7428" width="3.28515625" customWidth="1"/>
    <col min="7429" max="7430" width="10.7109375" customWidth="1"/>
    <col min="7431" max="7431" width="3.140625" customWidth="1"/>
    <col min="7432" max="7432" width="10.7109375" customWidth="1"/>
    <col min="7433" max="7433" width="12.85546875" customWidth="1"/>
    <col min="7434" max="7434" width="8" customWidth="1"/>
    <col min="7681" max="7681" width="45.28515625" customWidth="1"/>
    <col min="7682" max="7683" width="10.7109375" customWidth="1"/>
    <col min="7684" max="7684" width="3.28515625" customWidth="1"/>
    <col min="7685" max="7686" width="10.7109375" customWidth="1"/>
    <col min="7687" max="7687" width="3.140625" customWidth="1"/>
    <col min="7688" max="7688" width="10.7109375" customWidth="1"/>
    <col min="7689" max="7689" width="12.85546875" customWidth="1"/>
    <col min="7690" max="7690" width="8" customWidth="1"/>
    <col min="7937" max="7937" width="45.28515625" customWidth="1"/>
    <col min="7938" max="7939" width="10.7109375" customWidth="1"/>
    <col min="7940" max="7940" width="3.28515625" customWidth="1"/>
    <col min="7941" max="7942" width="10.7109375" customWidth="1"/>
    <col min="7943" max="7943" width="3.140625" customWidth="1"/>
    <col min="7944" max="7944" width="10.7109375" customWidth="1"/>
    <col min="7945" max="7945" width="12.85546875" customWidth="1"/>
    <col min="7946" max="7946" width="8" customWidth="1"/>
    <col min="8193" max="8193" width="45.28515625" customWidth="1"/>
    <col min="8194" max="8195" width="10.7109375" customWidth="1"/>
    <col min="8196" max="8196" width="3.28515625" customWidth="1"/>
    <col min="8197" max="8198" width="10.7109375" customWidth="1"/>
    <col min="8199" max="8199" width="3.140625" customWidth="1"/>
    <col min="8200" max="8200" width="10.7109375" customWidth="1"/>
    <col min="8201" max="8201" width="12.85546875" customWidth="1"/>
    <col min="8202" max="8202" width="8" customWidth="1"/>
    <col min="8449" max="8449" width="45.28515625" customWidth="1"/>
    <col min="8450" max="8451" width="10.7109375" customWidth="1"/>
    <col min="8452" max="8452" width="3.28515625" customWidth="1"/>
    <col min="8453" max="8454" width="10.7109375" customWidth="1"/>
    <col min="8455" max="8455" width="3.140625" customWidth="1"/>
    <col min="8456" max="8456" width="10.7109375" customWidth="1"/>
    <col min="8457" max="8457" width="12.85546875" customWidth="1"/>
    <col min="8458" max="8458" width="8" customWidth="1"/>
    <col min="8705" max="8705" width="45.28515625" customWidth="1"/>
    <col min="8706" max="8707" width="10.7109375" customWidth="1"/>
    <col min="8708" max="8708" width="3.28515625" customWidth="1"/>
    <col min="8709" max="8710" width="10.7109375" customWidth="1"/>
    <col min="8711" max="8711" width="3.140625" customWidth="1"/>
    <col min="8712" max="8712" width="10.7109375" customWidth="1"/>
    <col min="8713" max="8713" width="12.85546875" customWidth="1"/>
    <col min="8714" max="8714" width="8" customWidth="1"/>
    <col min="8961" max="8961" width="45.28515625" customWidth="1"/>
    <col min="8962" max="8963" width="10.7109375" customWidth="1"/>
    <col min="8964" max="8964" width="3.28515625" customWidth="1"/>
    <col min="8965" max="8966" width="10.7109375" customWidth="1"/>
    <col min="8967" max="8967" width="3.140625" customWidth="1"/>
    <col min="8968" max="8968" width="10.7109375" customWidth="1"/>
    <col min="8969" max="8969" width="12.85546875" customWidth="1"/>
    <col min="8970" max="8970" width="8" customWidth="1"/>
    <col min="9217" max="9217" width="45.28515625" customWidth="1"/>
    <col min="9218" max="9219" width="10.7109375" customWidth="1"/>
    <col min="9220" max="9220" width="3.28515625" customWidth="1"/>
    <col min="9221" max="9222" width="10.7109375" customWidth="1"/>
    <col min="9223" max="9223" width="3.140625" customWidth="1"/>
    <col min="9224" max="9224" width="10.7109375" customWidth="1"/>
    <col min="9225" max="9225" width="12.85546875" customWidth="1"/>
    <col min="9226" max="9226" width="8" customWidth="1"/>
    <col min="9473" max="9473" width="45.28515625" customWidth="1"/>
    <col min="9474" max="9475" width="10.7109375" customWidth="1"/>
    <col min="9476" max="9476" width="3.28515625" customWidth="1"/>
    <col min="9477" max="9478" width="10.7109375" customWidth="1"/>
    <col min="9479" max="9479" width="3.140625" customWidth="1"/>
    <col min="9480" max="9480" width="10.7109375" customWidth="1"/>
    <col min="9481" max="9481" width="12.85546875" customWidth="1"/>
    <col min="9482" max="9482" width="8" customWidth="1"/>
    <col min="9729" max="9729" width="45.28515625" customWidth="1"/>
    <col min="9730" max="9731" width="10.7109375" customWidth="1"/>
    <col min="9732" max="9732" width="3.28515625" customWidth="1"/>
    <col min="9733" max="9734" width="10.7109375" customWidth="1"/>
    <col min="9735" max="9735" width="3.140625" customWidth="1"/>
    <col min="9736" max="9736" width="10.7109375" customWidth="1"/>
    <col min="9737" max="9737" width="12.85546875" customWidth="1"/>
    <col min="9738" max="9738" width="8" customWidth="1"/>
    <col min="9985" max="9985" width="45.28515625" customWidth="1"/>
    <col min="9986" max="9987" width="10.7109375" customWidth="1"/>
    <col min="9988" max="9988" width="3.28515625" customWidth="1"/>
    <col min="9989" max="9990" width="10.7109375" customWidth="1"/>
    <col min="9991" max="9991" width="3.140625" customWidth="1"/>
    <col min="9992" max="9992" width="10.7109375" customWidth="1"/>
    <col min="9993" max="9993" width="12.85546875" customWidth="1"/>
    <col min="9994" max="9994" width="8" customWidth="1"/>
    <col min="10241" max="10241" width="45.28515625" customWidth="1"/>
    <col min="10242" max="10243" width="10.7109375" customWidth="1"/>
    <col min="10244" max="10244" width="3.28515625" customWidth="1"/>
    <col min="10245" max="10246" width="10.7109375" customWidth="1"/>
    <col min="10247" max="10247" width="3.140625" customWidth="1"/>
    <col min="10248" max="10248" width="10.7109375" customWidth="1"/>
    <col min="10249" max="10249" width="12.85546875" customWidth="1"/>
    <col min="10250" max="10250" width="8" customWidth="1"/>
    <col min="10497" max="10497" width="45.28515625" customWidth="1"/>
    <col min="10498" max="10499" width="10.7109375" customWidth="1"/>
    <col min="10500" max="10500" width="3.28515625" customWidth="1"/>
    <col min="10501" max="10502" width="10.7109375" customWidth="1"/>
    <col min="10503" max="10503" width="3.140625" customWidth="1"/>
    <col min="10504" max="10504" width="10.7109375" customWidth="1"/>
    <col min="10505" max="10505" width="12.85546875" customWidth="1"/>
    <col min="10506" max="10506" width="8" customWidth="1"/>
    <col min="10753" max="10753" width="45.28515625" customWidth="1"/>
    <col min="10754" max="10755" width="10.7109375" customWidth="1"/>
    <col min="10756" max="10756" width="3.28515625" customWidth="1"/>
    <col min="10757" max="10758" width="10.7109375" customWidth="1"/>
    <col min="10759" max="10759" width="3.140625" customWidth="1"/>
    <col min="10760" max="10760" width="10.7109375" customWidth="1"/>
    <col min="10761" max="10761" width="12.85546875" customWidth="1"/>
    <col min="10762" max="10762" width="8" customWidth="1"/>
    <col min="11009" max="11009" width="45.28515625" customWidth="1"/>
    <col min="11010" max="11011" width="10.7109375" customWidth="1"/>
    <col min="11012" max="11012" width="3.28515625" customWidth="1"/>
    <col min="11013" max="11014" width="10.7109375" customWidth="1"/>
    <col min="11015" max="11015" width="3.140625" customWidth="1"/>
    <col min="11016" max="11016" width="10.7109375" customWidth="1"/>
    <col min="11017" max="11017" width="12.85546875" customWidth="1"/>
    <col min="11018" max="11018" width="8" customWidth="1"/>
    <col min="11265" max="11265" width="45.28515625" customWidth="1"/>
    <col min="11266" max="11267" width="10.7109375" customWidth="1"/>
    <col min="11268" max="11268" width="3.28515625" customWidth="1"/>
    <col min="11269" max="11270" width="10.7109375" customWidth="1"/>
    <col min="11271" max="11271" width="3.140625" customWidth="1"/>
    <col min="11272" max="11272" width="10.7109375" customWidth="1"/>
    <col min="11273" max="11273" width="12.85546875" customWidth="1"/>
    <col min="11274" max="11274" width="8" customWidth="1"/>
    <col min="11521" max="11521" width="45.28515625" customWidth="1"/>
    <col min="11522" max="11523" width="10.7109375" customWidth="1"/>
    <col min="11524" max="11524" width="3.28515625" customWidth="1"/>
    <col min="11525" max="11526" width="10.7109375" customWidth="1"/>
    <col min="11527" max="11527" width="3.140625" customWidth="1"/>
    <col min="11528" max="11528" width="10.7109375" customWidth="1"/>
    <col min="11529" max="11529" width="12.85546875" customWidth="1"/>
    <col min="11530" max="11530" width="8" customWidth="1"/>
    <col min="11777" max="11777" width="45.28515625" customWidth="1"/>
    <col min="11778" max="11779" width="10.7109375" customWidth="1"/>
    <col min="11780" max="11780" width="3.28515625" customWidth="1"/>
    <col min="11781" max="11782" width="10.7109375" customWidth="1"/>
    <col min="11783" max="11783" width="3.140625" customWidth="1"/>
    <col min="11784" max="11784" width="10.7109375" customWidth="1"/>
    <col min="11785" max="11785" width="12.85546875" customWidth="1"/>
    <col min="11786" max="11786" width="8" customWidth="1"/>
    <col min="12033" max="12033" width="45.28515625" customWidth="1"/>
    <col min="12034" max="12035" width="10.7109375" customWidth="1"/>
    <col min="12036" max="12036" width="3.28515625" customWidth="1"/>
    <col min="12037" max="12038" width="10.7109375" customWidth="1"/>
    <col min="12039" max="12039" width="3.140625" customWidth="1"/>
    <col min="12040" max="12040" width="10.7109375" customWidth="1"/>
    <col min="12041" max="12041" width="12.85546875" customWidth="1"/>
    <col min="12042" max="12042" width="8" customWidth="1"/>
    <col min="12289" max="12289" width="45.28515625" customWidth="1"/>
    <col min="12290" max="12291" width="10.7109375" customWidth="1"/>
    <col min="12292" max="12292" width="3.28515625" customWidth="1"/>
    <col min="12293" max="12294" width="10.7109375" customWidth="1"/>
    <col min="12295" max="12295" width="3.140625" customWidth="1"/>
    <col min="12296" max="12296" width="10.7109375" customWidth="1"/>
    <col min="12297" max="12297" width="12.85546875" customWidth="1"/>
    <col min="12298" max="12298" width="8" customWidth="1"/>
    <col min="12545" max="12545" width="45.28515625" customWidth="1"/>
    <col min="12546" max="12547" width="10.7109375" customWidth="1"/>
    <col min="12548" max="12548" width="3.28515625" customWidth="1"/>
    <col min="12549" max="12550" width="10.7109375" customWidth="1"/>
    <col min="12551" max="12551" width="3.140625" customWidth="1"/>
    <col min="12552" max="12552" width="10.7109375" customWidth="1"/>
    <col min="12553" max="12553" width="12.85546875" customWidth="1"/>
    <col min="12554" max="12554" width="8" customWidth="1"/>
    <col min="12801" max="12801" width="45.28515625" customWidth="1"/>
    <col min="12802" max="12803" width="10.7109375" customWidth="1"/>
    <col min="12804" max="12804" width="3.28515625" customWidth="1"/>
    <col min="12805" max="12806" width="10.7109375" customWidth="1"/>
    <col min="12807" max="12807" width="3.140625" customWidth="1"/>
    <col min="12808" max="12808" width="10.7109375" customWidth="1"/>
    <col min="12809" max="12809" width="12.85546875" customWidth="1"/>
    <col min="12810" max="12810" width="8" customWidth="1"/>
    <col min="13057" max="13057" width="45.28515625" customWidth="1"/>
    <col min="13058" max="13059" width="10.7109375" customWidth="1"/>
    <col min="13060" max="13060" width="3.28515625" customWidth="1"/>
    <col min="13061" max="13062" width="10.7109375" customWidth="1"/>
    <col min="13063" max="13063" width="3.140625" customWidth="1"/>
    <col min="13064" max="13064" width="10.7109375" customWidth="1"/>
    <col min="13065" max="13065" width="12.85546875" customWidth="1"/>
    <col min="13066" max="13066" width="8" customWidth="1"/>
    <col min="13313" max="13313" width="45.28515625" customWidth="1"/>
    <col min="13314" max="13315" width="10.7109375" customWidth="1"/>
    <col min="13316" max="13316" width="3.28515625" customWidth="1"/>
    <col min="13317" max="13318" width="10.7109375" customWidth="1"/>
    <col min="13319" max="13319" width="3.140625" customWidth="1"/>
    <col min="13320" max="13320" width="10.7109375" customWidth="1"/>
    <col min="13321" max="13321" width="12.85546875" customWidth="1"/>
    <col min="13322" max="13322" width="8" customWidth="1"/>
    <col min="13569" max="13569" width="45.28515625" customWidth="1"/>
    <col min="13570" max="13571" width="10.7109375" customWidth="1"/>
    <col min="13572" max="13572" width="3.28515625" customWidth="1"/>
    <col min="13573" max="13574" width="10.7109375" customWidth="1"/>
    <col min="13575" max="13575" width="3.140625" customWidth="1"/>
    <col min="13576" max="13576" width="10.7109375" customWidth="1"/>
    <col min="13577" max="13577" width="12.85546875" customWidth="1"/>
    <col min="13578" max="13578" width="8" customWidth="1"/>
    <col min="13825" max="13825" width="45.28515625" customWidth="1"/>
    <col min="13826" max="13827" width="10.7109375" customWidth="1"/>
    <col min="13828" max="13828" width="3.28515625" customWidth="1"/>
    <col min="13829" max="13830" width="10.7109375" customWidth="1"/>
    <col min="13831" max="13831" width="3.140625" customWidth="1"/>
    <col min="13832" max="13832" width="10.7109375" customWidth="1"/>
    <col min="13833" max="13833" width="12.85546875" customWidth="1"/>
    <col min="13834" max="13834" width="8" customWidth="1"/>
    <col min="14081" max="14081" width="45.28515625" customWidth="1"/>
    <col min="14082" max="14083" width="10.7109375" customWidth="1"/>
    <col min="14084" max="14084" width="3.28515625" customWidth="1"/>
    <col min="14085" max="14086" width="10.7109375" customWidth="1"/>
    <col min="14087" max="14087" width="3.140625" customWidth="1"/>
    <col min="14088" max="14088" width="10.7109375" customWidth="1"/>
    <col min="14089" max="14089" width="12.85546875" customWidth="1"/>
    <col min="14090" max="14090" width="8" customWidth="1"/>
    <col min="14337" max="14337" width="45.28515625" customWidth="1"/>
    <col min="14338" max="14339" width="10.7109375" customWidth="1"/>
    <col min="14340" max="14340" width="3.28515625" customWidth="1"/>
    <col min="14341" max="14342" width="10.7109375" customWidth="1"/>
    <col min="14343" max="14343" width="3.140625" customWidth="1"/>
    <col min="14344" max="14344" width="10.7109375" customWidth="1"/>
    <col min="14345" max="14345" width="12.85546875" customWidth="1"/>
    <col min="14346" max="14346" width="8" customWidth="1"/>
    <col min="14593" max="14593" width="45.28515625" customWidth="1"/>
    <col min="14594" max="14595" width="10.7109375" customWidth="1"/>
    <col min="14596" max="14596" width="3.28515625" customWidth="1"/>
    <col min="14597" max="14598" width="10.7109375" customWidth="1"/>
    <col min="14599" max="14599" width="3.140625" customWidth="1"/>
    <col min="14600" max="14600" width="10.7109375" customWidth="1"/>
    <col min="14601" max="14601" width="12.85546875" customWidth="1"/>
    <col min="14602" max="14602" width="8" customWidth="1"/>
    <col min="14849" max="14849" width="45.28515625" customWidth="1"/>
    <col min="14850" max="14851" width="10.7109375" customWidth="1"/>
    <col min="14852" max="14852" width="3.28515625" customWidth="1"/>
    <col min="14853" max="14854" width="10.7109375" customWidth="1"/>
    <col min="14855" max="14855" width="3.140625" customWidth="1"/>
    <col min="14856" max="14856" width="10.7109375" customWidth="1"/>
    <col min="14857" max="14857" width="12.85546875" customWidth="1"/>
    <col min="14858" max="14858" width="8" customWidth="1"/>
    <col min="15105" max="15105" width="45.28515625" customWidth="1"/>
    <col min="15106" max="15107" width="10.7109375" customWidth="1"/>
    <col min="15108" max="15108" width="3.28515625" customWidth="1"/>
    <col min="15109" max="15110" width="10.7109375" customWidth="1"/>
    <col min="15111" max="15111" width="3.140625" customWidth="1"/>
    <col min="15112" max="15112" width="10.7109375" customWidth="1"/>
    <col min="15113" max="15113" width="12.85546875" customWidth="1"/>
    <col min="15114" max="15114" width="8" customWidth="1"/>
    <col min="15361" max="15361" width="45.28515625" customWidth="1"/>
    <col min="15362" max="15363" width="10.7109375" customWidth="1"/>
    <col min="15364" max="15364" width="3.28515625" customWidth="1"/>
    <col min="15365" max="15366" width="10.7109375" customWidth="1"/>
    <col min="15367" max="15367" width="3.140625" customWidth="1"/>
    <col min="15368" max="15368" width="10.7109375" customWidth="1"/>
    <col min="15369" max="15369" width="12.85546875" customWidth="1"/>
    <col min="15370" max="15370" width="8" customWidth="1"/>
    <col min="15617" max="15617" width="45.28515625" customWidth="1"/>
    <col min="15618" max="15619" width="10.7109375" customWidth="1"/>
    <col min="15620" max="15620" width="3.28515625" customWidth="1"/>
    <col min="15621" max="15622" width="10.7109375" customWidth="1"/>
    <col min="15623" max="15623" width="3.140625" customWidth="1"/>
    <col min="15624" max="15624" width="10.7109375" customWidth="1"/>
    <col min="15625" max="15625" width="12.85546875" customWidth="1"/>
    <col min="15626" max="15626" width="8" customWidth="1"/>
    <col min="15873" max="15873" width="45.28515625" customWidth="1"/>
    <col min="15874" max="15875" width="10.7109375" customWidth="1"/>
    <col min="15876" max="15876" width="3.28515625" customWidth="1"/>
    <col min="15877" max="15878" width="10.7109375" customWidth="1"/>
    <col min="15879" max="15879" width="3.140625" customWidth="1"/>
    <col min="15880" max="15880" width="10.7109375" customWidth="1"/>
    <col min="15881" max="15881" width="12.85546875" customWidth="1"/>
    <col min="15882" max="15882" width="8" customWidth="1"/>
    <col min="16129" max="16129" width="45.28515625" customWidth="1"/>
    <col min="16130" max="16131" width="10.7109375" customWidth="1"/>
    <col min="16132" max="16132" width="3.28515625" customWidth="1"/>
    <col min="16133" max="16134" width="10.7109375" customWidth="1"/>
    <col min="16135" max="16135" width="3.140625" customWidth="1"/>
    <col min="16136" max="16136" width="10.7109375" customWidth="1"/>
    <col min="16137" max="16137" width="12.85546875" customWidth="1"/>
    <col min="16138" max="16138" width="8" customWidth="1"/>
  </cols>
  <sheetData>
    <row r="1" spans="1:11" ht="12" customHeight="1">
      <c r="A1" s="337" t="s">
        <v>311</v>
      </c>
    </row>
    <row r="2" spans="1:11" ht="12" customHeight="1">
      <c r="A2" s="339" t="s">
        <v>312</v>
      </c>
    </row>
    <row r="3" spans="1:11" ht="8.1" customHeight="1">
      <c r="E3" s="354"/>
      <c r="F3" s="354"/>
      <c r="G3" s="354"/>
    </row>
    <row r="4" spans="1:11" ht="15.75">
      <c r="A4" s="339" t="s">
        <v>2200</v>
      </c>
    </row>
    <row r="5" spans="1:11" ht="8.25" customHeight="1" thickBot="1">
      <c r="A5" s="339" t="s">
        <v>253</v>
      </c>
      <c r="I5" s="352"/>
    </row>
    <row r="6" spans="1:11" ht="8.1" customHeight="1">
      <c r="A6" s="340"/>
      <c r="B6" s="355"/>
      <c r="C6" s="355"/>
      <c r="D6" s="355"/>
      <c r="E6" s="356"/>
      <c r="F6" s="356"/>
      <c r="G6" s="356"/>
      <c r="H6" s="356"/>
      <c r="I6" s="356"/>
    </row>
    <row r="7" spans="1:11" ht="15" customHeight="1">
      <c r="A7" s="341" t="s">
        <v>1010</v>
      </c>
      <c r="B7" s="357" t="s">
        <v>1011</v>
      </c>
      <c r="C7" s="358"/>
      <c r="D7" s="343"/>
      <c r="E7" s="1292" t="s">
        <v>1012</v>
      </c>
      <c r="F7" s="1292"/>
      <c r="G7" s="342"/>
      <c r="H7" s="1292" t="s">
        <v>1013</v>
      </c>
      <c r="I7" s="1292"/>
    </row>
    <row r="8" spans="1:11" ht="15" customHeight="1">
      <c r="A8" s="341"/>
      <c r="B8" s="343" t="s">
        <v>9</v>
      </c>
      <c r="C8" s="343" t="s">
        <v>10</v>
      </c>
      <c r="D8" s="343"/>
      <c r="E8" s="342" t="s">
        <v>9</v>
      </c>
      <c r="F8" s="359" t="s">
        <v>10</v>
      </c>
      <c r="G8" s="342"/>
      <c r="H8" s="342" t="s">
        <v>9</v>
      </c>
      <c r="I8" s="353" t="s">
        <v>10</v>
      </c>
    </row>
    <row r="9" spans="1:11" ht="8.1" customHeight="1" thickBot="1">
      <c r="A9" s="345"/>
      <c r="B9" s="360"/>
      <c r="C9" s="360"/>
      <c r="D9" s="360"/>
      <c r="E9" s="361"/>
      <c r="F9" s="361"/>
      <c r="G9" s="361"/>
      <c r="H9" s="361"/>
      <c r="I9" s="352"/>
    </row>
    <row r="10" spans="1:11" ht="8.1" customHeight="1">
      <c r="A10" s="341"/>
      <c r="B10" s="343"/>
      <c r="C10" s="343"/>
      <c r="D10" s="343"/>
      <c r="E10" s="342"/>
      <c r="F10" s="342"/>
      <c r="G10" s="342"/>
      <c r="H10" s="342"/>
      <c r="I10" s="356"/>
    </row>
    <row r="11" spans="1:11" ht="15" customHeight="1">
      <c r="A11" s="348" t="s">
        <v>325</v>
      </c>
      <c r="B11" s="351">
        <f>IF(A11&lt;&gt;0,E11+H11,"")</f>
        <v>6029</v>
      </c>
      <c r="C11" s="362">
        <f>C13+C96</f>
        <v>100</v>
      </c>
      <c r="E11" s="352">
        <f>E13+E96</f>
        <v>3187</v>
      </c>
      <c r="F11" s="362">
        <f>IF(A11&lt;&gt;0,E11/$B11*100,"")</f>
        <v>52.861171006800468</v>
      </c>
      <c r="H11" s="352">
        <f>H13+H96</f>
        <v>2842</v>
      </c>
      <c r="I11" s="362">
        <f>IF(A11&lt;&gt;0,H11/$B11*100,"")</f>
        <v>47.138828993199532</v>
      </c>
      <c r="J11" s="363"/>
      <c r="K11" s="352"/>
    </row>
    <row r="12" spans="1:11" ht="8.1" customHeight="1">
      <c r="C12" s="362"/>
      <c r="F12" s="362"/>
      <c r="I12" s="362"/>
    </row>
    <row r="13" spans="1:11" ht="15" customHeight="1">
      <c r="A13" s="348" t="s">
        <v>326</v>
      </c>
      <c r="B13" s="351">
        <f>IF(A13&lt;&gt;0,E13+H13,"")</f>
        <v>4686</v>
      </c>
      <c r="C13" s="362">
        <f>IF($A13&lt;&gt;"",B13/$B$11*100,"")</f>
        <v>77.724332393431752</v>
      </c>
      <c r="E13" s="352">
        <f>E15+E26+E34+E74+E60+E81+E93+E94</f>
        <v>2686</v>
      </c>
      <c r="F13" s="362">
        <f t="shared" ref="F13:F76" si="0">IF(A13&lt;&gt;0,E13/$B13*100,"")</f>
        <v>57.319675629534785</v>
      </c>
      <c r="H13" s="352">
        <f>H15+H26+H34+H74+H60+H81+H93+H94</f>
        <v>2000</v>
      </c>
      <c r="I13" s="362">
        <f t="shared" ref="I13:I77" si="1">IF(A13&lt;&gt;0,H13/$B13*100,"")</f>
        <v>42.680324370465215</v>
      </c>
      <c r="J13" s="363"/>
    </row>
    <row r="14" spans="1:11" ht="8.1" customHeight="1">
      <c r="C14" s="362"/>
      <c r="F14" s="362"/>
      <c r="I14" s="362"/>
    </row>
    <row r="15" spans="1:11" ht="15" customHeight="1">
      <c r="A15" s="348" t="s">
        <v>19</v>
      </c>
      <c r="B15" s="351">
        <f>IF(A15&lt;&gt;0,E15+H15,"")</f>
        <v>296</v>
      </c>
      <c r="C15" s="362">
        <f>IF($A15&lt;&gt;"",B15/$B$11*100,"")</f>
        <v>4.9096035826836957</v>
      </c>
      <c r="E15" s="352">
        <f>E16+E21</f>
        <v>186</v>
      </c>
      <c r="F15" s="362">
        <f t="shared" si="0"/>
        <v>62.837837837837839</v>
      </c>
      <c r="H15" s="352">
        <f>H16+H21</f>
        <v>110</v>
      </c>
      <c r="I15" s="362">
        <f t="shared" si="1"/>
        <v>37.162162162162161</v>
      </c>
    </row>
    <row r="16" spans="1:11" ht="15" customHeight="1">
      <c r="A16" s="339" t="s">
        <v>20</v>
      </c>
      <c r="B16" s="351">
        <f>IF(A16&lt;&gt;0,E16+H16,"")</f>
        <v>131</v>
      </c>
      <c r="C16" s="362">
        <f t="shared" ref="C16:C79" si="2">IF($A16&lt;&gt;"",B16/$B$11*100,"")</f>
        <v>2.1728313153093382</v>
      </c>
      <c r="E16" s="352">
        <f>SUM(E17:E19)</f>
        <v>71</v>
      </c>
      <c r="F16" s="362">
        <f t="shared" si="0"/>
        <v>54.198473282442748</v>
      </c>
      <c r="H16" s="352">
        <f>SUM(H17:H19)</f>
        <v>60</v>
      </c>
      <c r="I16" s="362">
        <f t="shared" si="1"/>
        <v>45.801526717557252</v>
      </c>
    </row>
    <row r="17" spans="1:11" ht="15" customHeight="1">
      <c r="A17" s="339" t="s">
        <v>21</v>
      </c>
      <c r="B17" s="351">
        <f>IF(A17&lt;&gt;0,E17+H17,"")</f>
        <v>14</v>
      </c>
      <c r="C17" s="362">
        <f t="shared" si="2"/>
        <v>0.23221098026206666</v>
      </c>
      <c r="E17" s="364">
        <v>11</v>
      </c>
      <c r="F17" s="362">
        <f t="shared" si="0"/>
        <v>78.571428571428569</v>
      </c>
      <c r="G17" s="364"/>
      <c r="H17" s="364">
        <v>3</v>
      </c>
      <c r="I17" s="362">
        <f>IF(A17&lt;&gt;0,H17/$B17*100,"")</f>
        <v>21.428571428571427</v>
      </c>
      <c r="K17" s="364"/>
    </row>
    <row r="18" spans="1:11" ht="15" customHeight="1">
      <c r="A18" s="339" t="s">
        <v>22</v>
      </c>
      <c r="B18" s="351">
        <f>IF(A18&lt;&gt;0,E18+H18,"")</f>
        <v>25</v>
      </c>
      <c r="C18" s="362">
        <f t="shared" si="2"/>
        <v>0.41466246475369051</v>
      </c>
      <c r="E18" s="364">
        <v>5</v>
      </c>
      <c r="F18" s="362">
        <f t="shared" si="0"/>
        <v>20</v>
      </c>
      <c r="G18" s="364"/>
      <c r="H18" s="364">
        <v>20</v>
      </c>
      <c r="I18" s="362">
        <f>IF(A18&lt;&gt;0,H18/$B18*100,"")</f>
        <v>80</v>
      </c>
      <c r="K18" s="364"/>
    </row>
    <row r="19" spans="1:11" ht="15" customHeight="1">
      <c r="A19" s="339" t="s">
        <v>23</v>
      </c>
      <c r="B19" s="351">
        <f>IF(A19&lt;&gt;0,E19+H19,"")</f>
        <v>92</v>
      </c>
      <c r="C19" s="362">
        <f t="shared" si="2"/>
        <v>1.525957870293581</v>
      </c>
      <c r="E19" s="364">
        <v>55</v>
      </c>
      <c r="F19" s="362">
        <f t="shared" si="0"/>
        <v>59.782608695652172</v>
      </c>
      <c r="G19" s="364"/>
      <c r="H19" s="364">
        <v>37</v>
      </c>
      <c r="I19" s="362">
        <f>IF(A19&lt;&gt;0,H19/$B19*100,"")</f>
        <v>40.217391304347828</v>
      </c>
      <c r="K19" s="364"/>
    </row>
    <row r="20" spans="1:11" ht="8.1" customHeight="1">
      <c r="C20" s="362"/>
      <c r="F20" s="362" t="str">
        <f t="shared" si="0"/>
        <v/>
      </c>
      <c r="I20" s="362"/>
    </row>
    <row r="21" spans="1:11" ht="15" customHeight="1">
      <c r="A21" s="339" t="s">
        <v>24</v>
      </c>
      <c r="B21" s="351">
        <f>IF(A21&lt;&gt;0,E21+H21,"")</f>
        <v>165</v>
      </c>
      <c r="C21" s="362">
        <f t="shared" si="2"/>
        <v>2.7367722673743571</v>
      </c>
      <c r="E21" s="352">
        <f>SUM(E22:E24)</f>
        <v>115</v>
      </c>
      <c r="F21" s="362">
        <f t="shared" si="0"/>
        <v>69.696969696969703</v>
      </c>
      <c r="H21" s="352">
        <f>SUM(H22:H24)</f>
        <v>50</v>
      </c>
      <c r="I21" s="362">
        <f t="shared" si="1"/>
        <v>30.303030303030305</v>
      </c>
    </row>
    <row r="22" spans="1:11" ht="15" customHeight="1">
      <c r="A22" s="339" t="s">
        <v>25</v>
      </c>
      <c r="B22" s="351">
        <f>IF(A22&lt;&gt;0,E22+H22,"")</f>
        <v>43</v>
      </c>
      <c r="C22" s="362">
        <f t="shared" si="2"/>
        <v>0.71321943937634769</v>
      </c>
      <c r="E22" s="364">
        <v>31</v>
      </c>
      <c r="F22" s="362">
        <f t="shared" si="0"/>
        <v>72.093023255813947</v>
      </c>
      <c r="G22" s="364"/>
      <c r="H22" s="364">
        <v>12</v>
      </c>
      <c r="I22" s="362">
        <f t="shared" si="1"/>
        <v>27.906976744186046</v>
      </c>
      <c r="K22" s="364"/>
    </row>
    <row r="23" spans="1:11" ht="15" customHeight="1">
      <c r="A23" s="339" t="s">
        <v>26</v>
      </c>
      <c r="B23" s="351">
        <f>IF(A23&lt;&gt;0,E23+H23,"")</f>
        <v>24</v>
      </c>
      <c r="C23" s="362">
        <f t="shared" si="2"/>
        <v>0.3980759661635429</v>
      </c>
      <c r="E23" s="364">
        <v>9</v>
      </c>
      <c r="F23" s="362">
        <f t="shared" si="0"/>
        <v>37.5</v>
      </c>
      <c r="G23" s="364"/>
      <c r="H23" s="364">
        <v>15</v>
      </c>
      <c r="I23" s="362">
        <f t="shared" si="1"/>
        <v>62.5</v>
      </c>
      <c r="K23" s="364"/>
    </row>
    <row r="24" spans="1:11" ht="15" customHeight="1">
      <c r="A24" s="339" t="s">
        <v>27</v>
      </c>
      <c r="B24" s="351">
        <f>IF(A24&lt;&gt;0,E24+H24,"")</f>
        <v>98</v>
      </c>
      <c r="C24" s="362">
        <f t="shared" si="2"/>
        <v>1.6254768618344666</v>
      </c>
      <c r="E24" s="364">
        <v>75</v>
      </c>
      <c r="F24" s="362">
        <f t="shared" si="0"/>
        <v>76.530612244897952</v>
      </c>
      <c r="G24" s="364"/>
      <c r="H24" s="364">
        <v>23</v>
      </c>
      <c r="I24" s="362">
        <f t="shared" si="1"/>
        <v>23.469387755102041</v>
      </c>
      <c r="K24" s="364"/>
    </row>
    <row r="25" spans="1:11" ht="8.1" customHeight="1">
      <c r="C25" s="362"/>
      <c r="F25" s="362" t="str">
        <f t="shared" si="0"/>
        <v/>
      </c>
      <c r="I25" s="362"/>
    </row>
    <row r="26" spans="1:11" ht="15" customHeight="1">
      <c r="A26" s="348" t="s">
        <v>28</v>
      </c>
      <c r="B26" s="351">
        <f t="shared" ref="B26:B32" si="3">IF(A26&lt;&gt;0,E26+H26,"")</f>
        <v>152</v>
      </c>
      <c r="C26" s="362">
        <f t="shared" si="2"/>
        <v>2.5211477857024382</v>
      </c>
      <c r="E26" s="352">
        <f>SUM(E27)</f>
        <v>55</v>
      </c>
      <c r="F26" s="362">
        <f t="shared" si="0"/>
        <v>36.184210526315788</v>
      </c>
      <c r="H26" s="352">
        <f>SUM(H27)</f>
        <v>97</v>
      </c>
      <c r="I26" s="362">
        <f t="shared" si="1"/>
        <v>63.815789473684212</v>
      </c>
    </row>
    <row r="27" spans="1:11" ht="15" customHeight="1">
      <c r="A27" s="339" t="s">
        <v>29</v>
      </c>
      <c r="B27" s="351">
        <f t="shared" si="3"/>
        <v>152</v>
      </c>
      <c r="C27" s="362">
        <f t="shared" si="2"/>
        <v>2.5211477857024382</v>
      </c>
      <c r="E27" s="352">
        <f>SUM(E28:E32)</f>
        <v>55</v>
      </c>
      <c r="F27" s="362">
        <f t="shared" si="0"/>
        <v>36.184210526315788</v>
      </c>
      <c r="H27" s="352">
        <f>SUM(H28:H32)</f>
        <v>97</v>
      </c>
      <c r="I27" s="362">
        <f t="shared" si="1"/>
        <v>63.815789473684212</v>
      </c>
    </row>
    <row r="28" spans="1:11" ht="13.5" customHeight="1">
      <c r="A28" s="339" t="s">
        <v>30</v>
      </c>
      <c r="B28" s="351">
        <f t="shared" si="3"/>
        <v>29</v>
      </c>
      <c r="C28" s="362">
        <f t="shared" si="2"/>
        <v>0.48100845911428103</v>
      </c>
      <c r="E28" s="364">
        <v>18</v>
      </c>
      <c r="F28" s="362">
        <f t="shared" si="0"/>
        <v>62.068965517241381</v>
      </c>
      <c r="G28" s="364"/>
      <c r="H28" s="364">
        <v>11</v>
      </c>
      <c r="I28" s="362">
        <f t="shared" si="1"/>
        <v>37.931034482758619</v>
      </c>
      <c r="K28" s="364"/>
    </row>
    <row r="29" spans="1:11" ht="13.5" customHeight="1">
      <c r="A29" s="339" t="s">
        <v>31</v>
      </c>
      <c r="B29" s="351">
        <f t="shared" si="3"/>
        <v>27</v>
      </c>
      <c r="C29" s="362">
        <f t="shared" si="2"/>
        <v>0.44783546193398577</v>
      </c>
      <c r="E29" s="364">
        <v>5</v>
      </c>
      <c r="F29" s="362">
        <f t="shared" si="0"/>
        <v>18.518518518518519</v>
      </c>
      <c r="G29" s="364"/>
      <c r="H29" s="364">
        <v>22</v>
      </c>
      <c r="I29" s="362">
        <f t="shared" si="1"/>
        <v>81.481481481481481</v>
      </c>
      <c r="K29" s="364"/>
    </row>
    <row r="30" spans="1:11" ht="13.5" customHeight="1">
      <c r="A30" s="339" t="s">
        <v>32</v>
      </c>
      <c r="B30" s="351">
        <f t="shared" si="3"/>
        <v>37</v>
      </c>
      <c r="C30" s="362">
        <f t="shared" si="2"/>
        <v>0.61370044783546196</v>
      </c>
      <c r="E30" s="364">
        <v>15</v>
      </c>
      <c r="F30" s="362">
        <f t="shared" si="0"/>
        <v>40.54054054054054</v>
      </c>
      <c r="G30" s="364"/>
      <c r="H30" s="364">
        <v>22</v>
      </c>
      <c r="I30" s="362">
        <f t="shared" si="1"/>
        <v>59.45945945945946</v>
      </c>
      <c r="K30" s="364"/>
    </row>
    <row r="31" spans="1:11" ht="13.5" customHeight="1">
      <c r="A31" s="339" t="s">
        <v>33</v>
      </c>
      <c r="B31" s="351">
        <f t="shared" si="3"/>
        <v>22</v>
      </c>
      <c r="C31" s="362">
        <f t="shared" si="2"/>
        <v>0.36490296898324764</v>
      </c>
      <c r="E31" s="364">
        <v>4</v>
      </c>
      <c r="F31" s="362">
        <f t="shared" si="0"/>
        <v>18.181818181818183</v>
      </c>
      <c r="G31" s="364"/>
      <c r="H31" s="364">
        <v>18</v>
      </c>
      <c r="I31" s="362">
        <f t="shared" si="1"/>
        <v>81.818181818181827</v>
      </c>
      <c r="K31" s="364"/>
    </row>
    <row r="32" spans="1:11" ht="13.5" customHeight="1">
      <c r="A32" s="339" t="s">
        <v>34</v>
      </c>
      <c r="B32" s="351">
        <f t="shared" si="3"/>
        <v>37</v>
      </c>
      <c r="C32" s="362">
        <f t="shared" si="2"/>
        <v>0.61370044783546196</v>
      </c>
      <c r="E32" s="364">
        <v>13</v>
      </c>
      <c r="F32" s="362">
        <f t="shared" si="0"/>
        <v>35.135135135135137</v>
      </c>
      <c r="G32" s="364"/>
      <c r="H32" s="364">
        <v>24</v>
      </c>
      <c r="I32" s="362">
        <f t="shared" si="1"/>
        <v>64.86486486486487</v>
      </c>
      <c r="K32" s="364"/>
    </row>
    <row r="33" spans="1:10" ht="8.1" customHeight="1">
      <c r="C33" s="362"/>
      <c r="F33" s="362" t="str">
        <f t="shared" si="0"/>
        <v/>
      </c>
      <c r="I33" s="362"/>
    </row>
    <row r="34" spans="1:10" ht="15" customHeight="1">
      <c r="A34" s="348" t="s">
        <v>35</v>
      </c>
      <c r="B34" s="351">
        <f t="shared" ref="B34:B39" si="4">IF(A34&lt;&gt;0,E34+H34,"")</f>
        <v>2680</v>
      </c>
      <c r="C34" s="362">
        <f t="shared" si="2"/>
        <v>44.451816221595621</v>
      </c>
      <c r="E34" s="352">
        <f>E35+E41+E51+E53</f>
        <v>1687</v>
      </c>
      <c r="F34" s="362">
        <f t="shared" si="0"/>
        <v>62.947761194029852</v>
      </c>
      <c r="H34" s="352">
        <f>H35+H41+H51+H53</f>
        <v>993</v>
      </c>
      <c r="I34" s="362">
        <f t="shared" si="1"/>
        <v>37.052238805970148</v>
      </c>
      <c r="J34"/>
    </row>
    <row r="35" spans="1:10" ht="15" customHeight="1">
      <c r="A35" s="339" t="s">
        <v>36</v>
      </c>
      <c r="B35" s="351">
        <f t="shared" si="4"/>
        <v>1074</v>
      </c>
      <c r="C35" s="362">
        <f t="shared" si="2"/>
        <v>17.813899485818542</v>
      </c>
      <c r="E35" s="352">
        <f>SUM(E36:E39)</f>
        <v>641</v>
      </c>
      <c r="F35" s="362">
        <f t="shared" si="0"/>
        <v>59.683426443202983</v>
      </c>
      <c r="H35" s="352">
        <f>SUM(H36:H39)</f>
        <v>433</v>
      </c>
      <c r="I35" s="362">
        <f t="shared" si="1"/>
        <v>40.316573556797017</v>
      </c>
    </row>
    <row r="36" spans="1:10" ht="14.25" customHeight="1">
      <c r="A36" s="339" t="s">
        <v>37</v>
      </c>
      <c r="B36" s="351">
        <f t="shared" si="4"/>
        <v>651</v>
      </c>
      <c r="C36" s="362">
        <f t="shared" si="2"/>
        <v>10.7978105821861</v>
      </c>
      <c r="E36" s="364">
        <v>360</v>
      </c>
      <c r="F36" s="362">
        <f t="shared" si="0"/>
        <v>55.299539170506918</v>
      </c>
      <c r="G36" s="364"/>
      <c r="H36" s="364">
        <v>291</v>
      </c>
      <c r="I36" s="362">
        <f t="shared" si="1"/>
        <v>44.700460829493089</v>
      </c>
      <c r="J36" s="364"/>
    </row>
    <row r="37" spans="1:10" ht="14.25" customHeight="1">
      <c r="A37" s="339" t="s">
        <v>38</v>
      </c>
      <c r="B37" s="351">
        <f t="shared" si="4"/>
        <v>355</v>
      </c>
      <c r="C37" s="362">
        <f t="shared" si="2"/>
        <v>5.8882069995024056</v>
      </c>
      <c r="E37" s="364">
        <v>243</v>
      </c>
      <c r="F37" s="362">
        <f t="shared" si="0"/>
        <v>68.450704225352112</v>
      </c>
      <c r="G37" s="364"/>
      <c r="H37" s="364">
        <v>112</v>
      </c>
      <c r="I37" s="362">
        <f t="shared" si="1"/>
        <v>31.549295774647888</v>
      </c>
      <c r="J37" s="364"/>
    </row>
    <row r="38" spans="1:10" ht="14.25" customHeight="1">
      <c r="A38" s="339" t="s">
        <v>39</v>
      </c>
      <c r="B38" s="351">
        <f t="shared" si="4"/>
        <v>49</v>
      </c>
      <c r="C38" s="362">
        <f t="shared" si="2"/>
        <v>0.8127384309172333</v>
      </c>
      <c r="E38" s="364">
        <v>25</v>
      </c>
      <c r="F38" s="362">
        <f t="shared" si="0"/>
        <v>51.020408163265309</v>
      </c>
      <c r="G38" s="364"/>
      <c r="H38" s="364">
        <v>24</v>
      </c>
      <c r="I38" s="362">
        <f t="shared" si="1"/>
        <v>48.979591836734691</v>
      </c>
      <c r="J38" s="364"/>
    </row>
    <row r="39" spans="1:10" ht="14.25" customHeight="1">
      <c r="A39" s="339" t="s">
        <v>40</v>
      </c>
      <c r="B39" s="351">
        <f t="shared" si="4"/>
        <v>19</v>
      </c>
      <c r="C39" s="362">
        <f t="shared" si="2"/>
        <v>0.31514347321280478</v>
      </c>
      <c r="E39" s="364">
        <v>13</v>
      </c>
      <c r="F39" s="362">
        <f t="shared" si="0"/>
        <v>68.421052631578945</v>
      </c>
      <c r="G39" s="364"/>
      <c r="H39" s="364">
        <v>6</v>
      </c>
      <c r="I39" s="362">
        <f t="shared" si="1"/>
        <v>31.578947368421051</v>
      </c>
      <c r="J39" s="364"/>
    </row>
    <row r="40" spans="1:10" ht="8.1" customHeight="1">
      <c r="C40" s="362"/>
      <c r="F40" s="362" t="str">
        <f t="shared" si="0"/>
        <v/>
      </c>
      <c r="I40" s="362"/>
      <c r="J40"/>
    </row>
    <row r="41" spans="1:10" ht="15" customHeight="1">
      <c r="A41" s="339" t="s">
        <v>41</v>
      </c>
      <c r="B41" s="351">
        <f t="shared" ref="B41:B49" si="5">IF(A41&lt;&gt;0,E41+H41,"")</f>
        <v>609</v>
      </c>
      <c r="C41" s="362">
        <f t="shared" si="2"/>
        <v>10.1011776413999</v>
      </c>
      <c r="E41" s="352">
        <f>SUM(E42:E49)</f>
        <v>402</v>
      </c>
      <c r="F41" s="362">
        <f t="shared" si="0"/>
        <v>66.009852216748769</v>
      </c>
      <c r="H41" s="352">
        <f>SUM(H42:H49)</f>
        <v>207</v>
      </c>
      <c r="I41" s="362">
        <f t="shared" si="1"/>
        <v>33.990147783251231</v>
      </c>
      <c r="J41"/>
    </row>
    <row r="42" spans="1:10" ht="15" customHeight="1">
      <c r="A42" s="339" t="s">
        <v>49</v>
      </c>
      <c r="B42" s="351">
        <f t="shared" si="5"/>
        <v>49</v>
      </c>
      <c r="C42" s="362">
        <f t="shared" si="2"/>
        <v>0.8127384309172333</v>
      </c>
      <c r="E42" s="364">
        <v>33</v>
      </c>
      <c r="F42" s="362">
        <f t="shared" si="0"/>
        <v>67.346938775510196</v>
      </c>
      <c r="G42" s="364"/>
      <c r="H42" s="364">
        <v>16</v>
      </c>
      <c r="I42" s="362">
        <f t="shared" si="1"/>
        <v>32.653061224489797</v>
      </c>
      <c r="J42" s="364"/>
    </row>
    <row r="43" spans="1:10" ht="15" customHeight="1">
      <c r="A43" s="339" t="s">
        <v>42</v>
      </c>
      <c r="B43" s="351">
        <f t="shared" si="5"/>
        <v>52</v>
      </c>
      <c r="C43" s="362">
        <f t="shared" si="2"/>
        <v>0.86249792668767622</v>
      </c>
      <c r="E43" s="364">
        <v>33</v>
      </c>
      <c r="F43" s="362">
        <f t="shared" si="0"/>
        <v>63.46153846153846</v>
      </c>
      <c r="G43" s="364"/>
      <c r="H43" s="364">
        <v>19</v>
      </c>
      <c r="I43" s="362">
        <f t="shared" si="1"/>
        <v>36.538461538461533</v>
      </c>
      <c r="J43" s="364"/>
    </row>
    <row r="44" spans="1:10" ht="15" customHeight="1">
      <c r="A44" s="339" t="s">
        <v>43</v>
      </c>
      <c r="B44" s="351">
        <f t="shared" si="5"/>
        <v>93</v>
      </c>
      <c r="C44" s="362">
        <f t="shared" si="2"/>
        <v>1.5425443688837286</v>
      </c>
      <c r="E44" s="364">
        <v>62</v>
      </c>
      <c r="F44" s="362">
        <f t="shared" si="0"/>
        <v>66.666666666666657</v>
      </c>
      <c r="G44" s="364"/>
      <c r="H44" s="364">
        <v>31</v>
      </c>
      <c r="I44" s="362">
        <f t="shared" si="1"/>
        <v>33.333333333333329</v>
      </c>
      <c r="J44" s="364"/>
    </row>
    <row r="45" spans="1:10" ht="15" customHeight="1">
      <c r="A45" s="339" t="s">
        <v>44</v>
      </c>
      <c r="B45" s="351">
        <f t="shared" si="5"/>
        <v>68</v>
      </c>
      <c r="C45" s="362">
        <f t="shared" si="2"/>
        <v>1.1278819041300383</v>
      </c>
      <c r="E45" s="364">
        <v>34</v>
      </c>
      <c r="F45" s="362">
        <f t="shared" si="0"/>
        <v>50</v>
      </c>
      <c r="G45" s="364"/>
      <c r="H45" s="364">
        <v>34</v>
      </c>
      <c r="I45" s="362">
        <f t="shared" si="1"/>
        <v>50</v>
      </c>
      <c r="J45" s="364"/>
    </row>
    <row r="46" spans="1:10" ht="15" customHeight="1">
      <c r="A46" s="339" t="s">
        <v>48</v>
      </c>
      <c r="B46" s="351">
        <f t="shared" si="5"/>
        <v>52</v>
      </c>
      <c r="C46" s="362">
        <f t="shared" si="2"/>
        <v>0.86249792668767622</v>
      </c>
      <c r="E46" s="364">
        <v>20</v>
      </c>
      <c r="F46" s="362">
        <f t="shared" si="0"/>
        <v>38.461538461538467</v>
      </c>
      <c r="G46" s="364"/>
      <c r="H46" s="364">
        <v>32</v>
      </c>
      <c r="I46" s="362">
        <f t="shared" si="1"/>
        <v>61.53846153846154</v>
      </c>
      <c r="J46" s="364"/>
    </row>
    <row r="47" spans="1:10" ht="15" customHeight="1">
      <c r="A47" s="339" t="s">
        <v>331</v>
      </c>
      <c r="B47" s="351">
        <f t="shared" si="5"/>
        <v>40</v>
      </c>
      <c r="C47" s="362">
        <f t="shared" si="2"/>
        <v>0.66345994360590477</v>
      </c>
      <c r="E47" s="364">
        <v>21</v>
      </c>
      <c r="F47" s="362">
        <f t="shared" si="0"/>
        <v>52.5</v>
      </c>
      <c r="G47" s="364"/>
      <c r="H47" s="364">
        <v>19</v>
      </c>
      <c r="I47" s="362">
        <f t="shared" si="1"/>
        <v>47.5</v>
      </c>
      <c r="J47" s="364"/>
    </row>
    <row r="48" spans="1:10" ht="15" customHeight="1">
      <c r="A48" s="339" t="s">
        <v>47</v>
      </c>
      <c r="B48" s="351">
        <f t="shared" si="5"/>
        <v>159</v>
      </c>
      <c r="C48" s="362">
        <f t="shared" si="2"/>
        <v>2.6372532758334715</v>
      </c>
      <c r="E48" s="364">
        <v>115</v>
      </c>
      <c r="F48" s="362">
        <f t="shared" si="0"/>
        <v>72.327044025157221</v>
      </c>
      <c r="G48" s="364"/>
      <c r="H48" s="364">
        <v>44</v>
      </c>
      <c r="I48" s="362">
        <f t="shared" si="1"/>
        <v>27.672955974842768</v>
      </c>
      <c r="J48" s="364"/>
    </row>
    <row r="49" spans="1:10" ht="15" customHeight="1">
      <c r="A49" s="339" t="s">
        <v>46</v>
      </c>
      <c r="B49" s="351">
        <f t="shared" si="5"/>
        <v>96</v>
      </c>
      <c r="C49" s="362">
        <f t="shared" si="2"/>
        <v>1.5923038646541716</v>
      </c>
      <c r="E49" s="364">
        <v>84</v>
      </c>
      <c r="F49" s="362">
        <f t="shared" si="0"/>
        <v>87.5</v>
      </c>
      <c r="G49" s="364"/>
      <c r="H49" s="364">
        <v>12</v>
      </c>
      <c r="I49" s="362">
        <f t="shared" si="1"/>
        <v>12.5</v>
      </c>
      <c r="J49" s="364"/>
    </row>
    <row r="50" spans="1:10" ht="8.1" customHeight="1">
      <c r="C50" s="362"/>
      <c r="E50" s="364"/>
      <c r="F50" s="362" t="str">
        <f t="shared" si="0"/>
        <v/>
      </c>
      <c r="G50" s="364"/>
      <c r="H50" s="364"/>
      <c r="I50" s="362"/>
      <c r="J50" s="365"/>
    </row>
    <row r="51" spans="1:10" ht="15" customHeight="1">
      <c r="A51" s="339" t="s">
        <v>50</v>
      </c>
      <c r="B51" s="351">
        <f>IF(A51&lt;&gt;0,E51+H51,"")</f>
        <v>274</v>
      </c>
      <c r="C51" s="362">
        <f t="shared" si="2"/>
        <v>4.5447006137004475</v>
      </c>
      <c r="E51" s="364">
        <v>178</v>
      </c>
      <c r="F51" s="362">
        <f t="shared" si="0"/>
        <v>64.96350364963503</v>
      </c>
      <c r="G51" s="364"/>
      <c r="H51" s="364">
        <v>96</v>
      </c>
      <c r="I51" s="362">
        <f t="shared" si="1"/>
        <v>35.036496350364963</v>
      </c>
      <c r="J51" s="364"/>
    </row>
    <row r="52" spans="1:10" ht="8.1" customHeight="1">
      <c r="C52" s="362"/>
      <c r="F52" s="362" t="str">
        <f t="shared" si="0"/>
        <v/>
      </c>
      <c r="I52" s="362"/>
    </row>
    <row r="53" spans="1:10" ht="15" customHeight="1">
      <c r="A53" s="339" t="s">
        <v>51</v>
      </c>
      <c r="B53" s="351">
        <f t="shared" ref="B53:B58" si="6">IF(A53&lt;&gt;0,E53+H53,"")</f>
        <v>723</v>
      </c>
      <c r="C53" s="362">
        <f t="shared" si="2"/>
        <v>11.99203848067673</v>
      </c>
      <c r="E53" s="352">
        <f>SUM(E54:E58)</f>
        <v>466</v>
      </c>
      <c r="F53" s="362">
        <f t="shared" si="0"/>
        <v>64.453665283540801</v>
      </c>
      <c r="H53" s="352">
        <f>SUM(H54:H58)</f>
        <v>257</v>
      </c>
      <c r="I53" s="362">
        <f t="shared" si="1"/>
        <v>35.546334716459199</v>
      </c>
    </row>
    <row r="54" spans="1:10" ht="15" customHeight="1">
      <c r="A54" s="339" t="s">
        <v>52</v>
      </c>
      <c r="B54" s="351">
        <f t="shared" si="6"/>
        <v>22</v>
      </c>
      <c r="C54" s="362">
        <f t="shared" si="2"/>
        <v>0.36490296898324764</v>
      </c>
      <c r="E54" s="364">
        <v>15</v>
      </c>
      <c r="F54" s="362">
        <f t="shared" si="0"/>
        <v>68.181818181818173</v>
      </c>
      <c r="G54" s="364"/>
      <c r="H54" s="364">
        <v>7</v>
      </c>
      <c r="I54" s="362">
        <f t="shared" si="1"/>
        <v>31.818181818181817</v>
      </c>
      <c r="J54" s="364"/>
    </row>
    <row r="55" spans="1:10" ht="15" customHeight="1">
      <c r="A55" s="339" t="s">
        <v>53</v>
      </c>
      <c r="B55" s="351">
        <f t="shared" si="6"/>
        <v>477</v>
      </c>
      <c r="C55" s="362">
        <f t="shared" si="2"/>
        <v>7.911759827500414</v>
      </c>
      <c r="E55" s="364">
        <v>296</v>
      </c>
      <c r="F55" s="362">
        <f t="shared" si="0"/>
        <v>62.054507337526211</v>
      </c>
      <c r="G55" s="364"/>
      <c r="H55" s="364">
        <v>181</v>
      </c>
      <c r="I55" s="362">
        <f t="shared" si="1"/>
        <v>37.945492662473796</v>
      </c>
      <c r="J55" s="364"/>
    </row>
    <row r="56" spans="1:10" ht="15" customHeight="1">
      <c r="A56" s="339" t="s">
        <v>54</v>
      </c>
      <c r="B56" s="351">
        <f t="shared" si="6"/>
        <v>87</v>
      </c>
      <c r="C56" s="362">
        <f t="shared" si="2"/>
        <v>1.443025377342843</v>
      </c>
      <c r="E56" s="364">
        <v>78</v>
      </c>
      <c r="F56" s="362">
        <f t="shared" si="0"/>
        <v>89.65517241379311</v>
      </c>
      <c r="G56" s="364"/>
      <c r="H56" s="364">
        <v>9</v>
      </c>
      <c r="I56" s="362">
        <f t="shared" si="1"/>
        <v>10.344827586206897</v>
      </c>
      <c r="J56" s="364"/>
    </row>
    <row r="57" spans="1:10" ht="15" customHeight="1">
      <c r="A57" s="339" t="s">
        <v>332</v>
      </c>
      <c r="B57" s="351">
        <f t="shared" si="6"/>
        <v>80</v>
      </c>
      <c r="C57" s="362">
        <f t="shared" si="2"/>
        <v>1.3269198872118095</v>
      </c>
      <c r="E57" s="364">
        <v>57</v>
      </c>
      <c r="F57" s="362">
        <f t="shared" si="0"/>
        <v>71.25</v>
      </c>
      <c r="G57" s="364"/>
      <c r="H57" s="364">
        <v>23</v>
      </c>
      <c r="I57" s="362">
        <f t="shared" si="1"/>
        <v>28.749999999999996</v>
      </c>
      <c r="J57" s="364"/>
    </row>
    <row r="58" spans="1:10" ht="15" customHeight="1">
      <c r="A58" s="339" t="s">
        <v>56</v>
      </c>
      <c r="B58" s="351">
        <f t="shared" si="6"/>
        <v>57</v>
      </c>
      <c r="C58" s="362">
        <f t="shared" si="2"/>
        <v>0.94543041963841434</v>
      </c>
      <c r="E58" s="364">
        <v>20</v>
      </c>
      <c r="F58" s="362">
        <f t="shared" si="0"/>
        <v>35.087719298245609</v>
      </c>
      <c r="G58" s="364"/>
      <c r="H58" s="364">
        <v>37</v>
      </c>
      <c r="I58" s="362">
        <f t="shared" si="1"/>
        <v>64.912280701754383</v>
      </c>
      <c r="J58" s="364"/>
    </row>
    <row r="59" spans="1:10" ht="8.1" customHeight="1">
      <c r="C59" s="362"/>
      <c r="F59" s="362" t="str">
        <f t="shared" si="0"/>
        <v/>
      </c>
      <c r="I59" s="362"/>
    </row>
    <row r="60" spans="1:10" ht="15" customHeight="1">
      <c r="A60" s="348" t="s">
        <v>57</v>
      </c>
      <c r="B60" s="351">
        <f>IF(A60&lt;&gt;0,E60+H60,"")</f>
        <v>690</v>
      </c>
      <c r="C60" s="362">
        <f t="shared" si="2"/>
        <v>11.444684027201859</v>
      </c>
      <c r="E60" s="352">
        <f>E61+E63+E70+E72</f>
        <v>458</v>
      </c>
      <c r="F60" s="362">
        <f t="shared" si="0"/>
        <v>66.376811594202906</v>
      </c>
      <c r="H60" s="352">
        <f>H61+H63+H70+H72</f>
        <v>232</v>
      </c>
      <c r="I60" s="362">
        <f t="shared" si="1"/>
        <v>33.623188405797102</v>
      </c>
    </row>
    <row r="61" spans="1:10" ht="15" customHeight="1">
      <c r="A61" s="339" t="s">
        <v>334</v>
      </c>
      <c r="B61" s="351">
        <f>IF(A61&lt;&gt;0,E61+H61,"")</f>
        <v>52</v>
      </c>
      <c r="C61" s="362">
        <f t="shared" si="2"/>
        <v>0.86249792668767622</v>
      </c>
      <c r="E61" s="364">
        <v>32</v>
      </c>
      <c r="F61" s="362">
        <f t="shared" si="0"/>
        <v>61.53846153846154</v>
      </c>
      <c r="G61" s="364"/>
      <c r="H61" s="364">
        <v>20</v>
      </c>
      <c r="I61" s="362">
        <f t="shared" si="1"/>
        <v>38.461538461538467</v>
      </c>
    </row>
    <row r="62" spans="1:10" ht="8.1" customHeight="1">
      <c r="C62" s="362"/>
      <c r="F62" s="362" t="str">
        <f t="shared" si="0"/>
        <v/>
      </c>
      <c r="I62" s="362"/>
    </row>
    <row r="63" spans="1:10" ht="15" customHeight="1">
      <c r="A63" s="339" t="s">
        <v>60</v>
      </c>
      <c r="B63" s="351">
        <f t="shared" ref="B63:B70" si="7">IF(A63&lt;&gt;0,E63+H63,"")</f>
        <v>490</v>
      </c>
      <c r="C63" s="362">
        <f t="shared" si="2"/>
        <v>8.1273843091723332</v>
      </c>
      <c r="E63" s="352">
        <f>SUM(E64:E68)</f>
        <v>316</v>
      </c>
      <c r="F63" s="362">
        <f t="shared" si="0"/>
        <v>64.489795918367349</v>
      </c>
      <c r="H63" s="352">
        <f>SUM(H64:H68)</f>
        <v>174</v>
      </c>
      <c r="I63" s="362">
        <f t="shared" si="1"/>
        <v>35.510204081632651</v>
      </c>
    </row>
    <row r="64" spans="1:10" ht="15" customHeight="1">
      <c r="A64" s="339" t="s">
        <v>61</v>
      </c>
      <c r="B64" s="351">
        <f t="shared" si="7"/>
        <v>218</v>
      </c>
      <c r="C64" s="362">
        <f t="shared" si="2"/>
        <v>3.6158566926521813</v>
      </c>
      <c r="E64" s="364">
        <v>112</v>
      </c>
      <c r="F64" s="362">
        <f t="shared" si="0"/>
        <v>51.37614678899083</v>
      </c>
      <c r="G64" s="364"/>
      <c r="H64" s="364">
        <v>106</v>
      </c>
      <c r="I64" s="362">
        <f t="shared" si="1"/>
        <v>48.623853211009177</v>
      </c>
      <c r="J64" s="364"/>
    </row>
    <row r="65" spans="1:10" ht="15" customHeight="1">
      <c r="A65" s="339" t="s">
        <v>62</v>
      </c>
      <c r="B65" s="351">
        <f t="shared" si="7"/>
        <v>59</v>
      </c>
      <c r="C65" s="362">
        <f t="shared" si="2"/>
        <v>0.97860341681870955</v>
      </c>
      <c r="E65" s="364">
        <v>40</v>
      </c>
      <c r="F65" s="362">
        <f t="shared" si="0"/>
        <v>67.796610169491515</v>
      </c>
      <c r="G65" s="364"/>
      <c r="H65" s="364">
        <v>19</v>
      </c>
      <c r="I65" s="362">
        <f t="shared" si="1"/>
        <v>32.20338983050847</v>
      </c>
      <c r="J65" s="364"/>
    </row>
    <row r="66" spans="1:10" ht="15" customHeight="1">
      <c r="A66" s="339" t="s">
        <v>64</v>
      </c>
      <c r="B66" s="351">
        <f t="shared" si="7"/>
        <v>61</v>
      </c>
      <c r="C66" s="362">
        <f t="shared" si="2"/>
        <v>1.0117764139990049</v>
      </c>
      <c r="E66" s="364">
        <v>60</v>
      </c>
      <c r="F66" s="362">
        <f t="shared" si="0"/>
        <v>98.360655737704917</v>
      </c>
      <c r="G66" s="364"/>
      <c r="H66" s="364">
        <v>1</v>
      </c>
      <c r="I66" s="362">
        <f t="shared" si="1"/>
        <v>1.639344262295082</v>
      </c>
      <c r="J66" s="364"/>
    </row>
    <row r="67" spans="1:10" ht="15" customHeight="1">
      <c r="A67" s="339" t="s">
        <v>63</v>
      </c>
      <c r="B67" s="351">
        <f t="shared" si="7"/>
        <v>26</v>
      </c>
      <c r="C67" s="362">
        <f t="shared" si="2"/>
        <v>0.43124896334383811</v>
      </c>
      <c r="E67" s="364">
        <v>23</v>
      </c>
      <c r="F67" s="362">
        <f t="shared" si="0"/>
        <v>88.461538461538453</v>
      </c>
      <c r="G67" s="364"/>
      <c r="H67" s="364">
        <v>3</v>
      </c>
      <c r="I67" s="362">
        <f t="shared" si="1"/>
        <v>11.538461538461538</v>
      </c>
      <c r="J67" s="364"/>
    </row>
    <row r="68" spans="1:10" ht="15" customHeight="1">
      <c r="A68" s="339" t="s">
        <v>440</v>
      </c>
      <c r="B68" s="351">
        <f t="shared" si="7"/>
        <v>126</v>
      </c>
      <c r="C68" s="362">
        <f t="shared" si="2"/>
        <v>2.0898988223586001</v>
      </c>
      <c r="E68" s="364">
        <v>81</v>
      </c>
      <c r="F68" s="362">
        <f t="shared" si="0"/>
        <v>64.285714285714292</v>
      </c>
      <c r="G68" s="364"/>
      <c r="H68" s="364">
        <v>45</v>
      </c>
      <c r="I68" s="362">
        <f t="shared" si="1"/>
        <v>35.714285714285715</v>
      </c>
      <c r="J68" s="364"/>
    </row>
    <row r="69" spans="1:10" ht="8.1" customHeight="1">
      <c r="B69" s="351" t="str">
        <f t="shared" si="7"/>
        <v/>
      </c>
      <c r="C69" s="362"/>
      <c r="E69" s="365"/>
      <c r="F69" s="362" t="str">
        <f t="shared" si="0"/>
        <v/>
      </c>
      <c r="G69" s="365"/>
      <c r="H69" s="365"/>
      <c r="I69" s="362"/>
      <c r="J69" s="365"/>
    </row>
    <row r="70" spans="1:10" ht="15" customHeight="1">
      <c r="A70" s="339" t="s">
        <v>66</v>
      </c>
      <c r="B70" s="351">
        <f t="shared" si="7"/>
        <v>75</v>
      </c>
      <c r="C70" s="362">
        <f t="shared" si="2"/>
        <v>1.2439873942610713</v>
      </c>
      <c r="E70" s="364">
        <v>55</v>
      </c>
      <c r="F70" s="362">
        <f t="shared" si="0"/>
        <v>73.333333333333329</v>
      </c>
      <c r="G70" s="364"/>
      <c r="H70" s="364">
        <v>20</v>
      </c>
      <c r="I70" s="362">
        <f t="shared" si="1"/>
        <v>26.666666666666668</v>
      </c>
      <c r="J70" s="364"/>
    </row>
    <row r="71" spans="1:10" ht="8.1" customHeight="1">
      <c r="C71" s="362"/>
      <c r="E71" s="365"/>
      <c r="F71" s="362" t="str">
        <f t="shared" si="0"/>
        <v/>
      </c>
      <c r="G71" s="365"/>
      <c r="H71" s="365"/>
      <c r="I71" s="362"/>
      <c r="J71" s="365"/>
    </row>
    <row r="72" spans="1:10" ht="15" customHeight="1">
      <c r="A72" s="339" t="s">
        <v>67</v>
      </c>
      <c r="B72" s="351">
        <f>IF(A72&lt;&gt;0,E72+H72,"")</f>
        <v>73</v>
      </c>
      <c r="C72" s="362">
        <f t="shared" si="2"/>
        <v>1.2108143970807763</v>
      </c>
      <c r="E72" s="364">
        <v>55</v>
      </c>
      <c r="F72" s="362">
        <f t="shared" si="0"/>
        <v>75.342465753424662</v>
      </c>
      <c r="G72" s="364"/>
      <c r="H72" s="364">
        <v>18</v>
      </c>
      <c r="I72" s="362">
        <f t="shared" si="1"/>
        <v>24.657534246575342</v>
      </c>
      <c r="J72" s="364"/>
    </row>
    <row r="73" spans="1:10" ht="8.1" customHeight="1">
      <c r="C73" s="362"/>
      <c r="F73" s="362" t="str">
        <f t="shared" si="0"/>
        <v/>
      </c>
      <c r="I73" s="362"/>
    </row>
    <row r="74" spans="1:10" ht="15" customHeight="1">
      <c r="A74" s="348" t="s">
        <v>336</v>
      </c>
      <c r="B74" s="351">
        <f t="shared" ref="B74:B79" si="8">IF(A74&lt;&gt;0,E74+H74,"")</f>
        <v>203</v>
      </c>
      <c r="C74" s="362">
        <f t="shared" si="2"/>
        <v>3.3670592137999664</v>
      </c>
      <c r="E74" s="352">
        <f>SUM(E75)</f>
        <v>103</v>
      </c>
      <c r="F74" s="362">
        <f t="shared" si="0"/>
        <v>50.738916256157637</v>
      </c>
      <c r="H74" s="352">
        <f>SUM(H75)</f>
        <v>100</v>
      </c>
      <c r="I74" s="362">
        <f t="shared" si="1"/>
        <v>49.261083743842363</v>
      </c>
    </row>
    <row r="75" spans="1:10" ht="15" customHeight="1">
      <c r="A75" s="339" t="s">
        <v>337</v>
      </c>
      <c r="B75" s="351">
        <f t="shared" si="8"/>
        <v>203</v>
      </c>
      <c r="C75" s="362">
        <f t="shared" si="2"/>
        <v>3.3670592137999664</v>
      </c>
      <c r="E75" s="352">
        <f>SUM(E76:E79)</f>
        <v>103</v>
      </c>
      <c r="F75" s="362">
        <f t="shared" si="0"/>
        <v>50.738916256157637</v>
      </c>
      <c r="H75" s="352">
        <f>SUM(H76:H79)</f>
        <v>100</v>
      </c>
      <c r="I75" s="362">
        <f t="shared" si="1"/>
        <v>49.261083743842363</v>
      </c>
    </row>
    <row r="76" spans="1:10" ht="15" customHeight="1">
      <c r="A76" s="339" t="s">
        <v>70</v>
      </c>
      <c r="B76" s="351">
        <f t="shared" si="8"/>
        <v>33</v>
      </c>
      <c r="C76" s="362">
        <f t="shared" si="2"/>
        <v>0.54735445347487144</v>
      </c>
      <c r="E76" s="364">
        <v>17</v>
      </c>
      <c r="F76" s="362">
        <f t="shared" si="0"/>
        <v>51.515151515151516</v>
      </c>
      <c r="G76" s="364"/>
      <c r="H76" s="364">
        <v>16</v>
      </c>
      <c r="I76" s="362">
        <f t="shared" si="1"/>
        <v>48.484848484848484</v>
      </c>
      <c r="J76" s="364"/>
    </row>
    <row r="77" spans="1:10" ht="15" customHeight="1">
      <c r="A77" s="339" t="s">
        <v>71</v>
      </c>
      <c r="B77" s="351">
        <f t="shared" si="8"/>
        <v>105</v>
      </c>
      <c r="C77" s="362">
        <f t="shared" si="2"/>
        <v>1.7415823519655</v>
      </c>
      <c r="E77" s="364">
        <v>41</v>
      </c>
      <c r="F77" s="362">
        <f t="shared" ref="F77:F101" si="9">IF(A77&lt;&gt;0,E77/$B77*100,"")</f>
        <v>39.047619047619051</v>
      </c>
      <c r="G77" s="364"/>
      <c r="H77" s="364">
        <v>64</v>
      </c>
      <c r="I77" s="362">
        <f t="shared" si="1"/>
        <v>60.952380952380956</v>
      </c>
      <c r="J77" s="364"/>
    </row>
    <row r="78" spans="1:10" ht="15" customHeight="1">
      <c r="A78" s="339" t="s">
        <v>72</v>
      </c>
      <c r="B78" s="351">
        <f t="shared" si="8"/>
        <v>45</v>
      </c>
      <c r="C78" s="362">
        <f t="shared" si="2"/>
        <v>0.74639243655664289</v>
      </c>
      <c r="E78" s="364">
        <v>30</v>
      </c>
      <c r="F78" s="362">
        <f t="shared" si="9"/>
        <v>66.666666666666657</v>
      </c>
      <c r="G78" s="364"/>
      <c r="H78" s="364">
        <v>15</v>
      </c>
      <c r="I78" s="362">
        <f t="shared" ref="I78:I101" si="10">IF(A78&lt;&gt;0,H78/$B78*100,"")</f>
        <v>33.333333333333329</v>
      </c>
      <c r="J78" s="364"/>
    </row>
    <row r="79" spans="1:10" ht="15" customHeight="1">
      <c r="A79" s="339" t="s">
        <v>73</v>
      </c>
      <c r="B79" s="351">
        <f t="shared" si="8"/>
        <v>20</v>
      </c>
      <c r="C79" s="362">
        <f t="shared" si="2"/>
        <v>0.33172997180295238</v>
      </c>
      <c r="E79" s="364">
        <v>15</v>
      </c>
      <c r="F79" s="362">
        <f t="shared" si="9"/>
        <v>75</v>
      </c>
      <c r="G79" s="364"/>
      <c r="H79" s="364">
        <v>5</v>
      </c>
      <c r="I79" s="362">
        <f t="shared" si="10"/>
        <v>25</v>
      </c>
      <c r="J79" s="364"/>
    </row>
    <row r="80" spans="1:10" ht="8.1" customHeight="1">
      <c r="C80" s="362"/>
      <c r="E80" s="353"/>
      <c r="F80" s="362" t="str">
        <f t="shared" si="9"/>
        <v/>
      </c>
      <c r="G80" s="353"/>
      <c r="I80" s="362"/>
    </row>
    <row r="81" spans="1:10" ht="15" customHeight="1">
      <c r="A81" s="348" t="s">
        <v>396</v>
      </c>
      <c r="B81" s="351">
        <f t="shared" ref="B81:B101" si="11">IF(A81&lt;&gt;0,E81+H81,"")</f>
        <v>584</v>
      </c>
      <c r="C81" s="362">
        <f t="shared" ref="C81:C101" si="12">IF($A81&lt;&gt;"",B81/$B$11*100,"")</f>
        <v>9.6865151766462105</v>
      </c>
      <c r="E81" s="352">
        <f>SUM(E82)</f>
        <v>164</v>
      </c>
      <c r="F81" s="362">
        <f t="shared" si="9"/>
        <v>28.082191780821919</v>
      </c>
      <c r="H81" s="352">
        <f>SUM(H82)</f>
        <v>420</v>
      </c>
      <c r="I81" s="362">
        <f t="shared" si="10"/>
        <v>71.917808219178085</v>
      </c>
    </row>
    <row r="82" spans="1:10" ht="15" customHeight="1">
      <c r="A82" s="339" t="s">
        <v>1014</v>
      </c>
      <c r="B82" s="351">
        <f t="shared" si="11"/>
        <v>584</v>
      </c>
      <c r="C82" s="362">
        <f t="shared" si="12"/>
        <v>9.6865151766462105</v>
      </c>
      <c r="E82" s="352">
        <f>SUM(E83:E91)</f>
        <v>164</v>
      </c>
      <c r="F82" s="362">
        <f t="shared" si="9"/>
        <v>28.082191780821919</v>
      </c>
      <c r="H82" s="352">
        <f>SUM(H83:H91)</f>
        <v>420</v>
      </c>
      <c r="I82" s="362">
        <f t="shared" si="10"/>
        <v>71.917808219178085</v>
      </c>
    </row>
    <row r="83" spans="1:10" ht="15" customHeight="1">
      <c r="A83" s="339" t="s">
        <v>82</v>
      </c>
      <c r="B83" s="351">
        <f t="shared" si="11"/>
        <v>20</v>
      </c>
      <c r="C83" s="362">
        <f t="shared" si="12"/>
        <v>0.33172997180295238</v>
      </c>
      <c r="E83" s="364">
        <v>4</v>
      </c>
      <c r="F83" s="362">
        <f t="shared" si="9"/>
        <v>20</v>
      </c>
      <c r="G83" s="364"/>
      <c r="H83" s="364">
        <v>16</v>
      </c>
      <c r="I83" s="362">
        <f t="shared" si="10"/>
        <v>80</v>
      </c>
      <c r="J83" s="364"/>
    </row>
    <row r="84" spans="1:10" ht="15" customHeight="1">
      <c r="A84" s="339" t="s">
        <v>76</v>
      </c>
      <c r="B84" s="351">
        <f t="shared" si="11"/>
        <v>73</v>
      </c>
      <c r="C84" s="362">
        <f t="shared" si="12"/>
        <v>1.2108143970807763</v>
      </c>
      <c r="E84" s="364">
        <v>20</v>
      </c>
      <c r="F84" s="362">
        <f t="shared" si="9"/>
        <v>27.397260273972602</v>
      </c>
      <c r="G84" s="364"/>
      <c r="H84" s="364">
        <v>53</v>
      </c>
      <c r="I84" s="362">
        <f t="shared" si="10"/>
        <v>72.602739726027394</v>
      </c>
      <c r="J84" s="364"/>
    </row>
    <row r="85" spans="1:10" ht="15" customHeight="1">
      <c r="A85" s="339" t="s">
        <v>78</v>
      </c>
      <c r="B85" s="351">
        <f t="shared" si="11"/>
        <v>123</v>
      </c>
      <c r="C85" s="362">
        <f t="shared" si="12"/>
        <v>2.0401393265881573</v>
      </c>
      <c r="E85" s="364">
        <v>15</v>
      </c>
      <c r="F85" s="362">
        <f t="shared" si="9"/>
        <v>12.195121951219512</v>
      </c>
      <c r="G85" s="364"/>
      <c r="H85" s="364">
        <v>108</v>
      </c>
      <c r="I85" s="362">
        <f t="shared" si="10"/>
        <v>87.804878048780495</v>
      </c>
      <c r="J85" s="364"/>
    </row>
    <row r="86" spans="1:10" ht="15" customHeight="1">
      <c r="A86" s="339" t="s">
        <v>80</v>
      </c>
      <c r="B86" s="351">
        <f t="shared" si="11"/>
        <v>109</v>
      </c>
      <c r="C86" s="362">
        <f t="shared" si="12"/>
        <v>1.8079283463260907</v>
      </c>
      <c r="E86" s="364">
        <v>50</v>
      </c>
      <c r="F86" s="362">
        <f t="shared" si="9"/>
        <v>45.871559633027523</v>
      </c>
      <c r="G86" s="364"/>
      <c r="H86" s="364">
        <v>59</v>
      </c>
      <c r="I86" s="362">
        <f t="shared" si="10"/>
        <v>54.128440366972477</v>
      </c>
      <c r="J86" s="364"/>
    </row>
    <row r="87" spans="1:10" ht="15" customHeight="1">
      <c r="A87" s="339" t="s">
        <v>79</v>
      </c>
      <c r="B87" s="351">
        <f t="shared" si="11"/>
        <v>71</v>
      </c>
      <c r="C87" s="362">
        <f t="shared" si="12"/>
        <v>1.1776413999004811</v>
      </c>
      <c r="E87" s="364">
        <v>8</v>
      </c>
      <c r="F87" s="362">
        <f t="shared" si="9"/>
        <v>11.267605633802818</v>
      </c>
      <c r="G87" s="364"/>
      <c r="H87" s="364">
        <v>63</v>
      </c>
      <c r="I87" s="362">
        <f t="shared" si="10"/>
        <v>88.732394366197184</v>
      </c>
      <c r="J87" s="364"/>
    </row>
    <row r="88" spans="1:10" ht="15" customHeight="1">
      <c r="A88" s="339" t="s">
        <v>77</v>
      </c>
      <c r="B88" s="351">
        <f t="shared" si="11"/>
        <v>42</v>
      </c>
      <c r="C88" s="362">
        <f t="shared" si="12"/>
        <v>0.69663294078620008</v>
      </c>
      <c r="E88" s="364">
        <v>20</v>
      </c>
      <c r="F88" s="362">
        <f t="shared" si="9"/>
        <v>47.619047619047613</v>
      </c>
      <c r="G88" s="364"/>
      <c r="H88" s="364">
        <v>22</v>
      </c>
      <c r="I88" s="362">
        <f t="shared" si="10"/>
        <v>52.380952380952387</v>
      </c>
      <c r="J88" s="364"/>
    </row>
    <row r="89" spans="1:10" ht="15" customHeight="1">
      <c r="A89" s="339" t="s">
        <v>81</v>
      </c>
      <c r="B89" s="351">
        <f t="shared" si="11"/>
        <v>45</v>
      </c>
      <c r="C89" s="362">
        <f t="shared" si="12"/>
        <v>0.74639243655664289</v>
      </c>
      <c r="E89" s="364">
        <v>21</v>
      </c>
      <c r="F89" s="362">
        <f t="shared" si="9"/>
        <v>46.666666666666664</v>
      </c>
      <c r="G89" s="364"/>
      <c r="H89" s="364">
        <v>24</v>
      </c>
      <c r="I89" s="362">
        <f t="shared" si="10"/>
        <v>53.333333333333336</v>
      </c>
      <c r="J89" s="364"/>
    </row>
    <row r="90" spans="1:10" ht="15" customHeight="1">
      <c r="A90" s="339" t="s">
        <v>1015</v>
      </c>
      <c r="B90" s="351">
        <f t="shared" si="11"/>
        <v>31</v>
      </c>
      <c r="C90" s="362">
        <f t="shared" si="12"/>
        <v>0.51418145629457623</v>
      </c>
      <c r="E90" s="364">
        <v>9</v>
      </c>
      <c r="F90" s="362">
        <f t="shared" si="9"/>
        <v>29.032258064516132</v>
      </c>
      <c r="G90" s="364"/>
      <c r="H90" s="364">
        <v>22</v>
      </c>
      <c r="I90" s="362">
        <f t="shared" si="10"/>
        <v>70.967741935483872</v>
      </c>
      <c r="J90" s="364"/>
    </row>
    <row r="91" spans="1:10" ht="15" customHeight="1">
      <c r="A91" s="339" t="s">
        <v>339</v>
      </c>
      <c r="B91" s="351">
        <f t="shared" si="11"/>
        <v>70</v>
      </c>
      <c r="C91" s="362">
        <f t="shared" si="12"/>
        <v>1.1610549013103333</v>
      </c>
      <c r="E91" s="364">
        <v>17</v>
      </c>
      <c r="F91" s="362">
        <f t="shared" si="9"/>
        <v>24.285714285714285</v>
      </c>
      <c r="G91" s="364"/>
      <c r="H91" s="364">
        <v>53</v>
      </c>
      <c r="I91" s="362">
        <f t="shared" si="10"/>
        <v>75.714285714285708</v>
      </c>
      <c r="J91" s="364"/>
    </row>
    <row r="92" spans="1:10" ht="6" customHeight="1">
      <c r="B92" s="351" t="str">
        <f t="shared" si="11"/>
        <v/>
      </c>
      <c r="C92" s="362" t="str">
        <f t="shared" si="12"/>
        <v/>
      </c>
      <c r="E92" s="365"/>
      <c r="F92" s="362" t="str">
        <f t="shared" si="9"/>
        <v/>
      </c>
      <c r="G92" s="365"/>
      <c r="H92" s="365"/>
      <c r="I92" s="362" t="str">
        <f t="shared" si="10"/>
        <v/>
      </c>
      <c r="J92" s="365"/>
    </row>
    <row r="93" spans="1:10" ht="13.5" customHeight="1">
      <c r="A93" s="339" t="s">
        <v>443</v>
      </c>
      <c r="B93" s="351">
        <f t="shared" si="11"/>
        <v>28</v>
      </c>
      <c r="C93" s="362">
        <f t="shared" si="12"/>
        <v>0.46442196052413331</v>
      </c>
      <c r="E93" s="364">
        <v>15</v>
      </c>
      <c r="F93" s="362">
        <f t="shared" si="9"/>
        <v>53.571428571428569</v>
      </c>
      <c r="G93" s="365"/>
      <c r="H93" s="364">
        <v>13</v>
      </c>
      <c r="I93" s="362">
        <f t="shared" si="10"/>
        <v>46.428571428571431</v>
      </c>
      <c r="J93" s="364"/>
    </row>
    <row r="94" spans="1:10" ht="15" customHeight="1">
      <c r="A94" s="350" t="s">
        <v>992</v>
      </c>
      <c r="B94" s="351">
        <f t="shared" si="11"/>
        <v>53</v>
      </c>
      <c r="C94" s="362">
        <f t="shared" si="12"/>
        <v>0.87908442527782382</v>
      </c>
      <c r="E94" s="364">
        <v>18</v>
      </c>
      <c r="F94" s="362">
        <f t="shared" si="9"/>
        <v>33.962264150943398</v>
      </c>
      <c r="G94" s="365"/>
      <c r="H94" s="364">
        <v>35</v>
      </c>
      <c r="I94" s="362">
        <f t="shared" si="10"/>
        <v>66.037735849056602</v>
      </c>
      <c r="J94" s="364"/>
    </row>
    <row r="95" spans="1:10" ht="8.1" customHeight="1">
      <c r="B95" s="351" t="str">
        <f t="shared" si="11"/>
        <v/>
      </c>
      <c r="C95" s="362" t="str">
        <f t="shared" si="12"/>
        <v/>
      </c>
      <c r="F95" s="362" t="str">
        <f t="shared" si="9"/>
        <v/>
      </c>
      <c r="I95" s="362" t="str">
        <f t="shared" si="10"/>
        <v/>
      </c>
    </row>
    <row r="96" spans="1:10" ht="15" customHeight="1">
      <c r="A96" s="348" t="s">
        <v>346</v>
      </c>
      <c r="B96" s="351">
        <f t="shared" si="11"/>
        <v>1343</v>
      </c>
      <c r="C96" s="362">
        <f t="shared" si="12"/>
        <v>22.275667606568252</v>
      </c>
      <c r="E96" s="352">
        <f>SUM(E97:E101)</f>
        <v>501</v>
      </c>
      <c r="F96" s="362">
        <f t="shared" si="9"/>
        <v>37.30454206999255</v>
      </c>
      <c r="H96" s="352">
        <f>SUM(H97:H101)</f>
        <v>842</v>
      </c>
      <c r="I96" s="362">
        <f t="shared" si="10"/>
        <v>62.69545793000745</v>
      </c>
    </row>
    <row r="97" spans="1:10" ht="14.25" customHeight="1">
      <c r="A97" s="339" t="s">
        <v>347</v>
      </c>
      <c r="B97" s="351">
        <f t="shared" si="11"/>
        <v>482</v>
      </c>
      <c r="C97" s="362">
        <f t="shared" si="12"/>
        <v>7.9946923204511524</v>
      </c>
      <c r="E97" s="364">
        <v>152</v>
      </c>
      <c r="F97" s="362">
        <f t="shared" si="9"/>
        <v>31.535269709543567</v>
      </c>
      <c r="G97" s="365"/>
      <c r="H97" s="364">
        <v>330</v>
      </c>
      <c r="I97" s="362">
        <f t="shared" si="10"/>
        <v>68.46473029045643</v>
      </c>
      <c r="J97" s="364"/>
    </row>
    <row r="98" spans="1:10" ht="14.25" customHeight="1">
      <c r="A98" s="339" t="s">
        <v>348</v>
      </c>
      <c r="B98" s="351">
        <f t="shared" si="11"/>
        <v>267</v>
      </c>
      <c r="C98" s="362">
        <f t="shared" si="12"/>
        <v>4.4285951235694139</v>
      </c>
      <c r="E98" s="364">
        <v>127</v>
      </c>
      <c r="F98" s="362">
        <f t="shared" si="9"/>
        <v>47.565543071161045</v>
      </c>
      <c r="G98" s="365"/>
      <c r="H98" s="364">
        <v>140</v>
      </c>
      <c r="I98" s="362">
        <f t="shared" si="10"/>
        <v>52.434456928838948</v>
      </c>
      <c r="J98" s="364"/>
    </row>
    <row r="99" spans="1:10" ht="14.25" customHeight="1">
      <c r="A99" s="339" t="s">
        <v>349</v>
      </c>
      <c r="B99" s="351">
        <f t="shared" si="11"/>
        <v>241</v>
      </c>
      <c r="C99" s="362">
        <f t="shared" si="12"/>
        <v>3.9973461602255762</v>
      </c>
      <c r="E99" s="364">
        <v>86</v>
      </c>
      <c r="F99" s="362">
        <f t="shared" si="9"/>
        <v>35.684647302904565</v>
      </c>
      <c r="G99" s="365"/>
      <c r="H99" s="364">
        <v>155</v>
      </c>
      <c r="I99" s="362">
        <f t="shared" si="10"/>
        <v>64.315352697095435</v>
      </c>
      <c r="J99" s="364"/>
    </row>
    <row r="100" spans="1:10" ht="14.25" customHeight="1">
      <c r="A100" s="339" t="s">
        <v>350</v>
      </c>
      <c r="B100" s="351">
        <f t="shared" si="11"/>
        <v>191</v>
      </c>
      <c r="C100" s="362">
        <f t="shared" si="12"/>
        <v>3.1680212307181952</v>
      </c>
      <c r="E100" s="364">
        <v>56</v>
      </c>
      <c r="F100" s="362">
        <f t="shared" si="9"/>
        <v>29.319371727748688</v>
      </c>
      <c r="G100" s="365"/>
      <c r="H100" s="364">
        <v>135</v>
      </c>
      <c r="I100" s="362">
        <f t="shared" si="10"/>
        <v>70.680628272251312</v>
      </c>
      <c r="J100" s="364"/>
    </row>
    <row r="101" spans="1:10" ht="14.25" customHeight="1">
      <c r="A101" s="339" t="s">
        <v>808</v>
      </c>
      <c r="B101" s="351">
        <f t="shared" si="11"/>
        <v>162</v>
      </c>
      <c r="C101" s="362">
        <f t="shared" si="12"/>
        <v>2.6870127716039147</v>
      </c>
      <c r="E101" s="364">
        <v>80</v>
      </c>
      <c r="F101" s="362">
        <f t="shared" si="9"/>
        <v>49.382716049382715</v>
      </c>
      <c r="G101" s="365"/>
      <c r="H101" s="364">
        <v>82</v>
      </c>
      <c r="I101" s="362">
        <f t="shared" si="10"/>
        <v>50.617283950617285</v>
      </c>
      <c r="J101" s="364"/>
    </row>
    <row r="102" spans="1:10" ht="8.1" customHeight="1" thickBot="1"/>
    <row r="103" spans="1:10" ht="8.1" customHeight="1">
      <c r="A103" s="340"/>
      <c r="B103" s="355"/>
      <c r="C103" s="355"/>
      <c r="D103" s="355"/>
      <c r="E103" s="356"/>
      <c r="F103" s="356"/>
      <c r="G103" s="356"/>
      <c r="H103" s="356"/>
      <c r="I103" s="356"/>
    </row>
    <row r="104" spans="1:10" ht="15" customHeight="1">
      <c r="A104" s="366" t="s">
        <v>1016</v>
      </c>
      <c r="B104" s="367"/>
      <c r="C104" s="368"/>
      <c r="D104" s="369"/>
      <c r="E104" s="367"/>
      <c r="F104" s="368"/>
      <c r="I104" s="352"/>
    </row>
    <row r="105" spans="1:10" ht="13.5" customHeight="1">
      <c r="A105" s="338" t="s">
        <v>1017</v>
      </c>
      <c r="B105" s="367"/>
      <c r="C105" s="368"/>
      <c r="D105" s="369"/>
      <c r="E105" s="367"/>
      <c r="F105" s="368"/>
      <c r="I105" s="352"/>
    </row>
    <row r="106" spans="1:10" ht="6.75" customHeight="1">
      <c r="A106" s="338"/>
      <c r="B106" s="367"/>
      <c r="C106" s="368"/>
      <c r="D106" s="369"/>
      <c r="E106" s="367"/>
      <c r="F106" s="368"/>
      <c r="I106" s="352"/>
    </row>
    <row r="107" spans="1:10" ht="12.75" customHeight="1">
      <c r="A107" s="339" t="s">
        <v>1009</v>
      </c>
      <c r="G107" s="342"/>
      <c r="H107" s="342"/>
    </row>
    <row r="108" spans="1:10" ht="15" customHeight="1">
      <c r="A108" s="339" t="s">
        <v>385</v>
      </c>
    </row>
    <row r="109" spans="1:10" ht="15" customHeight="1">
      <c r="A109" s="341"/>
      <c r="B109" s="343"/>
      <c r="C109" s="343"/>
      <c r="D109" s="343"/>
      <c r="E109" s="342"/>
      <c r="F109" s="342"/>
    </row>
  </sheetData>
  <mergeCells count="2">
    <mergeCell ref="E7:F7"/>
    <mergeCell ref="H7:I7"/>
  </mergeCells>
  <printOptions horizontalCentered="1" verticalCentered="1"/>
  <pageMargins left="0" right="0" top="0" bottom="0" header="0.31496062992125984" footer="0.31496062992125984"/>
  <pageSetup paperSize="9" scale="55" orientation="portrait" r:id="rId1"/>
</worksheet>
</file>

<file path=xl/worksheets/sheet55.xml><?xml version="1.0" encoding="utf-8"?>
<worksheet xmlns="http://schemas.openxmlformats.org/spreadsheetml/2006/main" xmlns:r="http://schemas.openxmlformats.org/officeDocument/2006/relationships">
  <sheetPr>
    <tabColor theme="5" tint="0.59999389629810485"/>
  </sheetPr>
  <dimension ref="B2:J9"/>
  <sheetViews>
    <sheetView workbookViewId="0">
      <selection activeCell="K4" sqref="K4"/>
    </sheetView>
  </sheetViews>
  <sheetFormatPr baseColWidth="10" defaultRowHeight="15"/>
  <cols>
    <col min="2" max="2" width="11.42578125" customWidth="1"/>
    <col min="258" max="258" width="11.42578125" customWidth="1"/>
    <col min="514" max="514" width="11.42578125" customWidth="1"/>
    <col min="770" max="770" width="11.42578125" customWidth="1"/>
    <col min="1026" max="1026" width="11.42578125" customWidth="1"/>
    <col min="1282" max="1282" width="11.42578125" customWidth="1"/>
    <col min="1538" max="1538" width="11.42578125" customWidth="1"/>
    <col min="1794" max="1794" width="11.42578125" customWidth="1"/>
    <col min="2050" max="2050" width="11.42578125" customWidth="1"/>
    <col min="2306" max="2306" width="11.42578125" customWidth="1"/>
    <col min="2562" max="2562" width="11.42578125" customWidth="1"/>
    <col min="2818" max="2818" width="11.42578125" customWidth="1"/>
    <col min="3074" max="3074" width="11.42578125" customWidth="1"/>
    <col min="3330" max="3330" width="11.42578125" customWidth="1"/>
    <col min="3586" max="3586" width="11.42578125" customWidth="1"/>
    <col min="3842" max="3842" width="11.42578125" customWidth="1"/>
    <col min="4098" max="4098" width="11.42578125" customWidth="1"/>
    <col min="4354" max="4354" width="11.42578125" customWidth="1"/>
    <col min="4610" max="4610" width="11.42578125" customWidth="1"/>
    <col min="4866" max="4866" width="11.42578125" customWidth="1"/>
    <col min="5122" max="5122" width="11.42578125" customWidth="1"/>
    <col min="5378" max="5378" width="11.42578125" customWidth="1"/>
    <col min="5634" max="5634" width="11.42578125" customWidth="1"/>
    <col min="5890" max="5890" width="11.42578125" customWidth="1"/>
    <col min="6146" max="6146" width="11.42578125" customWidth="1"/>
    <col min="6402" max="6402" width="11.42578125" customWidth="1"/>
    <col min="6658" max="6658" width="11.42578125" customWidth="1"/>
    <col min="6914" max="6914" width="11.42578125" customWidth="1"/>
    <col min="7170" max="7170" width="11.42578125" customWidth="1"/>
    <col min="7426" max="7426" width="11.42578125" customWidth="1"/>
    <col min="7682" max="7682" width="11.42578125" customWidth="1"/>
    <col min="7938" max="7938" width="11.42578125" customWidth="1"/>
    <col min="8194" max="8194" width="11.42578125" customWidth="1"/>
    <col min="8450" max="8450" width="11.42578125" customWidth="1"/>
    <col min="8706" max="8706" width="11.42578125" customWidth="1"/>
    <col min="8962" max="8962" width="11.42578125" customWidth="1"/>
    <col min="9218" max="9218" width="11.42578125" customWidth="1"/>
    <col min="9474" max="9474" width="11.42578125" customWidth="1"/>
    <col min="9730" max="9730" width="11.42578125" customWidth="1"/>
    <col min="9986" max="9986" width="11.42578125" customWidth="1"/>
    <col min="10242" max="10242" width="11.42578125" customWidth="1"/>
    <col min="10498" max="10498" width="11.42578125" customWidth="1"/>
    <col min="10754" max="10754" width="11.42578125" customWidth="1"/>
    <col min="11010" max="11010" width="11.42578125" customWidth="1"/>
    <col min="11266" max="11266" width="11.42578125" customWidth="1"/>
    <col min="11522" max="11522" width="11.42578125" customWidth="1"/>
    <col min="11778" max="11778" width="11.42578125" customWidth="1"/>
    <col min="12034" max="12034" width="11.42578125" customWidth="1"/>
    <col min="12290" max="12290" width="11.42578125" customWidth="1"/>
    <col min="12546" max="12546" width="11.42578125" customWidth="1"/>
    <col min="12802" max="12802" width="11.42578125" customWidth="1"/>
    <col min="13058" max="13058" width="11.42578125" customWidth="1"/>
    <col min="13314" max="13314" width="11.42578125" customWidth="1"/>
    <col min="13570" max="13570" width="11.42578125" customWidth="1"/>
    <col min="13826" max="13826" width="11.42578125" customWidth="1"/>
    <col min="14082" max="14082" width="11.42578125" customWidth="1"/>
    <col min="14338" max="14338" width="11.42578125" customWidth="1"/>
    <col min="14594" max="14594" width="11.42578125" customWidth="1"/>
    <col min="14850" max="14850" width="11.42578125" customWidth="1"/>
    <col min="15106" max="15106" width="11.42578125" customWidth="1"/>
    <col min="15362" max="15362" width="11.42578125" customWidth="1"/>
    <col min="15618" max="15618" width="11.42578125" customWidth="1"/>
    <col min="15874" max="15874" width="11.42578125" customWidth="1"/>
    <col min="16130" max="16130" width="11.42578125" customWidth="1"/>
  </cols>
  <sheetData>
    <row r="2" spans="2:10">
      <c r="B2" s="42" t="s">
        <v>28</v>
      </c>
      <c r="C2" s="42">
        <v>152</v>
      </c>
      <c r="E2" s="42"/>
      <c r="F2" s="428"/>
      <c r="G2" s="39"/>
      <c r="H2" s="39"/>
      <c r="I2" s="24"/>
    </row>
    <row r="3" spans="2:10">
      <c r="B3" t="s">
        <v>1075</v>
      </c>
      <c r="C3">
        <v>203</v>
      </c>
      <c r="E3" s="42"/>
      <c r="F3" s="428"/>
      <c r="G3" s="79"/>
      <c r="H3" s="79"/>
      <c r="I3" s="24"/>
      <c r="J3" s="42"/>
    </row>
    <row r="4" spans="2:10">
      <c r="B4" t="s">
        <v>19</v>
      </c>
      <c r="C4">
        <v>296</v>
      </c>
      <c r="E4" s="42"/>
      <c r="F4" s="428"/>
      <c r="G4" s="79"/>
      <c r="H4" s="79"/>
      <c r="I4" s="24"/>
      <c r="J4" s="42"/>
    </row>
    <row r="5" spans="2:10">
      <c r="B5" t="s">
        <v>396</v>
      </c>
      <c r="C5">
        <v>584</v>
      </c>
      <c r="E5" s="42"/>
      <c r="F5" s="428"/>
      <c r="G5" s="79"/>
      <c r="I5" s="24"/>
      <c r="J5" s="42"/>
    </row>
    <row r="6" spans="2:10">
      <c r="B6" t="s">
        <v>57</v>
      </c>
      <c r="C6">
        <v>690</v>
      </c>
      <c r="E6" s="42"/>
      <c r="F6" s="428"/>
      <c r="G6" s="79"/>
      <c r="H6" s="79"/>
      <c r="I6" s="24"/>
      <c r="J6" s="42"/>
    </row>
    <row r="7" spans="2:10">
      <c r="B7" t="s">
        <v>346</v>
      </c>
      <c r="C7">
        <v>1343</v>
      </c>
      <c r="E7" s="42"/>
      <c r="F7" s="428"/>
      <c r="G7" s="79"/>
      <c r="H7" s="79"/>
      <c r="I7" s="24"/>
      <c r="J7" s="42"/>
    </row>
    <row r="8" spans="2:10">
      <c r="B8" t="s">
        <v>35</v>
      </c>
      <c r="C8">
        <v>2680</v>
      </c>
      <c r="E8" s="42"/>
      <c r="F8" s="428"/>
      <c r="G8" s="79"/>
      <c r="H8" s="79"/>
      <c r="I8" s="24"/>
      <c r="J8" s="42"/>
    </row>
    <row r="9" spans="2:10">
      <c r="F9" s="42"/>
      <c r="G9" s="79"/>
      <c r="H9" s="79"/>
      <c r="I9" s="24"/>
      <c r="J9" s="42"/>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56.xml><?xml version="1.0" encoding="utf-8"?>
<worksheet xmlns="http://schemas.openxmlformats.org/spreadsheetml/2006/main" xmlns:r="http://schemas.openxmlformats.org/officeDocument/2006/relationships">
  <sheetPr>
    <tabColor theme="5" tint="0.59999389629810485"/>
  </sheetPr>
  <dimension ref="B2:M10"/>
  <sheetViews>
    <sheetView workbookViewId="0">
      <selection activeCell="J8" sqref="J8"/>
    </sheetView>
  </sheetViews>
  <sheetFormatPr baseColWidth="10" defaultRowHeight="15"/>
  <cols>
    <col min="3" max="5" width="11.42578125" style="24"/>
  </cols>
  <sheetData>
    <row r="2" spans="2:13">
      <c r="C2" s="39" t="s">
        <v>1012</v>
      </c>
      <c r="D2" s="39" t="s">
        <v>1013</v>
      </c>
      <c r="E2" s="24" t="s">
        <v>5</v>
      </c>
      <c r="K2" s="39"/>
      <c r="L2" s="39"/>
      <c r="M2" s="39"/>
    </row>
    <row r="3" spans="2:13">
      <c r="B3" s="42" t="s">
        <v>1076</v>
      </c>
      <c r="C3" s="24">
        <v>55</v>
      </c>
      <c r="D3" s="24">
        <v>97</v>
      </c>
      <c r="E3" s="24">
        <f>SUM(C3:D3)</f>
        <v>152</v>
      </c>
      <c r="F3" s="42"/>
      <c r="G3" s="24"/>
      <c r="H3" s="24"/>
      <c r="I3" s="24"/>
      <c r="J3" s="42"/>
      <c r="K3" s="24"/>
      <c r="L3" s="24"/>
      <c r="M3" s="24"/>
    </row>
    <row r="4" spans="2:13">
      <c r="B4" s="42" t="s">
        <v>1075</v>
      </c>
      <c r="C4" s="24">
        <v>103</v>
      </c>
      <c r="D4" s="24">
        <v>100</v>
      </c>
      <c r="E4" s="24">
        <f t="shared" ref="E4:E9" si="0">SUM(C4:D4)</f>
        <v>203</v>
      </c>
      <c r="F4" s="42"/>
      <c r="G4" s="24"/>
      <c r="H4" s="24"/>
      <c r="I4" s="24"/>
    </row>
    <row r="5" spans="2:13">
      <c r="B5" s="42" t="s">
        <v>1077</v>
      </c>
      <c r="C5" s="24">
        <v>164</v>
      </c>
      <c r="D5" s="24">
        <v>420</v>
      </c>
      <c r="E5" s="24">
        <f t="shared" si="0"/>
        <v>584</v>
      </c>
      <c r="F5" s="42"/>
      <c r="G5" s="24"/>
      <c r="H5" s="24"/>
      <c r="I5" s="24"/>
      <c r="J5" s="42"/>
      <c r="K5" s="24"/>
      <c r="L5" s="24"/>
      <c r="M5" s="24"/>
    </row>
    <row r="6" spans="2:13">
      <c r="B6" s="42" t="s">
        <v>1078</v>
      </c>
      <c r="C6" s="24">
        <v>186</v>
      </c>
      <c r="D6" s="24">
        <v>110</v>
      </c>
      <c r="E6" s="24">
        <f t="shared" si="0"/>
        <v>296</v>
      </c>
      <c r="F6" s="42"/>
      <c r="G6" s="24"/>
      <c r="H6" s="24"/>
      <c r="I6" s="24"/>
      <c r="J6" s="42"/>
      <c r="K6" s="24"/>
      <c r="L6" s="24"/>
      <c r="M6" s="24"/>
    </row>
    <row r="7" spans="2:13">
      <c r="B7" s="42" t="s">
        <v>1079</v>
      </c>
      <c r="C7" s="24">
        <v>458</v>
      </c>
      <c r="D7" s="24">
        <v>232</v>
      </c>
      <c r="E7" s="24">
        <f t="shared" si="0"/>
        <v>690</v>
      </c>
      <c r="F7" s="42"/>
      <c r="G7" s="24"/>
      <c r="H7" s="24"/>
      <c r="I7" s="24"/>
      <c r="J7" s="42"/>
      <c r="K7" s="24"/>
      <c r="L7" s="24"/>
      <c r="M7" s="24"/>
    </row>
    <row r="8" spans="2:13">
      <c r="B8" s="42" t="s">
        <v>346</v>
      </c>
      <c r="C8" s="24">
        <v>501</v>
      </c>
      <c r="D8" s="24">
        <v>842</v>
      </c>
      <c r="E8" s="24">
        <f t="shared" si="0"/>
        <v>1343</v>
      </c>
      <c r="F8" s="42"/>
      <c r="G8" s="24"/>
      <c r="H8" s="24"/>
      <c r="I8" s="24"/>
      <c r="J8" s="42"/>
      <c r="K8" s="24"/>
      <c r="L8" s="24"/>
      <c r="M8" s="24"/>
    </row>
    <row r="9" spans="2:13">
      <c r="B9" s="42" t="s">
        <v>1080</v>
      </c>
      <c r="C9" s="24">
        <v>1687</v>
      </c>
      <c r="D9" s="24">
        <v>993</v>
      </c>
      <c r="E9" s="24">
        <f t="shared" si="0"/>
        <v>2680</v>
      </c>
      <c r="F9" s="42"/>
      <c r="G9" s="24"/>
      <c r="H9" s="24"/>
      <c r="I9" s="24"/>
      <c r="J9" s="42"/>
      <c r="K9" s="24"/>
      <c r="L9" s="24"/>
      <c r="M9" s="24"/>
    </row>
    <row r="10" spans="2:13">
      <c r="F10" s="42"/>
    </row>
  </sheetData>
  <printOptions horizontalCentered="1" verticalCentered="1"/>
  <pageMargins left="0" right="0" top="0" bottom="0" header="0.31496062992125984" footer="0.31496062992125984"/>
  <pageSetup paperSize="9" scale="95" orientation="landscape" r:id="rId1"/>
  <drawing r:id="rId2"/>
</worksheet>
</file>

<file path=xl/worksheets/sheet57.xml><?xml version="1.0" encoding="utf-8"?>
<worksheet xmlns="http://schemas.openxmlformats.org/spreadsheetml/2006/main" xmlns:r="http://schemas.openxmlformats.org/officeDocument/2006/relationships">
  <dimension ref="A1:J86"/>
  <sheetViews>
    <sheetView workbookViewId="0">
      <selection activeCell="A2" sqref="A2"/>
    </sheetView>
  </sheetViews>
  <sheetFormatPr baseColWidth="10" defaultColWidth="8.85546875" defaultRowHeight="14.25"/>
  <cols>
    <col min="1" max="1" width="60.5703125" style="196" customWidth="1"/>
    <col min="2" max="2" width="10.7109375" style="371" customWidth="1"/>
    <col min="3" max="3" width="10.7109375" style="372" customWidth="1"/>
    <col min="4" max="4" width="3.5703125" style="206" customWidth="1"/>
    <col min="5" max="5" width="8.85546875" style="371" customWidth="1"/>
    <col min="6" max="6" width="8.85546875" style="372" customWidth="1"/>
    <col min="7" max="7" width="3.5703125" style="206" customWidth="1"/>
    <col min="8" max="8" width="10" style="371" customWidth="1"/>
    <col min="9" max="9" width="10" style="372" customWidth="1"/>
    <col min="10" max="10" width="2.5703125" style="373" customWidth="1"/>
    <col min="11" max="256" width="8.85546875" style="208"/>
    <col min="257" max="257" width="64.5703125" style="208" customWidth="1"/>
    <col min="258" max="259" width="11.7109375" style="208" customWidth="1"/>
    <col min="260" max="260" width="3.5703125" style="208" customWidth="1"/>
    <col min="261" max="262" width="9.7109375" style="208" customWidth="1"/>
    <col min="263" max="263" width="3.5703125" style="208" customWidth="1"/>
    <col min="264" max="264" width="9.7109375" style="208" customWidth="1"/>
    <col min="265" max="265" width="11.7109375" style="208" customWidth="1"/>
    <col min="266" max="266" width="2.5703125" style="208" customWidth="1"/>
    <col min="267" max="512" width="8.85546875" style="208"/>
    <col min="513" max="513" width="64.5703125" style="208" customWidth="1"/>
    <col min="514" max="515" width="11.7109375" style="208" customWidth="1"/>
    <col min="516" max="516" width="3.5703125" style="208" customWidth="1"/>
    <col min="517" max="518" width="9.7109375" style="208" customWidth="1"/>
    <col min="519" max="519" width="3.5703125" style="208" customWidth="1"/>
    <col min="520" max="520" width="9.7109375" style="208" customWidth="1"/>
    <col min="521" max="521" width="11.7109375" style="208" customWidth="1"/>
    <col min="522" max="522" width="2.5703125" style="208" customWidth="1"/>
    <col min="523" max="768" width="8.85546875" style="208"/>
    <col min="769" max="769" width="64.5703125" style="208" customWidth="1"/>
    <col min="770" max="771" width="11.7109375" style="208" customWidth="1"/>
    <col min="772" max="772" width="3.5703125" style="208" customWidth="1"/>
    <col min="773" max="774" width="9.7109375" style="208" customWidth="1"/>
    <col min="775" max="775" width="3.5703125" style="208" customWidth="1"/>
    <col min="776" max="776" width="9.7109375" style="208" customWidth="1"/>
    <col min="777" max="777" width="11.7109375" style="208" customWidth="1"/>
    <col min="778" max="778" width="2.5703125" style="208" customWidth="1"/>
    <col min="779" max="1024" width="8.85546875" style="208"/>
    <col min="1025" max="1025" width="64.5703125" style="208" customWidth="1"/>
    <col min="1026" max="1027" width="11.7109375" style="208" customWidth="1"/>
    <col min="1028" max="1028" width="3.5703125" style="208" customWidth="1"/>
    <col min="1029" max="1030" width="9.7109375" style="208" customWidth="1"/>
    <col min="1031" max="1031" width="3.5703125" style="208" customWidth="1"/>
    <col min="1032" max="1032" width="9.7109375" style="208" customWidth="1"/>
    <col min="1033" max="1033" width="11.7109375" style="208" customWidth="1"/>
    <col min="1034" max="1034" width="2.5703125" style="208" customWidth="1"/>
    <col min="1035" max="1280" width="8.85546875" style="208"/>
    <col min="1281" max="1281" width="64.5703125" style="208" customWidth="1"/>
    <col min="1282" max="1283" width="11.7109375" style="208" customWidth="1"/>
    <col min="1284" max="1284" width="3.5703125" style="208" customWidth="1"/>
    <col min="1285" max="1286" width="9.7109375" style="208" customWidth="1"/>
    <col min="1287" max="1287" width="3.5703125" style="208" customWidth="1"/>
    <col min="1288" max="1288" width="9.7109375" style="208" customWidth="1"/>
    <col min="1289" max="1289" width="11.7109375" style="208" customWidth="1"/>
    <col min="1290" max="1290" width="2.5703125" style="208" customWidth="1"/>
    <col min="1291" max="1536" width="8.85546875" style="208"/>
    <col min="1537" max="1537" width="64.5703125" style="208" customWidth="1"/>
    <col min="1538" max="1539" width="11.7109375" style="208" customWidth="1"/>
    <col min="1540" max="1540" width="3.5703125" style="208" customWidth="1"/>
    <col min="1541" max="1542" width="9.7109375" style="208" customWidth="1"/>
    <col min="1543" max="1543" width="3.5703125" style="208" customWidth="1"/>
    <col min="1544" max="1544" width="9.7109375" style="208" customWidth="1"/>
    <col min="1545" max="1545" width="11.7109375" style="208" customWidth="1"/>
    <col min="1546" max="1546" width="2.5703125" style="208" customWidth="1"/>
    <col min="1547" max="1792" width="8.85546875" style="208"/>
    <col min="1793" max="1793" width="64.5703125" style="208" customWidth="1"/>
    <col min="1794" max="1795" width="11.7109375" style="208" customWidth="1"/>
    <col min="1796" max="1796" width="3.5703125" style="208" customWidth="1"/>
    <col min="1797" max="1798" width="9.7109375" style="208" customWidth="1"/>
    <col min="1799" max="1799" width="3.5703125" style="208" customWidth="1"/>
    <col min="1800" max="1800" width="9.7109375" style="208" customWidth="1"/>
    <col min="1801" max="1801" width="11.7109375" style="208" customWidth="1"/>
    <col min="1802" max="1802" width="2.5703125" style="208" customWidth="1"/>
    <col min="1803" max="2048" width="8.85546875" style="208"/>
    <col min="2049" max="2049" width="64.5703125" style="208" customWidth="1"/>
    <col min="2050" max="2051" width="11.7109375" style="208" customWidth="1"/>
    <col min="2052" max="2052" width="3.5703125" style="208" customWidth="1"/>
    <col min="2053" max="2054" width="9.7109375" style="208" customWidth="1"/>
    <col min="2055" max="2055" width="3.5703125" style="208" customWidth="1"/>
    <col min="2056" max="2056" width="9.7109375" style="208" customWidth="1"/>
    <col min="2057" max="2057" width="11.7109375" style="208" customWidth="1"/>
    <col min="2058" max="2058" width="2.5703125" style="208" customWidth="1"/>
    <col min="2059" max="2304" width="8.85546875" style="208"/>
    <col min="2305" max="2305" width="64.5703125" style="208" customWidth="1"/>
    <col min="2306" max="2307" width="11.7109375" style="208" customWidth="1"/>
    <col min="2308" max="2308" width="3.5703125" style="208" customWidth="1"/>
    <col min="2309" max="2310" width="9.7109375" style="208" customWidth="1"/>
    <col min="2311" max="2311" width="3.5703125" style="208" customWidth="1"/>
    <col min="2312" max="2312" width="9.7109375" style="208" customWidth="1"/>
    <col min="2313" max="2313" width="11.7109375" style="208" customWidth="1"/>
    <col min="2314" max="2314" width="2.5703125" style="208" customWidth="1"/>
    <col min="2315" max="2560" width="8.85546875" style="208"/>
    <col min="2561" max="2561" width="64.5703125" style="208" customWidth="1"/>
    <col min="2562" max="2563" width="11.7109375" style="208" customWidth="1"/>
    <col min="2564" max="2564" width="3.5703125" style="208" customWidth="1"/>
    <col min="2565" max="2566" width="9.7109375" style="208" customWidth="1"/>
    <col min="2567" max="2567" width="3.5703125" style="208" customWidth="1"/>
    <col min="2568" max="2568" width="9.7109375" style="208" customWidth="1"/>
    <col min="2569" max="2569" width="11.7109375" style="208" customWidth="1"/>
    <col min="2570" max="2570" width="2.5703125" style="208" customWidth="1"/>
    <col min="2571" max="2816" width="8.85546875" style="208"/>
    <col min="2817" max="2817" width="64.5703125" style="208" customWidth="1"/>
    <col min="2818" max="2819" width="11.7109375" style="208" customWidth="1"/>
    <col min="2820" max="2820" width="3.5703125" style="208" customWidth="1"/>
    <col min="2821" max="2822" width="9.7109375" style="208" customWidth="1"/>
    <col min="2823" max="2823" width="3.5703125" style="208" customWidth="1"/>
    <col min="2824" max="2824" width="9.7109375" style="208" customWidth="1"/>
    <col min="2825" max="2825" width="11.7109375" style="208" customWidth="1"/>
    <col min="2826" max="2826" width="2.5703125" style="208" customWidth="1"/>
    <col min="2827" max="3072" width="8.85546875" style="208"/>
    <col min="3073" max="3073" width="64.5703125" style="208" customWidth="1"/>
    <col min="3074" max="3075" width="11.7109375" style="208" customWidth="1"/>
    <col min="3076" max="3076" width="3.5703125" style="208" customWidth="1"/>
    <col min="3077" max="3078" width="9.7109375" style="208" customWidth="1"/>
    <col min="3079" max="3079" width="3.5703125" style="208" customWidth="1"/>
    <col min="3080" max="3080" width="9.7109375" style="208" customWidth="1"/>
    <col min="3081" max="3081" width="11.7109375" style="208" customWidth="1"/>
    <col min="3082" max="3082" width="2.5703125" style="208" customWidth="1"/>
    <col min="3083" max="3328" width="8.85546875" style="208"/>
    <col min="3329" max="3329" width="64.5703125" style="208" customWidth="1"/>
    <col min="3330" max="3331" width="11.7109375" style="208" customWidth="1"/>
    <col min="3332" max="3332" width="3.5703125" style="208" customWidth="1"/>
    <col min="3333" max="3334" width="9.7109375" style="208" customWidth="1"/>
    <col min="3335" max="3335" width="3.5703125" style="208" customWidth="1"/>
    <col min="3336" max="3336" width="9.7109375" style="208" customWidth="1"/>
    <col min="3337" max="3337" width="11.7109375" style="208" customWidth="1"/>
    <col min="3338" max="3338" width="2.5703125" style="208" customWidth="1"/>
    <col min="3339" max="3584" width="8.85546875" style="208"/>
    <col min="3585" max="3585" width="64.5703125" style="208" customWidth="1"/>
    <col min="3586" max="3587" width="11.7109375" style="208" customWidth="1"/>
    <col min="3588" max="3588" width="3.5703125" style="208" customWidth="1"/>
    <col min="3589" max="3590" width="9.7109375" style="208" customWidth="1"/>
    <col min="3591" max="3591" width="3.5703125" style="208" customWidth="1"/>
    <col min="3592" max="3592" width="9.7109375" style="208" customWidth="1"/>
    <col min="3593" max="3593" width="11.7109375" style="208" customWidth="1"/>
    <col min="3594" max="3594" width="2.5703125" style="208" customWidth="1"/>
    <col min="3595" max="3840" width="8.85546875" style="208"/>
    <col min="3841" max="3841" width="64.5703125" style="208" customWidth="1"/>
    <col min="3842" max="3843" width="11.7109375" style="208" customWidth="1"/>
    <col min="3844" max="3844" width="3.5703125" style="208" customWidth="1"/>
    <col min="3845" max="3846" width="9.7109375" style="208" customWidth="1"/>
    <col min="3847" max="3847" width="3.5703125" style="208" customWidth="1"/>
    <col min="3848" max="3848" width="9.7109375" style="208" customWidth="1"/>
    <col min="3849" max="3849" width="11.7109375" style="208" customWidth="1"/>
    <col min="3850" max="3850" width="2.5703125" style="208" customWidth="1"/>
    <col min="3851" max="4096" width="8.85546875" style="208"/>
    <col min="4097" max="4097" width="64.5703125" style="208" customWidth="1"/>
    <col min="4098" max="4099" width="11.7109375" style="208" customWidth="1"/>
    <col min="4100" max="4100" width="3.5703125" style="208" customWidth="1"/>
    <col min="4101" max="4102" width="9.7109375" style="208" customWidth="1"/>
    <col min="4103" max="4103" width="3.5703125" style="208" customWidth="1"/>
    <col min="4104" max="4104" width="9.7109375" style="208" customWidth="1"/>
    <col min="4105" max="4105" width="11.7109375" style="208" customWidth="1"/>
    <col min="4106" max="4106" width="2.5703125" style="208" customWidth="1"/>
    <col min="4107" max="4352" width="8.85546875" style="208"/>
    <col min="4353" max="4353" width="64.5703125" style="208" customWidth="1"/>
    <col min="4354" max="4355" width="11.7109375" style="208" customWidth="1"/>
    <col min="4356" max="4356" width="3.5703125" style="208" customWidth="1"/>
    <col min="4357" max="4358" width="9.7109375" style="208" customWidth="1"/>
    <col min="4359" max="4359" width="3.5703125" style="208" customWidth="1"/>
    <col min="4360" max="4360" width="9.7109375" style="208" customWidth="1"/>
    <col min="4361" max="4361" width="11.7109375" style="208" customWidth="1"/>
    <col min="4362" max="4362" width="2.5703125" style="208" customWidth="1"/>
    <col min="4363" max="4608" width="8.85546875" style="208"/>
    <col min="4609" max="4609" width="64.5703125" style="208" customWidth="1"/>
    <col min="4610" max="4611" width="11.7109375" style="208" customWidth="1"/>
    <col min="4612" max="4612" width="3.5703125" style="208" customWidth="1"/>
    <col min="4613" max="4614" width="9.7109375" style="208" customWidth="1"/>
    <col min="4615" max="4615" width="3.5703125" style="208" customWidth="1"/>
    <col min="4616" max="4616" width="9.7109375" style="208" customWidth="1"/>
    <col min="4617" max="4617" width="11.7109375" style="208" customWidth="1"/>
    <col min="4618" max="4618" width="2.5703125" style="208" customWidth="1"/>
    <col min="4619" max="4864" width="8.85546875" style="208"/>
    <col min="4865" max="4865" width="64.5703125" style="208" customWidth="1"/>
    <col min="4866" max="4867" width="11.7109375" style="208" customWidth="1"/>
    <col min="4868" max="4868" width="3.5703125" style="208" customWidth="1"/>
    <col min="4869" max="4870" width="9.7109375" style="208" customWidth="1"/>
    <col min="4871" max="4871" width="3.5703125" style="208" customWidth="1"/>
    <col min="4872" max="4872" width="9.7109375" style="208" customWidth="1"/>
    <col min="4873" max="4873" width="11.7109375" style="208" customWidth="1"/>
    <col min="4874" max="4874" width="2.5703125" style="208" customWidth="1"/>
    <col min="4875" max="5120" width="8.85546875" style="208"/>
    <col min="5121" max="5121" width="64.5703125" style="208" customWidth="1"/>
    <col min="5122" max="5123" width="11.7109375" style="208" customWidth="1"/>
    <col min="5124" max="5124" width="3.5703125" style="208" customWidth="1"/>
    <col min="5125" max="5126" width="9.7109375" style="208" customWidth="1"/>
    <col min="5127" max="5127" width="3.5703125" style="208" customWidth="1"/>
    <col min="5128" max="5128" width="9.7109375" style="208" customWidth="1"/>
    <col min="5129" max="5129" width="11.7109375" style="208" customWidth="1"/>
    <col min="5130" max="5130" width="2.5703125" style="208" customWidth="1"/>
    <col min="5131" max="5376" width="8.85546875" style="208"/>
    <col min="5377" max="5377" width="64.5703125" style="208" customWidth="1"/>
    <col min="5378" max="5379" width="11.7109375" style="208" customWidth="1"/>
    <col min="5380" max="5380" width="3.5703125" style="208" customWidth="1"/>
    <col min="5381" max="5382" width="9.7109375" style="208" customWidth="1"/>
    <col min="5383" max="5383" width="3.5703125" style="208" customWidth="1"/>
    <col min="5384" max="5384" width="9.7109375" style="208" customWidth="1"/>
    <col min="5385" max="5385" width="11.7109375" style="208" customWidth="1"/>
    <col min="5386" max="5386" width="2.5703125" style="208" customWidth="1"/>
    <col min="5387" max="5632" width="8.85546875" style="208"/>
    <col min="5633" max="5633" width="64.5703125" style="208" customWidth="1"/>
    <col min="5634" max="5635" width="11.7109375" style="208" customWidth="1"/>
    <col min="5636" max="5636" width="3.5703125" style="208" customWidth="1"/>
    <col min="5637" max="5638" width="9.7109375" style="208" customWidth="1"/>
    <col min="5639" max="5639" width="3.5703125" style="208" customWidth="1"/>
    <col min="5640" max="5640" width="9.7109375" style="208" customWidth="1"/>
    <col min="5641" max="5641" width="11.7109375" style="208" customWidth="1"/>
    <col min="5642" max="5642" width="2.5703125" style="208" customWidth="1"/>
    <col min="5643" max="5888" width="8.85546875" style="208"/>
    <col min="5889" max="5889" width="64.5703125" style="208" customWidth="1"/>
    <col min="5890" max="5891" width="11.7109375" style="208" customWidth="1"/>
    <col min="5892" max="5892" width="3.5703125" style="208" customWidth="1"/>
    <col min="5893" max="5894" width="9.7109375" style="208" customWidth="1"/>
    <col min="5895" max="5895" width="3.5703125" style="208" customWidth="1"/>
    <col min="5896" max="5896" width="9.7109375" style="208" customWidth="1"/>
    <col min="5897" max="5897" width="11.7109375" style="208" customWidth="1"/>
    <col min="5898" max="5898" width="2.5703125" style="208" customWidth="1"/>
    <col min="5899" max="6144" width="8.85546875" style="208"/>
    <col min="6145" max="6145" width="64.5703125" style="208" customWidth="1"/>
    <col min="6146" max="6147" width="11.7109375" style="208" customWidth="1"/>
    <col min="6148" max="6148" width="3.5703125" style="208" customWidth="1"/>
    <col min="6149" max="6150" width="9.7109375" style="208" customWidth="1"/>
    <col min="6151" max="6151" width="3.5703125" style="208" customWidth="1"/>
    <col min="6152" max="6152" width="9.7109375" style="208" customWidth="1"/>
    <col min="6153" max="6153" width="11.7109375" style="208" customWidth="1"/>
    <col min="6154" max="6154" width="2.5703125" style="208" customWidth="1"/>
    <col min="6155" max="6400" width="8.85546875" style="208"/>
    <col min="6401" max="6401" width="64.5703125" style="208" customWidth="1"/>
    <col min="6402" max="6403" width="11.7109375" style="208" customWidth="1"/>
    <col min="6404" max="6404" width="3.5703125" style="208" customWidth="1"/>
    <col min="6405" max="6406" width="9.7109375" style="208" customWidth="1"/>
    <col min="6407" max="6407" width="3.5703125" style="208" customWidth="1"/>
    <col min="6408" max="6408" width="9.7109375" style="208" customWidth="1"/>
    <col min="6409" max="6409" width="11.7109375" style="208" customWidth="1"/>
    <col min="6410" max="6410" width="2.5703125" style="208" customWidth="1"/>
    <col min="6411" max="6656" width="8.85546875" style="208"/>
    <col min="6657" max="6657" width="64.5703125" style="208" customWidth="1"/>
    <col min="6658" max="6659" width="11.7109375" style="208" customWidth="1"/>
    <col min="6660" max="6660" width="3.5703125" style="208" customWidth="1"/>
    <col min="6661" max="6662" width="9.7109375" style="208" customWidth="1"/>
    <col min="6663" max="6663" width="3.5703125" style="208" customWidth="1"/>
    <col min="6664" max="6664" width="9.7109375" style="208" customWidth="1"/>
    <col min="6665" max="6665" width="11.7109375" style="208" customWidth="1"/>
    <col min="6666" max="6666" width="2.5703125" style="208" customWidth="1"/>
    <col min="6667" max="6912" width="8.85546875" style="208"/>
    <col min="6913" max="6913" width="64.5703125" style="208" customWidth="1"/>
    <col min="6914" max="6915" width="11.7109375" style="208" customWidth="1"/>
    <col min="6916" max="6916" width="3.5703125" style="208" customWidth="1"/>
    <col min="6917" max="6918" width="9.7109375" style="208" customWidth="1"/>
    <col min="6919" max="6919" width="3.5703125" style="208" customWidth="1"/>
    <col min="6920" max="6920" width="9.7109375" style="208" customWidth="1"/>
    <col min="6921" max="6921" width="11.7109375" style="208" customWidth="1"/>
    <col min="6922" max="6922" width="2.5703125" style="208" customWidth="1"/>
    <col min="6923" max="7168" width="8.85546875" style="208"/>
    <col min="7169" max="7169" width="64.5703125" style="208" customWidth="1"/>
    <col min="7170" max="7171" width="11.7109375" style="208" customWidth="1"/>
    <col min="7172" max="7172" width="3.5703125" style="208" customWidth="1"/>
    <col min="7173" max="7174" width="9.7109375" style="208" customWidth="1"/>
    <col min="7175" max="7175" width="3.5703125" style="208" customWidth="1"/>
    <col min="7176" max="7176" width="9.7109375" style="208" customWidth="1"/>
    <col min="7177" max="7177" width="11.7109375" style="208" customWidth="1"/>
    <col min="7178" max="7178" width="2.5703125" style="208" customWidth="1"/>
    <col min="7179" max="7424" width="8.85546875" style="208"/>
    <col min="7425" max="7425" width="64.5703125" style="208" customWidth="1"/>
    <col min="7426" max="7427" width="11.7109375" style="208" customWidth="1"/>
    <col min="7428" max="7428" width="3.5703125" style="208" customWidth="1"/>
    <col min="7429" max="7430" width="9.7109375" style="208" customWidth="1"/>
    <col min="7431" max="7431" width="3.5703125" style="208" customWidth="1"/>
    <col min="7432" max="7432" width="9.7109375" style="208" customWidth="1"/>
    <col min="7433" max="7433" width="11.7109375" style="208" customWidth="1"/>
    <col min="7434" max="7434" width="2.5703125" style="208" customWidth="1"/>
    <col min="7435" max="7680" width="8.85546875" style="208"/>
    <col min="7681" max="7681" width="64.5703125" style="208" customWidth="1"/>
    <col min="7682" max="7683" width="11.7109375" style="208" customWidth="1"/>
    <col min="7684" max="7684" width="3.5703125" style="208" customWidth="1"/>
    <col min="7685" max="7686" width="9.7109375" style="208" customWidth="1"/>
    <col min="7687" max="7687" width="3.5703125" style="208" customWidth="1"/>
    <col min="7688" max="7688" width="9.7109375" style="208" customWidth="1"/>
    <col min="7689" max="7689" width="11.7109375" style="208" customWidth="1"/>
    <col min="7690" max="7690" width="2.5703125" style="208" customWidth="1"/>
    <col min="7691" max="7936" width="8.85546875" style="208"/>
    <col min="7937" max="7937" width="64.5703125" style="208" customWidth="1"/>
    <col min="7938" max="7939" width="11.7109375" style="208" customWidth="1"/>
    <col min="7940" max="7940" width="3.5703125" style="208" customWidth="1"/>
    <col min="7941" max="7942" width="9.7109375" style="208" customWidth="1"/>
    <col min="7943" max="7943" width="3.5703125" style="208" customWidth="1"/>
    <col min="7944" max="7944" width="9.7109375" style="208" customWidth="1"/>
    <col min="7945" max="7945" width="11.7109375" style="208" customWidth="1"/>
    <col min="7946" max="7946" width="2.5703125" style="208" customWidth="1"/>
    <col min="7947" max="8192" width="8.85546875" style="208"/>
    <col min="8193" max="8193" width="64.5703125" style="208" customWidth="1"/>
    <col min="8194" max="8195" width="11.7109375" style="208" customWidth="1"/>
    <col min="8196" max="8196" width="3.5703125" style="208" customWidth="1"/>
    <col min="8197" max="8198" width="9.7109375" style="208" customWidth="1"/>
    <col min="8199" max="8199" width="3.5703125" style="208" customWidth="1"/>
    <col min="8200" max="8200" width="9.7109375" style="208" customWidth="1"/>
    <col min="8201" max="8201" width="11.7109375" style="208" customWidth="1"/>
    <col min="8202" max="8202" width="2.5703125" style="208" customWidth="1"/>
    <col min="8203" max="8448" width="8.85546875" style="208"/>
    <col min="8449" max="8449" width="64.5703125" style="208" customWidth="1"/>
    <col min="8450" max="8451" width="11.7109375" style="208" customWidth="1"/>
    <col min="8452" max="8452" width="3.5703125" style="208" customWidth="1"/>
    <col min="8453" max="8454" width="9.7109375" style="208" customWidth="1"/>
    <col min="8455" max="8455" width="3.5703125" style="208" customWidth="1"/>
    <col min="8456" max="8456" width="9.7109375" style="208" customWidth="1"/>
    <col min="8457" max="8457" width="11.7109375" style="208" customWidth="1"/>
    <col min="8458" max="8458" width="2.5703125" style="208" customWidth="1"/>
    <col min="8459" max="8704" width="8.85546875" style="208"/>
    <col min="8705" max="8705" width="64.5703125" style="208" customWidth="1"/>
    <col min="8706" max="8707" width="11.7109375" style="208" customWidth="1"/>
    <col min="8708" max="8708" width="3.5703125" style="208" customWidth="1"/>
    <col min="8709" max="8710" width="9.7109375" style="208" customWidth="1"/>
    <col min="8711" max="8711" width="3.5703125" style="208" customWidth="1"/>
    <col min="8712" max="8712" width="9.7109375" style="208" customWidth="1"/>
    <col min="8713" max="8713" width="11.7109375" style="208" customWidth="1"/>
    <col min="8714" max="8714" width="2.5703125" style="208" customWidth="1"/>
    <col min="8715" max="8960" width="8.85546875" style="208"/>
    <col min="8961" max="8961" width="64.5703125" style="208" customWidth="1"/>
    <col min="8962" max="8963" width="11.7109375" style="208" customWidth="1"/>
    <col min="8964" max="8964" width="3.5703125" style="208" customWidth="1"/>
    <col min="8965" max="8966" width="9.7109375" style="208" customWidth="1"/>
    <col min="8967" max="8967" width="3.5703125" style="208" customWidth="1"/>
    <col min="8968" max="8968" width="9.7109375" style="208" customWidth="1"/>
    <col min="8969" max="8969" width="11.7109375" style="208" customWidth="1"/>
    <col min="8970" max="8970" width="2.5703125" style="208" customWidth="1"/>
    <col min="8971" max="9216" width="8.85546875" style="208"/>
    <col min="9217" max="9217" width="64.5703125" style="208" customWidth="1"/>
    <col min="9218" max="9219" width="11.7109375" style="208" customWidth="1"/>
    <col min="9220" max="9220" width="3.5703125" style="208" customWidth="1"/>
    <col min="9221" max="9222" width="9.7109375" style="208" customWidth="1"/>
    <col min="9223" max="9223" width="3.5703125" style="208" customWidth="1"/>
    <col min="9224" max="9224" width="9.7109375" style="208" customWidth="1"/>
    <col min="9225" max="9225" width="11.7109375" style="208" customWidth="1"/>
    <col min="9226" max="9226" width="2.5703125" style="208" customWidth="1"/>
    <col min="9227" max="9472" width="8.85546875" style="208"/>
    <col min="9473" max="9473" width="64.5703125" style="208" customWidth="1"/>
    <col min="9474" max="9475" width="11.7109375" style="208" customWidth="1"/>
    <col min="9476" max="9476" width="3.5703125" style="208" customWidth="1"/>
    <col min="9477" max="9478" width="9.7109375" style="208" customWidth="1"/>
    <col min="9479" max="9479" width="3.5703125" style="208" customWidth="1"/>
    <col min="9480" max="9480" width="9.7109375" style="208" customWidth="1"/>
    <col min="9481" max="9481" width="11.7109375" style="208" customWidth="1"/>
    <col min="9482" max="9482" width="2.5703125" style="208" customWidth="1"/>
    <col min="9483" max="9728" width="8.85546875" style="208"/>
    <col min="9729" max="9729" width="64.5703125" style="208" customWidth="1"/>
    <col min="9730" max="9731" width="11.7109375" style="208" customWidth="1"/>
    <col min="9732" max="9732" width="3.5703125" style="208" customWidth="1"/>
    <col min="9733" max="9734" width="9.7109375" style="208" customWidth="1"/>
    <col min="9735" max="9735" width="3.5703125" style="208" customWidth="1"/>
    <col min="9736" max="9736" width="9.7109375" style="208" customWidth="1"/>
    <col min="9737" max="9737" width="11.7109375" style="208" customWidth="1"/>
    <col min="9738" max="9738" width="2.5703125" style="208" customWidth="1"/>
    <col min="9739" max="9984" width="8.85546875" style="208"/>
    <col min="9985" max="9985" width="64.5703125" style="208" customWidth="1"/>
    <col min="9986" max="9987" width="11.7109375" style="208" customWidth="1"/>
    <col min="9988" max="9988" width="3.5703125" style="208" customWidth="1"/>
    <col min="9989" max="9990" width="9.7109375" style="208" customWidth="1"/>
    <col min="9991" max="9991" width="3.5703125" style="208" customWidth="1"/>
    <col min="9992" max="9992" width="9.7109375" style="208" customWidth="1"/>
    <col min="9993" max="9993" width="11.7109375" style="208" customWidth="1"/>
    <col min="9994" max="9994" width="2.5703125" style="208" customWidth="1"/>
    <col min="9995" max="10240" width="8.85546875" style="208"/>
    <col min="10241" max="10241" width="64.5703125" style="208" customWidth="1"/>
    <col min="10242" max="10243" width="11.7109375" style="208" customWidth="1"/>
    <col min="10244" max="10244" width="3.5703125" style="208" customWidth="1"/>
    <col min="10245" max="10246" width="9.7109375" style="208" customWidth="1"/>
    <col min="10247" max="10247" width="3.5703125" style="208" customWidth="1"/>
    <col min="10248" max="10248" width="9.7109375" style="208" customWidth="1"/>
    <col min="10249" max="10249" width="11.7109375" style="208" customWidth="1"/>
    <col min="10250" max="10250" width="2.5703125" style="208" customWidth="1"/>
    <col min="10251" max="10496" width="8.85546875" style="208"/>
    <col min="10497" max="10497" width="64.5703125" style="208" customWidth="1"/>
    <col min="10498" max="10499" width="11.7109375" style="208" customWidth="1"/>
    <col min="10500" max="10500" width="3.5703125" style="208" customWidth="1"/>
    <col min="10501" max="10502" width="9.7109375" style="208" customWidth="1"/>
    <col min="10503" max="10503" width="3.5703125" style="208" customWidth="1"/>
    <col min="10504" max="10504" width="9.7109375" style="208" customWidth="1"/>
    <col min="10505" max="10505" width="11.7109375" style="208" customWidth="1"/>
    <col min="10506" max="10506" width="2.5703125" style="208" customWidth="1"/>
    <col min="10507" max="10752" width="8.85546875" style="208"/>
    <col min="10753" max="10753" width="64.5703125" style="208" customWidth="1"/>
    <col min="10754" max="10755" width="11.7109375" style="208" customWidth="1"/>
    <col min="10756" max="10756" width="3.5703125" style="208" customWidth="1"/>
    <col min="10757" max="10758" width="9.7109375" style="208" customWidth="1"/>
    <col min="10759" max="10759" width="3.5703125" style="208" customWidth="1"/>
    <col min="10760" max="10760" width="9.7109375" style="208" customWidth="1"/>
    <col min="10761" max="10761" width="11.7109375" style="208" customWidth="1"/>
    <col min="10762" max="10762" width="2.5703125" style="208" customWidth="1"/>
    <col min="10763" max="11008" width="8.85546875" style="208"/>
    <col min="11009" max="11009" width="64.5703125" style="208" customWidth="1"/>
    <col min="11010" max="11011" width="11.7109375" style="208" customWidth="1"/>
    <col min="11012" max="11012" width="3.5703125" style="208" customWidth="1"/>
    <col min="11013" max="11014" width="9.7109375" style="208" customWidth="1"/>
    <col min="11015" max="11015" width="3.5703125" style="208" customWidth="1"/>
    <col min="11016" max="11016" width="9.7109375" style="208" customWidth="1"/>
    <col min="11017" max="11017" width="11.7109375" style="208" customWidth="1"/>
    <col min="11018" max="11018" width="2.5703125" style="208" customWidth="1"/>
    <col min="11019" max="11264" width="8.85546875" style="208"/>
    <col min="11265" max="11265" width="64.5703125" style="208" customWidth="1"/>
    <col min="11266" max="11267" width="11.7109375" style="208" customWidth="1"/>
    <col min="11268" max="11268" width="3.5703125" style="208" customWidth="1"/>
    <col min="11269" max="11270" width="9.7109375" style="208" customWidth="1"/>
    <col min="11271" max="11271" width="3.5703125" style="208" customWidth="1"/>
    <col min="11272" max="11272" width="9.7109375" style="208" customWidth="1"/>
    <col min="11273" max="11273" width="11.7109375" style="208" customWidth="1"/>
    <col min="11274" max="11274" width="2.5703125" style="208" customWidth="1"/>
    <col min="11275" max="11520" width="8.85546875" style="208"/>
    <col min="11521" max="11521" width="64.5703125" style="208" customWidth="1"/>
    <col min="11522" max="11523" width="11.7109375" style="208" customWidth="1"/>
    <col min="11524" max="11524" width="3.5703125" style="208" customWidth="1"/>
    <col min="11525" max="11526" width="9.7109375" style="208" customWidth="1"/>
    <col min="11527" max="11527" width="3.5703125" style="208" customWidth="1"/>
    <col min="11528" max="11528" width="9.7109375" style="208" customWidth="1"/>
    <col min="11529" max="11529" width="11.7109375" style="208" customWidth="1"/>
    <col min="11530" max="11530" width="2.5703125" style="208" customWidth="1"/>
    <col min="11531" max="11776" width="8.85546875" style="208"/>
    <col min="11777" max="11777" width="64.5703125" style="208" customWidth="1"/>
    <col min="11778" max="11779" width="11.7109375" style="208" customWidth="1"/>
    <col min="11780" max="11780" width="3.5703125" style="208" customWidth="1"/>
    <col min="11781" max="11782" width="9.7109375" style="208" customWidth="1"/>
    <col min="11783" max="11783" width="3.5703125" style="208" customWidth="1"/>
    <col min="11784" max="11784" width="9.7109375" style="208" customWidth="1"/>
    <col min="11785" max="11785" width="11.7109375" style="208" customWidth="1"/>
    <col min="11786" max="11786" width="2.5703125" style="208" customWidth="1"/>
    <col min="11787" max="12032" width="8.85546875" style="208"/>
    <col min="12033" max="12033" width="64.5703125" style="208" customWidth="1"/>
    <col min="12034" max="12035" width="11.7109375" style="208" customWidth="1"/>
    <col min="12036" max="12036" width="3.5703125" style="208" customWidth="1"/>
    <col min="12037" max="12038" width="9.7109375" style="208" customWidth="1"/>
    <col min="12039" max="12039" width="3.5703125" style="208" customWidth="1"/>
    <col min="12040" max="12040" width="9.7109375" style="208" customWidth="1"/>
    <col min="12041" max="12041" width="11.7109375" style="208" customWidth="1"/>
    <col min="12042" max="12042" width="2.5703125" style="208" customWidth="1"/>
    <col min="12043" max="12288" width="8.85546875" style="208"/>
    <col min="12289" max="12289" width="64.5703125" style="208" customWidth="1"/>
    <col min="12290" max="12291" width="11.7109375" style="208" customWidth="1"/>
    <col min="12292" max="12292" width="3.5703125" style="208" customWidth="1"/>
    <col min="12293" max="12294" width="9.7109375" style="208" customWidth="1"/>
    <col min="12295" max="12295" width="3.5703125" style="208" customWidth="1"/>
    <col min="12296" max="12296" width="9.7109375" style="208" customWidth="1"/>
    <col min="12297" max="12297" width="11.7109375" style="208" customWidth="1"/>
    <col min="12298" max="12298" width="2.5703125" style="208" customWidth="1"/>
    <col min="12299" max="12544" width="8.85546875" style="208"/>
    <col min="12545" max="12545" width="64.5703125" style="208" customWidth="1"/>
    <col min="12546" max="12547" width="11.7109375" style="208" customWidth="1"/>
    <col min="12548" max="12548" width="3.5703125" style="208" customWidth="1"/>
    <col min="12549" max="12550" width="9.7109375" style="208" customWidth="1"/>
    <col min="12551" max="12551" width="3.5703125" style="208" customWidth="1"/>
    <col min="12552" max="12552" width="9.7109375" style="208" customWidth="1"/>
    <col min="12553" max="12553" width="11.7109375" style="208" customWidth="1"/>
    <col min="12554" max="12554" width="2.5703125" style="208" customWidth="1"/>
    <col min="12555" max="12800" width="8.85546875" style="208"/>
    <col min="12801" max="12801" width="64.5703125" style="208" customWidth="1"/>
    <col min="12802" max="12803" width="11.7109375" style="208" customWidth="1"/>
    <col min="12804" max="12804" width="3.5703125" style="208" customWidth="1"/>
    <col min="12805" max="12806" width="9.7109375" style="208" customWidth="1"/>
    <col min="12807" max="12807" width="3.5703125" style="208" customWidth="1"/>
    <col min="12808" max="12808" width="9.7109375" style="208" customWidth="1"/>
    <col min="12809" max="12809" width="11.7109375" style="208" customWidth="1"/>
    <col min="12810" max="12810" width="2.5703125" style="208" customWidth="1"/>
    <col min="12811" max="13056" width="8.85546875" style="208"/>
    <col min="13057" max="13057" width="64.5703125" style="208" customWidth="1"/>
    <col min="13058" max="13059" width="11.7109375" style="208" customWidth="1"/>
    <col min="13060" max="13060" width="3.5703125" style="208" customWidth="1"/>
    <col min="13061" max="13062" width="9.7109375" style="208" customWidth="1"/>
    <col min="13063" max="13063" width="3.5703125" style="208" customWidth="1"/>
    <col min="13064" max="13064" width="9.7109375" style="208" customWidth="1"/>
    <col min="13065" max="13065" width="11.7109375" style="208" customWidth="1"/>
    <col min="13066" max="13066" width="2.5703125" style="208" customWidth="1"/>
    <col min="13067" max="13312" width="8.85546875" style="208"/>
    <col min="13313" max="13313" width="64.5703125" style="208" customWidth="1"/>
    <col min="13314" max="13315" width="11.7109375" style="208" customWidth="1"/>
    <col min="13316" max="13316" width="3.5703125" style="208" customWidth="1"/>
    <col min="13317" max="13318" width="9.7109375" style="208" customWidth="1"/>
    <col min="13319" max="13319" width="3.5703125" style="208" customWidth="1"/>
    <col min="13320" max="13320" width="9.7109375" style="208" customWidth="1"/>
    <col min="13321" max="13321" width="11.7109375" style="208" customWidth="1"/>
    <col min="13322" max="13322" width="2.5703125" style="208" customWidth="1"/>
    <col min="13323" max="13568" width="8.85546875" style="208"/>
    <col min="13569" max="13569" width="64.5703125" style="208" customWidth="1"/>
    <col min="13570" max="13571" width="11.7109375" style="208" customWidth="1"/>
    <col min="13572" max="13572" width="3.5703125" style="208" customWidth="1"/>
    <col min="13573" max="13574" width="9.7109375" style="208" customWidth="1"/>
    <col min="13575" max="13575" width="3.5703125" style="208" customWidth="1"/>
    <col min="13576" max="13576" width="9.7109375" style="208" customWidth="1"/>
    <col min="13577" max="13577" width="11.7109375" style="208" customWidth="1"/>
    <col min="13578" max="13578" width="2.5703125" style="208" customWidth="1"/>
    <col min="13579" max="13824" width="8.85546875" style="208"/>
    <col min="13825" max="13825" width="64.5703125" style="208" customWidth="1"/>
    <col min="13826" max="13827" width="11.7109375" style="208" customWidth="1"/>
    <col min="13828" max="13828" width="3.5703125" style="208" customWidth="1"/>
    <col min="13829" max="13830" width="9.7109375" style="208" customWidth="1"/>
    <col min="13831" max="13831" width="3.5703125" style="208" customWidth="1"/>
    <col min="13832" max="13832" width="9.7109375" style="208" customWidth="1"/>
    <col min="13833" max="13833" width="11.7109375" style="208" customWidth="1"/>
    <col min="13834" max="13834" width="2.5703125" style="208" customWidth="1"/>
    <col min="13835" max="14080" width="8.85546875" style="208"/>
    <col min="14081" max="14081" width="64.5703125" style="208" customWidth="1"/>
    <col min="14082" max="14083" width="11.7109375" style="208" customWidth="1"/>
    <col min="14084" max="14084" width="3.5703125" style="208" customWidth="1"/>
    <col min="14085" max="14086" width="9.7109375" style="208" customWidth="1"/>
    <col min="14087" max="14087" width="3.5703125" style="208" customWidth="1"/>
    <col min="14088" max="14088" width="9.7109375" style="208" customWidth="1"/>
    <col min="14089" max="14089" width="11.7109375" style="208" customWidth="1"/>
    <col min="14090" max="14090" width="2.5703125" style="208" customWidth="1"/>
    <col min="14091" max="14336" width="8.85546875" style="208"/>
    <col min="14337" max="14337" width="64.5703125" style="208" customWidth="1"/>
    <col min="14338" max="14339" width="11.7109375" style="208" customWidth="1"/>
    <col min="14340" max="14340" width="3.5703125" style="208" customWidth="1"/>
    <col min="14341" max="14342" width="9.7109375" style="208" customWidth="1"/>
    <col min="14343" max="14343" width="3.5703125" style="208" customWidth="1"/>
    <col min="14344" max="14344" width="9.7109375" style="208" customWidth="1"/>
    <col min="14345" max="14345" width="11.7109375" style="208" customWidth="1"/>
    <col min="14346" max="14346" width="2.5703125" style="208" customWidth="1"/>
    <col min="14347" max="14592" width="8.85546875" style="208"/>
    <col min="14593" max="14593" width="64.5703125" style="208" customWidth="1"/>
    <col min="14594" max="14595" width="11.7109375" style="208" customWidth="1"/>
    <col min="14596" max="14596" width="3.5703125" style="208" customWidth="1"/>
    <col min="14597" max="14598" width="9.7109375" style="208" customWidth="1"/>
    <col min="14599" max="14599" width="3.5703125" style="208" customWidth="1"/>
    <col min="14600" max="14600" width="9.7109375" style="208" customWidth="1"/>
    <col min="14601" max="14601" width="11.7109375" style="208" customWidth="1"/>
    <col min="14602" max="14602" width="2.5703125" style="208" customWidth="1"/>
    <col min="14603" max="14848" width="8.85546875" style="208"/>
    <col min="14849" max="14849" width="64.5703125" style="208" customWidth="1"/>
    <col min="14850" max="14851" width="11.7109375" style="208" customWidth="1"/>
    <col min="14852" max="14852" width="3.5703125" style="208" customWidth="1"/>
    <col min="14853" max="14854" width="9.7109375" style="208" customWidth="1"/>
    <col min="14855" max="14855" width="3.5703125" style="208" customWidth="1"/>
    <col min="14856" max="14856" width="9.7109375" style="208" customWidth="1"/>
    <col min="14857" max="14857" width="11.7109375" style="208" customWidth="1"/>
    <col min="14858" max="14858" width="2.5703125" style="208" customWidth="1"/>
    <col min="14859" max="15104" width="8.85546875" style="208"/>
    <col min="15105" max="15105" width="64.5703125" style="208" customWidth="1"/>
    <col min="15106" max="15107" width="11.7109375" style="208" customWidth="1"/>
    <col min="15108" max="15108" width="3.5703125" style="208" customWidth="1"/>
    <col min="15109" max="15110" width="9.7109375" style="208" customWidth="1"/>
    <col min="15111" max="15111" width="3.5703125" style="208" customWidth="1"/>
    <col min="15112" max="15112" width="9.7109375" style="208" customWidth="1"/>
    <col min="15113" max="15113" width="11.7109375" style="208" customWidth="1"/>
    <col min="15114" max="15114" width="2.5703125" style="208" customWidth="1"/>
    <col min="15115" max="15360" width="8.85546875" style="208"/>
    <col min="15361" max="15361" width="64.5703125" style="208" customWidth="1"/>
    <col min="15362" max="15363" width="11.7109375" style="208" customWidth="1"/>
    <col min="15364" max="15364" width="3.5703125" style="208" customWidth="1"/>
    <col min="15365" max="15366" width="9.7109375" style="208" customWidth="1"/>
    <col min="15367" max="15367" width="3.5703125" style="208" customWidth="1"/>
    <col min="15368" max="15368" width="9.7109375" style="208" customWidth="1"/>
    <col min="15369" max="15369" width="11.7109375" style="208" customWidth="1"/>
    <col min="15370" max="15370" width="2.5703125" style="208" customWidth="1"/>
    <col min="15371" max="15616" width="8.85546875" style="208"/>
    <col min="15617" max="15617" width="64.5703125" style="208" customWidth="1"/>
    <col min="15618" max="15619" width="11.7109375" style="208" customWidth="1"/>
    <col min="15620" max="15620" width="3.5703125" style="208" customWidth="1"/>
    <col min="15621" max="15622" width="9.7109375" style="208" customWidth="1"/>
    <col min="15623" max="15623" width="3.5703125" style="208" customWidth="1"/>
    <col min="15624" max="15624" width="9.7109375" style="208" customWidth="1"/>
    <col min="15625" max="15625" width="11.7109375" style="208" customWidth="1"/>
    <col min="15626" max="15626" width="2.5703125" style="208" customWidth="1"/>
    <col min="15627" max="15872" width="8.85546875" style="208"/>
    <col min="15873" max="15873" width="64.5703125" style="208" customWidth="1"/>
    <col min="15874" max="15875" width="11.7109375" style="208" customWidth="1"/>
    <col min="15876" max="15876" width="3.5703125" style="208" customWidth="1"/>
    <col min="15877" max="15878" width="9.7109375" style="208" customWidth="1"/>
    <col min="15879" max="15879" width="3.5703125" style="208" customWidth="1"/>
    <col min="15880" max="15880" width="9.7109375" style="208" customWidth="1"/>
    <col min="15881" max="15881" width="11.7109375" style="208" customWidth="1"/>
    <col min="15882" max="15882" width="2.5703125" style="208" customWidth="1"/>
    <col min="15883" max="16128" width="8.85546875" style="208"/>
    <col min="16129" max="16129" width="64.5703125" style="208" customWidth="1"/>
    <col min="16130" max="16131" width="11.7109375" style="208" customWidth="1"/>
    <col min="16132" max="16132" width="3.5703125" style="208" customWidth="1"/>
    <col min="16133" max="16134" width="9.7109375" style="208" customWidth="1"/>
    <col min="16135" max="16135" width="3.5703125" style="208" customWidth="1"/>
    <col min="16136" max="16136" width="9.7109375" style="208" customWidth="1"/>
    <col min="16137" max="16137" width="11.7109375" style="208" customWidth="1"/>
    <col min="16138" max="16138" width="2.5703125" style="208" customWidth="1"/>
    <col min="16139" max="16384" width="8.85546875" style="208"/>
  </cols>
  <sheetData>
    <row r="1" spans="1:10" ht="13.5" customHeight="1">
      <c r="A1" s="370" t="s">
        <v>311</v>
      </c>
    </row>
    <row r="2" spans="1:10" ht="13.5" customHeight="1">
      <c r="A2" s="196" t="s">
        <v>312</v>
      </c>
    </row>
    <row r="3" spans="1:10" ht="6.75" customHeight="1">
      <c r="G3" s="374"/>
    </row>
    <row r="4" spans="1:10" ht="16.899999999999999" customHeight="1">
      <c r="A4" s="196" t="s">
        <v>1018</v>
      </c>
    </row>
    <row r="5" spans="1:10" ht="7.5" customHeight="1" thickBot="1"/>
    <row r="6" spans="1:10" ht="4.5" customHeight="1">
      <c r="A6" s="375"/>
      <c r="B6" s="376"/>
      <c r="C6" s="377"/>
      <c r="D6" s="378"/>
      <c r="E6" s="376"/>
      <c r="F6" s="377"/>
      <c r="G6" s="378"/>
      <c r="H6" s="376"/>
      <c r="I6" s="377"/>
      <c r="J6" s="379"/>
    </row>
    <row r="7" spans="1:10" ht="13.9" customHeight="1">
      <c r="A7" s="380" t="s">
        <v>925</v>
      </c>
      <c r="B7" s="1293" t="s">
        <v>1094</v>
      </c>
      <c r="C7" s="1293"/>
      <c r="D7" s="381"/>
      <c r="E7" s="1293" t="s">
        <v>1012</v>
      </c>
      <c r="F7" s="1293"/>
      <c r="G7" s="381"/>
      <c r="H7" s="1293" t="s">
        <v>1013</v>
      </c>
      <c r="I7" s="1293"/>
    </row>
    <row r="8" spans="1:10" ht="13.9" customHeight="1">
      <c r="A8" s="196" t="s">
        <v>1019</v>
      </c>
      <c r="B8" s="382" t="s">
        <v>9</v>
      </c>
      <c r="C8" s="383" t="s">
        <v>10</v>
      </c>
      <c r="D8" s="381"/>
      <c r="E8" s="382" t="s">
        <v>9</v>
      </c>
      <c r="F8" s="383" t="s">
        <v>10</v>
      </c>
      <c r="G8" s="381"/>
      <c r="H8" s="382" t="s">
        <v>9</v>
      </c>
      <c r="I8" s="383" t="s">
        <v>10</v>
      </c>
      <c r="J8" s="384"/>
    </row>
    <row r="9" spans="1:10" ht="4.5" customHeight="1" thickBot="1">
      <c r="A9" s="207"/>
      <c r="B9" s="385"/>
      <c r="C9" s="386"/>
      <c r="D9" s="387"/>
      <c r="E9" s="385"/>
      <c r="F9" s="386"/>
      <c r="G9" s="387"/>
      <c r="H9" s="385"/>
      <c r="I9" s="386"/>
      <c r="J9" s="384"/>
    </row>
    <row r="10" spans="1:10" ht="9.75" customHeight="1">
      <c r="A10" s="380"/>
      <c r="B10" s="382"/>
      <c r="C10" s="383"/>
      <c r="D10" s="381"/>
      <c r="E10" s="382"/>
      <c r="F10" s="383"/>
      <c r="G10" s="381"/>
      <c r="H10" s="382"/>
      <c r="I10" s="383"/>
      <c r="J10" s="379"/>
    </row>
    <row r="11" spans="1:10" s="224" customFormat="1" ht="13.9" customHeight="1">
      <c r="A11" s="205" t="s">
        <v>149</v>
      </c>
      <c r="B11" s="388">
        <f>IF($A11&lt;&gt;0,E11+H11,"")</f>
        <v>644</v>
      </c>
      <c r="C11" s="389">
        <f>(C13+C22+C75)</f>
        <v>100</v>
      </c>
      <c r="D11" s="390"/>
      <c r="E11" s="388">
        <f>(E13+E22+E75)</f>
        <v>279</v>
      </c>
      <c r="F11" s="389">
        <f>IF($A11&lt;&gt;"",E11/$B11*100,"")</f>
        <v>43.322981366459629</v>
      </c>
      <c r="G11" s="390"/>
      <c r="H11" s="388">
        <f>(H13+H22+H75)</f>
        <v>365</v>
      </c>
      <c r="I11" s="389">
        <f>IF($A11&lt;&gt;"",H11/$B11*100,"")</f>
        <v>56.677018633540378</v>
      </c>
      <c r="J11" s="391"/>
    </row>
    <row r="12" spans="1:10" ht="6" customHeight="1">
      <c r="B12" s="371" t="str">
        <f t="shared" ref="B12:B73" si="0">IF($A12&lt;&gt;0,E12+H12,"")</f>
        <v/>
      </c>
      <c r="C12" s="372" t="str">
        <f>IF($A12&lt;&gt;"",$B12/$B$11*100,"")</f>
        <v/>
      </c>
      <c r="F12" s="372" t="str">
        <f t="shared" ref="F12:F75" si="1">IF($A12&lt;&gt;"",E12/$B12*100,"")</f>
        <v/>
      </c>
      <c r="I12" s="372" t="str">
        <f t="shared" ref="I12:I75" si="2">IF($A12&lt;&gt;"",H12/$B12*100,"")</f>
        <v/>
      </c>
    </row>
    <row r="13" spans="1:10" s="224" customFormat="1" ht="13.9" customHeight="1">
      <c r="A13" s="205" t="s">
        <v>785</v>
      </c>
      <c r="B13" s="388">
        <f t="shared" si="0"/>
        <v>17</v>
      </c>
      <c r="C13" s="389">
        <f t="shared" ref="C13:C73" si="3">IF($A13&lt;&gt;"",$B13/$B$11*100,"")</f>
        <v>2.639751552795031</v>
      </c>
      <c r="D13" s="390"/>
      <c r="E13" s="388">
        <f>SUM(E14:E20)</f>
        <v>10</v>
      </c>
      <c r="F13" s="389">
        <f t="shared" si="1"/>
        <v>58.82352941176471</v>
      </c>
      <c r="G13" s="390"/>
      <c r="H13" s="388">
        <f>SUM(H14:H20)</f>
        <v>7</v>
      </c>
      <c r="I13" s="389">
        <f t="shared" si="2"/>
        <v>41.17647058823529</v>
      </c>
      <c r="J13" s="391"/>
    </row>
    <row r="14" spans="1:10" ht="13.5" customHeight="1">
      <c r="A14" s="196" t="s">
        <v>1020</v>
      </c>
      <c r="B14" s="371">
        <f t="shared" si="0"/>
        <v>1</v>
      </c>
      <c r="C14" s="372">
        <f t="shared" si="3"/>
        <v>0.15527950310559005</v>
      </c>
      <c r="E14" s="392">
        <v>0</v>
      </c>
      <c r="F14" s="389">
        <f t="shared" si="1"/>
        <v>0</v>
      </c>
      <c r="G14" s="392"/>
      <c r="H14" s="393">
        <v>1</v>
      </c>
      <c r="I14" s="372">
        <f t="shared" si="2"/>
        <v>100</v>
      </c>
    </row>
    <row r="15" spans="1:10" ht="13.5" customHeight="1">
      <c r="A15" s="196" t="s">
        <v>1021</v>
      </c>
      <c r="B15" s="371">
        <f t="shared" si="0"/>
        <v>4</v>
      </c>
      <c r="C15" s="372">
        <f t="shared" si="3"/>
        <v>0.6211180124223602</v>
      </c>
      <c r="E15" s="393">
        <v>1</v>
      </c>
      <c r="F15" s="372">
        <f t="shared" si="1"/>
        <v>25</v>
      </c>
      <c r="G15" s="393"/>
      <c r="H15" s="393">
        <v>3</v>
      </c>
      <c r="I15" s="372">
        <f t="shared" si="2"/>
        <v>75</v>
      </c>
    </row>
    <row r="16" spans="1:10" ht="13.5" customHeight="1">
      <c r="A16" s="196" t="s">
        <v>1022</v>
      </c>
      <c r="B16" s="371">
        <f>IF($A16&lt;&gt;0,E16+H16,"")</f>
        <v>2</v>
      </c>
      <c r="C16" s="372">
        <f t="shared" si="3"/>
        <v>0.3105590062111801</v>
      </c>
      <c r="E16" s="393">
        <v>2</v>
      </c>
      <c r="F16" s="372">
        <f t="shared" si="1"/>
        <v>100</v>
      </c>
      <c r="G16" s="393"/>
      <c r="H16" s="392">
        <v>0</v>
      </c>
      <c r="I16" s="372">
        <f t="shared" si="2"/>
        <v>0</v>
      </c>
    </row>
    <row r="17" spans="1:10" ht="13.5" customHeight="1">
      <c r="A17" s="196" t="s">
        <v>883</v>
      </c>
      <c r="B17" s="371">
        <f>IF($A17&lt;&gt;0,E17+H17,"")</f>
        <v>2</v>
      </c>
      <c r="C17" s="372">
        <f t="shared" si="3"/>
        <v>0.3105590062111801</v>
      </c>
      <c r="E17" s="393">
        <v>2</v>
      </c>
      <c r="F17" s="372">
        <f t="shared" si="1"/>
        <v>100</v>
      </c>
      <c r="G17" s="393"/>
      <c r="H17" s="392">
        <v>0</v>
      </c>
      <c r="I17" s="372">
        <f t="shared" si="2"/>
        <v>0</v>
      </c>
    </row>
    <row r="18" spans="1:10" ht="13.5" customHeight="1">
      <c r="A18" s="196" t="s">
        <v>845</v>
      </c>
      <c r="B18" s="371">
        <f>IF($A18&lt;&gt;0,E18+H18,"")</f>
        <v>2</v>
      </c>
      <c r="C18" s="372">
        <f t="shared" si="3"/>
        <v>0.3105590062111801</v>
      </c>
      <c r="E18" s="393">
        <v>2</v>
      </c>
      <c r="F18" s="372">
        <f t="shared" si="1"/>
        <v>100</v>
      </c>
      <c r="G18" s="393"/>
      <c r="H18" s="392">
        <v>0</v>
      </c>
      <c r="I18" s="372">
        <f t="shared" si="2"/>
        <v>0</v>
      </c>
    </row>
    <row r="19" spans="1:10" ht="13.5" customHeight="1">
      <c r="A19" s="196" t="s">
        <v>850</v>
      </c>
      <c r="B19" s="371">
        <f>IF($A19&lt;&gt;0,E19+H19,"")</f>
        <v>5</v>
      </c>
      <c r="C19" s="372">
        <f t="shared" si="3"/>
        <v>0.77639751552795033</v>
      </c>
      <c r="E19" s="393">
        <v>3</v>
      </c>
      <c r="F19" s="372">
        <f t="shared" si="1"/>
        <v>60</v>
      </c>
      <c r="G19" s="393"/>
      <c r="H19" s="393">
        <v>2</v>
      </c>
      <c r="I19" s="372">
        <f t="shared" si="2"/>
        <v>40</v>
      </c>
    </row>
    <row r="20" spans="1:10" ht="13.5" customHeight="1">
      <c r="A20" s="196" t="s">
        <v>331</v>
      </c>
      <c r="B20" s="371">
        <f>IF($A20&lt;&gt;0,E20+H20,"")</f>
        <v>1</v>
      </c>
      <c r="C20" s="372">
        <f t="shared" si="3"/>
        <v>0.15527950310559005</v>
      </c>
      <c r="E20" s="392">
        <v>0</v>
      </c>
      <c r="F20" s="389">
        <f t="shared" si="1"/>
        <v>0</v>
      </c>
      <c r="G20" s="392"/>
      <c r="H20" s="393">
        <v>1</v>
      </c>
      <c r="I20" s="372">
        <f t="shared" si="2"/>
        <v>100</v>
      </c>
    </row>
    <row r="21" spans="1:10" ht="9" customHeight="1">
      <c r="B21" s="371" t="str">
        <f t="shared" si="0"/>
        <v/>
      </c>
      <c r="C21" s="372" t="str">
        <f t="shared" si="3"/>
        <v/>
      </c>
      <c r="F21" s="372" t="str">
        <f t="shared" si="1"/>
        <v/>
      </c>
      <c r="I21" s="372" t="str">
        <f t="shared" si="2"/>
        <v/>
      </c>
    </row>
    <row r="22" spans="1:10" s="224" customFormat="1" ht="13.9" customHeight="1">
      <c r="A22" s="205" t="s">
        <v>1023</v>
      </c>
      <c r="B22" s="388">
        <f t="shared" si="0"/>
        <v>333</v>
      </c>
      <c r="C22" s="389">
        <f t="shared" si="3"/>
        <v>51.708074534161483</v>
      </c>
      <c r="D22" s="390"/>
      <c r="E22" s="388">
        <f>SUM(E23:E73)</f>
        <v>147</v>
      </c>
      <c r="F22" s="389">
        <f t="shared" si="1"/>
        <v>44.144144144144143</v>
      </c>
      <c r="G22" s="390"/>
      <c r="H22" s="388">
        <f>SUM(H23:H73)</f>
        <v>186</v>
      </c>
      <c r="I22" s="389">
        <f t="shared" si="2"/>
        <v>55.85585585585585</v>
      </c>
      <c r="J22" s="391"/>
    </row>
    <row r="23" spans="1:10" s="196" customFormat="1" ht="13.5" customHeight="1">
      <c r="A23" s="196" t="s">
        <v>1024</v>
      </c>
      <c r="B23" s="371">
        <f t="shared" si="0"/>
        <v>11</v>
      </c>
      <c r="C23" s="372">
        <f t="shared" si="3"/>
        <v>1.7080745341614907</v>
      </c>
      <c r="D23" s="206"/>
      <c r="E23" s="393">
        <v>5</v>
      </c>
      <c r="F23" s="372">
        <f t="shared" si="1"/>
        <v>45.454545454545453</v>
      </c>
      <c r="G23" s="393"/>
      <c r="H23" s="393">
        <v>6</v>
      </c>
      <c r="I23" s="372">
        <f t="shared" si="2"/>
        <v>54.54545454545454</v>
      </c>
      <c r="J23" s="373"/>
    </row>
    <row r="24" spans="1:10" s="196" customFormat="1" ht="13.9" customHeight="1">
      <c r="A24" s="196" t="s">
        <v>1025</v>
      </c>
      <c r="B24" s="371">
        <f t="shared" si="0"/>
        <v>37</v>
      </c>
      <c r="C24" s="372">
        <f t="shared" si="3"/>
        <v>5.7453416149068319</v>
      </c>
      <c r="D24" s="206"/>
      <c r="E24" s="393">
        <v>20</v>
      </c>
      <c r="F24" s="372">
        <f t="shared" si="1"/>
        <v>54.054054054054056</v>
      </c>
      <c r="G24" s="393"/>
      <c r="H24" s="393">
        <v>17</v>
      </c>
      <c r="I24" s="372">
        <f t="shared" si="2"/>
        <v>45.945945945945951</v>
      </c>
      <c r="J24" s="373"/>
    </row>
    <row r="25" spans="1:10" s="196" customFormat="1" ht="13.9" customHeight="1">
      <c r="A25" s="196" t="s">
        <v>49</v>
      </c>
      <c r="B25" s="371">
        <f t="shared" si="0"/>
        <v>5</v>
      </c>
      <c r="C25" s="372">
        <f t="shared" si="3"/>
        <v>0.77639751552795033</v>
      </c>
      <c r="D25" s="206"/>
      <c r="E25" s="393">
        <v>3</v>
      </c>
      <c r="F25" s="372">
        <f t="shared" si="1"/>
        <v>60</v>
      </c>
      <c r="G25" s="393"/>
      <c r="H25" s="393">
        <v>2</v>
      </c>
      <c r="I25" s="372">
        <f t="shared" si="2"/>
        <v>40</v>
      </c>
      <c r="J25" s="373"/>
    </row>
    <row r="26" spans="1:10" s="196" customFormat="1" ht="13.9" customHeight="1">
      <c r="A26" s="196" t="s">
        <v>1026</v>
      </c>
      <c r="B26" s="371">
        <f t="shared" si="0"/>
        <v>7</v>
      </c>
      <c r="C26" s="372">
        <f t="shared" si="3"/>
        <v>1.0869565217391304</v>
      </c>
      <c r="D26" s="206"/>
      <c r="E26" s="393">
        <v>3</v>
      </c>
      <c r="F26" s="372">
        <f t="shared" si="1"/>
        <v>42.857142857142854</v>
      </c>
      <c r="G26" s="393"/>
      <c r="H26" s="393">
        <v>4</v>
      </c>
      <c r="I26" s="372">
        <f t="shared" si="2"/>
        <v>57.142857142857139</v>
      </c>
      <c r="J26" s="373"/>
    </row>
    <row r="27" spans="1:10" s="196" customFormat="1" ht="13.9" customHeight="1">
      <c r="A27" s="196" t="s">
        <v>1027</v>
      </c>
      <c r="B27" s="371">
        <f t="shared" si="0"/>
        <v>12</v>
      </c>
      <c r="C27" s="372">
        <f t="shared" si="3"/>
        <v>1.8633540372670807</v>
      </c>
      <c r="D27" s="206"/>
      <c r="E27" s="393">
        <v>9</v>
      </c>
      <c r="F27" s="372">
        <f t="shared" si="1"/>
        <v>75</v>
      </c>
      <c r="G27" s="393"/>
      <c r="H27" s="393">
        <v>3</v>
      </c>
      <c r="I27" s="372">
        <f t="shared" si="2"/>
        <v>25</v>
      </c>
      <c r="J27" s="373"/>
    </row>
    <row r="28" spans="1:10" s="196" customFormat="1" ht="13.9" customHeight="1">
      <c r="A28" s="196" t="s">
        <v>1028</v>
      </c>
      <c r="B28" s="371">
        <f t="shared" si="0"/>
        <v>3</v>
      </c>
      <c r="C28" s="372">
        <f t="shared" si="3"/>
        <v>0.46583850931677018</v>
      </c>
      <c r="D28" s="206"/>
      <c r="E28" s="392">
        <v>0</v>
      </c>
      <c r="F28" s="372">
        <f t="shared" si="1"/>
        <v>0</v>
      </c>
      <c r="G28" s="392"/>
      <c r="H28" s="393">
        <v>3</v>
      </c>
      <c r="I28" s="372">
        <f t="shared" si="2"/>
        <v>100</v>
      </c>
      <c r="J28" s="373"/>
    </row>
    <row r="29" spans="1:10" s="196" customFormat="1" ht="13.9" customHeight="1">
      <c r="A29" s="196" t="s">
        <v>30</v>
      </c>
      <c r="B29" s="371">
        <f t="shared" si="0"/>
        <v>12</v>
      </c>
      <c r="C29" s="372">
        <f t="shared" si="3"/>
        <v>1.8633540372670807</v>
      </c>
      <c r="D29" s="206"/>
      <c r="E29" s="393">
        <v>7</v>
      </c>
      <c r="F29" s="372">
        <f t="shared" si="1"/>
        <v>58.333333333333336</v>
      </c>
      <c r="G29" s="393"/>
      <c r="H29" s="393">
        <v>5</v>
      </c>
      <c r="I29" s="372">
        <f t="shared" si="2"/>
        <v>41.666666666666671</v>
      </c>
      <c r="J29" s="373"/>
    </row>
    <row r="30" spans="1:10" s="196" customFormat="1" ht="13.9" customHeight="1">
      <c r="A30" s="196" t="s">
        <v>1029</v>
      </c>
      <c r="B30" s="371">
        <f t="shared" si="0"/>
        <v>1</v>
      </c>
      <c r="C30" s="372">
        <f t="shared" si="3"/>
        <v>0.15527950310559005</v>
      </c>
      <c r="D30" s="206"/>
      <c r="E30" s="392">
        <v>0</v>
      </c>
      <c r="F30" s="372">
        <f t="shared" si="1"/>
        <v>0</v>
      </c>
      <c r="G30" s="392"/>
      <c r="H30" s="393">
        <v>1</v>
      </c>
      <c r="I30" s="372">
        <f t="shared" si="2"/>
        <v>100</v>
      </c>
      <c r="J30" s="373"/>
    </row>
    <row r="31" spans="1:10" s="196" customFormat="1" ht="13.9" customHeight="1">
      <c r="A31" s="196" t="s">
        <v>1030</v>
      </c>
      <c r="B31" s="371">
        <f t="shared" si="0"/>
        <v>2</v>
      </c>
      <c r="C31" s="372">
        <f t="shared" si="3"/>
        <v>0.3105590062111801</v>
      </c>
      <c r="D31" s="206"/>
      <c r="E31" s="392">
        <v>0</v>
      </c>
      <c r="F31" s="372">
        <f t="shared" si="1"/>
        <v>0</v>
      </c>
      <c r="G31" s="392"/>
      <c r="H31" s="393">
        <v>2</v>
      </c>
      <c r="I31" s="372">
        <f t="shared" si="2"/>
        <v>100</v>
      </c>
      <c r="J31" s="373"/>
    </row>
    <row r="32" spans="1:10" s="196" customFormat="1" ht="13.9" customHeight="1">
      <c r="A32" s="196" t="s">
        <v>1031</v>
      </c>
      <c r="B32" s="371">
        <f t="shared" si="0"/>
        <v>7</v>
      </c>
      <c r="C32" s="372">
        <f t="shared" si="3"/>
        <v>1.0869565217391304</v>
      </c>
      <c r="D32" s="206"/>
      <c r="E32" s="393">
        <v>1</v>
      </c>
      <c r="F32" s="372">
        <f t="shared" si="1"/>
        <v>14.285714285714285</v>
      </c>
      <c r="G32" s="393"/>
      <c r="H32" s="393">
        <v>6</v>
      </c>
      <c r="I32" s="372">
        <f t="shared" si="2"/>
        <v>85.714285714285708</v>
      </c>
      <c r="J32" s="373"/>
    </row>
    <row r="33" spans="1:10" s="196" customFormat="1" ht="13.9" customHeight="1">
      <c r="A33" s="196" t="s">
        <v>1032</v>
      </c>
      <c r="B33" s="371">
        <f t="shared" si="0"/>
        <v>28</v>
      </c>
      <c r="C33" s="372">
        <f t="shared" si="3"/>
        <v>4.3478260869565215</v>
      </c>
      <c r="D33" s="206"/>
      <c r="E33" s="393">
        <v>6</v>
      </c>
      <c r="F33" s="372">
        <f t="shared" si="1"/>
        <v>21.428571428571427</v>
      </c>
      <c r="G33" s="393"/>
      <c r="H33" s="393">
        <v>22</v>
      </c>
      <c r="I33" s="372">
        <f t="shared" si="2"/>
        <v>78.571428571428569</v>
      </c>
      <c r="J33" s="373"/>
    </row>
    <row r="34" spans="1:10" s="196" customFormat="1" ht="13.9" customHeight="1">
      <c r="A34" s="196" t="s">
        <v>1033</v>
      </c>
      <c r="B34" s="371">
        <f t="shared" si="0"/>
        <v>1</v>
      </c>
      <c r="C34" s="372">
        <f t="shared" si="3"/>
        <v>0.15527950310559005</v>
      </c>
      <c r="D34" s="206"/>
      <c r="E34" s="393">
        <v>1</v>
      </c>
      <c r="F34" s="372">
        <f t="shared" si="1"/>
        <v>100</v>
      </c>
      <c r="G34" s="393"/>
      <c r="H34" s="392">
        <v>0</v>
      </c>
      <c r="I34" s="372">
        <f t="shared" si="2"/>
        <v>0</v>
      </c>
      <c r="J34" s="373"/>
    </row>
    <row r="35" spans="1:10" s="196" customFormat="1" ht="13.9" customHeight="1">
      <c r="A35" s="196" t="s">
        <v>1034</v>
      </c>
      <c r="B35" s="371">
        <f t="shared" si="0"/>
        <v>4</v>
      </c>
      <c r="C35" s="372">
        <f t="shared" si="3"/>
        <v>0.6211180124223602</v>
      </c>
      <c r="D35" s="206"/>
      <c r="E35" s="392">
        <v>0</v>
      </c>
      <c r="F35" s="372">
        <f t="shared" si="1"/>
        <v>0</v>
      </c>
      <c r="G35" s="392"/>
      <c r="H35" s="393">
        <v>4</v>
      </c>
      <c r="I35" s="372">
        <f t="shared" si="2"/>
        <v>100</v>
      </c>
      <c r="J35" s="373"/>
    </row>
    <row r="36" spans="1:10" s="196" customFormat="1" ht="13.9" customHeight="1">
      <c r="A36" s="196" t="s">
        <v>44</v>
      </c>
      <c r="B36" s="371">
        <f t="shared" si="0"/>
        <v>4</v>
      </c>
      <c r="C36" s="372">
        <f t="shared" si="3"/>
        <v>0.6211180124223602</v>
      </c>
      <c r="D36" s="206"/>
      <c r="E36" s="393">
        <v>2</v>
      </c>
      <c r="F36" s="372">
        <f t="shared" si="1"/>
        <v>50</v>
      </c>
      <c r="G36" s="393"/>
      <c r="H36" s="393">
        <v>2</v>
      </c>
      <c r="I36" s="372">
        <f t="shared" si="2"/>
        <v>50</v>
      </c>
      <c r="J36" s="373"/>
    </row>
    <row r="37" spans="1:10" s="196" customFormat="1" ht="13.9" customHeight="1">
      <c r="A37" s="196" t="s">
        <v>1035</v>
      </c>
      <c r="B37" s="371">
        <f t="shared" si="0"/>
        <v>17</v>
      </c>
      <c r="C37" s="372">
        <f t="shared" si="3"/>
        <v>2.639751552795031</v>
      </c>
      <c r="D37" s="206"/>
      <c r="E37" s="393">
        <v>12</v>
      </c>
      <c r="F37" s="372">
        <f t="shared" si="1"/>
        <v>70.588235294117652</v>
      </c>
      <c r="G37" s="393"/>
      <c r="H37" s="393">
        <v>5</v>
      </c>
      <c r="I37" s="372">
        <f t="shared" si="2"/>
        <v>29.411764705882355</v>
      </c>
      <c r="J37" s="373"/>
    </row>
    <row r="38" spans="1:10" s="196" customFormat="1" ht="13.9" customHeight="1">
      <c r="A38" s="196" t="s">
        <v>1036</v>
      </c>
      <c r="B38" s="371">
        <f t="shared" si="0"/>
        <v>3</v>
      </c>
      <c r="C38" s="372">
        <f t="shared" si="3"/>
        <v>0.46583850931677018</v>
      </c>
      <c r="D38" s="206"/>
      <c r="E38" s="393">
        <v>1</v>
      </c>
      <c r="F38" s="372">
        <f t="shared" si="1"/>
        <v>33.333333333333329</v>
      </c>
      <c r="G38" s="393"/>
      <c r="H38" s="393">
        <v>2</v>
      </c>
      <c r="I38" s="372">
        <f t="shared" si="2"/>
        <v>66.666666666666657</v>
      </c>
      <c r="J38" s="373"/>
    </row>
    <row r="39" spans="1:10" s="196" customFormat="1" ht="13.9" customHeight="1">
      <c r="A39" s="196" t="s">
        <v>1037</v>
      </c>
      <c r="B39" s="371">
        <f t="shared" si="0"/>
        <v>8</v>
      </c>
      <c r="C39" s="372">
        <f t="shared" si="3"/>
        <v>1.2422360248447204</v>
      </c>
      <c r="D39" s="206"/>
      <c r="E39" s="393">
        <v>7</v>
      </c>
      <c r="F39" s="372">
        <f t="shared" si="1"/>
        <v>87.5</v>
      </c>
      <c r="G39" s="393"/>
      <c r="H39" s="393">
        <v>1</v>
      </c>
      <c r="I39" s="372">
        <f t="shared" si="2"/>
        <v>12.5</v>
      </c>
      <c r="J39" s="373"/>
    </row>
    <row r="40" spans="1:10" s="196" customFormat="1" ht="13.9" customHeight="1">
      <c r="A40" s="196" t="s">
        <v>1038</v>
      </c>
      <c r="B40" s="371">
        <f t="shared" si="0"/>
        <v>5</v>
      </c>
      <c r="C40" s="372">
        <f t="shared" si="3"/>
        <v>0.77639751552795033</v>
      </c>
      <c r="D40" s="206"/>
      <c r="E40" s="393">
        <v>4</v>
      </c>
      <c r="F40" s="372">
        <f t="shared" si="1"/>
        <v>80</v>
      </c>
      <c r="G40" s="393"/>
      <c r="H40" s="393">
        <v>1</v>
      </c>
      <c r="I40" s="372">
        <f t="shared" si="2"/>
        <v>20</v>
      </c>
      <c r="J40" s="373"/>
    </row>
    <row r="41" spans="1:10" s="196" customFormat="1" ht="13.9" customHeight="1">
      <c r="A41" s="196" t="s">
        <v>1039</v>
      </c>
      <c r="B41" s="371">
        <f t="shared" si="0"/>
        <v>2</v>
      </c>
      <c r="C41" s="372">
        <f t="shared" si="3"/>
        <v>0.3105590062111801</v>
      </c>
      <c r="D41" s="206"/>
      <c r="E41" s="393">
        <v>2</v>
      </c>
      <c r="F41" s="372">
        <f t="shared" si="1"/>
        <v>100</v>
      </c>
      <c r="G41" s="393"/>
      <c r="H41" s="392">
        <v>0</v>
      </c>
      <c r="I41" s="372">
        <f t="shared" si="2"/>
        <v>0</v>
      </c>
      <c r="J41" s="373"/>
    </row>
    <row r="42" spans="1:10" s="196" customFormat="1" ht="13.9" customHeight="1">
      <c r="A42" s="196" t="s">
        <v>1040</v>
      </c>
      <c r="B42" s="371">
        <f t="shared" si="0"/>
        <v>2</v>
      </c>
      <c r="C42" s="372">
        <f t="shared" si="3"/>
        <v>0.3105590062111801</v>
      </c>
      <c r="D42" s="206"/>
      <c r="E42" s="392">
        <v>0</v>
      </c>
      <c r="F42" s="372">
        <f t="shared" si="1"/>
        <v>0</v>
      </c>
      <c r="G42" s="392"/>
      <c r="H42" s="393">
        <v>2</v>
      </c>
      <c r="I42" s="372">
        <f t="shared" si="2"/>
        <v>100</v>
      </c>
      <c r="J42" s="373"/>
    </row>
    <row r="43" spans="1:10" s="196" customFormat="1" ht="13.9" customHeight="1">
      <c r="A43" s="196" t="s">
        <v>887</v>
      </c>
      <c r="B43" s="371">
        <f t="shared" si="0"/>
        <v>28</v>
      </c>
      <c r="C43" s="372">
        <f t="shared" si="3"/>
        <v>4.3478260869565215</v>
      </c>
      <c r="D43" s="206"/>
      <c r="E43" s="393">
        <v>11</v>
      </c>
      <c r="F43" s="372">
        <f t="shared" si="1"/>
        <v>39.285714285714285</v>
      </c>
      <c r="G43" s="393"/>
      <c r="H43" s="393">
        <v>17</v>
      </c>
      <c r="I43" s="372">
        <f t="shared" si="2"/>
        <v>60.714285714285708</v>
      </c>
      <c r="J43" s="373"/>
    </row>
    <row r="44" spans="1:10" s="196" customFormat="1" ht="13.9" customHeight="1">
      <c r="A44" s="196" t="s">
        <v>1041</v>
      </c>
      <c r="B44" s="371">
        <f t="shared" si="0"/>
        <v>6</v>
      </c>
      <c r="C44" s="372">
        <f t="shared" si="3"/>
        <v>0.93167701863354035</v>
      </c>
      <c r="D44" s="206"/>
      <c r="E44" s="393">
        <v>4</v>
      </c>
      <c r="F44" s="372">
        <f t="shared" si="1"/>
        <v>66.666666666666657</v>
      </c>
      <c r="G44" s="393"/>
      <c r="H44" s="393">
        <v>2</v>
      </c>
      <c r="I44" s="372"/>
      <c r="J44" s="373"/>
    </row>
    <row r="45" spans="1:10" s="196" customFormat="1" ht="13.9" customHeight="1">
      <c r="A45" s="196" t="s">
        <v>821</v>
      </c>
      <c r="B45" s="371">
        <f t="shared" si="0"/>
        <v>2</v>
      </c>
      <c r="C45" s="372">
        <f t="shared" si="3"/>
        <v>0.3105590062111801</v>
      </c>
      <c r="D45" s="206"/>
      <c r="E45" s="392">
        <v>0</v>
      </c>
      <c r="F45" s="372">
        <f t="shared" si="1"/>
        <v>0</v>
      </c>
      <c r="G45" s="392"/>
      <c r="H45" s="393">
        <v>2</v>
      </c>
      <c r="I45" s="372"/>
      <c r="J45" s="373"/>
    </row>
    <row r="46" spans="1:10" s="196" customFormat="1" ht="13.9" customHeight="1">
      <c r="A46" s="394" t="s">
        <v>1042</v>
      </c>
      <c r="B46" s="371">
        <f t="shared" si="0"/>
        <v>5</v>
      </c>
      <c r="C46" s="372">
        <f t="shared" si="3"/>
        <v>0.77639751552795033</v>
      </c>
      <c r="D46" s="206"/>
      <c r="E46" s="393">
        <v>1</v>
      </c>
      <c r="F46" s="372">
        <f t="shared" si="1"/>
        <v>20</v>
      </c>
      <c r="G46" s="393"/>
      <c r="H46" s="393">
        <v>4</v>
      </c>
      <c r="I46" s="372">
        <f t="shared" si="2"/>
        <v>80</v>
      </c>
      <c r="J46" s="373"/>
    </row>
    <row r="47" spans="1:10" s="196" customFormat="1" ht="13.9" customHeight="1">
      <c r="A47" s="196" t="s">
        <v>890</v>
      </c>
      <c r="B47" s="371">
        <f t="shared" si="0"/>
        <v>6</v>
      </c>
      <c r="C47" s="372">
        <f t="shared" si="3"/>
        <v>0.93167701863354035</v>
      </c>
      <c r="D47" s="206"/>
      <c r="E47" s="393">
        <v>2</v>
      </c>
      <c r="F47" s="372">
        <f t="shared" si="1"/>
        <v>33.333333333333329</v>
      </c>
      <c r="G47" s="393"/>
      <c r="H47" s="393">
        <v>4</v>
      </c>
      <c r="I47" s="372">
        <f t="shared" si="2"/>
        <v>66.666666666666657</v>
      </c>
      <c r="J47" s="373"/>
    </row>
    <row r="48" spans="1:10" ht="13.9" customHeight="1">
      <c r="A48" s="196" t="s">
        <v>1043</v>
      </c>
      <c r="B48" s="371">
        <f t="shared" si="0"/>
        <v>4</v>
      </c>
      <c r="C48" s="372">
        <f t="shared" si="3"/>
        <v>0.6211180124223602</v>
      </c>
      <c r="E48" s="393">
        <v>1</v>
      </c>
      <c r="F48" s="372">
        <f t="shared" si="1"/>
        <v>25</v>
      </c>
      <c r="G48" s="393"/>
      <c r="H48" s="393">
        <v>3</v>
      </c>
      <c r="I48" s="372">
        <f t="shared" si="2"/>
        <v>75</v>
      </c>
    </row>
    <row r="49" spans="1:9" ht="13.9" customHeight="1">
      <c r="A49" s="196" t="s">
        <v>40</v>
      </c>
      <c r="B49" s="371">
        <f t="shared" si="0"/>
        <v>8</v>
      </c>
      <c r="C49" s="372">
        <f t="shared" si="3"/>
        <v>1.2422360248447204</v>
      </c>
      <c r="E49" s="393">
        <v>3</v>
      </c>
      <c r="F49" s="372">
        <f t="shared" si="1"/>
        <v>37.5</v>
      </c>
      <c r="G49" s="393"/>
      <c r="H49" s="393">
        <v>5</v>
      </c>
      <c r="I49" s="372">
        <f t="shared" si="2"/>
        <v>62.5</v>
      </c>
    </row>
    <row r="50" spans="1:9" ht="12.75" customHeight="1">
      <c r="A50" s="196" t="s">
        <v>1044</v>
      </c>
      <c r="B50" s="371">
        <f t="shared" si="0"/>
        <v>1</v>
      </c>
      <c r="C50" s="372">
        <f t="shared" si="3"/>
        <v>0.15527950310559005</v>
      </c>
      <c r="E50" s="392">
        <v>0</v>
      </c>
      <c r="F50" s="372">
        <f t="shared" si="1"/>
        <v>0</v>
      </c>
      <c r="G50" s="392"/>
      <c r="H50" s="393">
        <v>1</v>
      </c>
      <c r="I50" s="372">
        <f t="shared" si="2"/>
        <v>100</v>
      </c>
    </row>
    <row r="51" spans="1:9" ht="13.9" customHeight="1">
      <c r="A51" s="196" t="s">
        <v>1045</v>
      </c>
      <c r="B51" s="371">
        <f t="shared" si="0"/>
        <v>6</v>
      </c>
      <c r="C51" s="372">
        <f t="shared" si="3"/>
        <v>0.93167701863354035</v>
      </c>
      <c r="E51" s="392">
        <v>0</v>
      </c>
      <c r="F51" s="372">
        <f t="shared" si="1"/>
        <v>0</v>
      </c>
      <c r="G51" s="392"/>
      <c r="H51" s="393">
        <v>6</v>
      </c>
      <c r="I51" s="372">
        <f t="shared" si="2"/>
        <v>100</v>
      </c>
    </row>
    <row r="52" spans="1:9" ht="13.9" customHeight="1">
      <c r="A52" s="196" t="s">
        <v>31</v>
      </c>
      <c r="B52" s="371">
        <f t="shared" si="0"/>
        <v>1</v>
      </c>
      <c r="C52" s="372">
        <f t="shared" si="3"/>
        <v>0.15527950310559005</v>
      </c>
      <c r="E52" s="393">
        <v>1</v>
      </c>
      <c r="F52" s="372">
        <f t="shared" si="1"/>
        <v>100</v>
      </c>
      <c r="G52" s="393"/>
      <c r="H52" s="392">
        <v>0</v>
      </c>
      <c r="I52" s="372">
        <f t="shared" si="2"/>
        <v>0</v>
      </c>
    </row>
    <row r="53" spans="1:9" ht="13.9" customHeight="1">
      <c r="A53" s="196" t="s">
        <v>1046</v>
      </c>
      <c r="B53" s="371">
        <f t="shared" si="0"/>
        <v>5</v>
      </c>
      <c r="C53" s="372">
        <f t="shared" si="3"/>
        <v>0.77639751552795033</v>
      </c>
      <c r="E53" s="393">
        <v>2</v>
      </c>
      <c r="F53" s="372">
        <f t="shared" si="1"/>
        <v>40</v>
      </c>
      <c r="G53" s="393"/>
      <c r="H53" s="393">
        <v>3</v>
      </c>
      <c r="I53" s="372">
        <f t="shared" si="2"/>
        <v>60</v>
      </c>
    </row>
    <row r="54" spans="1:9" ht="13.9" customHeight="1">
      <c r="A54" s="196" t="s">
        <v>812</v>
      </c>
      <c r="B54" s="371">
        <f t="shared" si="0"/>
        <v>11</v>
      </c>
      <c r="C54" s="372">
        <f t="shared" si="3"/>
        <v>1.7080745341614907</v>
      </c>
      <c r="E54" s="393">
        <v>8</v>
      </c>
      <c r="F54" s="372">
        <f t="shared" si="1"/>
        <v>72.727272727272734</v>
      </c>
      <c r="G54" s="393"/>
      <c r="H54" s="393">
        <v>3</v>
      </c>
      <c r="I54" s="372">
        <f t="shared" si="2"/>
        <v>27.27272727272727</v>
      </c>
    </row>
    <row r="55" spans="1:9" ht="13.9" customHeight="1">
      <c r="A55" s="196" t="s">
        <v>1047</v>
      </c>
      <c r="B55" s="371">
        <f t="shared" si="0"/>
        <v>4</v>
      </c>
      <c r="C55" s="372">
        <f t="shared" si="3"/>
        <v>0.6211180124223602</v>
      </c>
      <c r="E55" s="392">
        <v>0</v>
      </c>
      <c r="F55" s="372">
        <f t="shared" si="1"/>
        <v>0</v>
      </c>
      <c r="G55" s="392"/>
      <c r="H55" s="393">
        <v>4</v>
      </c>
      <c r="I55" s="372">
        <f t="shared" si="2"/>
        <v>100</v>
      </c>
    </row>
    <row r="56" spans="1:9" ht="13.9" customHeight="1">
      <c r="A56" s="196" t="s">
        <v>1048</v>
      </c>
      <c r="B56" s="371">
        <f t="shared" si="0"/>
        <v>1</v>
      </c>
      <c r="C56" s="372">
        <f t="shared" si="3"/>
        <v>0.15527950310559005</v>
      </c>
      <c r="E56" s="393">
        <v>1</v>
      </c>
      <c r="F56" s="372">
        <f t="shared" si="1"/>
        <v>100</v>
      </c>
      <c r="G56" s="393"/>
      <c r="H56" s="392">
        <v>0</v>
      </c>
      <c r="I56" s="372">
        <f t="shared" si="2"/>
        <v>0</v>
      </c>
    </row>
    <row r="57" spans="1:9" ht="13.9" customHeight="1">
      <c r="A57" s="196" t="s">
        <v>1049</v>
      </c>
      <c r="B57" s="371">
        <f t="shared" si="0"/>
        <v>2</v>
      </c>
      <c r="C57" s="372">
        <f t="shared" si="3"/>
        <v>0.3105590062111801</v>
      </c>
      <c r="E57" s="393">
        <v>1</v>
      </c>
      <c r="F57" s="372">
        <f t="shared" si="1"/>
        <v>50</v>
      </c>
      <c r="G57" s="393"/>
      <c r="H57" s="393">
        <v>1</v>
      </c>
      <c r="I57" s="372">
        <f t="shared" si="2"/>
        <v>50</v>
      </c>
    </row>
    <row r="58" spans="1:9" ht="13.9" customHeight="1">
      <c r="A58" s="196" t="s">
        <v>331</v>
      </c>
      <c r="B58" s="371">
        <f t="shared" si="0"/>
        <v>6</v>
      </c>
      <c r="C58" s="372">
        <f t="shared" si="3"/>
        <v>0.93167701863354035</v>
      </c>
      <c r="E58" s="393">
        <v>2</v>
      </c>
      <c r="F58" s="372">
        <f t="shared" si="1"/>
        <v>33.333333333333329</v>
      </c>
      <c r="G58" s="393"/>
      <c r="H58" s="393">
        <v>4</v>
      </c>
      <c r="I58" s="372">
        <f t="shared" si="2"/>
        <v>66.666666666666657</v>
      </c>
    </row>
    <row r="59" spans="1:9" ht="13.9" customHeight="1">
      <c r="A59" s="196" t="s">
        <v>76</v>
      </c>
      <c r="B59" s="371">
        <f t="shared" si="0"/>
        <v>5</v>
      </c>
      <c r="C59" s="372">
        <f t="shared" si="3"/>
        <v>0.77639751552795033</v>
      </c>
      <c r="E59" s="393">
        <v>2</v>
      </c>
      <c r="F59" s="372">
        <f t="shared" si="1"/>
        <v>40</v>
      </c>
      <c r="G59" s="393"/>
      <c r="H59" s="393">
        <v>3</v>
      </c>
      <c r="I59" s="372">
        <f t="shared" si="2"/>
        <v>60</v>
      </c>
    </row>
    <row r="60" spans="1:9" ht="13.9" customHeight="1">
      <c r="A60" s="196" t="s">
        <v>1050</v>
      </c>
      <c r="B60" s="371">
        <f t="shared" si="0"/>
        <v>2</v>
      </c>
      <c r="C60" s="372">
        <f t="shared" si="3"/>
        <v>0.3105590062111801</v>
      </c>
      <c r="E60" s="393">
        <v>2</v>
      </c>
      <c r="F60" s="372">
        <f t="shared" si="1"/>
        <v>100</v>
      </c>
      <c r="G60" s="393"/>
      <c r="H60" s="392">
        <v>0</v>
      </c>
      <c r="I60" s="372">
        <f t="shared" si="2"/>
        <v>0</v>
      </c>
    </row>
    <row r="61" spans="1:9" ht="13.9" customHeight="1">
      <c r="A61" s="196" t="s">
        <v>80</v>
      </c>
      <c r="B61" s="371">
        <f t="shared" si="0"/>
        <v>5</v>
      </c>
      <c r="C61" s="372">
        <f t="shared" si="3"/>
        <v>0.77639751552795033</v>
      </c>
      <c r="E61" s="393">
        <v>4</v>
      </c>
      <c r="F61" s="372">
        <f t="shared" si="1"/>
        <v>80</v>
      </c>
      <c r="G61" s="393"/>
      <c r="H61" s="393">
        <v>1</v>
      </c>
      <c r="I61" s="372">
        <f t="shared" si="2"/>
        <v>20</v>
      </c>
    </row>
    <row r="62" spans="1:9" ht="13.9" customHeight="1">
      <c r="A62" s="196" t="s">
        <v>77</v>
      </c>
      <c r="B62" s="371">
        <f t="shared" si="0"/>
        <v>1</v>
      </c>
      <c r="C62" s="372">
        <f t="shared" si="3"/>
        <v>0.15527950310559005</v>
      </c>
      <c r="E62" s="393">
        <v>1</v>
      </c>
      <c r="F62" s="372">
        <f t="shared" si="1"/>
        <v>100</v>
      </c>
      <c r="G62" s="393"/>
      <c r="H62" s="392">
        <v>0</v>
      </c>
      <c r="I62" s="372">
        <f t="shared" si="2"/>
        <v>0</v>
      </c>
    </row>
    <row r="63" spans="1:9" ht="13.9" customHeight="1">
      <c r="A63" s="196" t="s">
        <v>1051</v>
      </c>
      <c r="B63" s="371">
        <f t="shared" si="0"/>
        <v>1</v>
      </c>
      <c r="C63" s="372">
        <f t="shared" si="3"/>
        <v>0.15527950310559005</v>
      </c>
      <c r="E63" s="392">
        <v>0</v>
      </c>
      <c r="F63" s="372">
        <f t="shared" si="1"/>
        <v>0</v>
      </c>
      <c r="G63" s="392"/>
      <c r="H63" s="393">
        <v>1</v>
      </c>
      <c r="I63" s="372">
        <f>IF($A63&lt;&gt;"",H63/$B63*100,"")</f>
        <v>100</v>
      </c>
    </row>
    <row r="64" spans="1:9" ht="13.9" customHeight="1">
      <c r="A64" s="196" t="s">
        <v>1052</v>
      </c>
      <c r="B64" s="371">
        <f t="shared" si="0"/>
        <v>5</v>
      </c>
      <c r="C64" s="372">
        <f t="shared" si="3"/>
        <v>0.77639751552795033</v>
      </c>
      <c r="E64" s="393">
        <v>2</v>
      </c>
      <c r="F64" s="372">
        <f t="shared" si="1"/>
        <v>40</v>
      </c>
      <c r="G64" s="393"/>
      <c r="H64" s="393">
        <v>3</v>
      </c>
      <c r="I64" s="372">
        <f>IF($A64&lt;&gt;"",H64/$B64*100,"")</f>
        <v>60</v>
      </c>
    </row>
    <row r="65" spans="1:10" ht="13.9" customHeight="1">
      <c r="A65" s="196" t="s">
        <v>1053</v>
      </c>
      <c r="B65" s="371">
        <f t="shared" si="0"/>
        <v>2</v>
      </c>
      <c r="C65" s="372">
        <f t="shared" si="3"/>
        <v>0.3105590062111801</v>
      </c>
      <c r="E65" s="393">
        <v>2</v>
      </c>
      <c r="F65" s="372">
        <f t="shared" si="1"/>
        <v>100</v>
      </c>
      <c r="G65" s="393"/>
      <c r="H65" s="392">
        <v>0</v>
      </c>
      <c r="I65" s="372">
        <f t="shared" si="2"/>
        <v>0</v>
      </c>
    </row>
    <row r="66" spans="1:10" ht="13.9" customHeight="1">
      <c r="A66" s="196" t="s">
        <v>1054</v>
      </c>
      <c r="B66" s="371">
        <f t="shared" si="0"/>
        <v>7</v>
      </c>
      <c r="C66" s="372">
        <f t="shared" si="3"/>
        <v>1.0869565217391304</v>
      </c>
      <c r="E66" s="393">
        <v>4</v>
      </c>
      <c r="F66" s="372">
        <f t="shared" si="1"/>
        <v>57.142857142857139</v>
      </c>
      <c r="G66" s="393"/>
      <c r="H66" s="393">
        <v>3</v>
      </c>
      <c r="I66" s="372">
        <f t="shared" si="2"/>
        <v>42.857142857142854</v>
      </c>
    </row>
    <row r="67" spans="1:10" ht="13.9" customHeight="1">
      <c r="A67" s="196" t="s">
        <v>1055</v>
      </c>
      <c r="B67" s="371">
        <f t="shared" si="0"/>
        <v>2</v>
      </c>
      <c r="C67" s="372">
        <f t="shared" si="3"/>
        <v>0.3105590062111801</v>
      </c>
      <c r="E67" s="393">
        <v>1</v>
      </c>
      <c r="F67" s="372">
        <f t="shared" si="1"/>
        <v>50</v>
      </c>
      <c r="G67" s="393"/>
      <c r="H67" s="393">
        <v>1</v>
      </c>
      <c r="I67" s="372">
        <f t="shared" si="2"/>
        <v>50</v>
      </c>
    </row>
    <row r="68" spans="1:10" ht="13.9" customHeight="1">
      <c r="A68" s="196" t="s">
        <v>1056</v>
      </c>
      <c r="B68" s="371">
        <f t="shared" si="0"/>
        <v>4</v>
      </c>
      <c r="C68" s="372">
        <f t="shared" si="3"/>
        <v>0.6211180124223602</v>
      </c>
      <c r="E68" s="392">
        <v>0</v>
      </c>
      <c r="F68" s="372">
        <f t="shared" si="1"/>
        <v>0</v>
      </c>
      <c r="G68" s="392"/>
      <c r="H68" s="393">
        <v>4</v>
      </c>
      <c r="I68" s="372">
        <f t="shared" si="2"/>
        <v>100</v>
      </c>
    </row>
    <row r="69" spans="1:10" ht="13.9" customHeight="1">
      <c r="A69" s="196" t="s">
        <v>47</v>
      </c>
      <c r="B69" s="371">
        <f t="shared" si="0"/>
        <v>10</v>
      </c>
      <c r="C69" s="372">
        <f t="shared" si="3"/>
        <v>1.5527950310559007</v>
      </c>
      <c r="E69" s="392">
        <v>0</v>
      </c>
      <c r="F69" s="372">
        <f t="shared" si="1"/>
        <v>0</v>
      </c>
      <c r="G69" s="392"/>
      <c r="H69" s="393">
        <v>10</v>
      </c>
      <c r="I69" s="372">
        <f t="shared" si="2"/>
        <v>100</v>
      </c>
    </row>
    <row r="70" spans="1:10" ht="13.9" customHeight="1">
      <c r="A70" s="196" t="s">
        <v>34</v>
      </c>
      <c r="B70" s="371">
        <f t="shared" si="0"/>
        <v>7</v>
      </c>
      <c r="C70" s="372">
        <f t="shared" si="3"/>
        <v>1.0869565217391304</v>
      </c>
      <c r="E70" s="393">
        <v>4</v>
      </c>
      <c r="F70" s="372">
        <f t="shared" si="1"/>
        <v>57.142857142857139</v>
      </c>
      <c r="G70" s="393"/>
      <c r="H70" s="393">
        <v>3</v>
      </c>
    </row>
    <row r="71" spans="1:10" ht="13.9" customHeight="1">
      <c r="A71" s="196" t="s">
        <v>1057</v>
      </c>
      <c r="B71" s="371">
        <f t="shared" si="0"/>
        <v>2</v>
      </c>
      <c r="C71" s="372">
        <f t="shared" si="3"/>
        <v>0.3105590062111801</v>
      </c>
      <c r="E71" s="392">
        <v>0</v>
      </c>
      <c r="F71" s="372">
        <f t="shared" si="1"/>
        <v>0</v>
      </c>
      <c r="G71" s="392"/>
      <c r="H71" s="393">
        <v>2</v>
      </c>
      <c r="I71" s="372">
        <f t="shared" si="2"/>
        <v>100</v>
      </c>
    </row>
    <row r="72" spans="1:10">
      <c r="A72" s="394" t="s">
        <v>42</v>
      </c>
      <c r="B72" s="371">
        <f t="shared" si="0"/>
        <v>8</v>
      </c>
      <c r="C72" s="372">
        <f t="shared" si="3"/>
        <v>1.2422360248447204</v>
      </c>
      <c r="E72" s="393">
        <v>5</v>
      </c>
      <c r="F72" s="372">
        <f t="shared" si="1"/>
        <v>62.5</v>
      </c>
      <c r="G72" s="393"/>
      <c r="H72" s="393">
        <v>3</v>
      </c>
      <c r="I72" s="372">
        <f t="shared" si="2"/>
        <v>37.5</v>
      </c>
    </row>
    <row r="73" spans="1:10">
      <c r="A73" s="196" t="s">
        <v>1058</v>
      </c>
      <c r="B73" s="371">
        <f t="shared" si="0"/>
        <v>5</v>
      </c>
      <c r="C73" s="372">
        <f t="shared" si="3"/>
        <v>0.77639751552795033</v>
      </c>
      <c r="E73" s="392">
        <v>0</v>
      </c>
      <c r="F73" s="372">
        <f t="shared" si="1"/>
        <v>0</v>
      </c>
      <c r="G73" s="392"/>
      <c r="H73" s="393">
        <v>5</v>
      </c>
    </row>
    <row r="74" spans="1:10" ht="15" customHeight="1">
      <c r="F74" s="372" t="str">
        <f t="shared" si="1"/>
        <v/>
      </c>
    </row>
    <row r="75" spans="1:10" s="224" customFormat="1" ht="13.9" customHeight="1">
      <c r="A75" s="205" t="s">
        <v>882</v>
      </c>
      <c r="B75" s="388">
        <f t="shared" ref="B75:B80" si="4">IF($A75&lt;&gt;0,E75+H75,"")</f>
        <v>294</v>
      </c>
      <c r="C75" s="389">
        <f t="shared" ref="C75:C80" si="5">IF($A75&lt;&gt;"",$B75/$B$11*100,"")</f>
        <v>45.652173913043477</v>
      </c>
      <c r="D75" s="390"/>
      <c r="E75" s="388">
        <f>SUM(E76:E80)</f>
        <v>122</v>
      </c>
      <c r="F75" s="389">
        <f t="shared" si="1"/>
        <v>41.496598639455783</v>
      </c>
      <c r="G75" s="390"/>
      <c r="H75" s="388">
        <f>SUM(H76:H80)</f>
        <v>172</v>
      </c>
      <c r="I75" s="389">
        <f t="shared" si="2"/>
        <v>58.503401360544217</v>
      </c>
      <c r="J75" s="391"/>
    </row>
    <row r="76" spans="1:10" ht="13.9" customHeight="1">
      <c r="A76" s="196" t="s">
        <v>887</v>
      </c>
      <c r="B76" s="371">
        <f t="shared" si="4"/>
        <v>48</v>
      </c>
      <c r="C76" s="372">
        <f t="shared" si="5"/>
        <v>7.4534161490683228</v>
      </c>
      <c r="E76" s="393">
        <v>15</v>
      </c>
      <c r="F76" s="372">
        <f>IF($A76&lt;&gt;"",E76/$B76*100,"")</f>
        <v>31.25</v>
      </c>
      <c r="G76" s="393"/>
      <c r="H76" s="393">
        <v>33</v>
      </c>
      <c r="I76" s="372">
        <f t="shared" ref="I76:I79" si="6">IF($A76&lt;&gt;"",H76/$B76*100,"")</f>
        <v>68.75</v>
      </c>
    </row>
    <row r="77" spans="1:10" ht="13.9" customHeight="1">
      <c r="A77" s="196" t="s">
        <v>1059</v>
      </c>
      <c r="B77" s="371">
        <f t="shared" si="4"/>
        <v>212</v>
      </c>
      <c r="C77" s="372">
        <f t="shared" si="5"/>
        <v>32.919254658385093</v>
      </c>
      <c r="E77" s="393">
        <v>98</v>
      </c>
      <c r="F77" s="372">
        <f>IF($A77&lt;&gt;"",E77/$B77*100,"")</f>
        <v>46.226415094339622</v>
      </c>
      <c r="G77" s="393"/>
      <c r="H77" s="393">
        <v>114</v>
      </c>
    </row>
    <row r="78" spans="1:10" ht="13.9" customHeight="1">
      <c r="A78" s="196" t="s">
        <v>1060</v>
      </c>
      <c r="B78" s="371">
        <f t="shared" si="4"/>
        <v>9</v>
      </c>
      <c r="C78" s="372">
        <f t="shared" si="5"/>
        <v>1.3975155279503106</v>
      </c>
      <c r="E78" s="393">
        <v>3</v>
      </c>
      <c r="F78" s="372">
        <f>IF($A78&lt;&gt;"",E78/$B78*100,"")</f>
        <v>33.333333333333329</v>
      </c>
      <c r="G78" s="393"/>
      <c r="H78" s="393">
        <v>6</v>
      </c>
      <c r="I78" s="372">
        <f t="shared" si="6"/>
        <v>66.666666666666657</v>
      </c>
    </row>
    <row r="79" spans="1:10" ht="13.9" customHeight="1">
      <c r="A79" s="196" t="s">
        <v>1054</v>
      </c>
      <c r="B79" s="371">
        <f t="shared" si="4"/>
        <v>18</v>
      </c>
      <c r="C79" s="372">
        <f t="shared" si="5"/>
        <v>2.7950310559006213</v>
      </c>
      <c r="E79" s="393">
        <v>5</v>
      </c>
      <c r="F79" s="372">
        <f>IF($A79&lt;&gt;"",E79/$B79*100,"")</f>
        <v>27.777777777777779</v>
      </c>
      <c r="G79" s="393"/>
      <c r="H79" s="393">
        <v>13</v>
      </c>
      <c r="I79" s="372">
        <f t="shared" si="6"/>
        <v>72.222222222222214</v>
      </c>
    </row>
    <row r="80" spans="1:10" ht="13.9" customHeight="1" thickBot="1">
      <c r="A80" s="196" t="s">
        <v>1061</v>
      </c>
      <c r="B80" s="371">
        <f t="shared" si="4"/>
        <v>7</v>
      </c>
      <c r="C80" s="372">
        <f t="shared" si="5"/>
        <v>1.0869565217391304</v>
      </c>
      <c r="E80" s="393">
        <v>1</v>
      </c>
      <c r="F80" s="372">
        <f>IF($A80&lt;&gt;"",E80/$B80*100,"")</f>
        <v>14.285714285714285</v>
      </c>
      <c r="G80" s="393"/>
      <c r="H80" s="393">
        <v>6</v>
      </c>
    </row>
    <row r="81" spans="1:10" ht="3.75" customHeight="1">
      <c r="A81" s="375"/>
      <c r="B81" s="376"/>
      <c r="C81" s="377"/>
      <c r="D81" s="378"/>
      <c r="E81" s="376"/>
      <c r="F81" s="377"/>
      <c r="G81" s="378"/>
      <c r="H81" s="376"/>
      <c r="I81" s="377"/>
      <c r="J81" s="379"/>
    </row>
    <row r="82" spans="1:10" ht="16.5">
      <c r="A82" s="395" t="s">
        <v>1062</v>
      </c>
      <c r="D82" s="373"/>
      <c r="G82" s="373"/>
    </row>
    <row r="83" spans="1:10">
      <c r="A83" s="196" t="s">
        <v>1017</v>
      </c>
      <c r="D83" s="373"/>
      <c r="G83" s="373"/>
    </row>
    <row r="84" spans="1:10" ht="3.75" customHeight="1">
      <c r="A84" s="380"/>
      <c r="B84" s="382"/>
      <c r="C84" s="383"/>
      <c r="D84" s="381"/>
      <c r="E84" s="382"/>
      <c r="F84" s="383"/>
      <c r="G84" s="381"/>
      <c r="H84" s="382"/>
      <c r="I84" s="383"/>
      <c r="J84" s="384"/>
    </row>
    <row r="85" spans="1:10">
      <c r="A85" s="196" t="s">
        <v>1009</v>
      </c>
    </row>
    <row r="86" spans="1:10">
      <c r="A86" s="196" t="s">
        <v>385</v>
      </c>
    </row>
  </sheetData>
  <mergeCells count="3">
    <mergeCell ref="E7:F7"/>
    <mergeCell ref="H7:I7"/>
    <mergeCell ref="B7:C7"/>
  </mergeCells>
  <printOptions horizontalCentered="1" verticalCentered="1"/>
  <pageMargins left="0" right="0" top="0" bottom="0" header="0.31496062992125984" footer="0.31496062992125984"/>
  <pageSetup paperSize="9" scale="65" orientation="portrait" r:id="rId1"/>
</worksheet>
</file>

<file path=xl/worksheets/sheet58.xml><?xml version="1.0" encoding="utf-8"?>
<worksheet xmlns="http://schemas.openxmlformats.org/spreadsheetml/2006/main" xmlns:r="http://schemas.openxmlformats.org/officeDocument/2006/relationships">
  <sheetPr>
    <tabColor theme="5" tint="0.59999389629810485"/>
  </sheetPr>
  <dimension ref="B1:K7"/>
  <sheetViews>
    <sheetView workbookViewId="0">
      <selection activeCell="J6" sqref="J6"/>
    </sheetView>
  </sheetViews>
  <sheetFormatPr baseColWidth="10" defaultRowHeight="15"/>
  <cols>
    <col min="8" max="8" width="11.42578125" style="24"/>
  </cols>
  <sheetData>
    <row r="1" spans="2:11" ht="12.75" customHeight="1"/>
    <row r="2" spans="2:11" ht="12.75" customHeight="1">
      <c r="G2" s="42" t="s">
        <v>1081</v>
      </c>
      <c r="H2" s="39"/>
      <c r="J2" s="429"/>
    </row>
    <row r="3" spans="2:11">
      <c r="B3" s="46"/>
      <c r="C3" s="46"/>
      <c r="D3" s="46"/>
      <c r="E3" s="46"/>
      <c r="F3" s="46"/>
      <c r="G3" s="430" t="s">
        <v>882</v>
      </c>
      <c r="H3" s="431">
        <v>294</v>
      </c>
    </row>
    <row r="4" spans="2:11" ht="23.25">
      <c r="G4" s="42" t="s">
        <v>1082</v>
      </c>
      <c r="H4" s="39">
        <v>333</v>
      </c>
      <c r="K4" s="35"/>
    </row>
    <row r="5" spans="2:11">
      <c r="G5" s="42" t="s">
        <v>785</v>
      </c>
      <c r="H5" s="39">
        <v>10</v>
      </c>
    </row>
    <row r="6" spans="2:11">
      <c r="G6" s="42"/>
      <c r="H6" s="39">
        <v>692</v>
      </c>
    </row>
    <row r="7" spans="2:11">
      <c r="G7" s="42"/>
      <c r="H7" s="39"/>
    </row>
  </sheetData>
  <printOptions horizontalCentered="1" vertic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59.xml><?xml version="1.0" encoding="utf-8"?>
<worksheet xmlns="http://schemas.openxmlformats.org/spreadsheetml/2006/main" xmlns:r="http://schemas.openxmlformats.org/officeDocument/2006/relationships">
  <sheetPr>
    <tabColor theme="5" tint="0.59999389629810485"/>
  </sheetPr>
  <dimension ref="B2:D9"/>
  <sheetViews>
    <sheetView workbookViewId="0">
      <selection sqref="A1:XFD1048576"/>
    </sheetView>
  </sheetViews>
  <sheetFormatPr baseColWidth="10" defaultRowHeight="15"/>
  <sheetData>
    <row r="2" spans="2:4">
      <c r="C2" s="42" t="s">
        <v>1012</v>
      </c>
      <c r="D2" s="42" t="s">
        <v>1013</v>
      </c>
    </row>
    <row r="3" spans="2:4">
      <c r="B3" s="42" t="s">
        <v>1083</v>
      </c>
      <c r="C3">
        <v>147</v>
      </c>
      <c r="D3">
        <v>186</v>
      </c>
    </row>
    <row r="4" spans="2:4">
      <c r="B4" s="42" t="s">
        <v>882</v>
      </c>
      <c r="C4">
        <v>122</v>
      </c>
      <c r="D4">
        <v>172</v>
      </c>
    </row>
    <row r="5" spans="2:4">
      <c r="B5" s="42" t="s">
        <v>785</v>
      </c>
      <c r="C5">
        <v>10</v>
      </c>
      <c r="D5">
        <v>7</v>
      </c>
    </row>
    <row r="6" spans="2:4">
      <c r="B6" s="42"/>
    </row>
    <row r="8" spans="2:4">
      <c r="B8" s="42"/>
    </row>
    <row r="9" spans="2:4">
      <c r="B9" s="42"/>
    </row>
  </sheetData>
  <printOptions horizontalCentered="1" verticalCentered="1"/>
  <pageMargins left="0" right="0" top="0" bottom="0"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dimension ref="A1:S124"/>
  <sheetViews>
    <sheetView workbookViewId="0">
      <selection activeCell="A86" sqref="A86"/>
    </sheetView>
  </sheetViews>
  <sheetFormatPr baseColWidth="10" defaultColWidth="9.140625" defaultRowHeight="12.75"/>
  <cols>
    <col min="1" max="1" width="36.7109375" style="434" customWidth="1"/>
    <col min="2" max="2" width="7.28515625" style="449" customWidth="1"/>
    <col min="3" max="3" width="8.28515625" style="454" customWidth="1"/>
    <col min="4" max="4" width="2.7109375" style="434" customWidth="1"/>
    <col min="5" max="5" width="8.28515625" style="435" customWidth="1"/>
    <col min="6" max="6" width="8.28515625" style="436" customWidth="1"/>
    <col min="7" max="7" width="2.7109375" style="434" customWidth="1"/>
    <col min="8" max="8" width="8.28515625" style="449" customWidth="1"/>
    <col min="9" max="9" width="8.28515625" style="436" customWidth="1"/>
    <col min="10" max="10" width="5.28515625" style="436" customWidth="1"/>
    <col min="11" max="11" width="7.28515625" style="449" customWidth="1"/>
    <col min="12" max="12" width="9.140625" style="454" customWidth="1"/>
    <col min="13" max="13" width="2.7109375" style="434" customWidth="1"/>
    <col min="14" max="14" width="8.85546875" style="435" customWidth="1"/>
    <col min="15" max="15" width="9.140625" style="434" customWidth="1"/>
    <col min="16" max="16" width="2.7109375" style="434" customWidth="1"/>
    <col min="17" max="17" width="8.85546875" style="435" customWidth="1"/>
    <col min="18" max="18" width="9.140625" style="434" customWidth="1"/>
    <col min="19" max="19" width="1.85546875" style="434" customWidth="1"/>
    <col min="20" max="20" width="3.5703125" style="434" customWidth="1"/>
    <col min="21" max="256" width="9.140625" style="434"/>
    <col min="257" max="257" width="36.7109375" style="434" customWidth="1"/>
    <col min="258" max="258" width="7.28515625" style="434" customWidth="1"/>
    <col min="259" max="259" width="8.28515625" style="434" customWidth="1"/>
    <col min="260" max="260" width="2.7109375" style="434" customWidth="1"/>
    <col min="261" max="262" width="8.28515625" style="434" customWidth="1"/>
    <col min="263" max="263" width="2.7109375" style="434" customWidth="1"/>
    <col min="264" max="265" width="8.28515625" style="434" customWidth="1"/>
    <col min="266" max="266" width="5.28515625" style="434" customWidth="1"/>
    <col min="267" max="267" width="7.28515625" style="434" customWidth="1"/>
    <col min="268" max="268" width="9.140625" style="434" customWidth="1"/>
    <col min="269" max="269" width="2.7109375" style="434" customWidth="1"/>
    <col min="270" max="270" width="8.85546875" style="434" customWidth="1"/>
    <col min="271" max="271" width="9.140625" style="434" customWidth="1"/>
    <col min="272" max="272" width="2.7109375" style="434" customWidth="1"/>
    <col min="273" max="273" width="8.85546875" style="434" customWidth="1"/>
    <col min="274" max="274" width="9.140625" style="434" customWidth="1"/>
    <col min="275" max="275" width="1.85546875" style="434" customWidth="1"/>
    <col min="276" max="276" width="3.5703125" style="434" customWidth="1"/>
    <col min="277" max="512" width="9.140625" style="434"/>
    <col min="513" max="513" width="36.7109375" style="434" customWidth="1"/>
    <col min="514" max="514" width="7.28515625" style="434" customWidth="1"/>
    <col min="515" max="515" width="8.28515625" style="434" customWidth="1"/>
    <col min="516" max="516" width="2.7109375" style="434" customWidth="1"/>
    <col min="517" max="518" width="8.28515625" style="434" customWidth="1"/>
    <col min="519" max="519" width="2.7109375" style="434" customWidth="1"/>
    <col min="520" max="521" width="8.28515625" style="434" customWidth="1"/>
    <col min="522" max="522" width="5.28515625" style="434" customWidth="1"/>
    <col min="523" max="523" width="7.28515625" style="434" customWidth="1"/>
    <col min="524" max="524" width="9.140625" style="434" customWidth="1"/>
    <col min="525" max="525" width="2.7109375" style="434" customWidth="1"/>
    <col min="526" max="526" width="8.85546875" style="434" customWidth="1"/>
    <col min="527" max="527" width="9.140625" style="434" customWidth="1"/>
    <col min="528" max="528" width="2.7109375" style="434" customWidth="1"/>
    <col min="529" max="529" width="8.85546875" style="434" customWidth="1"/>
    <col min="530" max="530" width="9.140625" style="434" customWidth="1"/>
    <col min="531" max="531" width="1.85546875" style="434" customWidth="1"/>
    <col min="532" max="532" width="3.5703125" style="434" customWidth="1"/>
    <col min="533" max="768" width="9.140625" style="434"/>
    <col min="769" max="769" width="36.7109375" style="434" customWidth="1"/>
    <col min="770" max="770" width="7.28515625" style="434" customWidth="1"/>
    <col min="771" max="771" width="8.28515625" style="434" customWidth="1"/>
    <col min="772" max="772" width="2.7109375" style="434" customWidth="1"/>
    <col min="773" max="774" width="8.28515625" style="434" customWidth="1"/>
    <col min="775" max="775" width="2.7109375" style="434" customWidth="1"/>
    <col min="776" max="777" width="8.28515625" style="434" customWidth="1"/>
    <col min="778" max="778" width="5.28515625" style="434" customWidth="1"/>
    <col min="779" max="779" width="7.28515625" style="434" customWidth="1"/>
    <col min="780" max="780" width="9.140625" style="434" customWidth="1"/>
    <col min="781" max="781" width="2.7109375" style="434" customWidth="1"/>
    <col min="782" max="782" width="8.85546875" style="434" customWidth="1"/>
    <col min="783" max="783" width="9.140625" style="434" customWidth="1"/>
    <col min="784" max="784" width="2.7109375" style="434" customWidth="1"/>
    <col min="785" max="785" width="8.85546875" style="434" customWidth="1"/>
    <col min="786" max="786" width="9.140625" style="434" customWidth="1"/>
    <col min="787" max="787" width="1.85546875" style="434" customWidth="1"/>
    <col min="788" max="788" width="3.5703125" style="434" customWidth="1"/>
    <col min="789" max="1024" width="9.140625" style="434"/>
    <col min="1025" max="1025" width="36.7109375" style="434" customWidth="1"/>
    <col min="1026" max="1026" width="7.28515625" style="434" customWidth="1"/>
    <col min="1027" max="1027" width="8.28515625" style="434" customWidth="1"/>
    <col min="1028" max="1028" width="2.7109375" style="434" customWidth="1"/>
    <col min="1029" max="1030" width="8.28515625" style="434" customWidth="1"/>
    <col min="1031" max="1031" width="2.7109375" style="434" customWidth="1"/>
    <col min="1032" max="1033" width="8.28515625" style="434" customWidth="1"/>
    <col min="1034" max="1034" width="5.28515625" style="434" customWidth="1"/>
    <col min="1035" max="1035" width="7.28515625" style="434" customWidth="1"/>
    <col min="1036" max="1036" width="9.140625" style="434" customWidth="1"/>
    <col min="1037" max="1037" width="2.7109375" style="434" customWidth="1"/>
    <col min="1038" max="1038" width="8.85546875" style="434" customWidth="1"/>
    <col min="1039" max="1039" width="9.140625" style="434" customWidth="1"/>
    <col min="1040" max="1040" width="2.7109375" style="434" customWidth="1"/>
    <col min="1041" max="1041" width="8.85546875" style="434" customWidth="1"/>
    <col min="1042" max="1042" width="9.140625" style="434" customWidth="1"/>
    <col min="1043" max="1043" width="1.85546875" style="434" customWidth="1"/>
    <col min="1044" max="1044" width="3.5703125" style="434" customWidth="1"/>
    <col min="1045" max="1280" width="9.140625" style="434"/>
    <col min="1281" max="1281" width="36.7109375" style="434" customWidth="1"/>
    <col min="1282" max="1282" width="7.28515625" style="434" customWidth="1"/>
    <col min="1283" max="1283" width="8.28515625" style="434" customWidth="1"/>
    <col min="1284" max="1284" width="2.7109375" style="434" customWidth="1"/>
    <col min="1285" max="1286" width="8.28515625" style="434" customWidth="1"/>
    <col min="1287" max="1287" width="2.7109375" style="434" customWidth="1"/>
    <col min="1288" max="1289" width="8.28515625" style="434" customWidth="1"/>
    <col min="1290" max="1290" width="5.28515625" style="434" customWidth="1"/>
    <col min="1291" max="1291" width="7.28515625" style="434" customWidth="1"/>
    <col min="1292" max="1292" width="9.140625" style="434" customWidth="1"/>
    <col min="1293" max="1293" width="2.7109375" style="434" customWidth="1"/>
    <col min="1294" max="1294" width="8.85546875" style="434" customWidth="1"/>
    <col min="1295" max="1295" width="9.140625" style="434" customWidth="1"/>
    <col min="1296" max="1296" width="2.7109375" style="434" customWidth="1"/>
    <col min="1297" max="1297" width="8.85546875" style="434" customWidth="1"/>
    <col min="1298" max="1298" width="9.140625" style="434" customWidth="1"/>
    <col min="1299" max="1299" width="1.85546875" style="434" customWidth="1"/>
    <col min="1300" max="1300" width="3.5703125" style="434" customWidth="1"/>
    <col min="1301" max="1536" width="9.140625" style="434"/>
    <col min="1537" max="1537" width="36.7109375" style="434" customWidth="1"/>
    <col min="1538" max="1538" width="7.28515625" style="434" customWidth="1"/>
    <col min="1539" max="1539" width="8.28515625" style="434" customWidth="1"/>
    <col min="1540" max="1540" width="2.7109375" style="434" customWidth="1"/>
    <col min="1541" max="1542" width="8.28515625" style="434" customWidth="1"/>
    <col min="1543" max="1543" width="2.7109375" style="434" customWidth="1"/>
    <col min="1544" max="1545" width="8.28515625" style="434" customWidth="1"/>
    <col min="1546" max="1546" width="5.28515625" style="434" customWidth="1"/>
    <col min="1547" max="1547" width="7.28515625" style="434" customWidth="1"/>
    <col min="1548" max="1548" width="9.140625" style="434" customWidth="1"/>
    <col min="1549" max="1549" width="2.7109375" style="434" customWidth="1"/>
    <col min="1550" max="1550" width="8.85546875" style="434" customWidth="1"/>
    <col min="1551" max="1551" width="9.140625" style="434" customWidth="1"/>
    <col min="1552" max="1552" width="2.7109375" style="434" customWidth="1"/>
    <col min="1553" max="1553" width="8.85546875" style="434" customWidth="1"/>
    <col min="1554" max="1554" width="9.140625" style="434" customWidth="1"/>
    <col min="1555" max="1555" width="1.85546875" style="434" customWidth="1"/>
    <col min="1556" max="1556" width="3.5703125" style="434" customWidth="1"/>
    <col min="1557" max="1792" width="9.140625" style="434"/>
    <col min="1793" max="1793" width="36.7109375" style="434" customWidth="1"/>
    <col min="1794" max="1794" width="7.28515625" style="434" customWidth="1"/>
    <col min="1795" max="1795" width="8.28515625" style="434" customWidth="1"/>
    <col min="1796" max="1796" width="2.7109375" style="434" customWidth="1"/>
    <col min="1797" max="1798" width="8.28515625" style="434" customWidth="1"/>
    <col min="1799" max="1799" width="2.7109375" style="434" customWidth="1"/>
    <col min="1800" max="1801" width="8.28515625" style="434" customWidth="1"/>
    <col min="1802" max="1802" width="5.28515625" style="434" customWidth="1"/>
    <col min="1803" max="1803" width="7.28515625" style="434" customWidth="1"/>
    <col min="1804" max="1804" width="9.140625" style="434" customWidth="1"/>
    <col min="1805" max="1805" width="2.7109375" style="434" customWidth="1"/>
    <col min="1806" max="1806" width="8.85546875" style="434" customWidth="1"/>
    <col min="1807" max="1807" width="9.140625" style="434" customWidth="1"/>
    <col min="1808" max="1808" width="2.7109375" style="434" customWidth="1"/>
    <col min="1809" max="1809" width="8.85546875" style="434" customWidth="1"/>
    <col min="1810" max="1810" width="9.140625" style="434" customWidth="1"/>
    <col min="1811" max="1811" width="1.85546875" style="434" customWidth="1"/>
    <col min="1812" max="1812" width="3.5703125" style="434" customWidth="1"/>
    <col min="1813" max="2048" width="9.140625" style="434"/>
    <col min="2049" max="2049" width="36.7109375" style="434" customWidth="1"/>
    <col min="2050" max="2050" width="7.28515625" style="434" customWidth="1"/>
    <col min="2051" max="2051" width="8.28515625" style="434" customWidth="1"/>
    <col min="2052" max="2052" width="2.7109375" style="434" customWidth="1"/>
    <col min="2053" max="2054" width="8.28515625" style="434" customWidth="1"/>
    <col min="2055" max="2055" width="2.7109375" style="434" customWidth="1"/>
    <col min="2056" max="2057" width="8.28515625" style="434" customWidth="1"/>
    <col min="2058" max="2058" width="5.28515625" style="434" customWidth="1"/>
    <col min="2059" max="2059" width="7.28515625" style="434" customWidth="1"/>
    <col min="2060" max="2060" width="9.140625" style="434" customWidth="1"/>
    <col min="2061" max="2061" width="2.7109375" style="434" customWidth="1"/>
    <col min="2062" max="2062" width="8.85546875" style="434" customWidth="1"/>
    <col min="2063" max="2063" width="9.140625" style="434" customWidth="1"/>
    <col min="2064" max="2064" width="2.7109375" style="434" customWidth="1"/>
    <col min="2065" max="2065" width="8.85546875" style="434" customWidth="1"/>
    <col min="2066" max="2066" width="9.140625" style="434" customWidth="1"/>
    <col min="2067" max="2067" width="1.85546875" style="434" customWidth="1"/>
    <col min="2068" max="2068" width="3.5703125" style="434" customWidth="1"/>
    <col min="2069" max="2304" width="9.140625" style="434"/>
    <col min="2305" max="2305" width="36.7109375" style="434" customWidth="1"/>
    <col min="2306" max="2306" width="7.28515625" style="434" customWidth="1"/>
    <col min="2307" max="2307" width="8.28515625" style="434" customWidth="1"/>
    <col min="2308" max="2308" width="2.7109375" style="434" customWidth="1"/>
    <col min="2309" max="2310" width="8.28515625" style="434" customWidth="1"/>
    <col min="2311" max="2311" width="2.7109375" style="434" customWidth="1"/>
    <col min="2312" max="2313" width="8.28515625" style="434" customWidth="1"/>
    <col min="2314" max="2314" width="5.28515625" style="434" customWidth="1"/>
    <col min="2315" max="2315" width="7.28515625" style="434" customWidth="1"/>
    <col min="2316" max="2316" width="9.140625" style="434" customWidth="1"/>
    <col min="2317" max="2317" width="2.7109375" style="434" customWidth="1"/>
    <col min="2318" max="2318" width="8.85546875" style="434" customWidth="1"/>
    <col min="2319" max="2319" width="9.140625" style="434" customWidth="1"/>
    <col min="2320" max="2320" width="2.7109375" style="434" customWidth="1"/>
    <col min="2321" max="2321" width="8.85546875" style="434" customWidth="1"/>
    <col min="2322" max="2322" width="9.140625" style="434" customWidth="1"/>
    <col min="2323" max="2323" width="1.85546875" style="434" customWidth="1"/>
    <col min="2324" max="2324" width="3.5703125" style="434" customWidth="1"/>
    <col min="2325" max="2560" width="9.140625" style="434"/>
    <col min="2561" max="2561" width="36.7109375" style="434" customWidth="1"/>
    <col min="2562" max="2562" width="7.28515625" style="434" customWidth="1"/>
    <col min="2563" max="2563" width="8.28515625" style="434" customWidth="1"/>
    <col min="2564" max="2564" width="2.7109375" style="434" customWidth="1"/>
    <col min="2565" max="2566" width="8.28515625" style="434" customWidth="1"/>
    <col min="2567" max="2567" width="2.7109375" style="434" customWidth="1"/>
    <col min="2568" max="2569" width="8.28515625" style="434" customWidth="1"/>
    <col min="2570" max="2570" width="5.28515625" style="434" customWidth="1"/>
    <col min="2571" max="2571" width="7.28515625" style="434" customWidth="1"/>
    <col min="2572" max="2572" width="9.140625" style="434" customWidth="1"/>
    <col min="2573" max="2573" width="2.7109375" style="434" customWidth="1"/>
    <col min="2574" max="2574" width="8.85546875" style="434" customWidth="1"/>
    <col min="2575" max="2575" width="9.140625" style="434" customWidth="1"/>
    <col min="2576" max="2576" width="2.7109375" style="434" customWidth="1"/>
    <col min="2577" max="2577" width="8.85546875" style="434" customWidth="1"/>
    <col min="2578" max="2578" width="9.140625" style="434" customWidth="1"/>
    <col min="2579" max="2579" width="1.85546875" style="434" customWidth="1"/>
    <col min="2580" max="2580" width="3.5703125" style="434" customWidth="1"/>
    <col min="2581" max="2816" width="9.140625" style="434"/>
    <col min="2817" max="2817" width="36.7109375" style="434" customWidth="1"/>
    <col min="2818" max="2818" width="7.28515625" style="434" customWidth="1"/>
    <col min="2819" max="2819" width="8.28515625" style="434" customWidth="1"/>
    <col min="2820" max="2820" width="2.7109375" style="434" customWidth="1"/>
    <col min="2821" max="2822" width="8.28515625" style="434" customWidth="1"/>
    <col min="2823" max="2823" width="2.7109375" style="434" customWidth="1"/>
    <col min="2824" max="2825" width="8.28515625" style="434" customWidth="1"/>
    <col min="2826" max="2826" width="5.28515625" style="434" customWidth="1"/>
    <col min="2827" max="2827" width="7.28515625" style="434" customWidth="1"/>
    <col min="2828" max="2828" width="9.140625" style="434" customWidth="1"/>
    <col min="2829" max="2829" width="2.7109375" style="434" customWidth="1"/>
    <col min="2830" max="2830" width="8.85546875" style="434" customWidth="1"/>
    <col min="2831" max="2831" width="9.140625" style="434" customWidth="1"/>
    <col min="2832" max="2832" width="2.7109375" style="434" customWidth="1"/>
    <col min="2833" max="2833" width="8.85546875" style="434" customWidth="1"/>
    <col min="2834" max="2834" width="9.140625" style="434" customWidth="1"/>
    <col min="2835" max="2835" width="1.85546875" style="434" customWidth="1"/>
    <col min="2836" max="2836" width="3.5703125" style="434" customWidth="1"/>
    <col min="2837" max="3072" width="9.140625" style="434"/>
    <col min="3073" max="3073" width="36.7109375" style="434" customWidth="1"/>
    <col min="3074" max="3074" width="7.28515625" style="434" customWidth="1"/>
    <col min="3075" max="3075" width="8.28515625" style="434" customWidth="1"/>
    <col min="3076" max="3076" width="2.7109375" style="434" customWidth="1"/>
    <col min="3077" max="3078" width="8.28515625" style="434" customWidth="1"/>
    <col min="3079" max="3079" width="2.7109375" style="434" customWidth="1"/>
    <col min="3080" max="3081" width="8.28515625" style="434" customWidth="1"/>
    <col min="3082" max="3082" width="5.28515625" style="434" customWidth="1"/>
    <col min="3083" max="3083" width="7.28515625" style="434" customWidth="1"/>
    <col min="3084" max="3084" width="9.140625" style="434" customWidth="1"/>
    <col min="3085" max="3085" width="2.7109375" style="434" customWidth="1"/>
    <col min="3086" max="3086" width="8.85546875" style="434" customWidth="1"/>
    <col min="3087" max="3087" width="9.140625" style="434" customWidth="1"/>
    <col min="3088" max="3088" width="2.7109375" style="434" customWidth="1"/>
    <col min="3089" max="3089" width="8.85546875" style="434" customWidth="1"/>
    <col min="3090" max="3090" width="9.140625" style="434" customWidth="1"/>
    <col min="3091" max="3091" width="1.85546875" style="434" customWidth="1"/>
    <col min="3092" max="3092" width="3.5703125" style="434" customWidth="1"/>
    <col min="3093" max="3328" width="9.140625" style="434"/>
    <col min="3329" max="3329" width="36.7109375" style="434" customWidth="1"/>
    <col min="3330" max="3330" width="7.28515625" style="434" customWidth="1"/>
    <col min="3331" max="3331" width="8.28515625" style="434" customWidth="1"/>
    <col min="3332" max="3332" width="2.7109375" style="434" customWidth="1"/>
    <col min="3333" max="3334" width="8.28515625" style="434" customWidth="1"/>
    <col min="3335" max="3335" width="2.7109375" style="434" customWidth="1"/>
    <col min="3336" max="3337" width="8.28515625" style="434" customWidth="1"/>
    <col min="3338" max="3338" width="5.28515625" style="434" customWidth="1"/>
    <col min="3339" max="3339" width="7.28515625" style="434" customWidth="1"/>
    <col min="3340" max="3340" width="9.140625" style="434" customWidth="1"/>
    <col min="3341" max="3341" width="2.7109375" style="434" customWidth="1"/>
    <col min="3342" max="3342" width="8.85546875" style="434" customWidth="1"/>
    <col min="3343" max="3343" width="9.140625" style="434" customWidth="1"/>
    <col min="3344" max="3344" width="2.7109375" style="434" customWidth="1"/>
    <col min="3345" max="3345" width="8.85546875" style="434" customWidth="1"/>
    <col min="3346" max="3346" width="9.140625" style="434" customWidth="1"/>
    <col min="3347" max="3347" width="1.85546875" style="434" customWidth="1"/>
    <col min="3348" max="3348" width="3.5703125" style="434" customWidth="1"/>
    <col min="3349" max="3584" width="9.140625" style="434"/>
    <col min="3585" max="3585" width="36.7109375" style="434" customWidth="1"/>
    <col min="3586" max="3586" width="7.28515625" style="434" customWidth="1"/>
    <col min="3587" max="3587" width="8.28515625" style="434" customWidth="1"/>
    <col min="3588" max="3588" width="2.7109375" style="434" customWidth="1"/>
    <col min="3589" max="3590" width="8.28515625" style="434" customWidth="1"/>
    <col min="3591" max="3591" width="2.7109375" style="434" customWidth="1"/>
    <col min="3592" max="3593" width="8.28515625" style="434" customWidth="1"/>
    <col min="3594" max="3594" width="5.28515625" style="434" customWidth="1"/>
    <col min="3595" max="3595" width="7.28515625" style="434" customWidth="1"/>
    <col min="3596" max="3596" width="9.140625" style="434" customWidth="1"/>
    <col min="3597" max="3597" width="2.7109375" style="434" customWidth="1"/>
    <col min="3598" max="3598" width="8.85546875" style="434" customWidth="1"/>
    <col min="3599" max="3599" width="9.140625" style="434" customWidth="1"/>
    <col min="3600" max="3600" width="2.7109375" style="434" customWidth="1"/>
    <col min="3601" max="3601" width="8.85546875" style="434" customWidth="1"/>
    <col min="3602" max="3602" width="9.140625" style="434" customWidth="1"/>
    <col min="3603" max="3603" width="1.85546875" style="434" customWidth="1"/>
    <col min="3604" max="3604" width="3.5703125" style="434" customWidth="1"/>
    <col min="3605" max="3840" width="9.140625" style="434"/>
    <col min="3841" max="3841" width="36.7109375" style="434" customWidth="1"/>
    <col min="3842" max="3842" width="7.28515625" style="434" customWidth="1"/>
    <col min="3843" max="3843" width="8.28515625" style="434" customWidth="1"/>
    <col min="3844" max="3844" width="2.7109375" style="434" customWidth="1"/>
    <col min="3845" max="3846" width="8.28515625" style="434" customWidth="1"/>
    <col min="3847" max="3847" width="2.7109375" style="434" customWidth="1"/>
    <col min="3848" max="3849" width="8.28515625" style="434" customWidth="1"/>
    <col min="3850" max="3850" width="5.28515625" style="434" customWidth="1"/>
    <col min="3851" max="3851" width="7.28515625" style="434" customWidth="1"/>
    <col min="3852" max="3852" width="9.140625" style="434" customWidth="1"/>
    <col min="3853" max="3853" width="2.7109375" style="434" customWidth="1"/>
    <col min="3854" max="3854" width="8.85546875" style="434" customWidth="1"/>
    <col min="3855" max="3855" width="9.140625" style="434" customWidth="1"/>
    <col min="3856" max="3856" width="2.7109375" style="434" customWidth="1"/>
    <col min="3857" max="3857" width="8.85546875" style="434" customWidth="1"/>
    <col min="3858" max="3858" width="9.140625" style="434" customWidth="1"/>
    <col min="3859" max="3859" width="1.85546875" style="434" customWidth="1"/>
    <col min="3860" max="3860" width="3.5703125" style="434" customWidth="1"/>
    <col min="3861" max="4096" width="9.140625" style="434"/>
    <col min="4097" max="4097" width="36.7109375" style="434" customWidth="1"/>
    <col min="4098" max="4098" width="7.28515625" style="434" customWidth="1"/>
    <col min="4099" max="4099" width="8.28515625" style="434" customWidth="1"/>
    <col min="4100" max="4100" width="2.7109375" style="434" customWidth="1"/>
    <col min="4101" max="4102" width="8.28515625" style="434" customWidth="1"/>
    <col min="4103" max="4103" width="2.7109375" style="434" customWidth="1"/>
    <col min="4104" max="4105" width="8.28515625" style="434" customWidth="1"/>
    <col min="4106" max="4106" width="5.28515625" style="434" customWidth="1"/>
    <col min="4107" max="4107" width="7.28515625" style="434" customWidth="1"/>
    <col min="4108" max="4108" width="9.140625" style="434" customWidth="1"/>
    <col min="4109" max="4109" width="2.7109375" style="434" customWidth="1"/>
    <col min="4110" max="4110" width="8.85546875" style="434" customWidth="1"/>
    <col min="4111" max="4111" width="9.140625" style="434" customWidth="1"/>
    <col min="4112" max="4112" width="2.7109375" style="434" customWidth="1"/>
    <col min="4113" max="4113" width="8.85546875" style="434" customWidth="1"/>
    <col min="4114" max="4114" width="9.140625" style="434" customWidth="1"/>
    <col min="4115" max="4115" width="1.85546875" style="434" customWidth="1"/>
    <col min="4116" max="4116" width="3.5703125" style="434" customWidth="1"/>
    <col min="4117" max="4352" width="9.140625" style="434"/>
    <col min="4353" max="4353" width="36.7109375" style="434" customWidth="1"/>
    <col min="4354" max="4354" width="7.28515625" style="434" customWidth="1"/>
    <col min="4355" max="4355" width="8.28515625" style="434" customWidth="1"/>
    <col min="4356" max="4356" width="2.7109375" style="434" customWidth="1"/>
    <col min="4357" max="4358" width="8.28515625" style="434" customWidth="1"/>
    <col min="4359" max="4359" width="2.7109375" style="434" customWidth="1"/>
    <col min="4360" max="4361" width="8.28515625" style="434" customWidth="1"/>
    <col min="4362" max="4362" width="5.28515625" style="434" customWidth="1"/>
    <col min="4363" max="4363" width="7.28515625" style="434" customWidth="1"/>
    <col min="4364" max="4364" width="9.140625" style="434" customWidth="1"/>
    <col min="4365" max="4365" width="2.7109375" style="434" customWidth="1"/>
    <col min="4366" max="4366" width="8.85546875" style="434" customWidth="1"/>
    <col min="4367" max="4367" width="9.140625" style="434" customWidth="1"/>
    <col min="4368" max="4368" width="2.7109375" style="434" customWidth="1"/>
    <col min="4369" max="4369" width="8.85546875" style="434" customWidth="1"/>
    <col min="4370" max="4370" width="9.140625" style="434" customWidth="1"/>
    <col min="4371" max="4371" width="1.85546875" style="434" customWidth="1"/>
    <col min="4372" max="4372" width="3.5703125" style="434" customWidth="1"/>
    <col min="4373" max="4608" width="9.140625" style="434"/>
    <col min="4609" max="4609" width="36.7109375" style="434" customWidth="1"/>
    <col min="4610" max="4610" width="7.28515625" style="434" customWidth="1"/>
    <col min="4611" max="4611" width="8.28515625" style="434" customWidth="1"/>
    <col min="4612" max="4612" width="2.7109375" style="434" customWidth="1"/>
    <col min="4613" max="4614" width="8.28515625" style="434" customWidth="1"/>
    <col min="4615" max="4615" width="2.7109375" style="434" customWidth="1"/>
    <col min="4616" max="4617" width="8.28515625" style="434" customWidth="1"/>
    <col min="4618" max="4618" width="5.28515625" style="434" customWidth="1"/>
    <col min="4619" max="4619" width="7.28515625" style="434" customWidth="1"/>
    <col min="4620" max="4620" width="9.140625" style="434" customWidth="1"/>
    <col min="4621" max="4621" width="2.7109375" style="434" customWidth="1"/>
    <col min="4622" max="4622" width="8.85546875" style="434" customWidth="1"/>
    <col min="4623" max="4623" width="9.140625" style="434" customWidth="1"/>
    <col min="4624" max="4624" width="2.7109375" style="434" customWidth="1"/>
    <col min="4625" max="4625" width="8.85546875" style="434" customWidth="1"/>
    <col min="4626" max="4626" width="9.140625" style="434" customWidth="1"/>
    <col min="4627" max="4627" width="1.85546875" style="434" customWidth="1"/>
    <col min="4628" max="4628" width="3.5703125" style="434" customWidth="1"/>
    <col min="4629" max="4864" width="9.140625" style="434"/>
    <col min="4865" max="4865" width="36.7109375" style="434" customWidth="1"/>
    <col min="4866" max="4866" width="7.28515625" style="434" customWidth="1"/>
    <col min="4867" max="4867" width="8.28515625" style="434" customWidth="1"/>
    <col min="4868" max="4868" width="2.7109375" style="434" customWidth="1"/>
    <col min="4869" max="4870" width="8.28515625" style="434" customWidth="1"/>
    <col min="4871" max="4871" width="2.7109375" style="434" customWidth="1"/>
    <col min="4872" max="4873" width="8.28515625" style="434" customWidth="1"/>
    <col min="4874" max="4874" width="5.28515625" style="434" customWidth="1"/>
    <col min="4875" max="4875" width="7.28515625" style="434" customWidth="1"/>
    <col min="4876" max="4876" width="9.140625" style="434" customWidth="1"/>
    <col min="4877" max="4877" width="2.7109375" style="434" customWidth="1"/>
    <col min="4878" max="4878" width="8.85546875" style="434" customWidth="1"/>
    <col min="4879" max="4879" width="9.140625" style="434" customWidth="1"/>
    <col min="4880" max="4880" width="2.7109375" style="434" customWidth="1"/>
    <col min="4881" max="4881" width="8.85546875" style="434" customWidth="1"/>
    <col min="4882" max="4882" width="9.140625" style="434" customWidth="1"/>
    <col min="4883" max="4883" width="1.85546875" style="434" customWidth="1"/>
    <col min="4884" max="4884" width="3.5703125" style="434" customWidth="1"/>
    <col min="4885" max="5120" width="9.140625" style="434"/>
    <col min="5121" max="5121" width="36.7109375" style="434" customWidth="1"/>
    <col min="5122" max="5122" width="7.28515625" style="434" customWidth="1"/>
    <col min="5123" max="5123" width="8.28515625" style="434" customWidth="1"/>
    <col min="5124" max="5124" width="2.7109375" style="434" customWidth="1"/>
    <col min="5125" max="5126" width="8.28515625" style="434" customWidth="1"/>
    <col min="5127" max="5127" width="2.7109375" style="434" customWidth="1"/>
    <col min="5128" max="5129" width="8.28515625" style="434" customWidth="1"/>
    <col min="5130" max="5130" width="5.28515625" style="434" customWidth="1"/>
    <col min="5131" max="5131" width="7.28515625" style="434" customWidth="1"/>
    <col min="5132" max="5132" width="9.140625" style="434" customWidth="1"/>
    <col min="5133" max="5133" width="2.7109375" style="434" customWidth="1"/>
    <col min="5134" max="5134" width="8.85546875" style="434" customWidth="1"/>
    <col min="5135" max="5135" width="9.140625" style="434" customWidth="1"/>
    <col min="5136" max="5136" width="2.7109375" style="434" customWidth="1"/>
    <col min="5137" max="5137" width="8.85546875" style="434" customWidth="1"/>
    <col min="5138" max="5138" width="9.140625" style="434" customWidth="1"/>
    <col min="5139" max="5139" width="1.85546875" style="434" customWidth="1"/>
    <col min="5140" max="5140" width="3.5703125" style="434" customWidth="1"/>
    <col min="5141" max="5376" width="9.140625" style="434"/>
    <col min="5377" max="5377" width="36.7109375" style="434" customWidth="1"/>
    <col min="5378" max="5378" width="7.28515625" style="434" customWidth="1"/>
    <col min="5379" max="5379" width="8.28515625" style="434" customWidth="1"/>
    <col min="5380" max="5380" width="2.7109375" style="434" customWidth="1"/>
    <col min="5381" max="5382" width="8.28515625" style="434" customWidth="1"/>
    <col min="5383" max="5383" width="2.7109375" style="434" customWidth="1"/>
    <col min="5384" max="5385" width="8.28515625" style="434" customWidth="1"/>
    <col min="5386" max="5386" width="5.28515625" style="434" customWidth="1"/>
    <col min="5387" max="5387" width="7.28515625" style="434" customWidth="1"/>
    <col min="5388" max="5388" width="9.140625" style="434" customWidth="1"/>
    <col min="5389" max="5389" width="2.7109375" style="434" customWidth="1"/>
    <col min="5390" max="5390" width="8.85546875" style="434" customWidth="1"/>
    <col min="5391" max="5391" width="9.140625" style="434" customWidth="1"/>
    <col min="5392" max="5392" width="2.7109375" style="434" customWidth="1"/>
    <col min="5393" max="5393" width="8.85546875" style="434" customWidth="1"/>
    <col min="5394" max="5394" width="9.140625" style="434" customWidth="1"/>
    <col min="5395" max="5395" width="1.85546875" style="434" customWidth="1"/>
    <col min="5396" max="5396" width="3.5703125" style="434" customWidth="1"/>
    <col min="5397" max="5632" width="9.140625" style="434"/>
    <col min="5633" max="5633" width="36.7109375" style="434" customWidth="1"/>
    <col min="5634" max="5634" width="7.28515625" style="434" customWidth="1"/>
    <col min="5635" max="5635" width="8.28515625" style="434" customWidth="1"/>
    <col min="5636" max="5636" width="2.7109375" style="434" customWidth="1"/>
    <col min="5637" max="5638" width="8.28515625" style="434" customWidth="1"/>
    <col min="5639" max="5639" width="2.7109375" style="434" customWidth="1"/>
    <col min="5640" max="5641" width="8.28515625" style="434" customWidth="1"/>
    <col min="5642" max="5642" width="5.28515625" style="434" customWidth="1"/>
    <col min="5643" max="5643" width="7.28515625" style="434" customWidth="1"/>
    <col min="5644" max="5644" width="9.140625" style="434" customWidth="1"/>
    <col min="5645" max="5645" width="2.7109375" style="434" customWidth="1"/>
    <col min="5646" max="5646" width="8.85546875" style="434" customWidth="1"/>
    <col min="5647" max="5647" width="9.140625" style="434" customWidth="1"/>
    <col min="5648" max="5648" width="2.7109375" style="434" customWidth="1"/>
    <col min="5649" max="5649" width="8.85546875" style="434" customWidth="1"/>
    <col min="5650" max="5650" width="9.140625" style="434" customWidth="1"/>
    <col min="5651" max="5651" width="1.85546875" style="434" customWidth="1"/>
    <col min="5652" max="5652" width="3.5703125" style="434" customWidth="1"/>
    <col min="5653" max="5888" width="9.140625" style="434"/>
    <col min="5889" max="5889" width="36.7109375" style="434" customWidth="1"/>
    <col min="5890" max="5890" width="7.28515625" style="434" customWidth="1"/>
    <col min="5891" max="5891" width="8.28515625" style="434" customWidth="1"/>
    <col min="5892" max="5892" width="2.7109375" style="434" customWidth="1"/>
    <col min="5893" max="5894" width="8.28515625" style="434" customWidth="1"/>
    <col min="5895" max="5895" width="2.7109375" style="434" customWidth="1"/>
    <col min="5896" max="5897" width="8.28515625" style="434" customWidth="1"/>
    <col min="5898" max="5898" width="5.28515625" style="434" customWidth="1"/>
    <col min="5899" max="5899" width="7.28515625" style="434" customWidth="1"/>
    <col min="5900" max="5900" width="9.140625" style="434" customWidth="1"/>
    <col min="5901" max="5901" width="2.7109375" style="434" customWidth="1"/>
    <col min="5902" max="5902" width="8.85546875" style="434" customWidth="1"/>
    <col min="5903" max="5903" width="9.140625" style="434" customWidth="1"/>
    <col min="5904" max="5904" width="2.7109375" style="434" customWidth="1"/>
    <col min="5905" max="5905" width="8.85546875" style="434" customWidth="1"/>
    <col min="5906" max="5906" width="9.140625" style="434" customWidth="1"/>
    <col min="5907" max="5907" width="1.85546875" style="434" customWidth="1"/>
    <col min="5908" max="5908" width="3.5703125" style="434" customWidth="1"/>
    <col min="5909" max="6144" width="9.140625" style="434"/>
    <col min="6145" max="6145" width="36.7109375" style="434" customWidth="1"/>
    <col min="6146" max="6146" width="7.28515625" style="434" customWidth="1"/>
    <col min="6147" max="6147" width="8.28515625" style="434" customWidth="1"/>
    <col min="6148" max="6148" width="2.7109375" style="434" customWidth="1"/>
    <col min="6149" max="6150" width="8.28515625" style="434" customWidth="1"/>
    <col min="6151" max="6151" width="2.7109375" style="434" customWidth="1"/>
    <col min="6152" max="6153" width="8.28515625" style="434" customWidth="1"/>
    <col min="6154" max="6154" width="5.28515625" style="434" customWidth="1"/>
    <col min="6155" max="6155" width="7.28515625" style="434" customWidth="1"/>
    <col min="6156" max="6156" width="9.140625" style="434" customWidth="1"/>
    <col min="6157" max="6157" width="2.7109375" style="434" customWidth="1"/>
    <col min="6158" max="6158" width="8.85546875" style="434" customWidth="1"/>
    <col min="6159" max="6159" width="9.140625" style="434" customWidth="1"/>
    <col min="6160" max="6160" width="2.7109375" style="434" customWidth="1"/>
    <col min="6161" max="6161" width="8.85546875" style="434" customWidth="1"/>
    <col min="6162" max="6162" width="9.140625" style="434" customWidth="1"/>
    <col min="6163" max="6163" width="1.85546875" style="434" customWidth="1"/>
    <col min="6164" max="6164" width="3.5703125" style="434" customWidth="1"/>
    <col min="6165" max="6400" width="9.140625" style="434"/>
    <col min="6401" max="6401" width="36.7109375" style="434" customWidth="1"/>
    <col min="6402" max="6402" width="7.28515625" style="434" customWidth="1"/>
    <col min="6403" max="6403" width="8.28515625" style="434" customWidth="1"/>
    <col min="6404" max="6404" width="2.7109375" style="434" customWidth="1"/>
    <col min="6405" max="6406" width="8.28515625" style="434" customWidth="1"/>
    <col min="6407" max="6407" width="2.7109375" style="434" customWidth="1"/>
    <col min="6408" max="6409" width="8.28515625" style="434" customWidth="1"/>
    <col min="6410" max="6410" width="5.28515625" style="434" customWidth="1"/>
    <col min="6411" max="6411" width="7.28515625" style="434" customWidth="1"/>
    <col min="6412" max="6412" width="9.140625" style="434" customWidth="1"/>
    <col min="6413" max="6413" width="2.7109375" style="434" customWidth="1"/>
    <col min="6414" max="6414" width="8.85546875" style="434" customWidth="1"/>
    <col min="6415" max="6415" width="9.140625" style="434" customWidth="1"/>
    <col min="6416" max="6416" width="2.7109375" style="434" customWidth="1"/>
    <col min="6417" max="6417" width="8.85546875" style="434" customWidth="1"/>
    <col min="6418" max="6418" width="9.140625" style="434" customWidth="1"/>
    <col min="6419" max="6419" width="1.85546875" style="434" customWidth="1"/>
    <col min="6420" max="6420" width="3.5703125" style="434" customWidth="1"/>
    <col min="6421" max="6656" width="9.140625" style="434"/>
    <col min="6657" max="6657" width="36.7109375" style="434" customWidth="1"/>
    <col min="6658" max="6658" width="7.28515625" style="434" customWidth="1"/>
    <col min="6659" max="6659" width="8.28515625" style="434" customWidth="1"/>
    <col min="6660" max="6660" width="2.7109375" style="434" customWidth="1"/>
    <col min="6661" max="6662" width="8.28515625" style="434" customWidth="1"/>
    <col min="6663" max="6663" width="2.7109375" style="434" customWidth="1"/>
    <col min="6664" max="6665" width="8.28515625" style="434" customWidth="1"/>
    <col min="6666" max="6666" width="5.28515625" style="434" customWidth="1"/>
    <col min="6667" max="6667" width="7.28515625" style="434" customWidth="1"/>
    <col min="6668" max="6668" width="9.140625" style="434" customWidth="1"/>
    <col min="6669" max="6669" width="2.7109375" style="434" customWidth="1"/>
    <col min="6670" max="6670" width="8.85546875" style="434" customWidth="1"/>
    <col min="6671" max="6671" width="9.140625" style="434" customWidth="1"/>
    <col min="6672" max="6672" width="2.7109375" style="434" customWidth="1"/>
    <col min="6673" max="6673" width="8.85546875" style="434" customWidth="1"/>
    <col min="6674" max="6674" width="9.140625" style="434" customWidth="1"/>
    <col min="6675" max="6675" width="1.85546875" style="434" customWidth="1"/>
    <col min="6676" max="6676" width="3.5703125" style="434" customWidth="1"/>
    <col min="6677" max="6912" width="9.140625" style="434"/>
    <col min="6913" max="6913" width="36.7109375" style="434" customWidth="1"/>
    <col min="6914" max="6914" width="7.28515625" style="434" customWidth="1"/>
    <col min="6915" max="6915" width="8.28515625" style="434" customWidth="1"/>
    <col min="6916" max="6916" width="2.7109375" style="434" customWidth="1"/>
    <col min="6917" max="6918" width="8.28515625" style="434" customWidth="1"/>
    <col min="6919" max="6919" width="2.7109375" style="434" customWidth="1"/>
    <col min="6920" max="6921" width="8.28515625" style="434" customWidth="1"/>
    <col min="6922" max="6922" width="5.28515625" style="434" customWidth="1"/>
    <col min="6923" max="6923" width="7.28515625" style="434" customWidth="1"/>
    <col min="6924" max="6924" width="9.140625" style="434" customWidth="1"/>
    <col min="6925" max="6925" width="2.7109375" style="434" customWidth="1"/>
    <col min="6926" max="6926" width="8.85546875" style="434" customWidth="1"/>
    <col min="6927" max="6927" width="9.140625" style="434" customWidth="1"/>
    <col min="6928" max="6928" width="2.7109375" style="434" customWidth="1"/>
    <col min="6929" max="6929" width="8.85546875" style="434" customWidth="1"/>
    <col min="6930" max="6930" width="9.140625" style="434" customWidth="1"/>
    <col min="6931" max="6931" width="1.85546875" style="434" customWidth="1"/>
    <col min="6932" max="6932" width="3.5703125" style="434" customWidth="1"/>
    <col min="6933" max="7168" width="9.140625" style="434"/>
    <col min="7169" max="7169" width="36.7109375" style="434" customWidth="1"/>
    <col min="7170" max="7170" width="7.28515625" style="434" customWidth="1"/>
    <col min="7171" max="7171" width="8.28515625" style="434" customWidth="1"/>
    <col min="7172" max="7172" width="2.7109375" style="434" customWidth="1"/>
    <col min="7173" max="7174" width="8.28515625" style="434" customWidth="1"/>
    <col min="7175" max="7175" width="2.7109375" style="434" customWidth="1"/>
    <col min="7176" max="7177" width="8.28515625" style="434" customWidth="1"/>
    <col min="7178" max="7178" width="5.28515625" style="434" customWidth="1"/>
    <col min="7179" max="7179" width="7.28515625" style="434" customWidth="1"/>
    <col min="7180" max="7180" width="9.140625" style="434" customWidth="1"/>
    <col min="7181" max="7181" width="2.7109375" style="434" customWidth="1"/>
    <col min="7182" max="7182" width="8.85546875" style="434" customWidth="1"/>
    <col min="7183" max="7183" width="9.140625" style="434" customWidth="1"/>
    <col min="7184" max="7184" width="2.7109375" style="434" customWidth="1"/>
    <col min="7185" max="7185" width="8.85546875" style="434" customWidth="1"/>
    <col min="7186" max="7186" width="9.140625" style="434" customWidth="1"/>
    <col min="7187" max="7187" width="1.85546875" style="434" customWidth="1"/>
    <col min="7188" max="7188" width="3.5703125" style="434" customWidth="1"/>
    <col min="7189" max="7424" width="9.140625" style="434"/>
    <col min="7425" max="7425" width="36.7109375" style="434" customWidth="1"/>
    <col min="7426" max="7426" width="7.28515625" style="434" customWidth="1"/>
    <col min="7427" max="7427" width="8.28515625" style="434" customWidth="1"/>
    <col min="7428" max="7428" width="2.7109375" style="434" customWidth="1"/>
    <col min="7429" max="7430" width="8.28515625" style="434" customWidth="1"/>
    <col min="7431" max="7431" width="2.7109375" style="434" customWidth="1"/>
    <col min="7432" max="7433" width="8.28515625" style="434" customWidth="1"/>
    <col min="7434" max="7434" width="5.28515625" style="434" customWidth="1"/>
    <col min="7435" max="7435" width="7.28515625" style="434" customWidth="1"/>
    <col min="7436" max="7436" width="9.140625" style="434" customWidth="1"/>
    <col min="7437" max="7437" width="2.7109375" style="434" customWidth="1"/>
    <col min="7438" max="7438" width="8.85546875" style="434" customWidth="1"/>
    <col min="7439" max="7439" width="9.140625" style="434" customWidth="1"/>
    <col min="7440" max="7440" width="2.7109375" style="434" customWidth="1"/>
    <col min="7441" max="7441" width="8.85546875" style="434" customWidth="1"/>
    <col min="7442" max="7442" width="9.140625" style="434" customWidth="1"/>
    <col min="7443" max="7443" width="1.85546875" style="434" customWidth="1"/>
    <col min="7444" max="7444" width="3.5703125" style="434" customWidth="1"/>
    <col min="7445" max="7680" width="9.140625" style="434"/>
    <col min="7681" max="7681" width="36.7109375" style="434" customWidth="1"/>
    <col min="7682" max="7682" width="7.28515625" style="434" customWidth="1"/>
    <col min="7683" max="7683" width="8.28515625" style="434" customWidth="1"/>
    <col min="7684" max="7684" width="2.7109375" style="434" customWidth="1"/>
    <col min="7685" max="7686" width="8.28515625" style="434" customWidth="1"/>
    <col min="7687" max="7687" width="2.7109375" style="434" customWidth="1"/>
    <col min="7688" max="7689" width="8.28515625" style="434" customWidth="1"/>
    <col min="7690" max="7690" width="5.28515625" style="434" customWidth="1"/>
    <col min="7691" max="7691" width="7.28515625" style="434" customWidth="1"/>
    <col min="7692" max="7692" width="9.140625" style="434" customWidth="1"/>
    <col min="7693" max="7693" width="2.7109375" style="434" customWidth="1"/>
    <col min="7694" max="7694" width="8.85546875" style="434" customWidth="1"/>
    <col min="7695" max="7695" width="9.140625" style="434" customWidth="1"/>
    <col min="7696" max="7696" width="2.7109375" style="434" customWidth="1"/>
    <col min="7697" max="7697" width="8.85546875" style="434" customWidth="1"/>
    <col min="7698" max="7698" width="9.140625" style="434" customWidth="1"/>
    <col min="7699" max="7699" width="1.85546875" style="434" customWidth="1"/>
    <col min="7700" max="7700" width="3.5703125" style="434" customWidth="1"/>
    <col min="7701" max="7936" width="9.140625" style="434"/>
    <col min="7937" max="7937" width="36.7109375" style="434" customWidth="1"/>
    <col min="7938" max="7938" width="7.28515625" style="434" customWidth="1"/>
    <col min="7939" max="7939" width="8.28515625" style="434" customWidth="1"/>
    <col min="7940" max="7940" width="2.7109375" style="434" customWidth="1"/>
    <col min="7941" max="7942" width="8.28515625" style="434" customWidth="1"/>
    <col min="7943" max="7943" width="2.7109375" style="434" customWidth="1"/>
    <col min="7944" max="7945" width="8.28515625" style="434" customWidth="1"/>
    <col min="7946" max="7946" width="5.28515625" style="434" customWidth="1"/>
    <col min="7947" max="7947" width="7.28515625" style="434" customWidth="1"/>
    <col min="7948" max="7948" width="9.140625" style="434" customWidth="1"/>
    <col min="7949" max="7949" width="2.7109375" style="434" customWidth="1"/>
    <col min="7950" max="7950" width="8.85546875" style="434" customWidth="1"/>
    <col min="7951" max="7951" width="9.140625" style="434" customWidth="1"/>
    <col min="7952" max="7952" width="2.7109375" style="434" customWidth="1"/>
    <col min="7953" max="7953" width="8.85546875" style="434" customWidth="1"/>
    <col min="7954" max="7954" width="9.140625" style="434" customWidth="1"/>
    <col min="7955" max="7955" width="1.85546875" style="434" customWidth="1"/>
    <col min="7956" max="7956" width="3.5703125" style="434" customWidth="1"/>
    <col min="7957" max="8192" width="9.140625" style="434"/>
    <col min="8193" max="8193" width="36.7109375" style="434" customWidth="1"/>
    <col min="8194" max="8194" width="7.28515625" style="434" customWidth="1"/>
    <col min="8195" max="8195" width="8.28515625" style="434" customWidth="1"/>
    <col min="8196" max="8196" width="2.7109375" style="434" customWidth="1"/>
    <col min="8197" max="8198" width="8.28515625" style="434" customWidth="1"/>
    <col min="8199" max="8199" width="2.7109375" style="434" customWidth="1"/>
    <col min="8200" max="8201" width="8.28515625" style="434" customWidth="1"/>
    <col min="8202" max="8202" width="5.28515625" style="434" customWidth="1"/>
    <col min="8203" max="8203" width="7.28515625" style="434" customWidth="1"/>
    <col min="8204" max="8204" width="9.140625" style="434" customWidth="1"/>
    <col min="8205" max="8205" width="2.7109375" style="434" customWidth="1"/>
    <col min="8206" max="8206" width="8.85546875" style="434" customWidth="1"/>
    <col min="8207" max="8207" width="9.140625" style="434" customWidth="1"/>
    <col min="8208" max="8208" width="2.7109375" style="434" customWidth="1"/>
    <col min="8209" max="8209" width="8.85546875" style="434" customWidth="1"/>
    <col min="8210" max="8210" width="9.140625" style="434" customWidth="1"/>
    <col min="8211" max="8211" width="1.85546875" style="434" customWidth="1"/>
    <col min="8212" max="8212" width="3.5703125" style="434" customWidth="1"/>
    <col min="8213" max="8448" width="9.140625" style="434"/>
    <col min="8449" max="8449" width="36.7109375" style="434" customWidth="1"/>
    <col min="8450" max="8450" width="7.28515625" style="434" customWidth="1"/>
    <col min="8451" max="8451" width="8.28515625" style="434" customWidth="1"/>
    <col min="8452" max="8452" width="2.7109375" style="434" customWidth="1"/>
    <col min="8453" max="8454" width="8.28515625" style="434" customWidth="1"/>
    <col min="8455" max="8455" width="2.7109375" style="434" customWidth="1"/>
    <col min="8456" max="8457" width="8.28515625" style="434" customWidth="1"/>
    <col min="8458" max="8458" width="5.28515625" style="434" customWidth="1"/>
    <col min="8459" max="8459" width="7.28515625" style="434" customWidth="1"/>
    <col min="8460" max="8460" width="9.140625" style="434" customWidth="1"/>
    <col min="8461" max="8461" width="2.7109375" style="434" customWidth="1"/>
    <col min="8462" max="8462" width="8.85546875" style="434" customWidth="1"/>
    <col min="8463" max="8463" width="9.140625" style="434" customWidth="1"/>
    <col min="8464" max="8464" width="2.7109375" style="434" customWidth="1"/>
    <col min="8465" max="8465" width="8.85546875" style="434" customWidth="1"/>
    <col min="8466" max="8466" width="9.140625" style="434" customWidth="1"/>
    <col min="8467" max="8467" width="1.85546875" style="434" customWidth="1"/>
    <col min="8468" max="8468" width="3.5703125" style="434" customWidth="1"/>
    <col min="8469" max="8704" width="9.140625" style="434"/>
    <col min="8705" max="8705" width="36.7109375" style="434" customWidth="1"/>
    <col min="8706" max="8706" width="7.28515625" style="434" customWidth="1"/>
    <col min="8707" max="8707" width="8.28515625" style="434" customWidth="1"/>
    <col min="8708" max="8708" width="2.7109375" style="434" customWidth="1"/>
    <col min="8709" max="8710" width="8.28515625" style="434" customWidth="1"/>
    <col min="8711" max="8711" width="2.7109375" style="434" customWidth="1"/>
    <col min="8712" max="8713" width="8.28515625" style="434" customWidth="1"/>
    <col min="8714" max="8714" width="5.28515625" style="434" customWidth="1"/>
    <col min="8715" max="8715" width="7.28515625" style="434" customWidth="1"/>
    <col min="8716" max="8716" width="9.140625" style="434" customWidth="1"/>
    <col min="8717" max="8717" width="2.7109375" style="434" customWidth="1"/>
    <col min="8718" max="8718" width="8.85546875" style="434" customWidth="1"/>
    <col min="8719" max="8719" width="9.140625" style="434" customWidth="1"/>
    <col min="8720" max="8720" width="2.7109375" style="434" customWidth="1"/>
    <col min="8721" max="8721" width="8.85546875" style="434" customWidth="1"/>
    <col min="8722" max="8722" width="9.140625" style="434" customWidth="1"/>
    <col min="8723" max="8723" width="1.85546875" style="434" customWidth="1"/>
    <col min="8724" max="8724" width="3.5703125" style="434" customWidth="1"/>
    <col min="8725" max="8960" width="9.140625" style="434"/>
    <col min="8961" max="8961" width="36.7109375" style="434" customWidth="1"/>
    <col min="8962" max="8962" width="7.28515625" style="434" customWidth="1"/>
    <col min="8963" max="8963" width="8.28515625" style="434" customWidth="1"/>
    <col min="8964" max="8964" width="2.7109375" style="434" customWidth="1"/>
    <col min="8965" max="8966" width="8.28515625" style="434" customWidth="1"/>
    <col min="8967" max="8967" width="2.7109375" style="434" customWidth="1"/>
    <col min="8968" max="8969" width="8.28515625" style="434" customWidth="1"/>
    <col min="8970" max="8970" width="5.28515625" style="434" customWidth="1"/>
    <col min="8971" max="8971" width="7.28515625" style="434" customWidth="1"/>
    <col min="8972" max="8972" width="9.140625" style="434" customWidth="1"/>
    <col min="8973" max="8973" width="2.7109375" style="434" customWidth="1"/>
    <col min="8974" max="8974" width="8.85546875" style="434" customWidth="1"/>
    <col min="8975" max="8975" width="9.140625" style="434" customWidth="1"/>
    <col min="8976" max="8976" width="2.7109375" style="434" customWidth="1"/>
    <col min="8977" max="8977" width="8.85546875" style="434" customWidth="1"/>
    <col min="8978" max="8978" width="9.140625" style="434" customWidth="1"/>
    <col min="8979" max="8979" width="1.85546875" style="434" customWidth="1"/>
    <col min="8980" max="8980" width="3.5703125" style="434" customWidth="1"/>
    <col min="8981" max="9216" width="9.140625" style="434"/>
    <col min="9217" max="9217" width="36.7109375" style="434" customWidth="1"/>
    <col min="9218" max="9218" width="7.28515625" style="434" customWidth="1"/>
    <col min="9219" max="9219" width="8.28515625" style="434" customWidth="1"/>
    <col min="9220" max="9220" width="2.7109375" style="434" customWidth="1"/>
    <col min="9221" max="9222" width="8.28515625" style="434" customWidth="1"/>
    <col min="9223" max="9223" width="2.7109375" style="434" customWidth="1"/>
    <col min="9224" max="9225" width="8.28515625" style="434" customWidth="1"/>
    <col min="9226" max="9226" width="5.28515625" style="434" customWidth="1"/>
    <col min="9227" max="9227" width="7.28515625" style="434" customWidth="1"/>
    <col min="9228" max="9228" width="9.140625" style="434" customWidth="1"/>
    <col min="9229" max="9229" width="2.7109375" style="434" customWidth="1"/>
    <col min="9230" max="9230" width="8.85546875" style="434" customWidth="1"/>
    <col min="9231" max="9231" width="9.140625" style="434" customWidth="1"/>
    <col min="9232" max="9232" width="2.7109375" style="434" customWidth="1"/>
    <col min="9233" max="9233" width="8.85546875" style="434" customWidth="1"/>
    <col min="9234" max="9234" width="9.140625" style="434" customWidth="1"/>
    <col min="9235" max="9235" width="1.85546875" style="434" customWidth="1"/>
    <col min="9236" max="9236" width="3.5703125" style="434" customWidth="1"/>
    <col min="9237" max="9472" width="9.140625" style="434"/>
    <col min="9473" max="9473" width="36.7109375" style="434" customWidth="1"/>
    <col min="9474" max="9474" width="7.28515625" style="434" customWidth="1"/>
    <col min="9475" max="9475" width="8.28515625" style="434" customWidth="1"/>
    <col min="9476" max="9476" width="2.7109375" style="434" customWidth="1"/>
    <col min="9477" max="9478" width="8.28515625" style="434" customWidth="1"/>
    <col min="9479" max="9479" width="2.7109375" style="434" customWidth="1"/>
    <col min="9480" max="9481" width="8.28515625" style="434" customWidth="1"/>
    <col min="9482" max="9482" width="5.28515625" style="434" customWidth="1"/>
    <col min="9483" max="9483" width="7.28515625" style="434" customWidth="1"/>
    <col min="9484" max="9484" width="9.140625" style="434" customWidth="1"/>
    <col min="9485" max="9485" width="2.7109375" style="434" customWidth="1"/>
    <col min="9486" max="9486" width="8.85546875" style="434" customWidth="1"/>
    <col min="9487" max="9487" width="9.140625" style="434" customWidth="1"/>
    <col min="9488" max="9488" width="2.7109375" style="434" customWidth="1"/>
    <col min="9489" max="9489" width="8.85546875" style="434" customWidth="1"/>
    <col min="9490" max="9490" width="9.140625" style="434" customWidth="1"/>
    <col min="9491" max="9491" width="1.85546875" style="434" customWidth="1"/>
    <col min="9492" max="9492" width="3.5703125" style="434" customWidth="1"/>
    <col min="9493" max="9728" width="9.140625" style="434"/>
    <col min="9729" max="9729" width="36.7109375" style="434" customWidth="1"/>
    <col min="9730" max="9730" width="7.28515625" style="434" customWidth="1"/>
    <col min="9731" max="9731" width="8.28515625" style="434" customWidth="1"/>
    <col min="9732" max="9732" width="2.7109375" style="434" customWidth="1"/>
    <col min="9733" max="9734" width="8.28515625" style="434" customWidth="1"/>
    <col min="9735" max="9735" width="2.7109375" style="434" customWidth="1"/>
    <col min="9736" max="9737" width="8.28515625" style="434" customWidth="1"/>
    <col min="9738" max="9738" width="5.28515625" style="434" customWidth="1"/>
    <col min="9739" max="9739" width="7.28515625" style="434" customWidth="1"/>
    <col min="9740" max="9740" width="9.140625" style="434" customWidth="1"/>
    <col min="9741" max="9741" width="2.7109375" style="434" customWidth="1"/>
    <col min="9742" max="9742" width="8.85546875" style="434" customWidth="1"/>
    <col min="9743" max="9743" width="9.140625" style="434" customWidth="1"/>
    <col min="9744" max="9744" width="2.7109375" style="434" customWidth="1"/>
    <col min="9745" max="9745" width="8.85546875" style="434" customWidth="1"/>
    <col min="9746" max="9746" width="9.140625" style="434" customWidth="1"/>
    <col min="9747" max="9747" width="1.85546875" style="434" customWidth="1"/>
    <col min="9748" max="9748" width="3.5703125" style="434" customWidth="1"/>
    <col min="9749" max="9984" width="9.140625" style="434"/>
    <col min="9985" max="9985" width="36.7109375" style="434" customWidth="1"/>
    <col min="9986" max="9986" width="7.28515625" style="434" customWidth="1"/>
    <col min="9987" max="9987" width="8.28515625" style="434" customWidth="1"/>
    <col min="9988" max="9988" width="2.7109375" style="434" customWidth="1"/>
    <col min="9989" max="9990" width="8.28515625" style="434" customWidth="1"/>
    <col min="9991" max="9991" width="2.7109375" style="434" customWidth="1"/>
    <col min="9992" max="9993" width="8.28515625" style="434" customWidth="1"/>
    <col min="9994" max="9994" width="5.28515625" style="434" customWidth="1"/>
    <col min="9995" max="9995" width="7.28515625" style="434" customWidth="1"/>
    <col min="9996" max="9996" width="9.140625" style="434" customWidth="1"/>
    <col min="9997" max="9997" width="2.7109375" style="434" customWidth="1"/>
    <col min="9998" max="9998" width="8.85546875" style="434" customWidth="1"/>
    <col min="9999" max="9999" width="9.140625" style="434" customWidth="1"/>
    <col min="10000" max="10000" width="2.7109375" style="434" customWidth="1"/>
    <col min="10001" max="10001" width="8.85546875" style="434" customWidth="1"/>
    <col min="10002" max="10002" width="9.140625" style="434" customWidth="1"/>
    <col min="10003" max="10003" width="1.85546875" style="434" customWidth="1"/>
    <col min="10004" max="10004" width="3.5703125" style="434" customWidth="1"/>
    <col min="10005" max="10240" width="9.140625" style="434"/>
    <col min="10241" max="10241" width="36.7109375" style="434" customWidth="1"/>
    <col min="10242" max="10242" width="7.28515625" style="434" customWidth="1"/>
    <col min="10243" max="10243" width="8.28515625" style="434" customWidth="1"/>
    <col min="10244" max="10244" width="2.7109375" style="434" customWidth="1"/>
    <col min="10245" max="10246" width="8.28515625" style="434" customWidth="1"/>
    <col min="10247" max="10247" width="2.7109375" style="434" customWidth="1"/>
    <col min="10248" max="10249" width="8.28515625" style="434" customWidth="1"/>
    <col min="10250" max="10250" width="5.28515625" style="434" customWidth="1"/>
    <col min="10251" max="10251" width="7.28515625" style="434" customWidth="1"/>
    <col min="10252" max="10252" width="9.140625" style="434" customWidth="1"/>
    <col min="10253" max="10253" width="2.7109375" style="434" customWidth="1"/>
    <col min="10254" max="10254" width="8.85546875" style="434" customWidth="1"/>
    <col min="10255" max="10255" width="9.140625" style="434" customWidth="1"/>
    <col min="10256" max="10256" width="2.7109375" style="434" customWidth="1"/>
    <col min="10257" max="10257" width="8.85546875" style="434" customWidth="1"/>
    <col min="10258" max="10258" width="9.140625" style="434" customWidth="1"/>
    <col min="10259" max="10259" width="1.85546875" style="434" customWidth="1"/>
    <col min="10260" max="10260" width="3.5703125" style="434" customWidth="1"/>
    <col min="10261" max="10496" width="9.140625" style="434"/>
    <col min="10497" max="10497" width="36.7109375" style="434" customWidth="1"/>
    <col min="10498" max="10498" width="7.28515625" style="434" customWidth="1"/>
    <col min="10499" max="10499" width="8.28515625" style="434" customWidth="1"/>
    <col min="10500" max="10500" width="2.7109375" style="434" customWidth="1"/>
    <col min="10501" max="10502" width="8.28515625" style="434" customWidth="1"/>
    <col min="10503" max="10503" width="2.7109375" style="434" customWidth="1"/>
    <col min="10504" max="10505" width="8.28515625" style="434" customWidth="1"/>
    <col min="10506" max="10506" width="5.28515625" style="434" customWidth="1"/>
    <col min="10507" max="10507" width="7.28515625" style="434" customWidth="1"/>
    <col min="10508" max="10508" width="9.140625" style="434" customWidth="1"/>
    <col min="10509" max="10509" width="2.7109375" style="434" customWidth="1"/>
    <col min="10510" max="10510" width="8.85546875" style="434" customWidth="1"/>
    <col min="10511" max="10511" width="9.140625" style="434" customWidth="1"/>
    <col min="10512" max="10512" width="2.7109375" style="434" customWidth="1"/>
    <col min="10513" max="10513" width="8.85546875" style="434" customWidth="1"/>
    <col min="10514" max="10514" width="9.140625" style="434" customWidth="1"/>
    <col min="10515" max="10515" width="1.85546875" style="434" customWidth="1"/>
    <col min="10516" max="10516" width="3.5703125" style="434" customWidth="1"/>
    <col min="10517" max="10752" width="9.140625" style="434"/>
    <col min="10753" max="10753" width="36.7109375" style="434" customWidth="1"/>
    <col min="10754" max="10754" width="7.28515625" style="434" customWidth="1"/>
    <col min="10755" max="10755" width="8.28515625" style="434" customWidth="1"/>
    <col min="10756" max="10756" width="2.7109375" style="434" customWidth="1"/>
    <col min="10757" max="10758" width="8.28515625" style="434" customWidth="1"/>
    <col min="10759" max="10759" width="2.7109375" style="434" customWidth="1"/>
    <col min="10760" max="10761" width="8.28515625" style="434" customWidth="1"/>
    <col min="10762" max="10762" width="5.28515625" style="434" customWidth="1"/>
    <col min="10763" max="10763" width="7.28515625" style="434" customWidth="1"/>
    <col min="10764" max="10764" width="9.140625" style="434" customWidth="1"/>
    <col min="10765" max="10765" width="2.7109375" style="434" customWidth="1"/>
    <col min="10766" max="10766" width="8.85546875" style="434" customWidth="1"/>
    <col min="10767" max="10767" width="9.140625" style="434" customWidth="1"/>
    <col min="10768" max="10768" width="2.7109375" style="434" customWidth="1"/>
    <col min="10769" max="10769" width="8.85546875" style="434" customWidth="1"/>
    <col min="10770" max="10770" width="9.140625" style="434" customWidth="1"/>
    <col min="10771" max="10771" width="1.85546875" style="434" customWidth="1"/>
    <col min="10772" max="10772" width="3.5703125" style="434" customWidth="1"/>
    <col min="10773" max="11008" width="9.140625" style="434"/>
    <col min="11009" max="11009" width="36.7109375" style="434" customWidth="1"/>
    <col min="11010" max="11010" width="7.28515625" style="434" customWidth="1"/>
    <col min="11011" max="11011" width="8.28515625" style="434" customWidth="1"/>
    <col min="11012" max="11012" width="2.7109375" style="434" customWidth="1"/>
    <col min="11013" max="11014" width="8.28515625" style="434" customWidth="1"/>
    <col min="11015" max="11015" width="2.7109375" style="434" customWidth="1"/>
    <col min="11016" max="11017" width="8.28515625" style="434" customWidth="1"/>
    <col min="11018" max="11018" width="5.28515625" style="434" customWidth="1"/>
    <col min="11019" max="11019" width="7.28515625" style="434" customWidth="1"/>
    <col min="11020" max="11020" width="9.140625" style="434" customWidth="1"/>
    <col min="11021" max="11021" width="2.7109375" style="434" customWidth="1"/>
    <col min="11022" max="11022" width="8.85546875" style="434" customWidth="1"/>
    <col min="11023" max="11023" width="9.140625" style="434" customWidth="1"/>
    <col min="11024" max="11024" width="2.7109375" style="434" customWidth="1"/>
    <col min="11025" max="11025" width="8.85546875" style="434" customWidth="1"/>
    <col min="11026" max="11026" width="9.140625" style="434" customWidth="1"/>
    <col min="11027" max="11027" width="1.85546875" style="434" customWidth="1"/>
    <col min="11028" max="11028" width="3.5703125" style="434" customWidth="1"/>
    <col min="11029" max="11264" width="9.140625" style="434"/>
    <col min="11265" max="11265" width="36.7109375" style="434" customWidth="1"/>
    <col min="11266" max="11266" width="7.28515625" style="434" customWidth="1"/>
    <col min="11267" max="11267" width="8.28515625" style="434" customWidth="1"/>
    <col min="11268" max="11268" width="2.7109375" style="434" customWidth="1"/>
    <col min="11269" max="11270" width="8.28515625" style="434" customWidth="1"/>
    <col min="11271" max="11271" width="2.7109375" style="434" customWidth="1"/>
    <col min="11272" max="11273" width="8.28515625" style="434" customWidth="1"/>
    <col min="11274" max="11274" width="5.28515625" style="434" customWidth="1"/>
    <col min="11275" max="11275" width="7.28515625" style="434" customWidth="1"/>
    <col min="11276" max="11276" width="9.140625" style="434" customWidth="1"/>
    <col min="11277" max="11277" width="2.7109375" style="434" customWidth="1"/>
    <col min="11278" max="11278" width="8.85546875" style="434" customWidth="1"/>
    <col min="11279" max="11279" width="9.140625" style="434" customWidth="1"/>
    <col min="11280" max="11280" width="2.7109375" style="434" customWidth="1"/>
    <col min="11281" max="11281" width="8.85546875" style="434" customWidth="1"/>
    <col min="11282" max="11282" width="9.140625" style="434" customWidth="1"/>
    <col min="11283" max="11283" width="1.85546875" style="434" customWidth="1"/>
    <col min="11284" max="11284" width="3.5703125" style="434" customWidth="1"/>
    <col min="11285" max="11520" width="9.140625" style="434"/>
    <col min="11521" max="11521" width="36.7109375" style="434" customWidth="1"/>
    <col min="11522" max="11522" width="7.28515625" style="434" customWidth="1"/>
    <col min="11523" max="11523" width="8.28515625" style="434" customWidth="1"/>
    <col min="11524" max="11524" width="2.7109375" style="434" customWidth="1"/>
    <col min="11525" max="11526" width="8.28515625" style="434" customWidth="1"/>
    <col min="11527" max="11527" width="2.7109375" style="434" customWidth="1"/>
    <col min="11528" max="11529" width="8.28515625" style="434" customWidth="1"/>
    <col min="11530" max="11530" width="5.28515625" style="434" customWidth="1"/>
    <col min="11531" max="11531" width="7.28515625" style="434" customWidth="1"/>
    <col min="11532" max="11532" width="9.140625" style="434" customWidth="1"/>
    <col min="11533" max="11533" width="2.7109375" style="434" customWidth="1"/>
    <col min="11534" max="11534" width="8.85546875" style="434" customWidth="1"/>
    <col min="11535" max="11535" width="9.140625" style="434" customWidth="1"/>
    <col min="11536" max="11536" width="2.7109375" style="434" customWidth="1"/>
    <col min="11537" max="11537" width="8.85546875" style="434" customWidth="1"/>
    <col min="11538" max="11538" width="9.140625" style="434" customWidth="1"/>
    <col min="11539" max="11539" width="1.85546875" style="434" customWidth="1"/>
    <col min="11540" max="11540" width="3.5703125" style="434" customWidth="1"/>
    <col min="11541" max="11776" width="9.140625" style="434"/>
    <col min="11777" max="11777" width="36.7109375" style="434" customWidth="1"/>
    <col min="11778" max="11778" width="7.28515625" style="434" customWidth="1"/>
    <col min="11779" max="11779" width="8.28515625" style="434" customWidth="1"/>
    <col min="11780" max="11780" width="2.7109375" style="434" customWidth="1"/>
    <col min="11781" max="11782" width="8.28515625" style="434" customWidth="1"/>
    <col min="11783" max="11783" width="2.7109375" style="434" customWidth="1"/>
    <col min="11784" max="11785" width="8.28515625" style="434" customWidth="1"/>
    <col min="11786" max="11786" width="5.28515625" style="434" customWidth="1"/>
    <col min="11787" max="11787" width="7.28515625" style="434" customWidth="1"/>
    <col min="11788" max="11788" width="9.140625" style="434" customWidth="1"/>
    <col min="11789" max="11789" width="2.7109375" style="434" customWidth="1"/>
    <col min="11790" max="11790" width="8.85546875" style="434" customWidth="1"/>
    <col min="11791" max="11791" width="9.140625" style="434" customWidth="1"/>
    <col min="11792" max="11792" width="2.7109375" style="434" customWidth="1"/>
    <col min="11793" max="11793" width="8.85546875" style="434" customWidth="1"/>
    <col min="11794" max="11794" width="9.140625" style="434" customWidth="1"/>
    <col min="11795" max="11795" width="1.85546875" style="434" customWidth="1"/>
    <col min="11796" max="11796" width="3.5703125" style="434" customWidth="1"/>
    <col min="11797" max="12032" width="9.140625" style="434"/>
    <col min="12033" max="12033" width="36.7109375" style="434" customWidth="1"/>
    <col min="12034" max="12034" width="7.28515625" style="434" customWidth="1"/>
    <col min="12035" max="12035" width="8.28515625" style="434" customWidth="1"/>
    <col min="12036" max="12036" width="2.7109375" style="434" customWidth="1"/>
    <col min="12037" max="12038" width="8.28515625" style="434" customWidth="1"/>
    <col min="12039" max="12039" width="2.7109375" style="434" customWidth="1"/>
    <col min="12040" max="12041" width="8.28515625" style="434" customWidth="1"/>
    <col min="12042" max="12042" width="5.28515625" style="434" customWidth="1"/>
    <col min="12043" max="12043" width="7.28515625" style="434" customWidth="1"/>
    <col min="12044" max="12044" width="9.140625" style="434" customWidth="1"/>
    <col min="12045" max="12045" width="2.7109375" style="434" customWidth="1"/>
    <col min="12046" max="12046" width="8.85546875" style="434" customWidth="1"/>
    <col min="12047" max="12047" width="9.140625" style="434" customWidth="1"/>
    <col min="12048" max="12048" width="2.7109375" style="434" customWidth="1"/>
    <col min="12049" max="12049" width="8.85546875" style="434" customWidth="1"/>
    <col min="12050" max="12050" width="9.140625" style="434" customWidth="1"/>
    <col min="12051" max="12051" width="1.85546875" style="434" customWidth="1"/>
    <col min="12052" max="12052" width="3.5703125" style="434" customWidth="1"/>
    <col min="12053" max="12288" width="9.140625" style="434"/>
    <col min="12289" max="12289" width="36.7109375" style="434" customWidth="1"/>
    <col min="12290" max="12290" width="7.28515625" style="434" customWidth="1"/>
    <col min="12291" max="12291" width="8.28515625" style="434" customWidth="1"/>
    <col min="12292" max="12292" width="2.7109375" style="434" customWidth="1"/>
    <col min="12293" max="12294" width="8.28515625" style="434" customWidth="1"/>
    <col min="12295" max="12295" width="2.7109375" style="434" customWidth="1"/>
    <col min="12296" max="12297" width="8.28515625" style="434" customWidth="1"/>
    <col min="12298" max="12298" width="5.28515625" style="434" customWidth="1"/>
    <col min="12299" max="12299" width="7.28515625" style="434" customWidth="1"/>
    <col min="12300" max="12300" width="9.140625" style="434" customWidth="1"/>
    <col min="12301" max="12301" width="2.7109375" style="434" customWidth="1"/>
    <col min="12302" max="12302" width="8.85546875" style="434" customWidth="1"/>
    <col min="12303" max="12303" width="9.140625" style="434" customWidth="1"/>
    <col min="12304" max="12304" width="2.7109375" style="434" customWidth="1"/>
    <col min="12305" max="12305" width="8.85546875" style="434" customWidth="1"/>
    <col min="12306" max="12306" width="9.140625" style="434" customWidth="1"/>
    <col min="12307" max="12307" width="1.85546875" style="434" customWidth="1"/>
    <col min="12308" max="12308" width="3.5703125" style="434" customWidth="1"/>
    <col min="12309" max="12544" width="9.140625" style="434"/>
    <col min="12545" max="12545" width="36.7109375" style="434" customWidth="1"/>
    <col min="12546" max="12546" width="7.28515625" style="434" customWidth="1"/>
    <col min="12547" max="12547" width="8.28515625" style="434" customWidth="1"/>
    <col min="12548" max="12548" width="2.7109375" style="434" customWidth="1"/>
    <col min="12549" max="12550" width="8.28515625" style="434" customWidth="1"/>
    <col min="12551" max="12551" width="2.7109375" style="434" customWidth="1"/>
    <col min="12552" max="12553" width="8.28515625" style="434" customWidth="1"/>
    <col min="12554" max="12554" width="5.28515625" style="434" customWidth="1"/>
    <col min="12555" max="12555" width="7.28515625" style="434" customWidth="1"/>
    <col min="12556" max="12556" width="9.140625" style="434" customWidth="1"/>
    <col min="12557" max="12557" width="2.7109375" style="434" customWidth="1"/>
    <col min="12558" max="12558" width="8.85546875" style="434" customWidth="1"/>
    <col min="12559" max="12559" width="9.140625" style="434" customWidth="1"/>
    <col min="12560" max="12560" width="2.7109375" style="434" customWidth="1"/>
    <col min="12561" max="12561" width="8.85546875" style="434" customWidth="1"/>
    <col min="12562" max="12562" width="9.140625" style="434" customWidth="1"/>
    <col min="12563" max="12563" width="1.85546875" style="434" customWidth="1"/>
    <col min="12564" max="12564" width="3.5703125" style="434" customWidth="1"/>
    <col min="12565" max="12800" width="9.140625" style="434"/>
    <col min="12801" max="12801" width="36.7109375" style="434" customWidth="1"/>
    <col min="12802" max="12802" width="7.28515625" style="434" customWidth="1"/>
    <col min="12803" max="12803" width="8.28515625" style="434" customWidth="1"/>
    <col min="12804" max="12804" width="2.7109375" style="434" customWidth="1"/>
    <col min="12805" max="12806" width="8.28515625" style="434" customWidth="1"/>
    <col min="12807" max="12807" width="2.7109375" style="434" customWidth="1"/>
    <col min="12808" max="12809" width="8.28515625" style="434" customWidth="1"/>
    <col min="12810" max="12810" width="5.28515625" style="434" customWidth="1"/>
    <col min="12811" max="12811" width="7.28515625" style="434" customWidth="1"/>
    <col min="12812" max="12812" width="9.140625" style="434" customWidth="1"/>
    <col min="12813" max="12813" width="2.7109375" style="434" customWidth="1"/>
    <col min="12814" max="12814" width="8.85546875" style="434" customWidth="1"/>
    <col min="12815" max="12815" width="9.140625" style="434" customWidth="1"/>
    <col min="12816" max="12816" width="2.7109375" style="434" customWidth="1"/>
    <col min="12817" max="12817" width="8.85546875" style="434" customWidth="1"/>
    <col min="12818" max="12818" width="9.140625" style="434" customWidth="1"/>
    <col min="12819" max="12819" width="1.85546875" style="434" customWidth="1"/>
    <col min="12820" max="12820" width="3.5703125" style="434" customWidth="1"/>
    <col min="12821" max="13056" width="9.140625" style="434"/>
    <col min="13057" max="13057" width="36.7109375" style="434" customWidth="1"/>
    <col min="13058" max="13058" width="7.28515625" style="434" customWidth="1"/>
    <col min="13059" max="13059" width="8.28515625" style="434" customWidth="1"/>
    <col min="13060" max="13060" width="2.7109375" style="434" customWidth="1"/>
    <col min="13061" max="13062" width="8.28515625" style="434" customWidth="1"/>
    <col min="13063" max="13063" width="2.7109375" style="434" customWidth="1"/>
    <col min="13064" max="13065" width="8.28515625" style="434" customWidth="1"/>
    <col min="13066" max="13066" width="5.28515625" style="434" customWidth="1"/>
    <col min="13067" max="13067" width="7.28515625" style="434" customWidth="1"/>
    <col min="13068" max="13068" width="9.140625" style="434" customWidth="1"/>
    <col min="13069" max="13069" width="2.7109375" style="434" customWidth="1"/>
    <col min="13070" max="13070" width="8.85546875" style="434" customWidth="1"/>
    <col min="13071" max="13071" width="9.140625" style="434" customWidth="1"/>
    <col min="13072" max="13072" width="2.7109375" style="434" customWidth="1"/>
    <col min="13073" max="13073" width="8.85546875" style="434" customWidth="1"/>
    <col min="13074" max="13074" width="9.140625" style="434" customWidth="1"/>
    <col min="13075" max="13075" width="1.85546875" style="434" customWidth="1"/>
    <col min="13076" max="13076" width="3.5703125" style="434" customWidth="1"/>
    <col min="13077" max="13312" width="9.140625" style="434"/>
    <col min="13313" max="13313" width="36.7109375" style="434" customWidth="1"/>
    <col min="13314" max="13314" width="7.28515625" style="434" customWidth="1"/>
    <col min="13315" max="13315" width="8.28515625" style="434" customWidth="1"/>
    <col min="13316" max="13316" width="2.7109375" style="434" customWidth="1"/>
    <col min="13317" max="13318" width="8.28515625" style="434" customWidth="1"/>
    <col min="13319" max="13319" width="2.7109375" style="434" customWidth="1"/>
    <col min="13320" max="13321" width="8.28515625" style="434" customWidth="1"/>
    <col min="13322" max="13322" width="5.28515625" style="434" customWidth="1"/>
    <col min="13323" max="13323" width="7.28515625" style="434" customWidth="1"/>
    <col min="13324" max="13324" width="9.140625" style="434" customWidth="1"/>
    <col min="13325" max="13325" width="2.7109375" style="434" customWidth="1"/>
    <col min="13326" max="13326" width="8.85546875" style="434" customWidth="1"/>
    <col min="13327" max="13327" width="9.140625" style="434" customWidth="1"/>
    <col min="13328" max="13328" width="2.7109375" style="434" customWidth="1"/>
    <col min="13329" max="13329" width="8.85546875" style="434" customWidth="1"/>
    <col min="13330" max="13330" width="9.140625" style="434" customWidth="1"/>
    <col min="13331" max="13331" width="1.85546875" style="434" customWidth="1"/>
    <col min="13332" max="13332" width="3.5703125" style="434" customWidth="1"/>
    <col min="13333" max="13568" width="9.140625" style="434"/>
    <col min="13569" max="13569" width="36.7109375" style="434" customWidth="1"/>
    <col min="13570" max="13570" width="7.28515625" style="434" customWidth="1"/>
    <col min="13571" max="13571" width="8.28515625" style="434" customWidth="1"/>
    <col min="13572" max="13572" width="2.7109375" style="434" customWidth="1"/>
    <col min="13573" max="13574" width="8.28515625" style="434" customWidth="1"/>
    <col min="13575" max="13575" width="2.7109375" style="434" customWidth="1"/>
    <col min="13576" max="13577" width="8.28515625" style="434" customWidth="1"/>
    <col min="13578" max="13578" width="5.28515625" style="434" customWidth="1"/>
    <col min="13579" max="13579" width="7.28515625" style="434" customWidth="1"/>
    <col min="13580" max="13580" width="9.140625" style="434" customWidth="1"/>
    <col min="13581" max="13581" width="2.7109375" style="434" customWidth="1"/>
    <col min="13582" max="13582" width="8.85546875" style="434" customWidth="1"/>
    <col min="13583" max="13583" width="9.140625" style="434" customWidth="1"/>
    <col min="13584" max="13584" width="2.7109375" style="434" customWidth="1"/>
    <col min="13585" max="13585" width="8.85546875" style="434" customWidth="1"/>
    <col min="13586" max="13586" width="9.140625" style="434" customWidth="1"/>
    <col min="13587" max="13587" width="1.85546875" style="434" customWidth="1"/>
    <col min="13588" max="13588" width="3.5703125" style="434" customWidth="1"/>
    <col min="13589" max="13824" width="9.140625" style="434"/>
    <col min="13825" max="13825" width="36.7109375" style="434" customWidth="1"/>
    <col min="13826" max="13826" width="7.28515625" style="434" customWidth="1"/>
    <col min="13827" max="13827" width="8.28515625" style="434" customWidth="1"/>
    <col min="13828" max="13828" width="2.7109375" style="434" customWidth="1"/>
    <col min="13829" max="13830" width="8.28515625" style="434" customWidth="1"/>
    <col min="13831" max="13831" width="2.7109375" style="434" customWidth="1"/>
    <col min="13832" max="13833" width="8.28515625" style="434" customWidth="1"/>
    <col min="13834" max="13834" width="5.28515625" style="434" customWidth="1"/>
    <col min="13835" max="13835" width="7.28515625" style="434" customWidth="1"/>
    <col min="13836" max="13836" width="9.140625" style="434" customWidth="1"/>
    <col min="13837" max="13837" width="2.7109375" style="434" customWidth="1"/>
    <col min="13838" max="13838" width="8.85546875" style="434" customWidth="1"/>
    <col min="13839" max="13839" width="9.140625" style="434" customWidth="1"/>
    <col min="13840" max="13840" width="2.7109375" style="434" customWidth="1"/>
    <col min="13841" max="13841" width="8.85546875" style="434" customWidth="1"/>
    <col min="13842" max="13842" width="9.140625" style="434" customWidth="1"/>
    <col min="13843" max="13843" width="1.85546875" style="434" customWidth="1"/>
    <col min="13844" max="13844" width="3.5703125" style="434" customWidth="1"/>
    <col min="13845" max="14080" width="9.140625" style="434"/>
    <col min="14081" max="14081" width="36.7109375" style="434" customWidth="1"/>
    <col min="14082" max="14082" width="7.28515625" style="434" customWidth="1"/>
    <col min="14083" max="14083" width="8.28515625" style="434" customWidth="1"/>
    <col min="14084" max="14084" width="2.7109375" style="434" customWidth="1"/>
    <col min="14085" max="14086" width="8.28515625" style="434" customWidth="1"/>
    <col min="14087" max="14087" width="2.7109375" style="434" customWidth="1"/>
    <col min="14088" max="14089" width="8.28515625" style="434" customWidth="1"/>
    <col min="14090" max="14090" width="5.28515625" style="434" customWidth="1"/>
    <col min="14091" max="14091" width="7.28515625" style="434" customWidth="1"/>
    <col min="14092" max="14092" width="9.140625" style="434" customWidth="1"/>
    <col min="14093" max="14093" width="2.7109375" style="434" customWidth="1"/>
    <col min="14094" max="14094" width="8.85546875" style="434" customWidth="1"/>
    <col min="14095" max="14095" width="9.140625" style="434" customWidth="1"/>
    <col min="14096" max="14096" width="2.7109375" style="434" customWidth="1"/>
    <col min="14097" max="14097" width="8.85546875" style="434" customWidth="1"/>
    <col min="14098" max="14098" width="9.140625" style="434" customWidth="1"/>
    <col min="14099" max="14099" width="1.85546875" style="434" customWidth="1"/>
    <col min="14100" max="14100" width="3.5703125" style="434" customWidth="1"/>
    <col min="14101" max="14336" width="9.140625" style="434"/>
    <col min="14337" max="14337" width="36.7109375" style="434" customWidth="1"/>
    <col min="14338" max="14338" width="7.28515625" style="434" customWidth="1"/>
    <col min="14339" max="14339" width="8.28515625" style="434" customWidth="1"/>
    <col min="14340" max="14340" width="2.7109375" style="434" customWidth="1"/>
    <col min="14341" max="14342" width="8.28515625" style="434" customWidth="1"/>
    <col min="14343" max="14343" width="2.7109375" style="434" customWidth="1"/>
    <col min="14344" max="14345" width="8.28515625" style="434" customWidth="1"/>
    <col min="14346" max="14346" width="5.28515625" style="434" customWidth="1"/>
    <col min="14347" max="14347" width="7.28515625" style="434" customWidth="1"/>
    <col min="14348" max="14348" width="9.140625" style="434" customWidth="1"/>
    <col min="14349" max="14349" width="2.7109375" style="434" customWidth="1"/>
    <col min="14350" max="14350" width="8.85546875" style="434" customWidth="1"/>
    <col min="14351" max="14351" width="9.140625" style="434" customWidth="1"/>
    <col min="14352" max="14352" width="2.7109375" style="434" customWidth="1"/>
    <col min="14353" max="14353" width="8.85546875" style="434" customWidth="1"/>
    <col min="14354" max="14354" width="9.140625" style="434" customWidth="1"/>
    <col min="14355" max="14355" width="1.85546875" style="434" customWidth="1"/>
    <col min="14356" max="14356" width="3.5703125" style="434" customWidth="1"/>
    <col min="14357" max="14592" width="9.140625" style="434"/>
    <col min="14593" max="14593" width="36.7109375" style="434" customWidth="1"/>
    <col min="14594" max="14594" width="7.28515625" style="434" customWidth="1"/>
    <col min="14595" max="14595" width="8.28515625" style="434" customWidth="1"/>
    <col min="14596" max="14596" width="2.7109375" style="434" customWidth="1"/>
    <col min="14597" max="14598" width="8.28515625" style="434" customWidth="1"/>
    <col min="14599" max="14599" width="2.7109375" style="434" customWidth="1"/>
    <col min="14600" max="14601" width="8.28515625" style="434" customWidth="1"/>
    <col min="14602" max="14602" width="5.28515625" style="434" customWidth="1"/>
    <col min="14603" max="14603" width="7.28515625" style="434" customWidth="1"/>
    <col min="14604" max="14604" width="9.140625" style="434" customWidth="1"/>
    <col min="14605" max="14605" width="2.7109375" style="434" customWidth="1"/>
    <col min="14606" max="14606" width="8.85546875" style="434" customWidth="1"/>
    <col min="14607" max="14607" width="9.140625" style="434" customWidth="1"/>
    <col min="14608" max="14608" width="2.7109375" style="434" customWidth="1"/>
    <col min="14609" max="14609" width="8.85546875" style="434" customWidth="1"/>
    <col min="14610" max="14610" width="9.140625" style="434" customWidth="1"/>
    <col min="14611" max="14611" width="1.85546875" style="434" customWidth="1"/>
    <col min="14612" max="14612" width="3.5703125" style="434" customWidth="1"/>
    <col min="14613" max="14848" width="9.140625" style="434"/>
    <col min="14849" max="14849" width="36.7109375" style="434" customWidth="1"/>
    <col min="14850" max="14850" width="7.28515625" style="434" customWidth="1"/>
    <col min="14851" max="14851" width="8.28515625" style="434" customWidth="1"/>
    <col min="14852" max="14852" width="2.7109375" style="434" customWidth="1"/>
    <col min="14853" max="14854" width="8.28515625" style="434" customWidth="1"/>
    <col min="14855" max="14855" width="2.7109375" style="434" customWidth="1"/>
    <col min="14856" max="14857" width="8.28515625" style="434" customWidth="1"/>
    <col min="14858" max="14858" width="5.28515625" style="434" customWidth="1"/>
    <col min="14859" max="14859" width="7.28515625" style="434" customWidth="1"/>
    <col min="14860" max="14860" width="9.140625" style="434" customWidth="1"/>
    <col min="14861" max="14861" width="2.7109375" style="434" customWidth="1"/>
    <col min="14862" max="14862" width="8.85546875" style="434" customWidth="1"/>
    <col min="14863" max="14863" width="9.140625" style="434" customWidth="1"/>
    <col min="14864" max="14864" width="2.7109375" style="434" customWidth="1"/>
    <col min="14865" max="14865" width="8.85546875" style="434" customWidth="1"/>
    <col min="14866" max="14866" width="9.140625" style="434" customWidth="1"/>
    <col min="14867" max="14867" width="1.85546875" style="434" customWidth="1"/>
    <col min="14868" max="14868" width="3.5703125" style="434" customWidth="1"/>
    <col min="14869" max="15104" width="9.140625" style="434"/>
    <col min="15105" max="15105" width="36.7109375" style="434" customWidth="1"/>
    <col min="15106" max="15106" width="7.28515625" style="434" customWidth="1"/>
    <col min="15107" max="15107" width="8.28515625" style="434" customWidth="1"/>
    <col min="15108" max="15108" width="2.7109375" style="434" customWidth="1"/>
    <col min="15109" max="15110" width="8.28515625" style="434" customWidth="1"/>
    <col min="15111" max="15111" width="2.7109375" style="434" customWidth="1"/>
    <col min="15112" max="15113" width="8.28515625" style="434" customWidth="1"/>
    <col min="15114" max="15114" width="5.28515625" style="434" customWidth="1"/>
    <col min="15115" max="15115" width="7.28515625" style="434" customWidth="1"/>
    <col min="15116" max="15116" width="9.140625" style="434" customWidth="1"/>
    <col min="15117" max="15117" width="2.7109375" style="434" customWidth="1"/>
    <col min="15118" max="15118" width="8.85546875" style="434" customWidth="1"/>
    <col min="15119" max="15119" width="9.140625" style="434" customWidth="1"/>
    <col min="15120" max="15120" width="2.7109375" style="434" customWidth="1"/>
    <col min="15121" max="15121" width="8.85546875" style="434" customWidth="1"/>
    <col min="15122" max="15122" width="9.140625" style="434" customWidth="1"/>
    <col min="15123" max="15123" width="1.85546875" style="434" customWidth="1"/>
    <col min="15124" max="15124" width="3.5703125" style="434" customWidth="1"/>
    <col min="15125" max="15360" width="9.140625" style="434"/>
    <col min="15361" max="15361" width="36.7109375" style="434" customWidth="1"/>
    <col min="15362" max="15362" width="7.28515625" style="434" customWidth="1"/>
    <col min="15363" max="15363" width="8.28515625" style="434" customWidth="1"/>
    <col min="15364" max="15364" width="2.7109375" style="434" customWidth="1"/>
    <col min="15365" max="15366" width="8.28515625" style="434" customWidth="1"/>
    <col min="15367" max="15367" width="2.7109375" style="434" customWidth="1"/>
    <col min="15368" max="15369" width="8.28515625" style="434" customWidth="1"/>
    <col min="15370" max="15370" width="5.28515625" style="434" customWidth="1"/>
    <col min="15371" max="15371" width="7.28515625" style="434" customWidth="1"/>
    <col min="15372" max="15372" width="9.140625" style="434" customWidth="1"/>
    <col min="15373" max="15373" width="2.7109375" style="434" customWidth="1"/>
    <col min="15374" max="15374" width="8.85546875" style="434" customWidth="1"/>
    <col min="15375" max="15375" width="9.140625" style="434" customWidth="1"/>
    <col min="15376" max="15376" width="2.7109375" style="434" customWidth="1"/>
    <col min="15377" max="15377" width="8.85546875" style="434" customWidth="1"/>
    <col min="15378" max="15378" width="9.140625" style="434" customWidth="1"/>
    <col min="15379" max="15379" width="1.85546875" style="434" customWidth="1"/>
    <col min="15380" max="15380" width="3.5703125" style="434" customWidth="1"/>
    <col min="15381" max="15616" width="9.140625" style="434"/>
    <col min="15617" max="15617" width="36.7109375" style="434" customWidth="1"/>
    <col min="15618" max="15618" width="7.28515625" style="434" customWidth="1"/>
    <col min="15619" max="15619" width="8.28515625" style="434" customWidth="1"/>
    <col min="15620" max="15620" width="2.7109375" style="434" customWidth="1"/>
    <col min="15621" max="15622" width="8.28515625" style="434" customWidth="1"/>
    <col min="15623" max="15623" width="2.7109375" style="434" customWidth="1"/>
    <col min="15624" max="15625" width="8.28515625" style="434" customWidth="1"/>
    <col min="15626" max="15626" width="5.28515625" style="434" customWidth="1"/>
    <col min="15627" max="15627" width="7.28515625" style="434" customWidth="1"/>
    <col min="15628" max="15628" width="9.140625" style="434" customWidth="1"/>
    <col min="15629" max="15629" width="2.7109375" style="434" customWidth="1"/>
    <col min="15630" max="15630" width="8.85546875" style="434" customWidth="1"/>
    <col min="15631" max="15631" width="9.140625" style="434" customWidth="1"/>
    <col min="15632" max="15632" width="2.7109375" style="434" customWidth="1"/>
    <col min="15633" max="15633" width="8.85546875" style="434" customWidth="1"/>
    <col min="15634" max="15634" width="9.140625" style="434" customWidth="1"/>
    <col min="15635" max="15635" width="1.85546875" style="434" customWidth="1"/>
    <col min="15636" max="15636" width="3.5703125" style="434" customWidth="1"/>
    <col min="15637" max="15872" width="9.140625" style="434"/>
    <col min="15873" max="15873" width="36.7109375" style="434" customWidth="1"/>
    <col min="15874" max="15874" width="7.28515625" style="434" customWidth="1"/>
    <col min="15875" max="15875" width="8.28515625" style="434" customWidth="1"/>
    <col min="15876" max="15876" width="2.7109375" style="434" customWidth="1"/>
    <col min="15877" max="15878" width="8.28515625" style="434" customWidth="1"/>
    <col min="15879" max="15879" width="2.7109375" style="434" customWidth="1"/>
    <col min="15880" max="15881" width="8.28515625" style="434" customWidth="1"/>
    <col min="15882" max="15882" width="5.28515625" style="434" customWidth="1"/>
    <col min="15883" max="15883" width="7.28515625" style="434" customWidth="1"/>
    <col min="15884" max="15884" width="9.140625" style="434" customWidth="1"/>
    <col min="15885" max="15885" width="2.7109375" style="434" customWidth="1"/>
    <col min="15886" max="15886" width="8.85546875" style="434" customWidth="1"/>
    <col min="15887" max="15887" width="9.140625" style="434" customWidth="1"/>
    <col min="15888" max="15888" width="2.7109375" style="434" customWidth="1"/>
    <col min="15889" max="15889" width="8.85546875" style="434" customWidth="1"/>
    <col min="15890" max="15890" width="9.140625" style="434" customWidth="1"/>
    <col min="15891" max="15891" width="1.85546875" style="434" customWidth="1"/>
    <col min="15892" max="15892" width="3.5703125" style="434" customWidth="1"/>
    <col min="15893" max="16128" width="9.140625" style="434"/>
    <col min="16129" max="16129" width="36.7109375" style="434" customWidth="1"/>
    <col min="16130" max="16130" width="7.28515625" style="434" customWidth="1"/>
    <col min="16131" max="16131" width="8.28515625" style="434" customWidth="1"/>
    <col min="16132" max="16132" width="2.7109375" style="434" customWidth="1"/>
    <col min="16133" max="16134" width="8.28515625" style="434" customWidth="1"/>
    <col min="16135" max="16135" width="2.7109375" style="434" customWidth="1"/>
    <col min="16136" max="16137" width="8.28515625" style="434" customWidth="1"/>
    <col min="16138" max="16138" width="5.28515625" style="434" customWidth="1"/>
    <col min="16139" max="16139" width="7.28515625" style="434" customWidth="1"/>
    <col min="16140" max="16140" width="9.140625" style="434" customWidth="1"/>
    <col min="16141" max="16141" width="2.7109375" style="434" customWidth="1"/>
    <col min="16142" max="16142" width="8.85546875" style="434" customWidth="1"/>
    <col min="16143" max="16143" width="9.140625" style="434" customWidth="1"/>
    <col min="16144" max="16144" width="2.7109375" style="434" customWidth="1"/>
    <col min="16145" max="16145" width="8.85546875" style="434" customWidth="1"/>
    <col min="16146" max="16146" width="9.140625" style="434" customWidth="1"/>
    <col min="16147" max="16147" width="1.85546875" style="434" customWidth="1"/>
    <col min="16148" max="16148" width="3.5703125" style="434" customWidth="1"/>
    <col min="16149" max="16384" width="9.140625" style="434"/>
  </cols>
  <sheetData>
    <row r="1" spans="1:19">
      <c r="A1" s="42" t="s">
        <v>311</v>
      </c>
    </row>
    <row r="2" spans="1:19">
      <c r="A2" s="434" t="s">
        <v>312</v>
      </c>
    </row>
    <row r="3" spans="1:19" ht="9.75" customHeight="1"/>
    <row r="4" spans="1:19" ht="14.25">
      <c r="A4" s="42" t="s">
        <v>2105</v>
      </c>
      <c r="B4" s="455"/>
      <c r="C4" s="449"/>
      <c r="F4" s="434"/>
      <c r="G4" s="435"/>
      <c r="O4" s="436"/>
      <c r="P4" s="436"/>
      <c r="R4" s="436"/>
    </row>
    <row r="5" spans="1:19" ht="9.75" customHeight="1" thickBot="1">
      <c r="K5" s="454"/>
      <c r="M5" s="436"/>
      <c r="N5" s="436"/>
      <c r="O5" s="436"/>
      <c r="P5" s="436"/>
      <c r="Q5" s="436"/>
      <c r="R5" s="436"/>
      <c r="S5" s="436"/>
    </row>
    <row r="6" spans="1:19" ht="10.5" customHeight="1">
      <c r="A6" s="437"/>
      <c r="B6" s="792"/>
      <c r="C6" s="793"/>
      <c r="D6" s="437"/>
      <c r="E6" s="438"/>
      <c r="F6" s="439"/>
      <c r="G6" s="437"/>
      <c r="H6" s="792"/>
      <c r="I6" s="439"/>
      <c r="J6" s="439"/>
      <c r="K6" s="793"/>
      <c r="L6" s="793"/>
      <c r="M6" s="439"/>
      <c r="N6" s="439"/>
      <c r="O6" s="439"/>
      <c r="P6" s="439"/>
      <c r="Q6" s="439"/>
      <c r="R6" s="439"/>
      <c r="S6" s="439"/>
    </row>
    <row r="7" spans="1:19" ht="15" customHeight="1" thickBot="1">
      <c r="A7" s="440" t="s">
        <v>313</v>
      </c>
      <c r="B7" s="794"/>
      <c r="C7" s="795"/>
      <c r="D7" s="796"/>
      <c r="E7" s="797" t="s">
        <v>314</v>
      </c>
      <c r="F7" s="798"/>
      <c r="G7" s="796"/>
      <c r="H7" s="794"/>
      <c r="I7" s="798"/>
      <c r="K7" s="794"/>
      <c r="L7" s="795"/>
      <c r="M7" s="796"/>
      <c r="N7" s="797" t="s">
        <v>315</v>
      </c>
      <c r="O7" s="798"/>
      <c r="P7" s="796"/>
      <c r="Q7" s="797"/>
      <c r="R7" s="798"/>
      <c r="S7" s="440"/>
    </row>
    <row r="8" spans="1:19" ht="14.25" customHeight="1" thickTop="1">
      <c r="A8" s="434" t="s">
        <v>316</v>
      </c>
      <c r="B8" s="1260" t="s">
        <v>317</v>
      </c>
      <c r="C8" s="1260"/>
      <c r="D8" s="440"/>
      <c r="E8" s="1261" t="s">
        <v>318</v>
      </c>
      <c r="F8" s="1261"/>
      <c r="G8" s="440"/>
      <c r="H8" s="1262" t="s">
        <v>319</v>
      </c>
      <c r="I8" s="1262"/>
      <c r="J8" s="442"/>
      <c r="K8" s="1260" t="s">
        <v>320</v>
      </c>
      <c r="L8" s="1260"/>
      <c r="M8" s="440"/>
      <c r="N8" s="1261" t="s">
        <v>277</v>
      </c>
      <c r="O8" s="1261"/>
      <c r="P8" s="440"/>
      <c r="Q8" s="799" t="s">
        <v>321</v>
      </c>
      <c r="R8" s="442"/>
      <c r="S8" s="440"/>
    </row>
    <row r="9" spans="1:19" ht="15" customHeight="1">
      <c r="A9" s="434" t="s">
        <v>322</v>
      </c>
      <c r="B9" s="800" t="s">
        <v>323</v>
      </c>
      <c r="C9" s="801" t="s">
        <v>324</v>
      </c>
      <c r="D9" s="440"/>
      <c r="E9" s="443" t="s">
        <v>323</v>
      </c>
      <c r="F9" s="444" t="s">
        <v>324</v>
      </c>
      <c r="G9" s="440"/>
      <c r="H9" s="800" t="s">
        <v>323</v>
      </c>
      <c r="I9" s="444" t="s">
        <v>324</v>
      </c>
      <c r="J9" s="802"/>
      <c r="K9" s="800" t="s">
        <v>323</v>
      </c>
      <c r="L9" s="801" t="s">
        <v>324</v>
      </c>
      <c r="M9" s="440"/>
      <c r="N9" s="443" t="s">
        <v>323</v>
      </c>
      <c r="O9" s="444" t="s">
        <v>324</v>
      </c>
      <c r="P9" s="440"/>
      <c r="Q9" s="443" t="s">
        <v>323</v>
      </c>
      <c r="R9" s="444" t="s">
        <v>324</v>
      </c>
      <c r="S9" s="440"/>
    </row>
    <row r="10" spans="1:19" ht="12" customHeight="1" thickBot="1">
      <c r="A10" s="445"/>
      <c r="B10" s="803"/>
      <c r="C10" s="804"/>
      <c r="D10" s="445"/>
      <c r="E10" s="446"/>
      <c r="F10" s="447"/>
      <c r="G10" s="445"/>
      <c r="H10" s="803"/>
      <c r="I10" s="447"/>
      <c r="J10" s="447"/>
      <c r="K10" s="452"/>
      <c r="L10" s="450"/>
      <c r="M10" s="440"/>
      <c r="N10" s="441"/>
      <c r="O10" s="442"/>
      <c r="P10" s="442"/>
      <c r="Q10" s="441"/>
      <c r="R10" s="442"/>
      <c r="S10" s="440"/>
    </row>
    <row r="11" spans="1:19" ht="9.9499999999999993" customHeight="1">
      <c r="A11" s="440"/>
      <c r="B11" s="452"/>
      <c r="C11" s="450"/>
      <c r="D11" s="440"/>
      <c r="E11" s="441"/>
      <c r="F11" s="442"/>
      <c r="G11" s="440"/>
      <c r="H11" s="452"/>
      <c r="I11" s="442"/>
      <c r="J11" s="442"/>
      <c r="K11" s="793"/>
      <c r="L11" s="793"/>
      <c r="M11" s="439"/>
      <c r="N11" s="439"/>
      <c r="O11" s="439"/>
      <c r="P11" s="439"/>
      <c r="Q11" s="439"/>
      <c r="R11" s="439"/>
      <c r="S11" s="439"/>
    </row>
    <row r="12" spans="1:19" ht="14.1" customHeight="1">
      <c r="A12" s="63" t="s">
        <v>325</v>
      </c>
      <c r="B12" s="449">
        <f>E12+H12</f>
        <v>6300</v>
      </c>
      <c r="C12" s="454">
        <f t="shared" ref="C12:C81" si="0">IF(A12&lt;&gt;0,B12/$B$12*100,"")</f>
        <v>100</v>
      </c>
      <c r="E12" s="435">
        <f>E14+E109</f>
        <v>1950</v>
      </c>
      <c r="F12" s="436">
        <f>IF($A12&lt;&gt;"",E12/$B12*100,"")</f>
        <v>30.952380952380953</v>
      </c>
      <c r="H12" s="449">
        <f>H14+H109</f>
        <v>4350</v>
      </c>
      <c r="I12" s="436">
        <f>IF($A12&lt;&gt;"",H12/$B12*100,"")</f>
        <v>69.047619047619051</v>
      </c>
      <c r="K12" s="449">
        <f>N12+Q12</f>
        <v>5960</v>
      </c>
      <c r="L12" s="454">
        <f>IF(A12&lt;&gt;0,K12/$K$12*100,"")</f>
        <v>100</v>
      </c>
      <c r="M12" s="440"/>
      <c r="N12" s="435">
        <f>N14+N109</f>
        <v>1867</v>
      </c>
      <c r="O12" s="436">
        <f t="shared" ref="O12:O75" si="1">IF($A12&lt;&gt;"",N12/$K12*100,"")</f>
        <v>31.325503355704697</v>
      </c>
      <c r="P12" s="442"/>
      <c r="Q12" s="435">
        <f>Q14+Q109</f>
        <v>4093</v>
      </c>
      <c r="R12" s="436">
        <f>IF($A12&lt;&gt;"",Q12/$K12*100,"")</f>
        <v>68.674496644295303</v>
      </c>
      <c r="S12" s="440"/>
    </row>
    <row r="13" spans="1:19" ht="9" customHeight="1">
      <c r="C13" s="454" t="str">
        <f t="shared" si="0"/>
        <v/>
      </c>
      <c r="F13" s="436" t="str">
        <f t="shared" ref="F13:F77" si="2">IF($A13&lt;&gt;"",E13/$B13*100,"")</f>
        <v/>
      </c>
      <c r="I13" s="436" t="str">
        <f t="shared" ref="I13:I77" si="3">IF($A13&lt;&gt;"",H13/$B13*100,"")</f>
        <v/>
      </c>
      <c r="K13" s="449">
        <f>N13+Q13</f>
        <v>0</v>
      </c>
      <c r="M13" s="440"/>
      <c r="O13" s="436" t="str">
        <f t="shared" si="1"/>
        <v/>
      </c>
      <c r="P13" s="442"/>
      <c r="R13" s="436" t="str">
        <f t="shared" ref="R13:R77" si="4">IF($A13&lt;&gt;"",Q13/$K13*100,"")</f>
        <v/>
      </c>
      <c r="S13" s="440"/>
    </row>
    <row r="14" spans="1:19" ht="14.1" customHeight="1">
      <c r="A14" s="63" t="s">
        <v>326</v>
      </c>
      <c r="B14" s="449">
        <f>SUM(E14+H14)</f>
        <v>5153</v>
      </c>
      <c r="C14" s="454">
        <f t="shared" si="0"/>
        <v>81.793650793650798</v>
      </c>
      <c r="E14" s="435">
        <f>SUM(E16+E101)</f>
        <v>1741</v>
      </c>
      <c r="F14" s="436">
        <f t="shared" si="2"/>
        <v>33.786143993790027</v>
      </c>
      <c r="G14" s="435"/>
      <c r="H14" s="449">
        <f>SUM(H16+H101)</f>
        <v>3412</v>
      </c>
      <c r="I14" s="436">
        <f t="shared" si="3"/>
        <v>66.213856006209966</v>
      </c>
      <c r="K14" s="449">
        <f>N14+Q14</f>
        <v>4870</v>
      </c>
      <c r="L14" s="454">
        <f>IF(A14&lt;&gt;0,K14/$K$12*100,"")</f>
        <v>81.711409395973149</v>
      </c>
      <c r="M14" s="453"/>
      <c r="N14" s="449">
        <f>SUM(N16+N101)</f>
        <v>1664</v>
      </c>
      <c r="O14" s="454">
        <f t="shared" si="1"/>
        <v>34.168377823408626</v>
      </c>
      <c r="P14" s="450"/>
      <c r="Q14" s="449">
        <f>SUM(Q16+Q101)</f>
        <v>3206</v>
      </c>
      <c r="R14" s="454">
        <f t="shared" si="4"/>
        <v>65.831622176591381</v>
      </c>
      <c r="S14" s="453"/>
    </row>
    <row r="15" spans="1:19" ht="6.75" customHeight="1">
      <c r="F15" s="436" t="str">
        <f t="shared" si="2"/>
        <v/>
      </c>
      <c r="I15" s="436" t="str">
        <f t="shared" si="3"/>
        <v/>
      </c>
      <c r="K15" s="449">
        <f>N15+Q15</f>
        <v>0</v>
      </c>
      <c r="M15" s="453"/>
      <c r="N15" s="449"/>
      <c r="O15" s="454" t="str">
        <f t="shared" si="1"/>
        <v/>
      </c>
      <c r="P15" s="442"/>
      <c r="R15" s="436" t="str">
        <f t="shared" si="4"/>
        <v/>
      </c>
      <c r="S15" s="440"/>
    </row>
    <row r="16" spans="1:19" ht="14.1" customHeight="1">
      <c r="A16" s="63" t="s">
        <v>12</v>
      </c>
      <c r="B16" s="449">
        <f>SUM(E16+H16)</f>
        <v>4305</v>
      </c>
      <c r="C16" s="454">
        <f t="shared" si="0"/>
        <v>68.333333333333329</v>
      </c>
      <c r="E16" s="435">
        <f>E18+E30+E38+E78+E64+E85+E97+E98+E99</f>
        <v>1536</v>
      </c>
      <c r="F16" s="436">
        <f t="shared" si="2"/>
        <v>35.6794425087108</v>
      </c>
      <c r="H16" s="435">
        <f>H18+H30+H38+H78+H64+H85+H97+H98+H99</f>
        <v>2769</v>
      </c>
      <c r="I16" s="436">
        <f t="shared" si="3"/>
        <v>64.320557491289193</v>
      </c>
      <c r="K16" s="449">
        <f>N16+Q16</f>
        <v>4234</v>
      </c>
      <c r="L16" s="454">
        <f>IF(A16&lt;&gt;0,K16/$K$12*100,"")</f>
        <v>71.040268456375841</v>
      </c>
      <c r="M16" s="453"/>
      <c r="N16" s="449">
        <f>N18+N30+N38+N78+N64+N85+N97+N98+N99</f>
        <v>1526</v>
      </c>
      <c r="O16" s="454">
        <f t="shared" si="1"/>
        <v>36.041568256967402</v>
      </c>
      <c r="P16" s="450"/>
      <c r="Q16" s="435">
        <f>Q18+Q30+Q38+Q78+Q64+Q85+Q97+Q98+Q99</f>
        <v>2708</v>
      </c>
      <c r="R16" s="436">
        <f t="shared" si="4"/>
        <v>63.958431743032598</v>
      </c>
      <c r="S16" s="440"/>
    </row>
    <row r="17" spans="1:19" ht="6.75" customHeight="1">
      <c r="C17" s="454" t="str">
        <f t="shared" si="0"/>
        <v/>
      </c>
      <c r="F17" s="436" t="str">
        <f t="shared" si="2"/>
        <v/>
      </c>
      <c r="I17" s="436" t="str">
        <f t="shared" si="3"/>
        <v/>
      </c>
      <c r="K17" s="449">
        <f t="shared" ref="K17:K80" si="5">N17+Q17</f>
        <v>0</v>
      </c>
      <c r="L17" s="454" t="str">
        <f>IF(A17&lt;&gt;0,K17/$K$12*100,"")</f>
        <v/>
      </c>
      <c r="M17" s="453"/>
      <c r="N17" s="449"/>
      <c r="O17" s="454" t="str">
        <f t="shared" si="1"/>
        <v/>
      </c>
      <c r="P17" s="442"/>
      <c r="R17" s="436" t="str">
        <f t="shared" si="4"/>
        <v/>
      </c>
      <c r="S17" s="440"/>
    </row>
    <row r="18" spans="1:19" ht="13.35" customHeight="1">
      <c r="A18" s="63" t="s">
        <v>327</v>
      </c>
      <c r="B18" s="449">
        <f t="shared" ref="B18:B79" si="6">E18+H18</f>
        <v>348</v>
      </c>
      <c r="C18" s="454">
        <f t="shared" si="0"/>
        <v>5.5238095238095237</v>
      </c>
      <c r="E18" s="435">
        <f>E20+E25</f>
        <v>156</v>
      </c>
      <c r="F18" s="436">
        <f t="shared" si="2"/>
        <v>44.827586206896555</v>
      </c>
      <c r="H18" s="449">
        <f>H20+H25</f>
        <v>192</v>
      </c>
      <c r="I18" s="436">
        <f t="shared" si="3"/>
        <v>55.172413793103445</v>
      </c>
      <c r="K18" s="449">
        <f t="shared" si="5"/>
        <v>350</v>
      </c>
      <c r="L18" s="454">
        <f>IF(A18&lt;&gt;0,K18/$K$12*100,"")</f>
        <v>5.8724832214765099</v>
      </c>
      <c r="M18" s="453"/>
      <c r="N18" s="449">
        <f>N20+N25</f>
        <v>154</v>
      </c>
      <c r="O18" s="454">
        <f t="shared" si="1"/>
        <v>44</v>
      </c>
      <c r="P18" s="442"/>
      <c r="Q18" s="435">
        <f>Q20+Q25</f>
        <v>196</v>
      </c>
      <c r="R18" s="436">
        <f t="shared" si="4"/>
        <v>56.000000000000007</v>
      </c>
      <c r="S18" s="440"/>
    </row>
    <row r="19" spans="1:19" ht="6.75" customHeight="1">
      <c r="F19" s="436" t="str">
        <f t="shared" si="2"/>
        <v/>
      </c>
      <c r="I19" s="436" t="str">
        <f t="shared" si="3"/>
        <v/>
      </c>
      <c r="K19" s="449">
        <f t="shared" si="5"/>
        <v>0</v>
      </c>
      <c r="M19" s="453"/>
      <c r="N19" s="449"/>
      <c r="O19" s="454" t="str">
        <f t="shared" si="1"/>
        <v/>
      </c>
      <c r="P19" s="442"/>
      <c r="R19" s="436" t="str">
        <f t="shared" si="4"/>
        <v/>
      </c>
      <c r="S19" s="440"/>
    </row>
    <row r="20" spans="1:19" ht="13.15" customHeight="1">
      <c r="A20" s="434" t="s">
        <v>20</v>
      </c>
      <c r="B20" s="449">
        <f t="shared" si="6"/>
        <v>159</v>
      </c>
      <c r="C20" s="454">
        <f t="shared" si="0"/>
        <v>2.5238095238095237</v>
      </c>
      <c r="E20" s="435">
        <f>SUM(E21:E23)</f>
        <v>65</v>
      </c>
      <c r="F20" s="436">
        <f t="shared" si="2"/>
        <v>40.880503144654092</v>
      </c>
      <c r="H20" s="449">
        <f>SUM(H21:H23)</f>
        <v>94</v>
      </c>
      <c r="I20" s="436">
        <f t="shared" si="3"/>
        <v>59.119496855345908</v>
      </c>
      <c r="K20" s="449">
        <f t="shared" si="5"/>
        <v>155</v>
      </c>
      <c r="L20" s="454">
        <f t="shared" ref="L20:L83" si="7">IF(A20&lt;&gt;0,K20/$K$12*100,"")</f>
        <v>2.6006711409395975</v>
      </c>
      <c r="M20" s="453"/>
      <c r="N20" s="449">
        <f>SUM(N21:N23)</f>
        <v>62</v>
      </c>
      <c r="O20" s="454">
        <f t="shared" si="1"/>
        <v>40</v>
      </c>
      <c r="P20" s="442"/>
      <c r="Q20" s="435">
        <f>SUM(Q21:Q23)</f>
        <v>93</v>
      </c>
      <c r="R20" s="436">
        <f t="shared" si="4"/>
        <v>60</v>
      </c>
      <c r="S20" s="440"/>
    </row>
    <row r="21" spans="1:19" ht="13.15" customHeight="1">
      <c r="A21" s="434" t="s">
        <v>21</v>
      </c>
      <c r="B21" s="449">
        <f t="shared" si="6"/>
        <v>24</v>
      </c>
      <c r="C21" s="454">
        <f t="shared" si="0"/>
        <v>0.38095238095238093</v>
      </c>
      <c r="E21" s="434">
        <v>5</v>
      </c>
      <c r="F21" s="436">
        <f t="shared" si="2"/>
        <v>20.833333333333336</v>
      </c>
      <c r="H21" s="434">
        <v>19</v>
      </c>
      <c r="I21" s="436">
        <f t="shared" si="3"/>
        <v>79.166666666666657</v>
      </c>
      <c r="K21" s="449">
        <f t="shared" si="5"/>
        <v>23</v>
      </c>
      <c r="L21" s="454">
        <f t="shared" si="7"/>
        <v>0.38590604026845637</v>
      </c>
      <c r="M21" s="453"/>
      <c r="N21" s="455">
        <v>4</v>
      </c>
      <c r="O21" s="454">
        <f t="shared" si="1"/>
        <v>17.391304347826086</v>
      </c>
      <c r="Q21" s="434">
        <v>19</v>
      </c>
      <c r="R21" s="436">
        <f t="shared" si="4"/>
        <v>82.608695652173907</v>
      </c>
    </row>
    <row r="22" spans="1:19" ht="13.15" customHeight="1">
      <c r="A22" s="434" t="s">
        <v>22</v>
      </c>
      <c r="B22" s="449">
        <f t="shared" si="6"/>
        <v>73</v>
      </c>
      <c r="C22" s="454">
        <f t="shared" si="0"/>
        <v>1.1587301587301586</v>
      </c>
      <c r="E22" s="434">
        <v>38</v>
      </c>
      <c r="F22" s="436">
        <f t="shared" si="2"/>
        <v>52.054794520547944</v>
      </c>
      <c r="H22" s="434">
        <v>35</v>
      </c>
      <c r="I22" s="436">
        <f t="shared" si="3"/>
        <v>47.945205479452049</v>
      </c>
      <c r="K22" s="449">
        <f t="shared" si="5"/>
        <v>74</v>
      </c>
      <c r="L22" s="454">
        <f t="shared" si="7"/>
        <v>1.2416107382550337</v>
      </c>
      <c r="M22" s="453"/>
      <c r="N22" s="455">
        <v>38</v>
      </c>
      <c r="O22" s="454">
        <f t="shared" si="1"/>
        <v>51.351351351351347</v>
      </c>
      <c r="Q22" s="434">
        <v>36</v>
      </c>
      <c r="R22" s="436">
        <f t="shared" si="4"/>
        <v>48.648648648648653</v>
      </c>
    </row>
    <row r="23" spans="1:19" ht="13.15" customHeight="1">
      <c r="A23" s="434" t="s">
        <v>23</v>
      </c>
      <c r="B23" s="449">
        <f t="shared" si="6"/>
        <v>62</v>
      </c>
      <c r="C23" s="454">
        <f t="shared" si="0"/>
        <v>0.98412698412698418</v>
      </c>
      <c r="E23" s="434">
        <v>22</v>
      </c>
      <c r="F23" s="436">
        <f t="shared" si="2"/>
        <v>35.483870967741936</v>
      </c>
      <c r="H23" s="434">
        <v>40</v>
      </c>
      <c r="I23" s="436">
        <f t="shared" si="3"/>
        <v>64.516129032258064</v>
      </c>
      <c r="K23" s="449">
        <f t="shared" si="5"/>
        <v>58</v>
      </c>
      <c r="L23" s="454">
        <f t="shared" si="7"/>
        <v>0.97315436241610742</v>
      </c>
      <c r="M23" s="453"/>
      <c r="N23" s="455">
        <v>20</v>
      </c>
      <c r="O23" s="454">
        <f t="shared" si="1"/>
        <v>34.482758620689658</v>
      </c>
      <c r="Q23" s="434">
        <v>38</v>
      </c>
      <c r="R23" s="436">
        <f t="shared" si="4"/>
        <v>65.517241379310349</v>
      </c>
    </row>
    <row r="24" spans="1:19" ht="6.75" customHeight="1">
      <c r="C24" s="454" t="str">
        <f t="shared" si="0"/>
        <v/>
      </c>
      <c r="F24" s="436" t="str">
        <f t="shared" si="2"/>
        <v/>
      </c>
      <c r="I24" s="436" t="str">
        <f t="shared" si="3"/>
        <v/>
      </c>
      <c r="K24" s="449">
        <f t="shared" si="5"/>
        <v>0</v>
      </c>
      <c r="L24" s="454" t="str">
        <f t="shared" si="7"/>
        <v/>
      </c>
      <c r="M24" s="453"/>
      <c r="N24" s="449"/>
      <c r="O24" s="454" t="str">
        <f t="shared" si="1"/>
        <v/>
      </c>
      <c r="P24" s="442"/>
      <c r="R24" s="436" t="str">
        <f t="shared" si="4"/>
        <v/>
      </c>
      <c r="S24" s="440"/>
    </row>
    <row r="25" spans="1:19" ht="13.15" customHeight="1">
      <c r="A25" s="434" t="s">
        <v>24</v>
      </c>
      <c r="B25" s="449">
        <f t="shared" si="6"/>
        <v>189</v>
      </c>
      <c r="C25" s="454">
        <f t="shared" si="0"/>
        <v>3</v>
      </c>
      <c r="E25" s="435">
        <f>SUM(E26:E28)</f>
        <v>91</v>
      </c>
      <c r="F25" s="436">
        <f t="shared" si="2"/>
        <v>48.148148148148145</v>
      </c>
      <c r="H25" s="449">
        <f>SUM(H26:H28)</f>
        <v>98</v>
      </c>
      <c r="I25" s="436">
        <f t="shared" si="3"/>
        <v>51.851851851851848</v>
      </c>
      <c r="K25" s="449">
        <f t="shared" si="5"/>
        <v>195</v>
      </c>
      <c r="L25" s="454">
        <f t="shared" si="7"/>
        <v>3.2718120805369129</v>
      </c>
      <c r="M25" s="453"/>
      <c r="N25" s="449">
        <f>SUM(N26:N28)</f>
        <v>92</v>
      </c>
      <c r="O25" s="454">
        <f t="shared" si="1"/>
        <v>47.179487179487175</v>
      </c>
      <c r="P25" s="442"/>
      <c r="Q25" s="435">
        <f>SUM(Q26:Q28)</f>
        <v>103</v>
      </c>
      <c r="R25" s="436">
        <f t="shared" si="4"/>
        <v>52.820512820512825</v>
      </c>
      <c r="S25" s="440"/>
    </row>
    <row r="26" spans="1:19" ht="13.15" customHeight="1">
      <c r="A26" s="434" t="s">
        <v>25</v>
      </c>
      <c r="B26" s="449">
        <f t="shared" si="6"/>
        <v>50</v>
      </c>
      <c r="C26" s="454">
        <f t="shared" si="0"/>
        <v>0.79365079365079361</v>
      </c>
      <c r="E26" s="434">
        <v>26</v>
      </c>
      <c r="F26" s="436">
        <f t="shared" si="2"/>
        <v>52</v>
      </c>
      <c r="H26" s="434">
        <v>24</v>
      </c>
      <c r="I26" s="436">
        <f t="shared" si="3"/>
        <v>48</v>
      </c>
      <c r="K26" s="449">
        <f t="shared" si="5"/>
        <v>48</v>
      </c>
      <c r="L26" s="454">
        <f t="shared" si="7"/>
        <v>0.80536912751677858</v>
      </c>
      <c r="M26" s="453"/>
      <c r="N26" s="434">
        <v>25</v>
      </c>
      <c r="O26" s="454">
        <f t="shared" si="1"/>
        <v>52.083333333333336</v>
      </c>
      <c r="Q26" s="434">
        <v>23</v>
      </c>
      <c r="R26" s="436">
        <f t="shared" si="4"/>
        <v>47.916666666666671</v>
      </c>
      <c r="S26" s="440"/>
    </row>
    <row r="27" spans="1:19" ht="13.15" customHeight="1">
      <c r="A27" s="434" t="s">
        <v>26</v>
      </c>
      <c r="B27" s="449">
        <f t="shared" si="6"/>
        <v>39</v>
      </c>
      <c r="C27" s="454">
        <f t="shared" si="0"/>
        <v>0.61904761904761907</v>
      </c>
      <c r="E27" s="434">
        <v>20</v>
      </c>
      <c r="F27" s="436">
        <f t="shared" si="2"/>
        <v>51.282051282051277</v>
      </c>
      <c r="H27" s="434">
        <v>19</v>
      </c>
      <c r="I27" s="436">
        <f t="shared" si="3"/>
        <v>48.717948717948715</v>
      </c>
      <c r="K27" s="449">
        <f t="shared" si="5"/>
        <v>39</v>
      </c>
      <c r="L27" s="454">
        <f t="shared" si="7"/>
        <v>0.65436241610738255</v>
      </c>
      <c r="M27" s="453"/>
      <c r="N27" s="434">
        <v>19</v>
      </c>
      <c r="O27" s="454">
        <f t="shared" si="1"/>
        <v>48.717948717948715</v>
      </c>
      <c r="Q27" s="434">
        <v>20</v>
      </c>
      <c r="R27" s="436">
        <f t="shared" si="4"/>
        <v>51.282051282051277</v>
      </c>
      <c r="S27" s="440"/>
    </row>
    <row r="28" spans="1:19" ht="13.15" customHeight="1">
      <c r="A28" s="434" t="s">
        <v>27</v>
      </c>
      <c r="B28" s="449">
        <f t="shared" si="6"/>
        <v>100</v>
      </c>
      <c r="C28" s="454">
        <f t="shared" si="0"/>
        <v>1.5873015873015872</v>
      </c>
      <c r="E28" s="434">
        <v>45</v>
      </c>
      <c r="F28" s="436">
        <f t="shared" si="2"/>
        <v>45</v>
      </c>
      <c r="H28" s="434">
        <v>55</v>
      </c>
      <c r="I28" s="436">
        <f t="shared" si="3"/>
        <v>55.000000000000007</v>
      </c>
      <c r="K28" s="449">
        <f t="shared" si="5"/>
        <v>108</v>
      </c>
      <c r="L28" s="454">
        <f t="shared" si="7"/>
        <v>1.8120805369127517</v>
      </c>
      <c r="M28" s="453"/>
      <c r="N28" s="434">
        <v>48</v>
      </c>
      <c r="O28" s="454">
        <f t="shared" si="1"/>
        <v>44.444444444444443</v>
      </c>
      <c r="Q28" s="434">
        <v>60</v>
      </c>
      <c r="R28" s="436">
        <f t="shared" si="4"/>
        <v>55.555555555555557</v>
      </c>
      <c r="S28" s="440"/>
    </row>
    <row r="29" spans="1:19" ht="6.75" customHeight="1">
      <c r="C29" s="454" t="str">
        <f t="shared" si="0"/>
        <v/>
      </c>
      <c r="F29" s="436" t="str">
        <f t="shared" si="2"/>
        <v/>
      </c>
      <c r="I29" s="436" t="str">
        <f t="shared" si="3"/>
        <v/>
      </c>
      <c r="K29" s="449">
        <f t="shared" si="5"/>
        <v>0</v>
      </c>
      <c r="L29" s="454" t="str">
        <f t="shared" si="7"/>
        <v/>
      </c>
      <c r="M29" s="440"/>
      <c r="O29" s="454" t="str">
        <f t="shared" si="1"/>
        <v/>
      </c>
      <c r="P29" s="442"/>
      <c r="R29" s="436" t="str">
        <f t="shared" si="4"/>
        <v/>
      </c>
      <c r="S29" s="440"/>
    </row>
    <row r="30" spans="1:19" ht="13.15" customHeight="1">
      <c r="A30" s="63" t="s">
        <v>328</v>
      </c>
      <c r="B30" s="449">
        <f t="shared" si="6"/>
        <v>385</v>
      </c>
      <c r="C30" s="454">
        <f t="shared" si="0"/>
        <v>6.1111111111111107</v>
      </c>
      <c r="E30" s="435">
        <f>SUM(E31)</f>
        <v>133</v>
      </c>
      <c r="F30" s="436">
        <f t="shared" si="2"/>
        <v>34.545454545454547</v>
      </c>
      <c r="H30" s="449">
        <f>SUM(H31)</f>
        <v>252</v>
      </c>
      <c r="I30" s="436">
        <f t="shared" si="3"/>
        <v>65.454545454545453</v>
      </c>
      <c r="K30" s="449">
        <f t="shared" si="5"/>
        <v>369</v>
      </c>
      <c r="L30" s="454">
        <f t="shared" si="7"/>
        <v>6.1912751677852347</v>
      </c>
      <c r="M30" s="440"/>
      <c r="N30" s="435">
        <f>SUM(N31)</f>
        <v>135</v>
      </c>
      <c r="O30" s="454">
        <f t="shared" si="1"/>
        <v>36.585365853658537</v>
      </c>
      <c r="P30" s="442"/>
      <c r="Q30" s="435">
        <f>SUM(Q31)</f>
        <v>234</v>
      </c>
      <c r="R30" s="436">
        <f t="shared" si="4"/>
        <v>63.414634146341463</v>
      </c>
      <c r="S30" s="440"/>
    </row>
    <row r="31" spans="1:19" ht="13.15" customHeight="1">
      <c r="A31" s="434" t="s">
        <v>29</v>
      </c>
      <c r="B31" s="449">
        <f t="shared" si="6"/>
        <v>385</v>
      </c>
      <c r="C31" s="454">
        <f t="shared" si="0"/>
        <v>6.1111111111111107</v>
      </c>
      <c r="E31" s="435">
        <f>SUM(E32:E36)</f>
        <v>133</v>
      </c>
      <c r="F31" s="436">
        <f t="shared" si="2"/>
        <v>34.545454545454547</v>
      </c>
      <c r="H31" s="449">
        <f>SUM(H32:H36)</f>
        <v>252</v>
      </c>
      <c r="I31" s="436">
        <f t="shared" si="3"/>
        <v>65.454545454545453</v>
      </c>
      <c r="K31" s="449">
        <f t="shared" si="5"/>
        <v>369</v>
      </c>
      <c r="L31" s="454">
        <f t="shared" si="7"/>
        <v>6.1912751677852347</v>
      </c>
      <c r="M31" s="440"/>
      <c r="N31" s="435">
        <f>SUM(N32:N36)</f>
        <v>135</v>
      </c>
      <c r="O31" s="454">
        <f t="shared" si="1"/>
        <v>36.585365853658537</v>
      </c>
      <c r="P31" s="442"/>
      <c r="Q31" s="435">
        <f>SUM(Q32:Q36)</f>
        <v>234</v>
      </c>
      <c r="R31" s="436">
        <f t="shared" si="4"/>
        <v>63.414634146341463</v>
      </c>
      <c r="S31" s="440"/>
    </row>
    <row r="32" spans="1:19" ht="13.15" customHeight="1">
      <c r="A32" s="434" t="s">
        <v>30</v>
      </c>
      <c r="B32" s="449">
        <f t="shared" si="6"/>
        <v>63</v>
      </c>
      <c r="C32" s="454">
        <f t="shared" si="0"/>
        <v>1</v>
      </c>
      <c r="E32" s="434">
        <v>37</v>
      </c>
      <c r="F32" s="436">
        <f t="shared" si="2"/>
        <v>58.730158730158735</v>
      </c>
      <c r="H32" s="434">
        <v>26</v>
      </c>
      <c r="I32" s="436">
        <f t="shared" si="3"/>
        <v>41.269841269841265</v>
      </c>
      <c r="K32" s="449">
        <f t="shared" si="5"/>
        <v>55</v>
      </c>
      <c r="L32" s="454">
        <f t="shared" si="7"/>
        <v>0.92281879194630878</v>
      </c>
      <c r="M32" s="440"/>
      <c r="N32" s="434">
        <v>35</v>
      </c>
      <c r="O32" s="454">
        <f t="shared" si="1"/>
        <v>63.636363636363633</v>
      </c>
      <c r="Q32" s="434">
        <v>20</v>
      </c>
      <c r="R32" s="436">
        <f t="shared" si="4"/>
        <v>36.363636363636367</v>
      </c>
      <c r="S32" s="440"/>
    </row>
    <row r="33" spans="1:19" ht="13.15" customHeight="1">
      <c r="A33" s="434" t="s">
        <v>31</v>
      </c>
      <c r="B33" s="449">
        <f t="shared" si="6"/>
        <v>95</v>
      </c>
      <c r="C33" s="454">
        <f t="shared" si="0"/>
        <v>1.5079365079365079</v>
      </c>
      <c r="E33" s="434">
        <v>25</v>
      </c>
      <c r="F33" s="436">
        <f t="shared" si="2"/>
        <v>26.315789473684209</v>
      </c>
      <c r="H33" s="434">
        <v>70</v>
      </c>
      <c r="I33" s="436">
        <f t="shared" si="3"/>
        <v>73.68421052631578</v>
      </c>
      <c r="K33" s="449">
        <f t="shared" si="5"/>
        <v>89</v>
      </c>
      <c r="L33" s="454">
        <f t="shared" si="7"/>
        <v>1.493288590604027</v>
      </c>
      <c r="M33" s="440"/>
      <c r="N33" s="434">
        <v>28</v>
      </c>
      <c r="O33" s="454">
        <f t="shared" si="1"/>
        <v>31.460674157303369</v>
      </c>
      <c r="Q33" s="434">
        <v>61</v>
      </c>
      <c r="R33" s="436">
        <f t="shared" si="4"/>
        <v>68.539325842696627</v>
      </c>
      <c r="S33" s="440"/>
    </row>
    <row r="34" spans="1:19" ht="13.15" customHeight="1">
      <c r="A34" s="434" t="s">
        <v>32</v>
      </c>
      <c r="B34" s="449">
        <f t="shared" si="6"/>
        <v>27</v>
      </c>
      <c r="C34" s="454">
        <f t="shared" si="0"/>
        <v>0.4285714285714286</v>
      </c>
      <c r="E34" s="434">
        <v>13</v>
      </c>
      <c r="F34" s="436">
        <f t="shared" si="2"/>
        <v>48.148148148148145</v>
      </c>
      <c r="H34" s="434">
        <v>14</v>
      </c>
      <c r="I34" s="436">
        <f t="shared" si="3"/>
        <v>51.851851851851848</v>
      </c>
      <c r="K34" s="449">
        <f t="shared" si="5"/>
        <v>29</v>
      </c>
      <c r="L34" s="454">
        <f t="shared" si="7"/>
        <v>0.48657718120805371</v>
      </c>
      <c r="M34" s="440"/>
      <c r="N34" s="434">
        <v>14</v>
      </c>
      <c r="O34" s="454">
        <f t="shared" si="1"/>
        <v>48.275862068965516</v>
      </c>
      <c r="Q34" s="434">
        <v>15</v>
      </c>
      <c r="R34" s="436">
        <f t="shared" si="4"/>
        <v>51.724137931034484</v>
      </c>
      <c r="S34" s="440"/>
    </row>
    <row r="35" spans="1:19" ht="13.15" customHeight="1">
      <c r="A35" s="434" t="s">
        <v>33</v>
      </c>
      <c r="B35" s="449">
        <f t="shared" si="6"/>
        <v>127</v>
      </c>
      <c r="C35" s="454">
        <f t="shared" si="0"/>
        <v>2.0158730158730158</v>
      </c>
      <c r="E35" s="434">
        <v>26</v>
      </c>
      <c r="F35" s="436">
        <f t="shared" si="2"/>
        <v>20.472440944881889</v>
      </c>
      <c r="H35" s="434">
        <v>101</v>
      </c>
      <c r="I35" s="436">
        <f t="shared" si="3"/>
        <v>79.527559055118118</v>
      </c>
      <c r="K35" s="449">
        <f t="shared" si="5"/>
        <v>123</v>
      </c>
      <c r="L35" s="454">
        <f t="shared" si="7"/>
        <v>2.063758389261745</v>
      </c>
      <c r="M35" s="440"/>
      <c r="N35" s="434">
        <v>26</v>
      </c>
      <c r="O35" s="454">
        <f t="shared" si="1"/>
        <v>21.138211382113823</v>
      </c>
      <c r="Q35" s="434">
        <v>97</v>
      </c>
      <c r="R35" s="436">
        <f t="shared" si="4"/>
        <v>78.861788617886177</v>
      </c>
      <c r="S35" s="440"/>
    </row>
    <row r="36" spans="1:19" ht="13.15" customHeight="1">
      <c r="A36" s="434" t="s">
        <v>34</v>
      </c>
      <c r="B36" s="449">
        <f t="shared" si="6"/>
        <v>73</v>
      </c>
      <c r="C36" s="454">
        <f t="shared" si="0"/>
        <v>1.1587301587301586</v>
      </c>
      <c r="E36" s="434">
        <v>32</v>
      </c>
      <c r="F36" s="436">
        <f t="shared" si="2"/>
        <v>43.835616438356162</v>
      </c>
      <c r="H36" s="434">
        <v>41</v>
      </c>
      <c r="I36" s="436">
        <f t="shared" si="3"/>
        <v>56.164383561643838</v>
      </c>
      <c r="K36" s="449">
        <f t="shared" si="5"/>
        <v>73</v>
      </c>
      <c r="L36" s="454">
        <f t="shared" si="7"/>
        <v>1.2248322147651007</v>
      </c>
      <c r="M36" s="440"/>
      <c r="N36" s="434">
        <v>32</v>
      </c>
      <c r="O36" s="454">
        <f t="shared" si="1"/>
        <v>43.835616438356162</v>
      </c>
      <c r="Q36" s="434">
        <v>41</v>
      </c>
      <c r="R36" s="436">
        <f t="shared" si="4"/>
        <v>56.164383561643838</v>
      </c>
      <c r="S36" s="440"/>
    </row>
    <row r="37" spans="1:19" ht="7.5" customHeight="1">
      <c r="C37" s="454" t="str">
        <f t="shared" si="0"/>
        <v/>
      </c>
      <c r="F37" s="436" t="str">
        <f t="shared" si="2"/>
        <v/>
      </c>
      <c r="I37" s="436" t="str">
        <f t="shared" si="3"/>
        <v/>
      </c>
      <c r="K37" s="449">
        <f t="shared" si="5"/>
        <v>0</v>
      </c>
      <c r="L37" s="454" t="str">
        <f t="shared" si="7"/>
        <v/>
      </c>
      <c r="M37" s="440"/>
      <c r="O37" s="454" t="str">
        <f t="shared" si="1"/>
        <v/>
      </c>
      <c r="P37" s="442"/>
      <c r="R37" s="436" t="str">
        <f t="shared" si="4"/>
        <v/>
      </c>
      <c r="S37" s="440"/>
    </row>
    <row r="38" spans="1:19" ht="13.15" customHeight="1">
      <c r="A38" s="63" t="s">
        <v>329</v>
      </c>
      <c r="B38" s="449">
        <f t="shared" si="6"/>
        <v>1252</v>
      </c>
      <c r="C38" s="454">
        <f t="shared" si="0"/>
        <v>19.873015873015873</v>
      </c>
      <c r="E38" s="435">
        <f>E39+E45+E55+E57</f>
        <v>413</v>
      </c>
      <c r="F38" s="436">
        <f t="shared" si="2"/>
        <v>32.987220447284344</v>
      </c>
      <c r="H38" s="449">
        <f>H39+H45+H55+H57</f>
        <v>839</v>
      </c>
      <c r="I38" s="436">
        <f t="shared" si="3"/>
        <v>67.012779552715656</v>
      </c>
      <c r="K38" s="449">
        <f t="shared" si="5"/>
        <v>1252</v>
      </c>
      <c r="L38" s="454">
        <f t="shared" si="7"/>
        <v>21.006711409395972</v>
      </c>
      <c r="M38" s="440"/>
      <c r="N38" s="435">
        <f>N39+N45+N55+N57</f>
        <v>412</v>
      </c>
      <c r="O38" s="454">
        <f t="shared" si="1"/>
        <v>32.907348242811501</v>
      </c>
      <c r="P38" s="442"/>
      <c r="Q38" s="435">
        <f>Q39+Q45+Q55+Q57</f>
        <v>840</v>
      </c>
      <c r="R38" s="436">
        <f t="shared" si="4"/>
        <v>67.092651757188506</v>
      </c>
      <c r="S38" s="440"/>
    </row>
    <row r="39" spans="1:19" ht="13.15" customHeight="1">
      <c r="A39" s="434" t="s">
        <v>36</v>
      </c>
      <c r="B39" s="449">
        <f t="shared" si="6"/>
        <v>334</v>
      </c>
      <c r="C39" s="454">
        <f t="shared" si="0"/>
        <v>5.3015873015873014</v>
      </c>
      <c r="E39" s="435">
        <f>SUM(E40:E43)</f>
        <v>110</v>
      </c>
      <c r="F39" s="436">
        <f t="shared" si="2"/>
        <v>32.934131736526943</v>
      </c>
      <c r="H39" s="449">
        <f>SUM(H40:H43)</f>
        <v>224</v>
      </c>
      <c r="I39" s="436">
        <f t="shared" si="3"/>
        <v>67.06586826347305</v>
      </c>
      <c r="K39" s="449">
        <f t="shared" si="5"/>
        <v>337</v>
      </c>
      <c r="L39" s="454">
        <f t="shared" si="7"/>
        <v>5.6543624161073831</v>
      </c>
      <c r="M39" s="440"/>
      <c r="N39" s="435">
        <f>SUM(N40:N43)</f>
        <v>113</v>
      </c>
      <c r="O39" s="454">
        <f t="shared" si="1"/>
        <v>33.531157270029674</v>
      </c>
      <c r="P39" s="442"/>
      <c r="Q39" s="435">
        <f>SUM(Q40:Q43)</f>
        <v>224</v>
      </c>
      <c r="R39" s="436">
        <f t="shared" si="4"/>
        <v>66.468842729970319</v>
      </c>
      <c r="S39" s="440"/>
    </row>
    <row r="40" spans="1:19" ht="13.15" customHeight="1">
      <c r="A40" s="434" t="s">
        <v>37</v>
      </c>
      <c r="B40" s="449">
        <f t="shared" si="6"/>
        <v>150</v>
      </c>
      <c r="C40" s="454">
        <f t="shared" si="0"/>
        <v>2.3809523809523809</v>
      </c>
      <c r="E40" s="434">
        <v>51</v>
      </c>
      <c r="F40" s="436">
        <f t="shared" si="2"/>
        <v>34</v>
      </c>
      <c r="H40" s="434">
        <v>99</v>
      </c>
      <c r="I40" s="436">
        <f t="shared" si="3"/>
        <v>66</v>
      </c>
      <c r="K40" s="449">
        <f t="shared" si="5"/>
        <v>148</v>
      </c>
      <c r="L40" s="454">
        <f t="shared" si="7"/>
        <v>2.4832214765100673</v>
      </c>
      <c r="M40" s="440"/>
      <c r="N40" s="434">
        <v>49</v>
      </c>
      <c r="O40" s="454">
        <f t="shared" si="1"/>
        <v>33.108108108108105</v>
      </c>
      <c r="Q40" s="434">
        <v>99</v>
      </c>
      <c r="R40" s="436">
        <f t="shared" si="4"/>
        <v>66.891891891891902</v>
      </c>
      <c r="S40" s="440"/>
    </row>
    <row r="41" spans="1:19" ht="13.15" customHeight="1">
      <c r="A41" s="434" t="s">
        <v>38</v>
      </c>
      <c r="B41" s="449">
        <f t="shared" si="6"/>
        <v>98</v>
      </c>
      <c r="C41" s="454">
        <f t="shared" si="0"/>
        <v>1.5555555555555556</v>
      </c>
      <c r="E41" s="434">
        <v>30</v>
      </c>
      <c r="F41" s="436">
        <f t="shared" si="2"/>
        <v>30.612244897959183</v>
      </c>
      <c r="H41" s="434">
        <v>68</v>
      </c>
      <c r="I41" s="436">
        <f t="shared" si="3"/>
        <v>69.387755102040813</v>
      </c>
      <c r="K41" s="449">
        <f t="shared" si="5"/>
        <v>99</v>
      </c>
      <c r="L41" s="454">
        <f t="shared" si="7"/>
        <v>1.6610738255033557</v>
      </c>
      <c r="M41" s="440"/>
      <c r="N41" s="434">
        <v>28</v>
      </c>
      <c r="O41" s="454">
        <f t="shared" si="1"/>
        <v>28.28282828282828</v>
      </c>
      <c r="Q41" s="434">
        <v>71</v>
      </c>
      <c r="R41" s="436">
        <f t="shared" si="4"/>
        <v>71.717171717171709</v>
      </c>
      <c r="S41" s="440"/>
    </row>
    <row r="42" spans="1:19" ht="13.15" customHeight="1">
      <c r="A42" s="434" t="s">
        <v>39</v>
      </c>
      <c r="B42" s="449">
        <f t="shared" si="6"/>
        <v>46</v>
      </c>
      <c r="C42" s="454">
        <f t="shared" si="0"/>
        <v>0.73015873015873023</v>
      </c>
      <c r="E42" s="434">
        <v>17</v>
      </c>
      <c r="F42" s="436">
        <f t="shared" si="2"/>
        <v>36.95652173913043</v>
      </c>
      <c r="H42" s="434">
        <v>29</v>
      </c>
      <c r="I42" s="436">
        <f t="shared" si="3"/>
        <v>63.04347826086957</v>
      </c>
      <c r="K42" s="449">
        <f t="shared" si="5"/>
        <v>51</v>
      </c>
      <c r="L42" s="454">
        <f t="shared" si="7"/>
        <v>0.85570469798657722</v>
      </c>
      <c r="M42" s="440"/>
      <c r="N42" s="434">
        <v>23</v>
      </c>
      <c r="O42" s="454">
        <f t="shared" si="1"/>
        <v>45.098039215686278</v>
      </c>
      <c r="Q42" s="434">
        <v>28</v>
      </c>
      <c r="R42" s="436">
        <f t="shared" si="4"/>
        <v>54.901960784313729</v>
      </c>
      <c r="S42" s="440"/>
    </row>
    <row r="43" spans="1:19" ht="13.15" customHeight="1">
      <c r="A43" s="434" t="s">
        <v>40</v>
      </c>
      <c r="B43" s="449">
        <f t="shared" si="6"/>
        <v>40</v>
      </c>
      <c r="C43" s="454">
        <f t="shared" si="0"/>
        <v>0.63492063492063489</v>
      </c>
      <c r="E43" s="434">
        <v>12</v>
      </c>
      <c r="F43" s="436">
        <f t="shared" si="2"/>
        <v>30</v>
      </c>
      <c r="H43" s="434">
        <v>28</v>
      </c>
      <c r="I43" s="436">
        <f t="shared" si="3"/>
        <v>70</v>
      </c>
      <c r="K43" s="449">
        <f t="shared" si="5"/>
        <v>39</v>
      </c>
      <c r="L43" s="454">
        <f t="shared" si="7"/>
        <v>0.65436241610738255</v>
      </c>
      <c r="M43" s="440"/>
      <c r="N43" s="434">
        <v>13</v>
      </c>
      <c r="O43" s="454">
        <f t="shared" si="1"/>
        <v>33.333333333333329</v>
      </c>
      <c r="Q43" s="434">
        <v>26</v>
      </c>
      <c r="R43" s="436">
        <f t="shared" si="4"/>
        <v>66.666666666666657</v>
      </c>
      <c r="S43" s="440"/>
    </row>
    <row r="44" spans="1:19" ht="7.5" customHeight="1">
      <c r="C44" s="454" t="str">
        <f t="shared" si="0"/>
        <v/>
      </c>
      <c r="F44" s="436" t="str">
        <f t="shared" si="2"/>
        <v/>
      </c>
      <c r="I44" s="436" t="str">
        <f t="shared" si="3"/>
        <v/>
      </c>
      <c r="K44" s="449">
        <f t="shared" si="5"/>
        <v>0</v>
      </c>
      <c r="L44" s="454" t="str">
        <f t="shared" si="7"/>
        <v/>
      </c>
      <c r="M44" s="440"/>
      <c r="O44" s="454" t="str">
        <f t="shared" si="1"/>
        <v/>
      </c>
      <c r="P44" s="442"/>
      <c r="R44" s="436" t="str">
        <f t="shared" si="4"/>
        <v/>
      </c>
      <c r="S44" s="440"/>
    </row>
    <row r="45" spans="1:19" ht="13.15" customHeight="1">
      <c r="A45" s="434" t="s">
        <v>41</v>
      </c>
      <c r="B45" s="449">
        <f t="shared" si="6"/>
        <v>472</v>
      </c>
      <c r="C45" s="454">
        <f t="shared" si="0"/>
        <v>7.4920634920634912</v>
      </c>
      <c r="E45" s="435">
        <f>SUM(E46:E53)</f>
        <v>163</v>
      </c>
      <c r="F45" s="436">
        <f t="shared" si="2"/>
        <v>34.533898305084747</v>
      </c>
      <c r="H45" s="449">
        <f>SUM(H46:H53)</f>
        <v>309</v>
      </c>
      <c r="I45" s="436">
        <f t="shared" si="3"/>
        <v>65.466101694915253</v>
      </c>
      <c r="K45" s="449">
        <f t="shared" si="5"/>
        <v>458</v>
      </c>
      <c r="L45" s="454">
        <f t="shared" si="7"/>
        <v>7.6845637583892623</v>
      </c>
      <c r="M45" s="440"/>
      <c r="N45" s="435">
        <f>SUM(N46:N53)</f>
        <v>162</v>
      </c>
      <c r="O45" s="454">
        <f t="shared" si="1"/>
        <v>35.37117903930131</v>
      </c>
      <c r="P45" s="442"/>
      <c r="Q45" s="435">
        <f>SUM(Q46:Q53)</f>
        <v>296</v>
      </c>
      <c r="R45" s="436">
        <f t="shared" si="4"/>
        <v>64.62882096069869</v>
      </c>
      <c r="S45" s="440"/>
    </row>
    <row r="46" spans="1:19" ht="13.15" customHeight="1">
      <c r="A46" s="434" t="s">
        <v>330</v>
      </c>
      <c r="B46" s="449">
        <f t="shared" si="6"/>
        <v>31</v>
      </c>
      <c r="C46" s="454">
        <f t="shared" si="0"/>
        <v>0.49206349206349209</v>
      </c>
      <c r="E46" s="434">
        <v>17</v>
      </c>
      <c r="F46" s="436">
        <f t="shared" si="2"/>
        <v>54.838709677419352</v>
      </c>
      <c r="H46" s="434">
        <v>14</v>
      </c>
      <c r="I46" s="436">
        <f t="shared" si="3"/>
        <v>45.161290322580641</v>
      </c>
      <c r="K46" s="449">
        <f t="shared" si="5"/>
        <v>33</v>
      </c>
      <c r="L46" s="454">
        <f t="shared" si="7"/>
        <v>0.55369127516778527</v>
      </c>
      <c r="M46" s="440"/>
      <c r="N46" s="434">
        <v>17</v>
      </c>
      <c r="O46" s="454">
        <f t="shared" si="1"/>
        <v>51.515151515151516</v>
      </c>
      <c r="Q46" s="434">
        <v>16</v>
      </c>
      <c r="R46" s="436">
        <f t="shared" si="4"/>
        <v>48.484848484848484</v>
      </c>
      <c r="S46" s="440"/>
    </row>
    <row r="47" spans="1:19" ht="13.15" customHeight="1">
      <c r="A47" s="434" t="s">
        <v>42</v>
      </c>
      <c r="B47" s="449">
        <f t="shared" si="6"/>
        <v>45</v>
      </c>
      <c r="C47" s="454">
        <f t="shared" si="0"/>
        <v>0.7142857142857143</v>
      </c>
      <c r="E47" s="434">
        <v>20</v>
      </c>
      <c r="F47" s="436">
        <f t="shared" si="2"/>
        <v>44.444444444444443</v>
      </c>
      <c r="H47" s="434">
        <v>25</v>
      </c>
      <c r="I47" s="436">
        <f t="shared" si="3"/>
        <v>55.555555555555557</v>
      </c>
      <c r="K47" s="449">
        <f t="shared" si="5"/>
        <v>45</v>
      </c>
      <c r="L47" s="454">
        <f t="shared" si="7"/>
        <v>0.75503355704697994</v>
      </c>
      <c r="M47" s="440"/>
      <c r="N47" s="434">
        <v>17</v>
      </c>
      <c r="O47" s="454">
        <f t="shared" si="1"/>
        <v>37.777777777777779</v>
      </c>
      <c r="Q47" s="434">
        <v>28</v>
      </c>
      <c r="R47" s="436">
        <f t="shared" si="4"/>
        <v>62.222222222222221</v>
      </c>
      <c r="S47" s="440"/>
    </row>
    <row r="48" spans="1:19" ht="13.15" customHeight="1">
      <c r="A48" s="434" t="s">
        <v>43</v>
      </c>
      <c r="B48" s="449">
        <f t="shared" si="6"/>
        <v>82</v>
      </c>
      <c r="C48" s="454">
        <f t="shared" si="0"/>
        <v>1.3015873015873016</v>
      </c>
      <c r="E48" s="434">
        <v>33</v>
      </c>
      <c r="F48" s="436">
        <f t="shared" si="2"/>
        <v>40.243902439024396</v>
      </c>
      <c r="H48" s="434">
        <v>49</v>
      </c>
      <c r="I48" s="436">
        <f t="shared" si="3"/>
        <v>59.756097560975604</v>
      </c>
      <c r="K48" s="449">
        <f t="shared" si="5"/>
        <v>72</v>
      </c>
      <c r="L48" s="454">
        <f t="shared" si="7"/>
        <v>1.2080536912751678</v>
      </c>
      <c r="M48" s="440"/>
      <c r="N48" s="434">
        <v>31</v>
      </c>
      <c r="O48" s="454">
        <f t="shared" si="1"/>
        <v>43.055555555555557</v>
      </c>
      <c r="Q48" s="434">
        <v>41</v>
      </c>
      <c r="R48" s="436">
        <f t="shared" si="4"/>
        <v>56.944444444444443</v>
      </c>
      <c r="S48" s="440"/>
    </row>
    <row r="49" spans="1:19" ht="13.15" customHeight="1">
      <c r="A49" s="434" t="s">
        <v>44</v>
      </c>
      <c r="B49" s="449">
        <f t="shared" si="6"/>
        <v>48</v>
      </c>
      <c r="C49" s="454">
        <f t="shared" si="0"/>
        <v>0.76190476190476186</v>
      </c>
      <c r="E49" s="434">
        <v>17</v>
      </c>
      <c r="F49" s="436">
        <f t="shared" si="2"/>
        <v>35.416666666666671</v>
      </c>
      <c r="H49" s="434">
        <v>31</v>
      </c>
      <c r="I49" s="436">
        <f t="shared" si="3"/>
        <v>64.583333333333343</v>
      </c>
      <c r="K49" s="449">
        <f t="shared" si="5"/>
        <v>52</v>
      </c>
      <c r="L49" s="454">
        <f t="shared" si="7"/>
        <v>0.87248322147651003</v>
      </c>
      <c r="M49" s="440"/>
      <c r="N49" s="434">
        <v>17</v>
      </c>
      <c r="O49" s="454">
        <f t="shared" si="1"/>
        <v>32.692307692307693</v>
      </c>
      <c r="Q49" s="434">
        <v>35</v>
      </c>
      <c r="R49" s="436">
        <f t="shared" si="4"/>
        <v>67.307692307692307</v>
      </c>
      <c r="S49" s="440"/>
    </row>
    <row r="50" spans="1:19" ht="13.15" customHeight="1">
      <c r="A50" s="434" t="s">
        <v>331</v>
      </c>
      <c r="B50" s="449">
        <f t="shared" si="6"/>
        <v>59</v>
      </c>
      <c r="C50" s="454">
        <f t="shared" si="0"/>
        <v>0.9365079365079364</v>
      </c>
      <c r="E50" s="434">
        <v>23</v>
      </c>
      <c r="F50" s="436">
        <f t="shared" si="2"/>
        <v>38.983050847457626</v>
      </c>
      <c r="H50" s="434">
        <v>36</v>
      </c>
      <c r="I50" s="436">
        <f t="shared" si="3"/>
        <v>61.016949152542374</v>
      </c>
      <c r="K50" s="449">
        <f t="shared" si="5"/>
        <v>58</v>
      </c>
      <c r="L50" s="454">
        <f t="shared" si="7"/>
        <v>0.97315436241610742</v>
      </c>
      <c r="M50" s="440"/>
      <c r="N50" s="434">
        <v>25</v>
      </c>
      <c r="O50" s="454">
        <f t="shared" si="1"/>
        <v>43.103448275862064</v>
      </c>
      <c r="Q50" s="434">
        <v>33</v>
      </c>
      <c r="R50" s="436">
        <f t="shared" si="4"/>
        <v>56.896551724137936</v>
      </c>
      <c r="S50" s="440"/>
    </row>
    <row r="51" spans="1:19" ht="13.15" customHeight="1">
      <c r="A51" s="434" t="s">
        <v>48</v>
      </c>
      <c r="B51" s="449">
        <f t="shared" si="6"/>
        <v>26</v>
      </c>
      <c r="C51" s="454">
        <f t="shared" si="0"/>
        <v>0.41269841269841273</v>
      </c>
      <c r="E51" s="434">
        <v>8</v>
      </c>
      <c r="F51" s="436">
        <f t="shared" si="2"/>
        <v>30.76923076923077</v>
      </c>
      <c r="H51" s="434">
        <v>18</v>
      </c>
      <c r="I51" s="436">
        <f t="shared" si="3"/>
        <v>69.230769230769226</v>
      </c>
      <c r="K51" s="449">
        <f t="shared" si="5"/>
        <v>24</v>
      </c>
      <c r="L51" s="454">
        <f t="shared" si="7"/>
        <v>0.40268456375838929</v>
      </c>
      <c r="M51" s="440"/>
      <c r="N51" s="434">
        <v>8</v>
      </c>
      <c r="O51" s="454">
        <f t="shared" si="1"/>
        <v>33.333333333333329</v>
      </c>
      <c r="Q51" s="434">
        <v>16</v>
      </c>
      <c r="R51" s="436">
        <f t="shared" si="4"/>
        <v>66.666666666666657</v>
      </c>
      <c r="S51" s="440"/>
    </row>
    <row r="52" spans="1:19" ht="13.15" customHeight="1">
      <c r="A52" s="434" t="s">
        <v>47</v>
      </c>
      <c r="B52" s="449">
        <f t="shared" si="6"/>
        <v>131</v>
      </c>
      <c r="C52" s="454">
        <f t="shared" si="0"/>
        <v>2.0793650793650795</v>
      </c>
      <c r="E52" s="434">
        <v>33</v>
      </c>
      <c r="F52" s="436">
        <f t="shared" si="2"/>
        <v>25.190839694656486</v>
      </c>
      <c r="H52" s="434">
        <v>98</v>
      </c>
      <c r="I52" s="436">
        <f t="shared" si="3"/>
        <v>74.809160305343511</v>
      </c>
      <c r="K52" s="449">
        <f t="shared" si="5"/>
        <v>123</v>
      </c>
      <c r="L52" s="454">
        <f t="shared" si="7"/>
        <v>2.063758389261745</v>
      </c>
      <c r="M52" s="440"/>
      <c r="N52" s="434">
        <v>34</v>
      </c>
      <c r="O52" s="454">
        <f t="shared" si="1"/>
        <v>27.64227642276423</v>
      </c>
      <c r="Q52" s="434">
        <v>89</v>
      </c>
      <c r="R52" s="436">
        <f t="shared" si="4"/>
        <v>72.357723577235774</v>
      </c>
      <c r="S52" s="440"/>
    </row>
    <row r="53" spans="1:19" ht="13.15" customHeight="1">
      <c r="A53" s="434" t="s">
        <v>46</v>
      </c>
      <c r="B53" s="449">
        <f t="shared" si="6"/>
        <v>50</v>
      </c>
      <c r="C53" s="454">
        <f t="shared" si="0"/>
        <v>0.79365079365079361</v>
      </c>
      <c r="E53" s="434">
        <v>12</v>
      </c>
      <c r="F53" s="436">
        <f t="shared" si="2"/>
        <v>24</v>
      </c>
      <c r="H53" s="434">
        <v>38</v>
      </c>
      <c r="I53" s="436">
        <f t="shared" si="3"/>
        <v>76</v>
      </c>
      <c r="K53" s="449">
        <f t="shared" si="5"/>
        <v>51</v>
      </c>
      <c r="L53" s="454">
        <f t="shared" si="7"/>
        <v>0.85570469798657722</v>
      </c>
      <c r="M53" s="440"/>
      <c r="N53" s="434">
        <v>13</v>
      </c>
      <c r="O53" s="454">
        <f t="shared" si="1"/>
        <v>25.490196078431371</v>
      </c>
      <c r="Q53" s="434">
        <v>38</v>
      </c>
      <c r="R53" s="436">
        <f t="shared" si="4"/>
        <v>74.509803921568633</v>
      </c>
      <c r="S53" s="440"/>
    </row>
    <row r="54" spans="1:19" ht="6.75" customHeight="1">
      <c r="C54" s="454" t="str">
        <f t="shared" si="0"/>
        <v/>
      </c>
      <c r="E54" s="434"/>
      <c r="F54" s="436" t="str">
        <f t="shared" si="2"/>
        <v/>
      </c>
      <c r="H54" s="434"/>
      <c r="I54" s="436" t="str">
        <f t="shared" si="3"/>
        <v/>
      </c>
      <c r="K54" s="449">
        <f t="shared" si="5"/>
        <v>0</v>
      </c>
      <c r="L54" s="454" t="str">
        <f t="shared" si="7"/>
        <v/>
      </c>
      <c r="M54" s="440"/>
      <c r="N54" s="434"/>
      <c r="O54" s="454" t="str">
        <f t="shared" si="1"/>
        <v/>
      </c>
      <c r="Q54" s="434"/>
      <c r="R54" s="436" t="str">
        <f t="shared" si="4"/>
        <v/>
      </c>
      <c r="S54" s="440"/>
    </row>
    <row r="55" spans="1:19" ht="13.15" customHeight="1">
      <c r="A55" s="434" t="s">
        <v>50</v>
      </c>
      <c r="B55" s="449">
        <f t="shared" si="6"/>
        <v>164</v>
      </c>
      <c r="C55" s="454">
        <f t="shared" si="0"/>
        <v>2.6031746031746033</v>
      </c>
      <c r="E55" s="434">
        <v>56</v>
      </c>
      <c r="F55" s="436">
        <f t="shared" si="2"/>
        <v>34.146341463414636</v>
      </c>
      <c r="H55" s="434">
        <v>108</v>
      </c>
      <c r="I55" s="436">
        <f t="shared" si="3"/>
        <v>65.853658536585371</v>
      </c>
      <c r="K55" s="449">
        <f t="shared" si="5"/>
        <v>166</v>
      </c>
      <c r="L55" s="454">
        <f t="shared" si="7"/>
        <v>2.7852348993288589</v>
      </c>
      <c r="M55" s="440"/>
      <c r="N55" s="434">
        <v>54</v>
      </c>
      <c r="O55" s="454">
        <f t="shared" si="1"/>
        <v>32.53012048192771</v>
      </c>
      <c r="Q55" s="434">
        <v>112</v>
      </c>
      <c r="R55" s="436">
        <f t="shared" si="4"/>
        <v>67.46987951807229</v>
      </c>
      <c r="S55" s="440"/>
    </row>
    <row r="56" spans="1:19" ht="6.75" customHeight="1">
      <c r="C56" s="454" t="str">
        <f t="shared" si="0"/>
        <v/>
      </c>
      <c r="F56" s="436" t="str">
        <f t="shared" si="2"/>
        <v/>
      </c>
      <c r="I56" s="436" t="str">
        <f t="shared" si="3"/>
        <v/>
      </c>
      <c r="K56" s="449">
        <f t="shared" si="5"/>
        <v>0</v>
      </c>
      <c r="L56" s="454" t="str">
        <f t="shared" si="7"/>
        <v/>
      </c>
      <c r="M56" s="440"/>
      <c r="O56" s="454" t="str">
        <f t="shared" si="1"/>
        <v/>
      </c>
      <c r="P56" s="442"/>
      <c r="R56" s="436" t="str">
        <f t="shared" si="4"/>
        <v/>
      </c>
      <c r="S56" s="440"/>
    </row>
    <row r="57" spans="1:19" ht="13.15" customHeight="1">
      <c r="A57" s="434" t="s">
        <v>51</v>
      </c>
      <c r="B57" s="449">
        <f t="shared" si="6"/>
        <v>282</v>
      </c>
      <c r="C57" s="454">
        <f t="shared" si="0"/>
        <v>4.4761904761904763</v>
      </c>
      <c r="E57" s="435">
        <f>SUM(E58:E62)</f>
        <v>84</v>
      </c>
      <c r="F57" s="436">
        <f t="shared" si="2"/>
        <v>29.787234042553191</v>
      </c>
      <c r="H57" s="449">
        <f>SUM(H58:H62)</f>
        <v>198</v>
      </c>
      <c r="I57" s="436">
        <f t="shared" si="3"/>
        <v>70.212765957446805</v>
      </c>
      <c r="K57" s="449">
        <f t="shared" si="5"/>
        <v>291</v>
      </c>
      <c r="L57" s="454">
        <f t="shared" si="7"/>
        <v>4.8825503355704702</v>
      </c>
      <c r="M57" s="440"/>
      <c r="N57" s="435">
        <f>SUM(N58:N62)</f>
        <v>83</v>
      </c>
      <c r="O57" s="454">
        <f t="shared" si="1"/>
        <v>28.522336769759448</v>
      </c>
      <c r="P57" s="442"/>
      <c r="Q57" s="435">
        <f>SUM(Q58:Q62)</f>
        <v>208</v>
      </c>
      <c r="R57" s="436">
        <f t="shared" si="4"/>
        <v>71.477663230240552</v>
      </c>
      <c r="S57" s="440"/>
    </row>
    <row r="58" spans="1:19" ht="13.15" customHeight="1">
      <c r="A58" s="434" t="s">
        <v>52</v>
      </c>
      <c r="B58" s="449">
        <f t="shared" si="6"/>
        <v>40</v>
      </c>
      <c r="C58" s="454">
        <f t="shared" si="0"/>
        <v>0.63492063492063489</v>
      </c>
      <c r="E58" s="434">
        <v>13</v>
      </c>
      <c r="F58" s="436">
        <f t="shared" si="2"/>
        <v>32.5</v>
      </c>
      <c r="H58" s="434">
        <v>27</v>
      </c>
      <c r="I58" s="436">
        <f t="shared" si="3"/>
        <v>67.5</v>
      </c>
      <c r="K58" s="449">
        <f t="shared" si="5"/>
        <v>34</v>
      </c>
      <c r="L58" s="454">
        <f t="shared" si="7"/>
        <v>0.57046979865771807</v>
      </c>
      <c r="M58" s="440"/>
      <c r="N58" s="434">
        <v>13</v>
      </c>
      <c r="O58" s="454">
        <f t="shared" si="1"/>
        <v>38.235294117647058</v>
      </c>
      <c r="Q58" s="434">
        <v>21</v>
      </c>
      <c r="R58" s="436">
        <f t="shared" si="4"/>
        <v>61.764705882352942</v>
      </c>
      <c r="S58" s="440"/>
    </row>
    <row r="59" spans="1:19" ht="13.15" customHeight="1">
      <c r="A59" s="434" t="s">
        <v>53</v>
      </c>
      <c r="B59" s="449">
        <f t="shared" si="6"/>
        <v>91</v>
      </c>
      <c r="C59" s="454">
        <f t="shared" si="0"/>
        <v>1.4444444444444444</v>
      </c>
      <c r="E59" s="434">
        <v>26</v>
      </c>
      <c r="F59" s="436">
        <f t="shared" si="2"/>
        <v>28.571428571428569</v>
      </c>
      <c r="H59" s="434">
        <v>65</v>
      </c>
      <c r="I59" s="436">
        <f t="shared" si="3"/>
        <v>71.428571428571431</v>
      </c>
      <c r="K59" s="449">
        <f t="shared" si="5"/>
        <v>114</v>
      </c>
      <c r="L59" s="454">
        <f t="shared" si="7"/>
        <v>1.912751677852349</v>
      </c>
      <c r="M59" s="440"/>
      <c r="N59" s="434">
        <v>25</v>
      </c>
      <c r="O59" s="454">
        <f t="shared" si="1"/>
        <v>21.929824561403507</v>
      </c>
      <c r="Q59" s="434">
        <v>89</v>
      </c>
      <c r="R59" s="436">
        <f t="shared" si="4"/>
        <v>78.070175438596493</v>
      </c>
      <c r="S59" s="440"/>
    </row>
    <row r="60" spans="1:19" ht="13.15" customHeight="1">
      <c r="A60" s="434" t="s">
        <v>54</v>
      </c>
      <c r="B60" s="449">
        <f t="shared" si="6"/>
        <v>69</v>
      </c>
      <c r="C60" s="454">
        <f t="shared" si="0"/>
        <v>1.0952380952380953</v>
      </c>
      <c r="E60" s="434">
        <v>21</v>
      </c>
      <c r="F60" s="436">
        <f t="shared" si="2"/>
        <v>30.434782608695656</v>
      </c>
      <c r="H60" s="434">
        <v>48</v>
      </c>
      <c r="I60" s="436">
        <f t="shared" si="3"/>
        <v>69.565217391304344</v>
      </c>
      <c r="K60" s="449">
        <f t="shared" si="5"/>
        <v>68</v>
      </c>
      <c r="L60" s="454">
        <f t="shared" si="7"/>
        <v>1.1409395973154361</v>
      </c>
      <c r="M60" s="440"/>
      <c r="N60" s="434">
        <v>21</v>
      </c>
      <c r="O60" s="454">
        <f t="shared" si="1"/>
        <v>30.882352941176471</v>
      </c>
      <c r="Q60" s="434">
        <v>47</v>
      </c>
      <c r="R60" s="436">
        <f t="shared" si="4"/>
        <v>69.117647058823522</v>
      </c>
      <c r="S60" s="440"/>
    </row>
    <row r="61" spans="1:19" ht="13.15" customHeight="1">
      <c r="A61" s="434" t="s">
        <v>332</v>
      </c>
      <c r="B61" s="449">
        <f t="shared" si="6"/>
        <v>38</v>
      </c>
      <c r="C61" s="454">
        <f t="shared" si="0"/>
        <v>0.60317460317460325</v>
      </c>
      <c r="E61" s="434">
        <v>9</v>
      </c>
      <c r="F61" s="436">
        <f t="shared" si="2"/>
        <v>23.684210526315788</v>
      </c>
      <c r="H61" s="434">
        <v>29</v>
      </c>
      <c r="I61" s="436">
        <f t="shared" si="3"/>
        <v>76.31578947368422</v>
      </c>
      <c r="K61" s="449">
        <f t="shared" si="5"/>
        <v>32</v>
      </c>
      <c r="L61" s="454">
        <f t="shared" si="7"/>
        <v>0.53691275167785235</v>
      </c>
      <c r="M61" s="440"/>
      <c r="N61" s="434">
        <v>9</v>
      </c>
      <c r="O61" s="454">
        <f t="shared" si="1"/>
        <v>28.125</v>
      </c>
      <c r="Q61" s="434">
        <v>23</v>
      </c>
      <c r="R61" s="436">
        <f t="shared" si="4"/>
        <v>71.875</v>
      </c>
      <c r="S61" s="440"/>
    </row>
    <row r="62" spans="1:19" ht="13.15" customHeight="1">
      <c r="A62" s="434" t="s">
        <v>56</v>
      </c>
      <c r="B62" s="449">
        <f t="shared" si="6"/>
        <v>44</v>
      </c>
      <c r="C62" s="454">
        <f t="shared" si="0"/>
        <v>0.69841269841269837</v>
      </c>
      <c r="E62" s="434">
        <v>15</v>
      </c>
      <c r="F62" s="436">
        <f t="shared" si="2"/>
        <v>34.090909090909086</v>
      </c>
      <c r="H62" s="434">
        <v>29</v>
      </c>
      <c r="I62" s="436">
        <f t="shared" si="3"/>
        <v>65.909090909090907</v>
      </c>
      <c r="K62" s="449">
        <f t="shared" si="5"/>
        <v>43</v>
      </c>
      <c r="L62" s="454">
        <f t="shared" si="7"/>
        <v>0.72147651006711411</v>
      </c>
      <c r="M62" s="440"/>
      <c r="N62" s="434">
        <v>15</v>
      </c>
      <c r="O62" s="454">
        <f t="shared" si="1"/>
        <v>34.883720930232556</v>
      </c>
      <c r="Q62" s="434">
        <v>28</v>
      </c>
      <c r="R62" s="436">
        <f t="shared" si="4"/>
        <v>65.116279069767444</v>
      </c>
      <c r="S62" s="440"/>
    </row>
    <row r="63" spans="1:19" ht="5.25" customHeight="1">
      <c r="C63" s="454" t="str">
        <f t="shared" si="0"/>
        <v/>
      </c>
      <c r="F63" s="436" t="str">
        <f t="shared" si="2"/>
        <v/>
      </c>
      <c r="I63" s="436" t="str">
        <f t="shared" si="3"/>
        <v/>
      </c>
      <c r="K63" s="449">
        <f t="shared" si="5"/>
        <v>0</v>
      </c>
      <c r="L63" s="454" t="str">
        <f t="shared" si="7"/>
        <v/>
      </c>
      <c r="M63" s="440"/>
      <c r="O63" s="454" t="str">
        <f t="shared" si="1"/>
        <v/>
      </c>
      <c r="P63" s="442"/>
      <c r="R63" s="436" t="str">
        <f t="shared" si="4"/>
        <v/>
      </c>
      <c r="S63" s="440"/>
    </row>
    <row r="64" spans="1:19" ht="13.15" customHeight="1">
      <c r="A64" s="63" t="s">
        <v>333</v>
      </c>
      <c r="B64" s="449">
        <f t="shared" si="6"/>
        <v>1341</v>
      </c>
      <c r="C64" s="454">
        <f t="shared" si="0"/>
        <v>21.285714285714285</v>
      </c>
      <c r="E64" s="435">
        <f>E65+E67+E74+E76</f>
        <v>508</v>
      </c>
      <c r="F64" s="436">
        <f t="shared" si="2"/>
        <v>37.882177479492917</v>
      </c>
      <c r="H64" s="449">
        <f>H65+H67+H74+H76</f>
        <v>833</v>
      </c>
      <c r="I64" s="436">
        <f t="shared" si="3"/>
        <v>62.117822520507083</v>
      </c>
      <c r="K64" s="449">
        <f t="shared" si="5"/>
        <v>1326</v>
      </c>
      <c r="L64" s="454">
        <f t="shared" si="7"/>
        <v>22.248322147651006</v>
      </c>
      <c r="M64" s="440"/>
      <c r="N64" s="435">
        <f>N65+N67+N74+N76</f>
        <v>508</v>
      </c>
      <c r="O64" s="454">
        <f t="shared" si="1"/>
        <v>38.310708898944199</v>
      </c>
      <c r="P64" s="442"/>
      <c r="Q64" s="435">
        <f>Q65+Q67+Q74+Q76</f>
        <v>818</v>
      </c>
      <c r="R64" s="436">
        <f t="shared" si="4"/>
        <v>61.689291101055808</v>
      </c>
      <c r="S64" s="440"/>
    </row>
    <row r="65" spans="1:19" ht="13.15" customHeight="1">
      <c r="A65" s="434" t="s">
        <v>334</v>
      </c>
      <c r="B65" s="449">
        <f t="shared" si="6"/>
        <v>124</v>
      </c>
      <c r="C65" s="454">
        <f t="shared" si="0"/>
        <v>1.9682539682539684</v>
      </c>
      <c r="E65" s="434">
        <v>25</v>
      </c>
      <c r="F65" s="436">
        <f t="shared" si="2"/>
        <v>20.161290322580644</v>
      </c>
      <c r="H65" s="434">
        <v>99</v>
      </c>
      <c r="I65" s="436">
        <f t="shared" si="3"/>
        <v>79.838709677419345</v>
      </c>
      <c r="K65" s="449">
        <f t="shared" si="5"/>
        <v>90</v>
      </c>
      <c r="L65" s="454">
        <f t="shared" si="7"/>
        <v>1.5100671140939599</v>
      </c>
      <c r="M65" s="440"/>
      <c r="N65" s="434">
        <v>25</v>
      </c>
      <c r="O65" s="454">
        <f t="shared" si="1"/>
        <v>27.777777777777779</v>
      </c>
      <c r="Q65" s="434">
        <v>65</v>
      </c>
      <c r="R65" s="436">
        <f t="shared" si="4"/>
        <v>72.222222222222214</v>
      </c>
      <c r="S65" s="440"/>
    </row>
    <row r="66" spans="1:19" ht="6.75" customHeight="1">
      <c r="C66" s="454" t="str">
        <f t="shared" si="0"/>
        <v/>
      </c>
      <c r="F66" s="436" t="str">
        <f t="shared" si="2"/>
        <v/>
      </c>
      <c r="I66" s="436" t="str">
        <f t="shared" si="3"/>
        <v/>
      </c>
      <c r="K66" s="449">
        <f t="shared" si="5"/>
        <v>0</v>
      </c>
      <c r="L66" s="454" t="str">
        <f t="shared" si="7"/>
        <v/>
      </c>
      <c r="M66" s="440"/>
      <c r="O66" s="454" t="str">
        <f t="shared" si="1"/>
        <v/>
      </c>
      <c r="P66" s="442"/>
      <c r="R66" s="436" t="str">
        <f t="shared" si="4"/>
        <v/>
      </c>
      <c r="S66" s="440"/>
    </row>
    <row r="67" spans="1:19" ht="13.15" customHeight="1">
      <c r="A67" s="434" t="s">
        <v>60</v>
      </c>
      <c r="B67" s="449">
        <f t="shared" si="6"/>
        <v>956</v>
      </c>
      <c r="C67" s="454">
        <f t="shared" si="0"/>
        <v>15.174603174603174</v>
      </c>
      <c r="E67" s="435">
        <f>SUM(E68:E72)</f>
        <v>373</v>
      </c>
      <c r="F67" s="436">
        <f t="shared" si="2"/>
        <v>39.01673640167364</v>
      </c>
      <c r="H67" s="449">
        <f>SUM(H68:H72)</f>
        <v>583</v>
      </c>
      <c r="I67" s="436">
        <f t="shared" si="3"/>
        <v>60.983263598326367</v>
      </c>
      <c r="K67" s="449">
        <f t="shared" si="5"/>
        <v>966</v>
      </c>
      <c r="L67" s="454">
        <f t="shared" si="7"/>
        <v>16.208053691275168</v>
      </c>
      <c r="M67" s="440"/>
      <c r="N67" s="435">
        <f>SUM(N68:N72)</f>
        <v>372</v>
      </c>
      <c r="O67" s="454">
        <f t="shared" si="1"/>
        <v>38.509316770186338</v>
      </c>
      <c r="P67" s="442"/>
      <c r="Q67" s="435">
        <f>SUM(Q68:Q72)</f>
        <v>594</v>
      </c>
      <c r="R67" s="436">
        <f t="shared" si="4"/>
        <v>61.490683229813669</v>
      </c>
      <c r="S67" s="440"/>
    </row>
    <row r="68" spans="1:19" ht="13.15" customHeight="1">
      <c r="A68" s="434" t="s">
        <v>335</v>
      </c>
      <c r="B68" s="449">
        <f t="shared" si="6"/>
        <v>654</v>
      </c>
      <c r="C68" s="454">
        <f t="shared" si="0"/>
        <v>10.380952380952381</v>
      </c>
      <c r="E68" s="434">
        <v>307</v>
      </c>
      <c r="F68" s="436">
        <f t="shared" si="2"/>
        <v>46.941896024464832</v>
      </c>
      <c r="H68" s="434">
        <v>347</v>
      </c>
      <c r="I68" s="436">
        <f t="shared" si="3"/>
        <v>53.058103975535161</v>
      </c>
      <c r="K68" s="449">
        <f t="shared" si="5"/>
        <v>677</v>
      </c>
      <c r="L68" s="454">
        <f t="shared" si="7"/>
        <v>11.359060402684564</v>
      </c>
      <c r="M68" s="440"/>
      <c r="N68" s="434">
        <v>303</v>
      </c>
      <c r="O68" s="454">
        <f t="shared" si="1"/>
        <v>44.756277695716392</v>
      </c>
      <c r="Q68" s="434">
        <v>374</v>
      </c>
      <c r="R68" s="436">
        <f t="shared" si="4"/>
        <v>55.243722304283608</v>
      </c>
      <c r="S68" s="440"/>
    </row>
    <row r="69" spans="1:19" ht="13.15" customHeight="1">
      <c r="A69" s="434" t="s">
        <v>62</v>
      </c>
      <c r="B69" s="449">
        <f t="shared" si="6"/>
        <v>65</v>
      </c>
      <c r="C69" s="454">
        <f t="shared" si="0"/>
        <v>1.0317460317460316</v>
      </c>
      <c r="E69" s="434">
        <v>29</v>
      </c>
      <c r="F69" s="436">
        <f t="shared" si="2"/>
        <v>44.61538461538462</v>
      </c>
      <c r="H69" s="434">
        <v>36</v>
      </c>
      <c r="I69" s="436">
        <f t="shared" si="3"/>
        <v>55.384615384615387</v>
      </c>
      <c r="K69" s="449">
        <f t="shared" si="5"/>
        <v>67</v>
      </c>
      <c r="L69" s="454">
        <f t="shared" si="7"/>
        <v>1.1241610738255035</v>
      </c>
      <c r="M69" s="440"/>
      <c r="N69" s="434">
        <v>29</v>
      </c>
      <c r="O69" s="454">
        <f t="shared" si="1"/>
        <v>43.283582089552233</v>
      </c>
      <c r="Q69" s="434">
        <v>38</v>
      </c>
      <c r="R69" s="436">
        <f t="shared" si="4"/>
        <v>56.71641791044776</v>
      </c>
      <c r="S69" s="440"/>
    </row>
    <row r="70" spans="1:19" ht="13.15" customHeight="1">
      <c r="A70" s="434" t="s">
        <v>64</v>
      </c>
      <c r="B70" s="449">
        <f t="shared" si="6"/>
        <v>56</v>
      </c>
      <c r="C70" s="454">
        <f t="shared" si="0"/>
        <v>0.88888888888888884</v>
      </c>
      <c r="E70" s="434">
        <v>14</v>
      </c>
      <c r="F70" s="436">
        <f t="shared" si="2"/>
        <v>25</v>
      </c>
      <c r="H70" s="434">
        <v>42</v>
      </c>
      <c r="I70" s="436">
        <f t="shared" si="3"/>
        <v>75</v>
      </c>
      <c r="K70" s="449">
        <f t="shared" si="5"/>
        <v>54</v>
      </c>
      <c r="L70" s="454">
        <f t="shared" si="7"/>
        <v>0.90604026845637586</v>
      </c>
      <c r="M70" s="440"/>
      <c r="N70" s="434">
        <v>17</v>
      </c>
      <c r="O70" s="454">
        <f t="shared" si="1"/>
        <v>31.481481481481481</v>
      </c>
      <c r="Q70" s="434">
        <v>37</v>
      </c>
      <c r="R70" s="436">
        <f t="shared" si="4"/>
        <v>68.518518518518519</v>
      </c>
      <c r="S70" s="440"/>
    </row>
    <row r="71" spans="1:19" ht="13.15" customHeight="1">
      <c r="A71" s="434" t="s">
        <v>63</v>
      </c>
      <c r="B71" s="449">
        <f t="shared" si="6"/>
        <v>36</v>
      </c>
      <c r="C71" s="454">
        <f t="shared" si="0"/>
        <v>0.5714285714285714</v>
      </c>
      <c r="E71" s="434">
        <v>12</v>
      </c>
      <c r="F71" s="436">
        <f t="shared" si="2"/>
        <v>33.333333333333329</v>
      </c>
      <c r="H71" s="434">
        <v>24</v>
      </c>
      <c r="I71" s="436">
        <f t="shared" si="3"/>
        <v>66.666666666666657</v>
      </c>
      <c r="K71" s="449">
        <f t="shared" si="5"/>
        <v>36</v>
      </c>
      <c r="L71" s="454">
        <f t="shared" si="7"/>
        <v>0.60402684563758391</v>
      </c>
      <c r="M71" s="440"/>
      <c r="N71" s="434">
        <v>12</v>
      </c>
      <c r="O71" s="454">
        <f t="shared" si="1"/>
        <v>33.333333333333329</v>
      </c>
      <c r="Q71" s="434">
        <v>24</v>
      </c>
      <c r="R71" s="436">
        <f t="shared" si="4"/>
        <v>66.666666666666657</v>
      </c>
      <c r="S71" s="440"/>
    </row>
    <row r="72" spans="1:19" ht="13.15" customHeight="1">
      <c r="A72" s="434" t="s">
        <v>65</v>
      </c>
      <c r="B72" s="449">
        <f t="shared" si="6"/>
        <v>145</v>
      </c>
      <c r="C72" s="454">
        <f t="shared" si="0"/>
        <v>2.3015873015873018</v>
      </c>
      <c r="E72" s="434">
        <v>11</v>
      </c>
      <c r="F72" s="436">
        <f t="shared" si="2"/>
        <v>7.5862068965517242</v>
      </c>
      <c r="H72" s="434">
        <v>134</v>
      </c>
      <c r="I72" s="436">
        <f t="shared" si="3"/>
        <v>92.41379310344827</v>
      </c>
      <c r="K72" s="449">
        <f t="shared" si="5"/>
        <v>132</v>
      </c>
      <c r="L72" s="454">
        <f t="shared" si="7"/>
        <v>2.2147651006711411</v>
      </c>
      <c r="M72" s="440"/>
      <c r="N72" s="434">
        <v>11</v>
      </c>
      <c r="O72" s="454">
        <f t="shared" si="1"/>
        <v>8.3333333333333321</v>
      </c>
      <c r="Q72" s="434">
        <v>121</v>
      </c>
      <c r="R72" s="436">
        <f t="shared" si="4"/>
        <v>91.666666666666657</v>
      </c>
      <c r="S72" s="440"/>
    </row>
    <row r="73" spans="1:19" ht="6" customHeight="1">
      <c r="C73" s="454" t="str">
        <f t="shared" si="0"/>
        <v/>
      </c>
      <c r="E73" s="434"/>
      <c r="F73" s="436" t="str">
        <f t="shared" si="2"/>
        <v/>
      </c>
      <c r="H73" s="434"/>
      <c r="I73" s="436" t="str">
        <f t="shared" si="3"/>
        <v/>
      </c>
      <c r="K73" s="449">
        <f t="shared" si="5"/>
        <v>0</v>
      </c>
      <c r="L73" s="454" t="str">
        <f t="shared" si="7"/>
        <v/>
      </c>
      <c r="M73" s="440"/>
      <c r="N73" s="434"/>
      <c r="O73" s="454" t="str">
        <f t="shared" si="1"/>
        <v/>
      </c>
      <c r="Q73" s="434"/>
      <c r="R73" s="436" t="str">
        <f t="shared" si="4"/>
        <v/>
      </c>
      <c r="S73" s="440"/>
    </row>
    <row r="74" spans="1:19" ht="13.15" customHeight="1">
      <c r="A74" s="434" t="s">
        <v>66</v>
      </c>
      <c r="B74" s="449">
        <f t="shared" si="6"/>
        <v>80</v>
      </c>
      <c r="C74" s="454">
        <f t="shared" si="0"/>
        <v>1.2698412698412698</v>
      </c>
      <c r="E74" s="434">
        <v>26</v>
      </c>
      <c r="F74" s="436">
        <f t="shared" si="2"/>
        <v>32.5</v>
      </c>
      <c r="H74" s="434">
        <v>54</v>
      </c>
      <c r="I74" s="436">
        <f t="shared" si="3"/>
        <v>67.5</v>
      </c>
      <c r="K74" s="449">
        <f t="shared" si="5"/>
        <v>80</v>
      </c>
      <c r="L74" s="454">
        <f t="shared" si="7"/>
        <v>1.3422818791946309</v>
      </c>
      <c r="M74" s="440"/>
      <c r="N74" s="434">
        <v>26</v>
      </c>
      <c r="O74" s="454">
        <f t="shared" si="1"/>
        <v>32.5</v>
      </c>
      <c r="Q74" s="434">
        <v>54</v>
      </c>
      <c r="R74" s="436">
        <f t="shared" si="4"/>
        <v>67.5</v>
      </c>
      <c r="S74" s="440"/>
    </row>
    <row r="75" spans="1:19" ht="9" customHeight="1">
      <c r="C75" s="454" t="str">
        <f t="shared" si="0"/>
        <v/>
      </c>
      <c r="E75" s="434"/>
      <c r="F75" s="436" t="str">
        <f t="shared" si="2"/>
        <v/>
      </c>
      <c r="H75" s="434"/>
      <c r="I75" s="436" t="str">
        <f t="shared" si="3"/>
        <v/>
      </c>
      <c r="K75" s="449">
        <f t="shared" si="5"/>
        <v>0</v>
      </c>
      <c r="L75" s="454" t="str">
        <f t="shared" si="7"/>
        <v/>
      </c>
      <c r="M75" s="440"/>
      <c r="N75" s="434"/>
      <c r="O75" s="454" t="str">
        <f t="shared" si="1"/>
        <v/>
      </c>
      <c r="Q75" s="434"/>
      <c r="R75" s="436" t="str">
        <f t="shared" si="4"/>
        <v/>
      </c>
      <c r="S75" s="440"/>
    </row>
    <row r="76" spans="1:19" ht="13.15" customHeight="1">
      <c r="A76" s="434" t="s">
        <v>67</v>
      </c>
      <c r="B76" s="449">
        <f t="shared" si="6"/>
        <v>181</v>
      </c>
      <c r="C76" s="454">
        <f t="shared" si="0"/>
        <v>2.873015873015873</v>
      </c>
      <c r="E76" s="434">
        <v>84</v>
      </c>
      <c r="F76" s="436">
        <f t="shared" si="2"/>
        <v>46.408839779005525</v>
      </c>
      <c r="H76" s="434">
        <v>97</v>
      </c>
      <c r="I76" s="436">
        <f t="shared" si="3"/>
        <v>53.591160220994475</v>
      </c>
      <c r="K76" s="449">
        <f t="shared" si="5"/>
        <v>190</v>
      </c>
      <c r="L76" s="454">
        <f t="shared" si="7"/>
        <v>3.1879194630872485</v>
      </c>
      <c r="M76" s="440"/>
      <c r="N76" s="434">
        <v>85</v>
      </c>
      <c r="O76" s="454">
        <f t="shared" ref="O76:O114" si="8">IF($A76&lt;&gt;"",N76/$K76*100,"")</f>
        <v>44.736842105263158</v>
      </c>
      <c r="Q76" s="434">
        <v>105</v>
      </c>
      <c r="R76" s="436">
        <f t="shared" si="4"/>
        <v>55.26315789473685</v>
      </c>
      <c r="S76" s="440"/>
    </row>
    <row r="77" spans="1:19" ht="7.5" customHeight="1">
      <c r="C77" s="454" t="str">
        <f t="shared" si="0"/>
        <v/>
      </c>
      <c r="F77" s="436" t="str">
        <f t="shared" si="2"/>
        <v/>
      </c>
      <c r="I77" s="436" t="str">
        <f t="shared" si="3"/>
        <v/>
      </c>
      <c r="K77" s="449">
        <f t="shared" si="5"/>
        <v>0</v>
      </c>
      <c r="L77" s="454" t="str">
        <f t="shared" si="7"/>
        <v/>
      </c>
      <c r="M77" s="440"/>
      <c r="O77" s="454" t="str">
        <f t="shared" si="8"/>
        <v/>
      </c>
      <c r="P77" s="442"/>
      <c r="R77" s="436" t="str">
        <f t="shared" si="4"/>
        <v/>
      </c>
      <c r="S77" s="440"/>
    </row>
    <row r="78" spans="1:19" ht="13.15" customHeight="1">
      <c r="A78" s="63" t="s">
        <v>336</v>
      </c>
      <c r="B78" s="449">
        <f t="shared" si="6"/>
        <v>114</v>
      </c>
      <c r="C78" s="454">
        <f t="shared" si="0"/>
        <v>1.8095238095238095</v>
      </c>
      <c r="E78" s="435">
        <f>E79</f>
        <v>59</v>
      </c>
      <c r="F78" s="436">
        <f t="shared" ref="F78:F114" si="9">IF($A78&lt;&gt;"",E78/$B78*100,"")</f>
        <v>51.754385964912288</v>
      </c>
      <c r="H78" s="449">
        <f>H79</f>
        <v>55</v>
      </c>
      <c r="I78" s="436">
        <f t="shared" ref="I78:I111" si="10">IF($A78&lt;&gt;"",H78/$B78*100,"")</f>
        <v>48.245614035087719</v>
      </c>
      <c r="K78" s="449">
        <f t="shared" si="5"/>
        <v>109</v>
      </c>
      <c r="L78" s="454">
        <f t="shared" si="7"/>
        <v>1.8288590604026846</v>
      </c>
      <c r="M78" s="440"/>
      <c r="N78" s="435">
        <f>N79</f>
        <v>58</v>
      </c>
      <c r="O78" s="454">
        <f t="shared" si="8"/>
        <v>53.211009174311933</v>
      </c>
      <c r="P78" s="442"/>
      <c r="Q78" s="435">
        <f>Q79</f>
        <v>51</v>
      </c>
      <c r="R78" s="436">
        <f t="shared" ref="R78:R111" si="11">IF($A78&lt;&gt;"",Q78/$K78*100,"")</f>
        <v>46.788990825688074</v>
      </c>
      <c r="S78" s="440"/>
    </row>
    <row r="79" spans="1:19" ht="13.15" customHeight="1">
      <c r="A79" s="434" t="s">
        <v>337</v>
      </c>
      <c r="B79" s="449">
        <f t="shared" si="6"/>
        <v>114</v>
      </c>
      <c r="C79" s="454">
        <f t="shared" si="0"/>
        <v>1.8095238095238095</v>
      </c>
      <c r="E79" s="435">
        <f>SUM(E80:E83)</f>
        <v>59</v>
      </c>
      <c r="F79" s="436">
        <f t="shared" si="9"/>
        <v>51.754385964912288</v>
      </c>
      <c r="H79" s="449">
        <f>SUM(H80:H83)</f>
        <v>55</v>
      </c>
      <c r="I79" s="436">
        <f t="shared" si="10"/>
        <v>48.245614035087719</v>
      </c>
      <c r="K79" s="449">
        <f t="shared" si="5"/>
        <v>109</v>
      </c>
      <c r="L79" s="454">
        <f t="shared" si="7"/>
        <v>1.8288590604026846</v>
      </c>
      <c r="M79" s="440"/>
      <c r="N79" s="435">
        <f>SUM(N80:N83)</f>
        <v>58</v>
      </c>
      <c r="O79" s="454">
        <f t="shared" si="8"/>
        <v>53.211009174311933</v>
      </c>
      <c r="P79" s="442"/>
      <c r="Q79" s="435">
        <f>SUM(Q80:Q83)</f>
        <v>51</v>
      </c>
      <c r="R79" s="436">
        <f t="shared" si="11"/>
        <v>46.788990825688074</v>
      </c>
      <c r="S79" s="440"/>
    </row>
    <row r="80" spans="1:19" ht="13.15" customHeight="1">
      <c r="A80" s="434" t="s">
        <v>70</v>
      </c>
      <c r="B80" s="449">
        <f>E80+H80</f>
        <v>30</v>
      </c>
      <c r="C80" s="454">
        <f t="shared" si="0"/>
        <v>0.47619047619047622</v>
      </c>
      <c r="E80" s="434">
        <v>12</v>
      </c>
      <c r="F80" s="436">
        <f t="shared" si="9"/>
        <v>40</v>
      </c>
      <c r="H80" s="434">
        <v>18</v>
      </c>
      <c r="I80" s="436">
        <f t="shared" si="10"/>
        <v>60</v>
      </c>
      <c r="K80" s="449">
        <f t="shared" si="5"/>
        <v>29</v>
      </c>
      <c r="L80" s="454">
        <f t="shared" si="7"/>
        <v>0.48657718120805371</v>
      </c>
      <c r="M80" s="440"/>
      <c r="N80" s="434">
        <v>12</v>
      </c>
      <c r="O80" s="454">
        <f t="shared" si="8"/>
        <v>41.379310344827587</v>
      </c>
      <c r="Q80" s="434">
        <v>17</v>
      </c>
      <c r="R80" s="436">
        <f t="shared" si="11"/>
        <v>58.620689655172406</v>
      </c>
      <c r="S80" s="440"/>
    </row>
    <row r="81" spans="1:19" ht="13.15" customHeight="1">
      <c r="A81" s="434" t="s">
        <v>71</v>
      </c>
      <c r="B81" s="449">
        <f>E81+H81</f>
        <v>44</v>
      </c>
      <c r="C81" s="454">
        <f t="shared" si="0"/>
        <v>0.69841269841269837</v>
      </c>
      <c r="E81" s="434">
        <v>28</v>
      </c>
      <c r="F81" s="436">
        <f t="shared" si="9"/>
        <v>63.636363636363633</v>
      </c>
      <c r="H81" s="434">
        <v>16</v>
      </c>
      <c r="I81" s="436">
        <f t="shared" si="10"/>
        <v>36.363636363636367</v>
      </c>
      <c r="K81" s="449">
        <f t="shared" ref="K81:K114" si="12">N81+Q81</f>
        <v>39</v>
      </c>
      <c r="L81" s="454">
        <f t="shared" si="7"/>
        <v>0.65436241610738255</v>
      </c>
      <c r="M81" s="440"/>
      <c r="N81" s="434">
        <v>27</v>
      </c>
      <c r="O81" s="454">
        <f t="shared" si="8"/>
        <v>69.230769230769226</v>
      </c>
      <c r="Q81" s="434">
        <v>12</v>
      </c>
      <c r="R81" s="436">
        <f t="shared" si="11"/>
        <v>30.76923076923077</v>
      </c>
      <c r="S81" s="440"/>
    </row>
    <row r="82" spans="1:19" ht="13.15" customHeight="1">
      <c r="A82" s="434" t="s">
        <v>72</v>
      </c>
      <c r="B82" s="449">
        <f>E82+H82</f>
        <v>19</v>
      </c>
      <c r="C82" s="454">
        <f t="shared" ref="C82:C114" si="13">IF(A82&lt;&gt;0,B82/$B$12*100,"")</f>
        <v>0.30158730158730163</v>
      </c>
      <c r="E82" s="434">
        <v>7</v>
      </c>
      <c r="F82" s="436">
        <f t="shared" si="9"/>
        <v>36.84210526315789</v>
      </c>
      <c r="H82" s="434">
        <v>12</v>
      </c>
      <c r="I82" s="436">
        <f t="shared" si="10"/>
        <v>63.157894736842103</v>
      </c>
      <c r="K82" s="449">
        <f t="shared" si="12"/>
        <v>20</v>
      </c>
      <c r="L82" s="454">
        <f t="shared" si="7"/>
        <v>0.33557046979865773</v>
      </c>
      <c r="M82" s="440"/>
      <c r="N82" s="434">
        <v>7</v>
      </c>
      <c r="O82" s="454">
        <f t="shared" si="8"/>
        <v>35</v>
      </c>
      <c r="Q82" s="434">
        <v>13</v>
      </c>
      <c r="R82" s="436">
        <f t="shared" si="11"/>
        <v>65</v>
      </c>
      <c r="S82" s="440"/>
    </row>
    <row r="83" spans="1:19" ht="13.15" customHeight="1">
      <c r="A83" s="434" t="s">
        <v>73</v>
      </c>
      <c r="B83" s="449">
        <f>E83+H83</f>
        <v>21</v>
      </c>
      <c r="C83" s="454">
        <f t="shared" si="13"/>
        <v>0.33333333333333337</v>
      </c>
      <c r="E83" s="434">
        <v>12</v>
      </c>
      <c r="F83" s="436">
        <f t="shared" si="9"/>
        <v>57.142857142857139</v>
      </c>
      <c r="H83" s="434">
        <v>9</v>
      </c>
      <c r="I83" s="436">
        <f t="shared" si="10"/>
        <v>42.857142857142854</v>
      </c>
      <c r="K83" s="449">
        <f t="shared" si="12"/>
        <v>21</v>
      </c>
      <c r="L83" s="454">
        <f t="shared" si="7"/>
        <v>0.3523489932885906</v>
      </c>
      <c r="M83" s="440"/>
      <c r="N83" s="434">
        <v>12</v>
      </c>
      <c r="O83" s="454">
        <f t="shared" si="8"/>
        <v>57.142857142857139</v>
      </c>
      <c r="Q83" s="434">
        <v>9</v>
      </c>
      <c r="R83" s="436">
        <f t="shared" si="11"/>
        <v>42.857142857142854</v>
      </c>
      <c r="S83" s="440"/>
    </row>
    <row r="84" spans="1:19" ht="6.75" customHeight="1">
      <c r="C84" s="454" t="str">
        <f t="shared" si="13"/>
        <v/>
      </c>
      <c r="F84" s="436" t="str">
        <f t="shared" si="9"/>
        <v/>
      </c>
      <c r="I84" s="436" t="str">
        <f t="shared" si="10"/>
        <v/>
      </c>
      <c r="K84" s="449">
        <f t="shared" si="12"/>
        <v>0</v>
      </c>
      <c r="L84" s="454" t="str">
        <f t="shared" ref="L84:L99" si="14">IF(A84&lt;&gt;0,K84/$K$12*100,"")</f>
        <v/>
      </c>
      <c r="M84" s="440"/>
      <c r="O84" s="454" t="str">
        <f t="shared" si="8"/>
        <v/>
      </c>
      <c r="P84" s="442"/>
      <c r="R84" s="436" t="str">
        <f t="shared" si="11"/>
        <v/>
      </c>
      <c r="S84" s="440"/>
    </row>
    <row r="85" spans="1:19" ht="12" customHeight="1">
      <c r="A85" s="63" t="s">
        <v>396</v>
      </c>
      <c r="B85" s="449">
        <f>SUM(E85+H85)</f>
        <v>485</v>
      </c>
      <c r="C85" s="454">
        <f t="shared" si="13"/>
        <v>7.6984126984126986</v>
      </c>
      <c r="E85" s="435">
        <f>SUM(E86)</f>
        <v>158</v>
      </c>
      <c r="F85" s="436">
        <f t="shared" si="9"/>
        <v>32.577319587628864</v>
      </c>
      <c r="H85" s="449">
        <f>SUM(H86)</f>
        <v>327</v>
      </c>
      <c r="I85" s="436">
        <f t="shared" si="10"/>
        <v>67.422680412371136</v>
      </c>
      <c r="K85" s="449">
        <f t="shared" si="12"/>
        <v>476</v>
      </c>
      <c r="L85" s="454">
        <f t="shared" si="14"/>
        <v>7.9865771812080544</v>
      </c>
      <c r="M85" s="440"/>
      <c r="N85" s="435">
        <f>SUM(N86)</f>
        <v>154</v>
      </c>
      <c r="O85" s="454">
        <f t="shared" si="8"/>
        <v>32.352941176470587</v>
      </c>
      <c r="P85" s="442"/>
      <c r="Q85" s="435">
        <f>SUM(Q86)</f>
        <v>322</v>
      </c>
      <c r="R85" s="436">
        <f t="shared" si="11"/>
        <v>67.64705882352942</v>
      </c>
      <c r="S85" s="440"/>
    </row>
    <row r="86" spans="1:19" ht="13.15" customHeight="1">
      <c r="A86" s="434" t="s">
        <v>75</v>
      </c>
      <c r="B86" s="449">
        <f t="shared" ref="B86:B100" si="15">E86+H86</f>
        <v>485</v>
      </c>
      <c r="C86" s="454">
        <f t="shared" si="13"/>
        <v>7.6984126984126986</v>
      </c>
      <c r="E86" s="435">
        <f>SUM(E87:E95)</f>
        <v>158</v>
      </c>
      <c r="F86" s="436">
        <f t="shared" si="9"/>
        <v>32.577319587628864</v>
      </c>
      <c r="H86" s="449">
        <f>SUM(H87:H95)</f>
        <v>327</v>
      </c>
      <c r="I86" s="436">
        <f t="shared" si="10"/>
        <v>67.422680412371136</v>
      </c>
      <c r="K86" s="449">
        <f t="shared" si="12"/>
        <v>476</v>
      </c>
      <c r="L86" s="454">
        <f t="shared" si="14"/>
        <v>7.9865771812080544</v>
      </c>
      <c r="M86" s="440"/>
      <c r="N86" s="435">
        <f>SUM(N87:N95)</f>
        <v>154</v>
      </c>
      <c r="O86" s="454">
        <f t="shared" si="8"/>
        <v>32.352941176470587</v>
      </c>
      <c r="P86" s="442"/>
      <c r="Q86" s="435">
        <f>SUM(Q87:Q95)</f>
        <v>322</v>
      </c>
      <c r="R86" s="436">
        <f t="shared" si="11"/>
        <v>67.64705882352942</v>
      </c>
      <c r="S86" s="440"/>
    </row>
    <row r="87" spans="1:19" ht="13.15" customHeight="1">
      <c r="A87" s="434" t="s">
        <v>338</v>
      </c>
      <c r="B87" s="449">
        <f t="shared" si="15"/>
        <v>26</v>
      </c>
      <c r="C87" s="454">
        <f t="shared" si="13"/>
        <v>0.41269841269841273</v>
      </c>
      <c r="E87" s="434">
        <v>8</v>
      </c>
      <c r="F87" s="436">
        <f t="shared" si="9"/>
        <v>30.76923076923077</v>
      </c>
      <c r="H87" s="434">
        <v>18</v>
      </c>
      <c r="I87" s="436">
        <f t="shared" si="10"/>
        <v>69.230769230769226</v>
      </c>
      <c r="K87" s="449">
        <f t="shared" si="12"/>
        <v>22</v>
      </c>
      <c r="L87" s="454">
        <f t="shared" si="14"/>
        <v>0.36912751677852351</v>
      </c>
      <c r="M87" s="440"/>
      <c r="N87" s="434">
        <v>8</v>
      </c>
      <c r="O87" s="454">
        <f t="shared" si="8"/>
        <v>36.363636363636367</v>
      </c>
      <c r="Q87" s="434">
        <v>14</v>
      </c>
      <c r="R87" s="436">
        <f t="shared" si="11"/>
        <v>63.636363636363633</v>
      </c>
      <c r="S87" s="440"/>
    </row>
    <row r="88" spans="1:19" ht="13.15" customHeight="1">
      <c r="A88" s="434" t="s">
        <v>76</v>
      </c>
      <c r="B88" s="449">
        <f t="shared" si="15"/>
        <v>79</v>
      </c>
      <c r="C88" s="454">
        <f t="shared" si="13"/>
        <v>1.253968253968254</v>
      </c>
      <c r="E88" s="434">
        <v>23</v>
      </c>
      <c r="F88" s="436">
        <f t="shared" si="9"/>
        <v>29.11392405063291</v>
      </c>
      <c r="H88" s="434">
        <v>56</v>
      </c>
      <c r="I88" s="436">
        <f t="shared" si="10"/>
        <v>70.886075949367083</v>
      </c>
      <c r="K88" s="449">
        <f t="shared" si="12"/>
        <v>73</v>
      </c>
      <c r="L88" s="454">
        <f t="shared" si="14"/>
        <v>1.2248322147651007</v>
      </c>
      <c r="M88" s="440"/>
      <c r="N88" s="434">
        <v>22</v>
      </c>
      <c r="O88" s="454">
        <f t="shared" si="8"/>
        <v>30.136986301369863</v>
      </c>
      <c r="Q88" s="434">
        <v>51</v>
      </c>
      <c r="R88" s="436">
        <f t="shared" si="11"/>
        <v>69.863013698630141</v>
      </c>
      <c r="S88" s="440"/>
    </row>
    <row r="89" spans="1:19" ht="13.15" customHeight="1">
      <c r="A89" s="434" t="s">
        <v>78</v>
      </c>
      <c r="B89" s="449">
        <f t="shared" si="15"/>
        <v>62</v>
      </c>
      <c r="C89" s="454">
        <f t="shared" si="13"/>
        <v>0.98412698412698418</v>
      </c>
      <c r="E89" s="434">
        <v>18</v>
      </c>
      <c r="F89" s="436">
        <f t="shared" si="9"/>
        <v>29.032258064516132</v>
      </c>
      <c r="H89" s="434">
        <v>44</v>
      </c>
      <c r="I89" s="436">
        <f>IF($A89&lt;&gt;"",H88/$B89*100,"")</f>
        <v>90.322580645161281</v>
      </c>
      <c r="K89" s="449">
        <f t="shared" si="12"/>
        <v>61</v>
      </c>
      <c r="L89" s="454">
        <f t="shared" si="14"/>
        <v>1.023489932885906</v>
      </c>
      <c r="M89" s="440"/>
      <c r="N89" s="434">
        <v>16</v>
      </c>
      <c r="O89" s="454">
        <f t="shared" si="8"/>
        <v>26.229508196721312</v>
      </c>
      <c r="Q89" s="434">
        <v>45</v>
      </c>
      <c r="R89" s="436">
        <f t="shared" si="11"/>
        <v>73.770491803278688</v>
      </c>
      <c r="S89" s="440"/>
    </row>
    <row r="90" spans="1:19" ht="13.15" customHeight="1">
      <c r="A90" s="434" t="s">
        <v>80</v>
      </c>
      <c r="B90" s="449">
        <f t="shared" si="15"/>
        <v>56</v>
      </c>
      <c r="C90" s="454">
        <f t="shared" si="13"/>
        <v>0.88888888888888884</v>
      </c>
      <c r="E90" s="434">
        <v>18</v>
      </c>
      <c r="F90" s="436">
        <f t="shared" si="9"/>
        <v>32.142857142857146</v>
      </c>
      <c r="H90" s="434">
        <v>38</v>
      </c>
      <c r="I90" s="436">
        <f>IF($A90&lt;&gt;"",H89/$B90*100,"")</f>
        <v>78.571428571428569</v>
      </c>
      <c r="K90" s="449">
        <f t="shared" si="12"/>
        <v>58</v>
      </c>
      <c r="L90" s="454">
        <f t="shared" si="14"/>
        <v>0.97315436241610742</v>
      </c>
      <c r="M90" s="440"/>
      <c r="N90" s="434">
        <v>18</v>
      </c>
      <c r="O90" s="454">
        <f t="shared" si="8"/>
        <v>31.03448275862069</v>
      </c>
      <c r="Q90" s="434">
        <v>40</v>
      </c>
      <c r="R90" s="436">
        <f t="shared" si="11"/>
        <v>68.965517241379317</v>
      </c>
      <c r="S90" s="440"/>
    </row>
    <row r="91" spans="1:19" ht="13.15" customHeight="1">
      <c r="A91" s="434" t="s">
        <v>79</v>
      </c>
      <c r="B91" s="449">
        <f t="shared" si="15"/>
        <v>41</v>
      </c>
      <c r="C91" s="454">
        <f t="shared" si="13"/>
        <v>0.65079365079365081</v>
      </c>
      <c r="E91" s="434">
        <v>13</v>
      </c>
      <c r="F91" s="436">
        <f t="shared" si="9"/>
        <v>31.707317073170731</v>
      </c>
      <c r="H91" s="434">
        <v>28</v>
      </c>
      <c r="I91" s="436">
        <f>IF($A91&lt;&gt;"",H90/$B91*100,"")</f>
        <v>92.682926829268297</v>
      </c>
      <c r="K91" s="449">
        <f t="shared" si="12"/>
        <v>40</v>
      </c>
      <c r="L91" s="454">
        <f t="shared" si="14"/>
        <v>0.67114093959731547</v>
      </c>
      <c r="M91" s="440"/>
      <c r="N91" s="434">
        <v>13</v>
      </c>
      <c r="O91" s="454">
        <f t="shared" si="8"/>
        <v>32.5</v>
      </c>
      <c r="Q91" s="434">
        <v>27</v>
      </c>
      <c r="R91" s="436">
        <f t="shared" si="11"/>
        <v>67.5</v>
      </c>
      <c r="S91" s="440"/>
    </row>
    <row r="92" spans="1:19" ht="13.15" customHeight="1">
      <c r="A92" s="434" t="s">
        <v>77</v>
      </c>
      <c r="B92" s="449">
        <f t="shared" si="15"/>
        <v>39</v>
      </c>
      <c r="C92" s="454">
        <f t="shared" si="13"/>
        <v>0.61904761904761907</v>
      </c>
      <c r="E92" s="434">
        <v>10</v>
      </c>
      <c r="F92" s="436">
        <f t="shared" si="9"/>
        <v>25.641025641025639</v>
      </c>
      <c r="H92" s="434">
        <v>29</v>
      </c>
      <c r="I92" s="436">
        <f>IF($A92&lt;&gt;"",H91/$B92*100,"")</f>
        <v>71.794871794871796</v>
      </c>
      <c r="K92" s="449">
        <f t="shared" si="12"/>
        <v>41</v>
      </c>
      <c r="L92" s="454">
        <f t="shared" si="14"/>
        <v>0.68791946308724838</v>
      </c>
      <c r="M92" s="440"/>
      <c r="N92" s="434">
        <v>11</v>
      </c>
      <c r="O92" s="454">
        <f t="shared" si="8"/>
        <v>26.829268292682929</v>
      </c>
      <c r="Q92" s="434">
        <v>30</v>
      </c>
      <c r="R92" s="436">
        <f t="shared" si="11"/>
        <v>73.170731707317074</v>
      </c>
      <c r="S92" s="440"/>
    </row>
    <row r="93" spans="1:19" ht="13.15" customHeight="1">
      <c r="A93" s="434" t="s">
        <v>81</v>
      </c>
      <c r="B93" s="449">
        <f t="shared" si="15"/>
        <v>97</v>
      </c>
      <c r="C93" s="454">
        <f t="shared" si="13"/>
        <v>1.5396825396825398</v>
      </c>
      <c r="E93" s="434">
        <v>37</v>
      </c>
      <c r="F93" s="436">
        <f t="shared" si="9"/>
        <v>38.144329896907216</v>
      </c>
      <c r="H93" s="434">
        <v>60</v>
      </c>
      <c r="I93" s="436">
        <f t="shared" si="10"/>
        <v>61.855670103092784</v>
      </c>
      <c r="K93" s="449">
        <f t="shared" si="12"/>
        <v>97</v>
      </c>
      <c r="L93" s="454">
        <f t="shared" si="14"/>
        <v>1.6275167785234899</v>
      </c>
      <c r="M93" s="440"/>
      <c r="N93" s="434">
        <v>36</v>
      </c>
      <c r="O93" s="454">
        <f t="shared" si="8"/>
        <v>37.113402061855673</v>
      </c>
      <c r="Q93" s="434">
        <v>61</v>
      </c>
      <c r="R93" s="436">
        <f t="shared" si="11"/>
        <v>62.886597938144327</v>
      </c>
      <c r="S93" s="440"/>
    </row>
    <row r="94" spans="1:19" ht="13.15" customHeight="1">
      <c r="A94" s="434" t="s">
        <v>84</v>
      </c>
      <c r="B94" s="449">
        <f t="shared" si="15"/>
        <v>39</v>
      </c>
      <c r="C94" s="454">
        <f t="shared" si="13"/>
        <v>0.61904761904761907</v>
      </c>
      <c r="E94" s="434">
        <v>8</v>
      </c>
      <c r="F94" s="436">
        <f t="shared" si="9"/>
        <v>20.512820512820511</v>
      </c>
      <c r="H94" s="434">
        <v>31</v>
      </c>
      <c r="I94" s="436">
        <f t="shared" si="10"/>
        <v>79.487179487179489</v>
      </c>
      <c r="K94" s="449">
        <f t="shared" si="12"/>
        <v>35</v>
      </c>
      <c r="L94" s="454">
        <f t="shared" si="14"/>
        <v>0.58724832214765099</v>
      </c>
      <c r="M94" s="440"/>
      <c r="N94" s="434">
        <v>8</v>
      </c>
      <c r="O94" s="454">
        <f t="shared" si="8"/>
        <v>22.857142857142858</v>
      </c>
      <c r="Q94" s="434">
        <v>27</v>
      </c>
      <c r="R94" s="436">
        <f t="shared" si="11"/>
        <v>77.142857142857153</v>
      </c>
      <c r="S94" s="440"/>
    </row>
    <row r="95" spans="1:19" ht="13.15" customHeight="1">
      <c r="A95" s="434" t="s">
        <v>339</v>
      </c>
      <c r="B95" s="449">
        <f t="shared" si="15"/>
        <v>46</v>
      </c>
      <c r="C95" s="454">
        <f t="shared" si="13"/>
        <v>0.73015873015873023</v>
      </c>
      <c r="E95" s="434">
        <v>23</v>
      </c>
      <c r="F95" s="436">
        <f t="shared" si="9"/>
        <v>50</v>
      </c>
      <c r="H95" s="434">
        <v>23</v>
      </c>
      <c r="I95" s="436">
        <f t="shared" si="10"/>
        <v>50</v>
      </c>
      <c r="K95" s="449">
        <f t="shared" si="12"/>
        <v>49</v>
      </c>
      <c r="L95" s="454">
        <f t="shared" si="14"/>
        <v>0.82214765100671139</v>
      </c>
      <c r="M95" s="440"/>
      <c r="N95" s="434">
        <v>22</v>
      </c>
      <c r="O95" s="454">
        <f t="shared" si="8"/>
        <v>44.897959183673471</v>
      </c>
      <c r="Q95" s="434">
        <v>27</v>
      </c>
      <c r="R95" s="436">
        <f t="shared" si="11"/>
        <v>55.102040816326522</v>
      </c>
      <c r="S95" s="440"/>
    </row>
    <row r="96" spans="1:19" ht="9" customHeight="1">
      <c r="B96" s="449">
        <f t="shared" si="15"/>
        <v>0</v>
      </c>
      <c r="C96" s="454" t="str">
        <f t="shared" si="13"/>
        <v/>
      </c>
      <c r="E96" s="434"/>
      <c r="F96" s="436" t="str">
        <f t="shared" si="9"/>
        <v/>
      </c>
      <c r="H96" s="434"/>
      <c r="I96" s="436" t="str">
        <f t="shared" si="10"/>
        <v/>
      </c>
      <c r="K96" s="449">
        <f t="shared" si="12"/>
        <v>0</v>
      </c>
      <c r="L96" s="454" t="str">
        <f t="shared" si="14"/>
        <v/>
      </c>
      <c r="M96" s="440"/>
      <c r="N96" s="434"/>
      <c r="O96" s="454" t="str">
        <f t="shared" si="8"/>
        <v/>
      </c>
      <c r="Q96" s="434"/>
      <c r="R96" s="436" t="str">
        <f t="shared" si="11"/>
        <v/>
      </c>
      <c r="S96" s="440"/>
    </row>
    <row r="97" spans="1:19" ht="13.5" customHeight="1">
      <c r="A97" s="434" t="s">
        <v>85</v>
      </c>
      <c r="B97" s="449">
        <f t="shared" si="15"/>
        <v>209</v>
      </c>
      <c r="C97" s="454">
        <f t="shared" si="13"/>
        <v>3.3174603174603177</v>
      </c>
      <c r="E97" s="434">
        <v>104</v>
      </c>
      <c r="F97" s="436">
        <f t="shared" si="9"/>
        <v>49.760765550239235</v>
      </c>
      <c r="H97" s="434">
        <v>105</v>
      </c>
      <c r="I97" s="436">
        <f t="shared" si="10"/>
        <v>50.239234449760758</v>
      </c>
      <c r="K97" s="449">
        <f t="shared" si="12"/>
        <v>202</v>
      </c>
      <c r="L97" s="454">
        <f t="shared" si="14"/>
        <v>3.3892617449664431</v>
      </c>
      <c r="M97" s="440"/>
      <c r="N97" s="434">
        <v>101</v>
      </c>
      <c r="O97" s="454">
        <f t="shared" si="8"/>
        <v>50</v>
      </c>
      <c r="Q97" s="434">
        <v>101</v>
      </c>
      <c r="R97" s="436">
        <f t="shared" si="11"/>
        <v>50</v>
      </c>
      <c r="S97" s="440"/>
    </row>
    <row r="98" spans="1:19" ht="13.15" customHeight="1">
      <c r="A98" s="42" t="s">
        <v>340</v>
      </c>
      <c r="B98" s="449">
        <f t="shared" si="15"/>
        <v>47</v>
      </c>
      <c r="C98" s="454">
        <f>IF(A98&lt;&gt;0,B98/$B$12*100,"")</f>
        <v>0.74603174603174605</v>
      </c>
      <c r="E98" s="434">
        <v>1</v>
      </c>
      <c r="F98" s="436">
        <f t="shared" si="9"/>
        <v>2.1276595744680851</v>
      </c>
      <c r="H98" s="434">
        <v>46</v>
      </c>
      <c r="I98" s="436">
        <f t="shared" si="10"/>
        <v>97.872340425531917</v>
      </c>
      <c r="K98" s="449">
        <f t="shared" si="12"/>
        <v>44</v>
      </c>
      <c r="L98" s="454">
        <f t="shared" si="14"/>
        <v>0.73825503355704702</v>
      </c>
      <c r="M98" s="440"/>
      <c r="N98" s="434">
        <v>0</v>
      </c>
      <c r="O98" s="454">
        <f t="shared" si="8"/>
        <v>0</v>
      </c>
      <c r="Q98" s="434">
        <v>44</v>
      </c>
      <c r="R98" s="436">
        <f t="shared" si="11"/>
        <v>100</v>
      </c>
      <c r="S98" s="440"/>
    </row>
    <row r="99" spans="1:19" ht="13.15" customHeight="1">
      <c r="A99" s="42" t="s">
        <v>341</v>
      </c>
      <c r="B99" s="449">
        <f t="shared" si="15"/>
        <v>124</v>
      </c>
      <c r="C99" s="454">
        <f>IF(A99&lt;&gt;0,B99/$B$12*100,"")</f>
        <v>1.9682539682539684</v>
      </c>
      <c r="E99" s="434">
        <v>4</v>
      </c>
      <c r="F99" s="436">
        <f t="shared" si="9"/>
        <v>3.225806451612903</v>
      </c>
      <c r="H99" s="434">
        <v>120</v>
      </c>
      <c r="I99" s="436">
        <f t="shared" si="10"/>
        <v>96.774193548387103</v>
      </c>
      <c r="K99" s="449">
        <f t="shared" si="12"/>
        <v>106</v>
      </c>
      <c r="L99" s="454">
        <f t="shared" si="14"/>
        <v>1.7785234899328859</v>
      </c>
      <c r="M99" s="440"/>
      <c r="N99" s="434">
        <v>4</v>
      </c>
      <c r="O99" s="454">
        <f t="shared" si="8"/>
        <v>3.7735849056603774</v>
      </c>
      <c r="Q99" s="434">
        <v>102</v>
      </c>
      <c r="R99" s="436">
        <f t="shared" si="11"/>
        <v>96.226415094339629</v>
      </c>
      <c r="S99" s="440"/>
    </row>
    <row r="100" spans="1:19" ht="6.75" customHeight="1">
      <c r="B100" s="449">
        <f t="shared" si="15"/>
        <v>0</v>
      </c>
      <c r="C100" s="454" t="str">
        <f>IF(A100&lt;&gt;0,B100/$B$12*100,"")</f>
        <v/>
      </c>
      <c r="F100" s="436" t="str">
        <f t="shared" si="9"/>
        <v/>
      </c>
      <c r="I100" s="436" t="str">
        <f t="shared" si="10"/>
        <v/>
      </c>
      <c r="K100" s="449">
        <f t="shared" si="12"/>
        <v>0</v>
      </c>
      <c r="L100" s="454" t="str">
        <f>IF(A100&lt;&gt;0,K100/$K$12*100,"")</f>
        <v/>
      </c>
      <c r="M100" s="440"/>
      <c r="O100" s="454" t="str">
        <f t="shared" si="8"/>
        <v/>
      </c>
      <c r="P100" s="442"/>
      <c r="R100" s="436" t="str">
        <f t="shared" si="11"/>
        <v/>
      </c>
      <c r="S100" s="440"/>
    </row>
    <row r="101" spans="1:19" ht="12" customHeight="1">
      <c r="A101" s="63" t="s">
        <v>86</v>
      </c>
      <c r="B101" s="449">
        <f>SUM(E101+H101)</f>
        <v>848</v>
      </c>
      <c r="C101" s="454">
        <f t="shared" si="13"/>
        <v>13.460317460317462</v>
      </c>
      <c r="E101" s="449">
        <f>SUM(E103:E107)</f>
        <v>205</v>
      </c>
      <c r="F101" s="436">
        <f t="shared" si="9"/>
        <v>24.174528301886792</v>
      </c>
      <c r="G101" s="449"/>
      <c r="H101" s="449">
        <f>SUM(H103:H107)</f>
        <v>643</v>
      </c>
      <c r="I101" s="454">
        <f t="shared" si="10"/>
        <v>75.825471698113205</v>
      </c>
      <c r="J101" s="454"/>
      <c r="K101" s="449">
        <f t="shared" si="12"/>
        <v>636</v>
      </c>
      <c r="L101" s="454">
        <f>IF(A101&lt;&gt;0,K101/$K$12*100,"")</f>
        <v>10.671140939597315</v>
      </c>
      <c r="M101" s="453"/>
      <c r="N101" s="449">
        <f>SUM(N103+N104+N105+N107)</f>
        <v>138</v>
      </c>
      <c r="O101" s="454">
        <f t="shared" si="8"/>
        <v>21.69811320754717</v>
      </c>
      <c r="P101" s="450"/>
      <c r="Q101" s="449">
        <f>SUM(Q103+Q104+Q105+Q107)</f>
        <v>498</v>
      </c>
      <c r="R101" s="454">
        <f t="shared" si="11"/>
        <v>78.301886792452834</v>
      </c>
      <c r="S101" s="440"/>
    </row>
    <row r="102" spans="1:19" ht="6.75" customHeight="1">
      <c r="B102" s="449">
        <f>SUM(E102+H102)</f>
        <v>0</v>
      </c>
      <c r="C102" s="454" t="str">
        <f t="shared" si="13"/>
        <v/>
      </c>
      <c r="E102" s="449"/>
      <c r="F102" s="436" t="str">
        <f t="shared" si="9"/>
        <v/>
      </c>
      <c r="G102" s="455"/>
      <c r="I102" s="454" t="str">
        <f t="shared" si="10"/>
        <v/>
      </c>
      <c r="J102" s="454"/>
      <c r="K102" s="449">
        <f t="shared" si="12"/>
        <v>0</v>
      </c>
      <c r="M102" s="453"/>
      <c r="N102" s="449"/>
      <c r="O102" s="454" t="str">
        <f t="shared" si="8"/>
        <v/>
      </c>
      <c r="P102" s="449"/>
      <c r="Q102" s="449"/>
      <c r="R102" s="454" t="str">
        <f t="shared" si="11"/>
        <v/>
      </c>
      <c r="S102" s="440"/>
    </row>
    <row r="103" spans="1:19" ht="12" customHeight="1">
      <c r="A103" s="434" t="s">
        <v>342</v>
      </c>
      <c r="B103" s="65">
        <f>SUM(E103+H103)</f>
        <v>443</v>
      </c>
      <c r="C103" s="454">
        <f>IF(A103&lt;&gt;0,B103/$B$12*100,"")</f>
        <v>7.0317460317460316</v>
      </c>
      <c r="D103" s="455"/>
      <c r="E103" s="434">
        <v>138</v>
      </c>
      <c r="F103" s="436">
        <f t="shared" si="9"/>
        <v>31.15124153498871</v>
      </c>
      <c r="H103" s="434">
        <v>305</v>
      </c>
      <c r="I103" s="454">
        <f t="shared" si="10"/>
        <v>68.848758465011286</v>
      </c>
      <c r="J103" s="454"/>
      <c r="K103" s="449">
        <f t="shared" si="12"/>
        <v>178</v>
      </c>
      <c r="L103" s="454">
        <f>IF(A103&lt;&gt;0,K103/$K$12*100,"")</f>
        <v>2.9865771812080539</v>
      </c>
      <c r="M103" s="453"/>
      <c r="N103" s="434">
        <v>53</v>
      </c>
      <c r="O103" s="454">
        <f t="shared" si="8"/>
        <v>29.775280898876407</v>
      </c>
      <c r="Q103" s="434">
        <v>125</v>
      </c>
      <c r="R103" s="454">
        <f t="shared" si="11"/>
        <v>70.224719101123597</v>
      </c>
      <c r="S103" s="440"/>
    </row>
    <row r="104" spans="1:19" ht="12" customHeight="1">
      <c r="A104" s="434" t="s">
        <v>343</v>
      </c>
      <c r="B104" s="65">
        <f>SUM(E104+H104)</f>
        <v>177</v>
      </c>
      <c r="C104" s="454">
        <f t="shared" si="13"/>
        <v>2.8095238095238098</v>
      </c>
      <c r="D104" s="455"/>
      <c r="E104" s="434">
        <v>52</v>
      </c>
      <c r="F104" s="436">
        <f t="shared" si="9"/>
        <v>29.378531073446329</v>
      </c>
      <c r="H104" s="434">
        <v>125</v>
      </c>
      <c r="I104" s="454">
        <f t="shared" si="10"/>
        <v>70.621468926553675</v>
      </c>
      <c r="J104" s="454"/>
      <c r="K104" s="449">
        <f t="shared" si="12"/>
        <v>236</v>
      </c>
      <c r="L104" s="454">
        <f>IF(A104&lt;&gt;0,K104/$K$12*100,"")</f>
        <v>3.9597315436241614</v>
      </c>
      <c r="M104" s="453"/>
      <c r="N104" s="434">
        <v>71</v>
      </c>
      <c r="O104" s="454">
        <f t="shared" si="8"/>
        <v>30.084745762711862</v>
      </c>
      <c r="Q104" s="434">
        <v>165</v>
      </c>
      <c r="R104" s="454">
        <f t="shared" si="11"/>
        <v>69.915254237288138</v>
      </c>
      <c r="S104" s="440"/>
    </row>
    <row r="105" spans="1:19" ht="12" customHeight="1">
      <c r="A105" s="434" t="s">
        <v>344</v>
      </c>
      <c r="B105" s="65">
        <f>SUM(E105+H105)</f>
        <v>30</v>
      </c>
      <c r="C105" s="454">
        <f t="shared" si="13"/>
        <v>0.47619047619047622</v>
      </c>
      <c r="D105" s="455"/>
      <c r="E105" s="434">
        <v>13</v>
      </c>
      <c r="F105" s="436">
        <f t="shared" si="9"/>
        <v>43.333333333333336</v>
      </c>
      <c r="H105" s="434">
        <v>17</v>
      </c>
      <c r="I105" s="454">
        <f t="shared" si="10"/>
        <v>56.666666666666664</v>
      </c>
      <c r="J105" s="454"/>
      <c r="K105" s="449">
        <f t="shared" si="12"/>
        <v>28</v>
      </c>
      <c r="L105" s="454">
        <f>IF(A105&lt;&gt;0,K105/$K$12*100,"")</f>
        <v>0.46979865771812079</v>
      </c>
      <c r="M105" s="453"/>
      <c r="N105" s="434">
        <v>12</v>
      </c>
      <c r="O105" s="454">
        <f t="shared" si="8"/>
        <v>42.857142857142854</v>
      </c>
      <c r="Q105" s="434">
        <v>16</v>
      </c>
      <c r="R105" s="454">
        <f t="shared" si="11"/>
        <v>57.142857142857139</v>
      </c>
      <c r="S105" s="440"/>
    </row>
    <row r="106" spans="1:19" ht="9" customHeight="1">
      <c r="E106" s="434"/>
      <c r="F106" s="436" t="str">
        <f t="shared" si="9"/>
        <v/>
      </c>
      <c r="H106" s="434"/>
      <c r="I106" s="436" t="str">
        <f t="shared" si="10"/>
        <v/>
      </c>
      <c r="K106" s="449">
        <f t="shared" si="12"/>
        <v>0</v>
      </c>
      <c r="M106" s="440"/>
      <c r="N106" s="434"/>
      <c r="O106" s="454" t="str">
        <f t="shared" si="8"/>
        <v/>
      </c>
      <c r="Q106" s="434"/>
      <c r="R106" s="436" t="str">
        <f t="shared" si="11"/>
        <v/>
      </c>
      <c r="S106" s="440"/>
    </row>
    <row r="107" spans="1:19" ht="13.15" customHeight="1">
      <c r="A107" s="434" t="s">
        <v>345</v>
      </c>
      <c r="B107" s="449">
        <f t="shared" ref="B107:B114" si="16">E107+H107</f>
        <v>198</v>
      </c>
      <c r="C107" s="454">
        <f>IF(A107&lt;&gt;0,B107/$B$12*100,"")</f>
        <v>3.1428571428571432</v>
      </c>
      <c r="E107" s="434">
        <v>2</v>
      </c>
      <c r="F107" s="436">
        <f t="shared" si="9"/>
        <v>1.0101010101010102</v>
      </c>
      <c r="H107" s="455">
        <v>196</v>
      </c>
      <c r="I107" s="436">
        <f t="shared" si="10"/>
        <v>98.98989898989899</v>
      </c>
      <c r="K107" s="449">
        <f t="shared" si="12"/>
        <v>194</v>
      </c>
      <c r="L107" s="454">
        <f t="shared" ref="L107:L114" si="17">IF(A107&lt;&gt;0,K107/$K$12*100,"")</f>
        <v>3.2550335570469797</v>
      </c>
      <c r="M107" s="440"/>
      <c r="N107" s="434">
        <v>2</v>
      </c>
      <c r="O107" s="454">
        <f t="shared" si="8"/>
        <v>1.0309278350515463</v>
      </c>
      <c r="Q107" s="434">
        <v>192</v>
      </c>
      <c r="R107" s="436">
        <f t="shared" si="11"/>
        <v>98.969072164948457</v>
      </c>
      <c r="S107" s="440"/>
    </row>
    <row r="108" spans="1:19" ht="13.15" customHeight="1">
      <c r="F108" s="436" t="str">
        <f t="shared" si="9"/>
        <v/>
      </c>
      <c r="K108" s="449">
        <f t="shared" si="12"/>
        <v>0</v>
      </c>
      <c r="M108" s="440"/>
      <c r="O108" s="454" t="str">
        <f t="shared" si="8"/>
        <v/>
      </c>
      <c r="P108" s="442"/>
      <c r="R108" s="436"/>
      <c r="S108" s="440"/>
    </row>
    <row r="109" spans="1:19" ht="12" customHeight="1">
      <c r="A109" s="63" t="s">
        <v>346</v>
      </c>
      <c r="B109" s="449">
        <f t="shared" si="16"/>
        <v>1147</v>
      </c>
      <c r="C109" s="454">
        <f t="shared" si="13"/>
        <v>18.206349206349206</v>
      </c>
      <c r="E109" s="435">
        <f>SUM(E110:E114)</f>
        <v>209</v>
      </c>
      <c r="F109" s="436">
        <f t="shared" si="9"/>
        <v>18.221447253705321</v>
      </c>
      <c r="H109" s="449">
        <f>SUM(H110:H114)</f>
        <v>938</v>
      </c>
      <c r="I109" s="436">
        <f t="shared" si="10"/>
        <v>81.778552746294679</v>
      </c>
      <c r="K109" s="449">
        <f t="shared" si="12"/>
        <v>1090</v>
      </c>
      <c r="L109" s="454">
        <f t="shared" si="17"/>
        <v>18.288590604026847</v>
      </c>
      <c r="M109" s="440"/>
      <c r="N109" s="435">
        <f>SUM(N110:N114)</f>
        <v>203</v>
      </c>
      <c r="O109" s="454">
        <f t="shared" si="8"/>
        <v>18.623853211009177</v>
      </c>
      <c r="P109" s="442"/>
      <c r="Q109" s="435">
        <f>SUM(Q110:Q114)</f>
        <v>887</v>
      </c>
      <c r="R109" s="436">
        <f t="shared" si="11"/>
        <v>81.376146788990823</v>
      </c>
      <c r="S109" s="440"/>
    </row>
    <row r="110" spans="1:19" ht="12" customHeight="1">
      <c r="A110" s="434" t="s">
        <v>347</v>
      </c>
      <c r="B110" s="449">
        <f t="shared" si="16"/>
        <v>344</v>
      </c>
      <c r="C110" s="454">
        <f t="shared" si="13"/>
        <v>5.4603174603174605</v>
      </c>
      <c r="E110" s="434">
        <v>92</v>
      </c>
      <c r="F110" s="436">
        <f t="shared" si="9"/>
        <v>26.744186046511626</v>
      </c>
      <c r="H110" s="455">
        <v>252</v>
      </c>
      <c r="I110" s="436">
        <f t="shared" si="10"/>
        <v>73.255813953488371</v>
      </c>
      <c r="K110" s="449">
        <f t="shared" si="12"/>
        <v>329</v>
      </c>
      <c r="L110" s="454">
        <f t="shared" si="17"/>
        <v>5.5201342281879198</v>
      </c>
      <c r="M110" s="440"/>
      <c r="N110" s="434">
        <v>88</v>
      </c>
      <c r="O110" s="454">
        <f t="shared" si="8"/>
        <v>26.747720364741639</v>
      </c>
      <c r="Q110" s="434">
        <v>241</v>
      </c>
      <c r="R110" s="436">
        <f t="shared" si="11"/>
        <v>73.252279635258361</v>
      </c>
      <c r="S110" s="440"/>
    </row>
    <row r="111" spans="1:19" ht="12" customHeight="1">
      <c r="A111" s="434" t="s">
        <v>348</v>
      </c>
      <c r="B111" s="449">
        <f t="shared" si="16"/>
        <v>288</v>
      </c>
      <c r="C111" s="454">
        <f t="shared" si="13"/>
        <v>4.5714285714285712</v>
      </c>
      <c r="E111" s="434">
        <v>34</v>
      </c>
      <c r="F111" s="436">
        <f t="shared" si="9"/>
        <v>11.805555555555555</v>
      </c>
      <c r="H111" s="455">
        <v>254</v>
      </c>
      <c r="I111" s="436">
        <f t="shared" si="10"/>
        <v>88.194444444444443</v>
      </c>
      <c r="K111" s="449">
        <f t="shared" si="12"/>
        <v>253</v>
      </c>
      <c r="L111" s="454">
        <f t="shared" si="17"/>
        <v>4.2449664429530198</v>
      </c>
      <c r="M111" s="440"/>
      <c r="N111" s="434">
        <v>33</v>
      </c>
      <c r="O111" s="454">
        <f t="shared" si="8"/>
        <v>13.043478260869565</v>
      </c>
      <c r="Q111" s="434">
        <v>220</v>
      </c>
      <c r="R111" s="436">
        <f t="shared" si="11"/>
        <v>86.956521739130437</v>
      </c>
      <c r="S111" s="440"/>
    </row>
    <row r="112" spans="1:19" ht="12" customHeight="1">
      <c r="A112" s="434" t="s">
        <v>349</v>
      </c>
      <c r="B112" s="449">
        <f t="shared" si="16"/>
        <v>221</v>
      </c>
      <c r="C112" s="454">
        <f t="shared" si="13"/>
        <v>3.5079365079365079</v>
      </c>
      <c r="E112" s="434">
        <v>34</v>
      </c>
      <c r="F112" s="436">
        <f t="shared" si="9"/>
        <v>15.384615384615385</v>
      </c>
      <c r="H112" s="455">
        <v>187</v>
      </c>
      <c r="I112" s="436">
        <f>IF($A112&lt;&gt;"",H112/$B112*100,"")</f>
        <v>84.615384615384613</v>
      </c>
      <c r="K112" s="449">
        <f t="shared" si="12"/>
        <v>228</v>
      </c>
      <c r="L112" s="454">
        <f t="shared" si="17"/>
        <v>3.825503355704698</v>
      </c>
      <c r="M112" s="440"/>
      <c r="N112" s="434">
        <v>32</v>
      </c>
      <c r="O112" s="454">
        <f t="shared" si="8"/>
        <v>14.035087719298245</v>
      </c>
      <c r="Q112" s="434">
        <v>196</v>
      </c>
      <c r="R112" s="436">
        <f>IF($A112&lt;&gt;"",Q112/$K112*100,"")</f>
        <v>85.964912280701753</v>
      </c>
      <c r="S112" s="440"/>
    </row>
    <row r="113" spans="1:19" ht="12" customHeight="1">
      <c r="A113" s="434" t="s">
        <v>350</v>
      </c>
      <c r="B113" s="449">
        <f t="shared" si="16"/>
        <v>166</v>
      </c>
      <c r="C113" s="454">
        <f t="shared" si="13"/>
        <v>2.6349206349206349</v>
      </c>
      <c r="E113" s="434">
        <v>23</v>
      </c>
      <c r="F113" s="436">
        <f t="shared" si="9"/>
        <v>13.855421686746988</v>
      </c>
      <c r="H113" s="434">
        <v>143</v>
      </c>
      <c r="I113" s="436">
        <f>IF($A113&lt;&gt;"",H113/$B113*100,"")</f>
        <v>86.144578313253021</v>
      </c>
      <c r="K113" s="449">
        <f t="shared" si="12"/>
        <v>163</v>
      </c>
      <c r="L113" s="454">
        <f t="shared" si="17"/>
        <v>2.7348993288590604</v>
      </c>
      <c r="M113" s="440"/>
      <c r="N113" s="434">
        <v>24</v>
      </c>
      <c r="O113" s="454">
        <f t="shared" si="8"/>
        <v>14.723926380368098</v>
      </c>
      <c r="Q113" s="434">
        <v>139</v>
      </c>
      <c r="R113" s="436">
        <f>IF($A113&lt;&gt;"",Q113/$K113*100,"")</f>
        <v>85.276073619631902</v>
      </c>
      <c r="S113" s="440"/>
    </row>
    <row r="114" spans="1:19" ht="12" customHeight="1">
      <c r="A114" s="434" t="s">
        <v>351</v>
      </c>
      <c r="B114" s="449">
        <f t="shared" si="16"/>
        <v>128</v>
      </c>
      <c r="C114" s="454">
        <f t="shared" si="13"/>
        <v>2.0317460317460316</v>
      </c>
      <c r="E114" s="434">
        <v>26</v>
      </c>
      <c r="F114" s="436">
        <f t="shared" si="9"/>
        <v>20.3125</v>
      </c>
      <c r="H114" s="434">
        <v>102</v>
      </c>
      <c r="I114" s="436">
        <f>IF($A114&lt;&gt;"",H114/$B114*100,"")</f>
        <v>79.6875</v>
      </c>
      <c r="K114" s="449">
        <f t="shared" si="12"/>
        <v>117</v>
      </c>
      <c r="L114" s="454">
        <f t="shared" si="17"/>
        <v>1.9630872483221478</v>
      </c>
      <c r="M114" s="440"/>
      <c r="N114" s="434">
        <v>26</v>
      </c>
      <c r="O114" s="454">
        <f t="shared" si="8"/>
        <v>22.222222222222221</v>
      </c>
      <c r="Q114" s="434">
        <v>91</v>
      </c>
      <c r="R114" s="436">
        <f>IF($A114&lt;&gt;"",Q114/$K114*100,"")</f>
        <v>77.777777777777786</v>
      </c>
      <c r="S114" s="440"/>
    </row>
    <row r="115" spans="1:19" ht="9" customHeight="1" thickBot="1">
      <c r="M115" s="440"/>
      <c r="O115" s="436"/>
      <c r="P115" s="442"/>
      <c r="R115" s="442"/>
      <c r="S115" s="440"/>
    </row>
    <row r="116" spans="1:19" ht="9" customHeight="1">
      <c r="A116" s="437"/>
      <c r="B116" s="792"/>
      <c r="C116" s="793"/>
      <c r="D116" s="437"/>
      <c r="E116" s="438"/>
      <c r="F116" s="439"/>
      <c r="G116" s="437"/>
      <c r="H116" s="792"/>
      <c r="I116" s="439"/>
      <c r="J116" s="439"/>
      <c r="K116" s="792"/>
      <c r="L116" s="793"/>
      <c r="M116" s="437"/>
      <c r="N116" s="438"/>
      <c r="O116" s="439"/>
      <c r="P116" s="439"/>
      <c r="Q116" s="438"/>
      <c r="R116" s="439"/>
      <c r="S116" s="437"/>
    </row>
    <row r="117" spans="1:19" ht="12" customHeight="1">
      <c r="A117" s="453" t="s">
        <v>352</v>
      </c>
      <c r="B117" s="452"/>
      <c r="C117" s="450"/>
      <c r="D117" s="440"/>
      <c r="E117" s="441"/>
      <c r="F117" s="442"/>
      <c r="G117" s="440"/>
      <c r="H117" s="452"/>
      <c r="I117" s="442"/>
      <c r="J117" s="442"/>
      <c r="K117" s="452"/>
      <c r="L117" s="450"/>
      <c r="M117" s="440"/>
      <c r="N117" s="441"/>
      <c r="O117" s="442"/>
      <c r="P117" s="442"/>
      <c r="Q117" s="441"/>
      <c r="R117" s="442"/>
      <c r="S117" s="440"/>
    </row>
    <row r="118" spans="1:19" ht="12" customHeight="1">
      <c r="A118" s="453" t="s">
        <v>353</v>
      </c>
      <c r="B118" s="452"/>
      <c r="C118" s="450"/>
      <c r="D118" s="440"/>
      <c r="E118" s="441"/>
      <c r="F118" s="442"/>
      <c r="G118" s="440"/>
      <c r="H118" s="452"/>
      <c r="I118" s="442"/>
      <c r="J118" s="442"/>
      <c r="K118" s="452"/>
      <c r="L118" s="450"/>
      <c r="M118" s="440"/>
      <c r="N118" s="441"/>
      <c r="O118" s="442"/>
      <c r="P118" s="442"/>
      <c r="Q118" s="441"/>
      <c r="R118" s="442"/>
      <c r="S118" s="440"/>
    </row>
    <row r="119" spans="1:19" ht="12" customHeight="1">
      <c r="A119" s="440"/>
      <c r="B119" s="452"/>
      <c r="C119" s="450"/>
      <c r="D119" s="440"/>
      <c r="E119" s="441"/>
      <c r="F119" s="442"/>
      <c r="G119" s="440"/>
      <c r="H119" s="452"/>
      <c r="I119" s="442"/>
      <c r="J119" s="442"/>
      <c r="K119" s="452"/>
      <c r="L119" s="450"/>
      <c r="M119" s="440"/>
      <c r="N119" s="441"/>
      <c r="O119" s="442"/>
      <c r="P119" s="442"/>
      <c r="Q119" s="441"/>
      <c r="R119" s="442"/>
      <c r="S119" s="440"/>
    </row>
    <row r="120" spans="1:19" ht="12.75" customHeight="1">
      <c r="A120" s="66" t="s">
        <v>2106</v>
      </c>
      <c r="B120" s="452"/>
      <c r="C120" s="450"/>
      <c r="D120" s="440"/>
      <c r="E120" s="441"/>
      <c r="F120" s="442"/>
      <c r="G120" s="440"/>
      <c r="H120" s="452"/>
      <c r="I120" s="442"/>
      <c r="J120" s="442"/>
      <c r="K120" s="452"/>
      <c r="L120" s="450"/>
      <c r="M120" s="440"/>
      <c r="N120" s="441"/>
      <c r="O120" s="442"/>
      <c r="P120" s="442"/>
      <c r="Q120" s="441"/>
      <c r="R120" s="442"/>
      <c r="S120" s="440"/>
    </row>
    <row r="121" spans="1:19" ht="14.25" customHeight="1">
      <c r="A121" s="66" t="s">
        <v>2107</v>
      </c>
      <c r="B121" s="451"/>
      <c r="C121" s="450"/>
      <c r="D121" s="440"/>
      <c r="E121" s="441"/>
      <c r="F121" s="442"/>
      <c r="G121" s="440"/>
      <c r="H121" s="452"/>
      <c r="I121" s="442"/>
      <c r="J121" s="442"/>
      <c r="K121" s="452"/>
      <c r="L121" s="450"/>
      <c r="M121" s="440"/>
      <c r="N121" s="441"/>
      <c r="O121" s="442"/>
      <c r="P121" s="442"/>
      <c r="Q121" s="441"/>
      <c r="R121" s="442"/>
      <c r="S121" s="440"/>
    </row>
    <row r="122" spans="1:19" ht="9" customHeight="1">
      <c r="A122" s="440"/>
      <c r="B122" s="451"/>
      <c r="C122" s="450"/>
      <c r="D122" s="440"/>
      <c r="E122" s="441"/>
      <c r="F122" s="442"/>
      <c r="G122" s="440"/>
      <c r="H122" s="452"/>
      <c r="I122" s="442"/>
      <c r="J122" s="442"/>
      <c r="K122" s="452"/>
      <c r="L122" s="450"/>
      <c r="M122" s="440"/>
      <c r="N122" s="441"/>
      <c r="O122" s="442"/>
      <c r="P122" s="442"/>
      <c r="Q122" s="441"/>
      <c r="R122" s="442"/>
      <c r="S122" s="440"/>
    </row>
    <row r="123" spans="1:19">
      <c r="A123" s="434" t="s">
        <v>354</v>
      </c>
    </row>
    <row r="124" spans="1:19">
      <c r="A124" s="434" t="s">
        <v>355</v>
      </c>
    </row>
  </sheetData>
  <mergeCells count="5">
    <mergeCell ref="B8:C8"/>
    <mergeCell ref="E8:F8"/>
    <mergeCell ref="H8:I8"/>
    <mergeCell ref="K8:L8"/>
    <mergeCell ref="N8:O8"/>
  </mergeCells>
  <printOptions horizontalCentered="1" verticalCentered="1"/>
  <pageMargins left="0" right="0" top="0" bottom="0" header="0.31496062992125984" footer="0.31496062992125984"/>
  <pageSetup paperSize="9" scale="50" orientation="portrait" r:id="rId1"/>
  <drawing r:id="rId2"/>
</worksheet>
</file>

<file path=xl/worksheets/sheet60.xml><?xml version="1.0" encoding="utf-8"?>
<worksheet xmlns="http://schemas.openxmlformats.org/spreadsheetml/2006/main" xmlns:r="http://schemas.openxmlformats.org/officeDocument/2006/relationships">
  <dimension ref="A1:AQ81"/>
  <sheetViews>
    <sheetView topLeftCell="A22" workbookViewId="0">
      <selection activeCell="A28" sqref="A28"/>
    </sheetView>
  </sheetViews>
  <sheetFormatPr baseColWidth="10" defaultColWidth="8.85546875" defaultRowHeight="12.75"/>
  <cols>
    <col min="1" max="1" width="36.28515625" style="42" customWidth="1"/>
    <col min="2" max="2" width="9.28515625" style="426" customWidth="1"/>
    <col min="3" max="3" width="8.85546875" style="427" customWidth="1"/>
    <col min="4" max="5" width="2.140625" style="39" customWidth="1"/>
    <col min="6" max="6" width="9.5703125" style="426" customWidth="1"/>
    <col min="7" max="7" width="8.28515625" style="427" customWidth="1"/>
    <col min="8" max="8" width="2.28515625" style="39" customWidth="1"/>
    <col min="9" max="9" width="9.42578125" style="426" customWidth="1"/>
    <col min="10" max="10" width="9.28515625" style="427" customWidth="1"/>
    <col min="11" max="11" width="7.7109375" style="321" customWidth="1"/>
    <col min="12" max="12" width="7.7109375" style="322" customWidth="1"/>
    <col min="13" max="13" width="2.140625" style="95" customWidth="1"/>
    <col min="14" max="14" width="7.7109375" style="321" customWidth="1"/>
    <col min="15" max="15" width="7.7109375" style="322" customWidth="1"/>
    <col min="16" max="16" width="2.28515625" style="95" customWidth="1"/>
    <col min="17" max="17" width="7.7109375" style="399" customWidth="1"/>
    <col min="18" max="18" width="8.85546875" style="156" customWidth="1"/>
    <col min="19" max="19" width="2.28515625" style="97" customWidth="1"/>
    <col min="20" max="20" width="7.7109375" style="399" customWidth="1"/>
    <col min="21" max="21" width="7.7109375" style="156" customWidth="1"/>
    <col min="22" max="22" width="2" style="97" customWidth="1"/>
    <col min="23" max="23" width="7.7109375" style="399" customWidth="1"/>
    <col min="24" max="24" width="7.7109375" style="156" customWidth="1"/>
    <col min="25" max="25" width="2.28515625" style="97" customWidth="1"/>
    <col min="26" max="26" width="7.7109375" style="399" customWidth="1"/>
    <col min="27" max="27" width="7.7109375" style="156" customWidth="1"/>
    <col min="28" max="28" width="2.140625" style="97" customWidth="1"/>
    <col min="29" max="30" width="7.7109375" style="400" customWidth="1"/>
    <col min="31" max="31" width="2.7109375" style="400" customWidth="1"/>
    <col min="32" max="33" width="7.7109375" style="400" customWidth="1"/>
    <col min="34" max="34" width="2.7109375" style="275" customWidth="1"/>
    <col min="35" max="36" width="7.7109375" style="275" customWidth="1"/>
    <col min="37" max="37" width="2.7109375" style="275" customWidth="1"/>
    <col min="38" max="39" width="7.7109375" style="275" customWidth="1"/>
    <col min="40" max="40" width="2.7109375" style="275" customWidth="1"/>
    <col min="41" max="43" width="8.85546875" style="275" customWidth="1"/>
    <col min="44" max="256" width="8.85546875" style="42"/>
    <col min="257" max="257" width="36.28515625" style="42" customWidth="1"/>
    <col min="258" max="258" width="9.28515625" style="42" customWidth="1"/>
    <col min="259" max="259" width="8.85546875" style="42" customWidth="1"/>
    <col min="260" max="261" width="2.140625" style="42" customWidth="1"/>
    <col min="262" max="262" width="9.5703125" style="42" customWidth="1"/>
    <col min="263" max="263" width="8.28515625" style="42" customWidth="1"/>
    <col min="264" max="264" width="2.28515625" style="42" customWidth="1"/>
    <col min="265" max="265" width="9.42578125" style="42" customWidth="1"/>
    <col min="266" max="266" width="9.28515625" style="42" customWidth="1"/>
    <col min="267" max="268" width="7.7109375" style="42" customWidth="1"/>
    <col min="269" max="269" width="2.140625" style="42" customWidth="1"/>
    <col min="270" max="271" width="7.7109375" style="42" customWidth="1"/>
    <col min="272" max="272" width="2.28515625" style="42" customWidth="1"/>
    <col min="273" max="273" width="7.7109375" style="42" customWidth="1"/>
    <col min="274" max="274" width="8.85546875" style="42" customWidth="1"/>
    <col min="275" max="275" width="2.28515625" style="42" customWidth="1"/>
    <col min="276" max="277" width="7.7109375" style="42" customWidth="1"/>
    <col min="278" max="278" width="2" style="42" customWidth="1"/>
    <col min="279" max="280" width="7.7109375" style="42" customWidth="1"/>
    <col min="281" max="281" width="2.28515625" style="42" customWidth="1"/>
    <col min="282" max="283" width="7.7109375" style="42" customWidth="1"/>
    <col min="284" max="284" width="2.140625" style="42" customWidth="1"/>
    <col min="285" max="286" width="7.7109375" style="42" customWidth="1"/>
    <col min="287" max="287" width="2.7109375" style="42" customWidth="1"/>
    <col min="288" max="289" width="7.7109375" style="42" customWidth="1"/>
    <col min="290" max="290" width="2.7109375" style="42" customWidth="1"/>
    <col min="291" max="292" width="7.7109375" style="42" customWidth="1"/>
    <col min="293" max="293" width="2.7109375" style="42" customWidth="1"/>
    <col min="294" max="295" width="7.7109375" style="42" customWidth="1"/>
    <col min="296" max="296" width="2.7109375" style="42" customWidth="1"/>
    <col min="297" max="299" width="8.85546875" style="42" customWidth="1"/>
    <col min="300" max="512" width="8.85546875" style="42"/>
    <col min="513" max="513" width="36.28515625" style="42" customWidth="1"/>
    <col min="514" max="514" width="9.28515625" style="42" customWidth="1"/>
    <col min="515" max="515" width="8.85546875" style="42" customWidth="1"/>
    <col min="516" max="517" width="2.140625" style="42" customWidth="1"/>
    <col min="518" max="518" width="9.5703125" style="42" customWidth="1"/>
    <col min="519" max="519" width="8.28515625" style="42" customWidth="1"/>
    <col min="520" max="520" width="2.28515625" style="42" customWidth="1"/>
    <col min="521" max="521" width="9.42578125" style="42" customWidth="1"/>
    <col min="522" max="522" width="9.28515625" style="42" customWidth="1"/>
    <col min="523" max="524" width="7.7109375" style="42" customWidth="1"/>
    <col min="525" max="525" width="2.140625" style="42" customWidth="1"/>
    <col min="526" max="527" width="7.7109375" style="42" customWidth="1"/>
    <col min="528" max="528" width="2.28515625" style="42" customWidth="1"/>
    <col min="529" max="529" width="7.7109375" style="42" customWidth="1"/>
    <col min="530" max="530" width="8.85546875" style="42" customWidth="1"/>
    <col min="531" max="531" width="2.28515625" style="42" customWidth="1"/>
    <col min="532" max="533" width="7.7109375" style="42" customWidth="1"/>
    <col min="534" max="534" width="2" style="42" customWidth="1"/>
    <col min="535" max="536" width="7.7109375" style="42" customWidth="1"/>
    <col min="537" max="537" width="2.28515625" style="42" customWidth="1"/>
    <col min="538" max="539" width="7.7109375" style="42" customWidth="1"/>
    <col min="540" max="540" width="2.140625" style="42" customWidth="1"/>
    <col min="541" max="542" width="7.7109375" style="42" customWidth="1"/>
    <col min="543" max="543" width="2.7109375" style="42" customWidth="1"/>
    <col min="544" max="545" width="7.7109375" style="42" customWidth="1"/>
    <col min="546" max="546" width="2.7109375" style="42" customWidth="1"/>
    <col min="547" max="548" width="7.7109375" style="42" customWidth="1"/>
    <col min="549" max="549" width="2.7109375" style="42" customWidth="1"/>
    <col min="550" max="551" width="7.7109375" style="42" customWidth="1"/>
    <col min="552" max="552" width="2.7109375" style="42" customWidth="1"/>
    <col min="553" max="555" width="8.85546875" style="42" customWidth="1"/>
    <col min="556" max="768" width="8.85546875" style="42"/>
    <col min="769" max="769" width="36.28515625" style="42" customWidth="1"/>
    <col min="770" max="770" width="9.28515625" style="42" customWidth="1"/>
    <col min="771" max="771" width="8.85546875" style="42" customWidth="1"/>
    <col min="772" max="773" width="2.140625" style="42" customWidth="1"/>
    <col min="774" max="774" width="9.5703125" style="42" customWidth="1"/>
    <col min="775" max="775" width="8.28515625" style="42" customWidth="1"/>
    <col min="776" max="776" width="2.28515625" style="42" customWidth="1"/>
    <col min="777" max="777" width="9.42578125" style="42" customWidth="1"/>
    <col min="778" max="778" width="9.28515625" style="42" customWidth="1"/>
    <col min="779" max="780" width="7.7109375" style="42" customWidth="1"/>
    <col min="781" max="781" width="2.140625" style="42" customWidth="1"/>
    <col min="782" max="783" width="7.7109375" style="42" customWidth="1"/>
    <col min="784" max="784" width="2.28515625" style="42" customWidth="1"/>
    <col min="785" max="785" width="7.7109375" style="42" customWidth="1"/>
    <col min="786" max="786" width="8.85546875" style="42" customWidth="1"/>
    <col min="787" max="787" width="2.28515625" style="42" customWidth="1"/>
    <col min="788" max="789" width="7.7109375" style="42" customWidth="1"/>
    <col min="790" max="790" width="2" style="42" customWidth="1"/>
    <col min="791" max="792" width="7.7109375" style="42" customWidth="1"/>
    <col min="793" max="793" width="2.28515625" style="42" customWidth="1"/>
    <col min="794" max="795" width="7.7109375" style="42" customWidth="1"/>
    <col min="796" max="796" width="2.140625" style="42" customWidth="1"/>
    <col min="797" max="798" width="7.7109375" style="42" customWidth="1"/>
    <col min="799" max="799" width="2.7109375" style="42" customWidth="1"/>
    <col min="800" max="801" width="7.7109375" style="42" customWidth="1"/>
    <col min="802" max="802" width="2.7109375" style="42" customWidth="1"/>
    <col min="803" max="804" width="7.7109375" style="42" customWidth="1"/>
    <col min="805" max="805" width="2.7109375" style="42" customWidth="1"/>
    <col min="806" max="807" width="7.7109375" style="42" customWidth="1"/>
    <col min="808" max="808" width="2.7109375" style="42" customWidth="1"/>
    <col min="809" max="811" width="8.85546875" style="42" customWidth="1"/>
    <col min="812" max="1024" width="8.85546875" style="42"/>
    <col min="1025" max="1025" width="36.28515625" style="42" customWidth="1"/>
    <col min="1026" max="1026" width="9.28515625" style="42" customWidth="1"/>
    <col min="1027" max="1027" width="8.85546875" style="42" customWidth="1"/>
    <col min="1028" max="1029" width="2.140625" style="42" customWidth="1"/>
    <col min="1030" max="1030" width="9.5703125" style="42" customWidth="1"/>
    <col min="1031" max="1031" width="8.28515625" style="42" customWidth="1"/>
    <col min="1032" max="1032" width="2.28515625" style="42" customWidth="1"/>
    <col min="1033" max="1033" width="9.42578125" style="42" customWidth="1"/>
    <col min="1034" max="1034" width="9.28515625" style="42" customWidth="1"/>
    <col min="1035" max="1036" width="7.7109375" style="42" customWidth="1"/>
    <col min="1037" max="1037" width="2.140625" style="42" customWidth="1"/>
    <col min="1038" max="1039" width="7.7109375" style="42" customWidth="1"/>
    <col min="1040" max="1040" width="2.28515625" style="42" customWidth="1"/>
    <col min="1041" max="1041" width="7.7109375" style="42" customWidth="1"/>
    <col min="1042" max="1042" width="8.85546875" style="42" customWidth="1"/>
    <col min="1043" max="1043" width="2.28515625" style="42" customWidth="1"/>
    <col min="1044" max="1045" width="7.7109375" style="42" customWidth="1"/>
    <col min="1046" max="1046" width="2" style="42" customWidth="1"/>
    <col min="1047" max="1048" width="7.7109375" style="42" customWidth="1"/>
    <col min="1049" max="1049" width="2.28515625" style="42" customWidth="1"/>
    <col min="1050" max="1051" width="7.7109375" style="42" customWidth="1"/>
    <col min="1052" max="1052" width="2.140625" style="42" customWidth="1"/>
    <col min="1053" max="1054" width="7.7109375" style="42" customWidth="1"/>
    <col min="1055" max="1055" width="2.7109375" style="42" customWidth="1"/>
    <col min="1056" max="1057" width="7.7109375" style="42" customWidth="1"/>
    <col min="1058" max="1058" width="2.7109375" style="42" customWidth="1"/>
    <col min="1059" max="1060" width="7.7109375" style="42" customWidth="1"/>
    <col min="1061" max="1061" width="2.7109375" style="42" customWidth="1"/>
    <col min="1062" max="1063" width="7.7109375" style="42" customWidth="1"/>
    <col min="1064" max="1064" width="2.7109375" style="42" customWidth="1"/>
    <col min="1065" max="1067" width="8.85546875" style="42" customWidth="1"/>
    <col min="1068" max="1280" width="8.85546875" style="42"/>
    <col min="1281" max="1281" width="36.28515625" style="42" customWidth="1"/>
    <col min="1282" max="1282" width="9.28515625" style="42" customWidth="1"/>
    <col min="1283" max="1283" width="8.85546875" style="42" customWidth="1"/>
    <col min="1284" max="1285" width="2.140625" style="42" customWidth="1"/>
    <col min="1286" max="1286" width="9.5703125" style="42" customWidth="1"/>
    <col min="1287" max="1287" width="8.28515625" style="42" customWidth="1"/>
    <col min="1288" max="1288" width="2.28515625" style="42" customWidth="1"/>
    <col min="1289" max="1289" width="9.42578125" style="42" customWidth="1"/>
    <col min="1290" max="1290" width="9.28515625" style="42" customWidth="1"/>
    <col min="1291" max="1292" width="7.7109375" style="42" customWidth="1"/>
    <col min="1293" max="1293" width="2.140625" style="42" customWidth="1"/>
    <col min="1294" max="1295" width="7.7109375" style="42" customWidth="1"/>
    <col min="1296" max="1296" width="2.28515625" style="42" customWidth="1"/>
    <col min="1297" max="1297" width="7.7109375" style="42" customWidth="1"/>
    <col min="1298" max="1298" width="8.85546875" style="42" customWidth="1"/>
    <col min="1299" max="1299" width="2.28515625" style="42" customWidth="1"/>
    <col min="1300" max="1301" width="7.7109375" style="42" customWidth="1"/>
    <col min="1302" max="1302" width="2" style="42" customWidth="1"/>
    <col min="1303" max="1304" width="7.7109375" style="42" customWidth="1"/>
    <col min="1305" max="1305" width="2.28515625" style="42" customWidth="1"/>
    <col min="1306" max="1307" width="7.7109375" style="42" customWidth="1"/>
    <col min="1308" max="1308" width="2.140625" style="42" customWidth="1"/>
    <col min="1309" max="1310" width="7.7109375" style="42" customWidth="1"/>
    <col min="1311" max="1311" width="2.7109375" style="42" customWidth="1"/>
    <col min="1312" max="1313" width="7.7109375" style="42" customWidth="1"/>
    <col min="1314" max="1314" width="2.7109375" style="42" customWidth="1"/>
    <col min="1315" max="1316" width="7.7109375" style="42" customWidth="1"/>
    <col min="1317" max="1317" width="2.7109375" style="42" customWidth="1"/>
    <col min="1318" max="1319" width="7.7109375" style="42" customWidth="1"/>
    <col min="1320" max="1320" width="2.7109375" style="42" customWidth="1"/>
    <col min="1321" max="1323" width="8.85546875" style="42" customWidth="1"/>
    <col min="1324" max="1536" width="8.85546875" style="42"/>
    <col min="1537" max="1537" width="36.28515625" style="42" customWidth="1"/>
    <col min="1538" max="1538" width="9.28515625" style="42" customWidth="1"/>
    <col min="1539" max="1539" width="8.85546875" style="42" customWidth="1"/>
    <col min="1540" max="1541" width="2.140625" style="42" customWidth="1"/>
    <col min="1542" max="1542" width="9.5703125" style="42" customWidth="1"/>
    <col min="1543" max="1543" width="8.28515625" style="42" customWidth="1"/>
    <col min="1544" max="1544" width="2.28515625" style="42" customWidth="1"/>
    <col min="1545" max="1545" width="9.42578125" style="42" customWidth="1"/>
    <col min="1546" max="1546" width="9.28515625" style="42" customWidth="1"/>
    <col min="1547" max="1548" width="7.7109375" style="42" customWidth="1"/>
    <col min="1549" max="1549" width="2.140625" style="42" customWidth="1"/>
    <col min="1550" max="1551" width="7.7109375" style="42" customWidth="1"/>
    <col min="1552" max="1552" width="2.28515625" style="42" customWidth="1"/>
    <col min="1553" max="1553" width="7.7109375" style="42" customWidth="1"/>
    <col min="1554" max="1554" width="8.85546875" style="42" customWidth="1"/>
    <col min="1555" max="1555" width="2.28515625" style="42" customWidth="1"/>
    <col min="1556" max="1557" width="7.7109375" style="42" customWidth="1"/>
    <col min="1558" max="1558" width="2" style="42" customWidth="1"/>
    <col min="1559" max="1560" width="7.7109375" style="42" customWidth="1"/>
    <col min="1561" max="1561" width="2.28515625" style="42" customWidth="1"/>
    <col min="1562" max="1563" width="7.7109375" style="42" customWidth="1"/>
    <col min="1564" max="1564" width="2.140625" style="42" customWidth="1"/>
    <col min="1565" max="1566" width="7.7109375" style="42" customWidth="1"/>
    <col min="1567" max="1567" width="2.7109375" style="42" customWidth="1"/>
    <col min="1568" max="1569" width="7.7109375" style="42" customWidth="1"/>
    <col min="1570" max="1570" width="2.7109375" style="42" customWidth="1"/>
    <col min="1571" max="1572" width="7.7109375" style="42" customWidth="1"/>
    <col min="1573" max="1573" width="2.7109375" style="42" customWidth="1"/>
    <col min="1574" max="1575" width="7.7109375" style="42" customWidth="1"/>
    <col min="1576" max="1576" width="2.7109375" style="42" customWidth="1"/>
    <col min="1577" max="1579" width="8.85546875" style="42" customWidth="1"/>
    <col min="1580" max="1792" width="8.85546875" style="42"/>
    <col min="1793" max="1793" width="36.28515625" style="42" customWidth="1"/>
    <col min="1794" max="1794" width="9.28515625" style="42" customWidth="1"/>
    <col min="1795" max="1795" width="8.85546875" style="42" customWidth="1"/>
    <col min="1796" max="1797" width="2.140625" style="42" customWidth="1"/>
    <col min="1798" max="1798" width="9.5703125" style="42" customWidth="1"/>
    <col min="1799" max="1799" width="8.28515625" style="42" customWidth="1"/>
    <col min="1800" max="1800" width="2.28515625" style="42" customWidth="1"/>
    <col min="1801" max="1801" width="9.42578125" style="42" customWidth="1"/>
    <col min="1802" max="1802" width="9.28515625" style="42" customWidth="1"/>
    <col min="1803" max="1804" width="7.7109375" style="42" customWidth="1"/>
    <col min="1805" max="1805" width="2.140625" style="42" customWidth="1"/>
    <col min="1806" max="1807" width="7.7109375" style="42" customWidth="1"/>
    <col min="1808" max="1808" width="2.28515625" style="42" customWidth="1"/>
    <col min="1809" max="1809" width="7.7109375" style="42" customWidth="1"/>
    <col min="1810" max="1810" width="8.85546875" style="42" customWidth="1"/>
    <col min="1811" max="1811" width="2.28515625" style="42" customWidth="1"/>
    <col min="1812" max="1813" width="7.7109375" style="42" customWidth="1"/>
    <col min="1814" max="1814" width="2" style="42" customWidth="1"/>
    <col min="1815" max="1816" width="7.7109375" style="42" customWidth="1"/>
    <col min="1817" max="1817" width="2.28515625" style="42" customWidth="1"/>
    <col min="1818" max="1819" width="7.7109375" style="42" customWidth="1"/>
    <col min="1820" max="1820" width="2.140625" style="42" customWidth="1"/>
    <col min="1821" max="1822" width="7.7109375" style="42" customWidth="1"/>
    <col min="1823" max="1823" width="2.7109375" style="42" customWidth="1"/>
    <col min="1824" max="1825" width="7.7109375" style="42" customWidth="1"/>
    <col min="1826" max="1826" width="2.7109375" style="42" customWidth="1"/>
    <col min="1827" max="1828" width="7.7109375" style="42" customWidth="1"/>
    <col min="1829" max="1829" width="2.7109375" style="42" customWidth="1"/>
    <col min="1830" max="1831" width="7.7109375" style="42" customWidth="1"/>
    <col min="1832" max="1832" width="2.7109375" style="42" customWidth="1"/>
    <col min="1833" max="1835" width="8.85546875" style="42" customWidth="1"/>
    <col min="1836" max="2048" width="8.85546875" style="42"/>
    <col min="2049" max="2049" width="36.28515625" style="42" customWidth="1"/>
    <col min="2050" max="2050" width="9.28515625" style="42" customWidth="1"/>
    <col min="2051" max="2051" width="8.85546875" style="42" customWidth="1"/>
    <col min="2052" max="2053" width="2.140625" style="42" customWidth="1"/>
    <col min="2054" max="2054" width="9.5703125" style="42" customWidth="1"/>
    <col min="2055" max="2055" width="8.28515625" style="42" customWidth="1"/>
    <col min="2056" max="2056" width="2.28515625" style="42" customWidth="1"/>
    <col min="2057" max="2057" width="9.42578125" style="42" customWidth="1"/>
    <col min="2058" max="2058" width="9.28515625" style="42" customWidth="1"/>
    <col min="2059" max="2060" width="7.7109375" style="42" customWidth="1"/>
    <col min="2061" max="2061" width="2.140625" style="42" customWidth="1"/>
    <col min="2062" max="2063" width="7.7109375" style="42" customWidth="1"/>
    <col min="2064" max="2064" width="2.28515625" style="42" customWidth="1"/>
    <col min="2065" max="2065" width="7.7109375" style="42" customWidth="1"/>
    <col min="2066" max="2066" width="8.85546875" style="42" customWidth="1"/>
    <col min="2067" max="2067" width="2.28515625" style="42" customWidth="1"/>
    <col min="2068" max="2069" width="7.7109375" style="42" customWidth="1"/>
    <col min="2070" max="2070" width="2" style="42" customWidth="1"/>
    <col min="2071" max="2072" width="7.7109375" style="42" customWidth="1"/>
    <col min="2073" max="2073" width="2.28515625" style="42" customWidth="1"/>
    <col min="2074" max="2075" width="7.7109375" style="42" customWidth="1"/>
    <col min="2076" max="2076" width="2.140625" style="42" customWidth="1"/>
    <col min="2077" max="2078" width="7.7109375" style="42" customWidth="1"/>
    <col min="2079" max="2079" width="2.7109375" style="42" customWidth="1"/>
    <col min="2080" max="2081" width="7.7109375" style="42" customWidth="1"/>
    <col min="2082" max="2082" width="2.7109375" style="42" customWidth="1"/>
    <col min="2083" max="2084" width="7.7109375" style="42" customWidth="1"/>
    <col min="2085" max="2085" width="2.7109375" style="42" customWidth="1"/>
    <col min="2086" max="2087" width="7.7109375" style="42" customWidth="1"/>
    <col min="2088" max="2088" width="2.7109375" style="42" customWidth="1"/>
    <col min="2089" max="2091" width="8.85546875" style="42" customWidth="1"/>
    <col min="2092" max="2304" width="8.85546875" style="42"/>
    <col min="2305" max="2305" width="36.28515625" style="42" customWidth="1"/>
    <col min="2306" max="2306" width="9.28515625" style="42" customWidth="1"/>
    <col min="2307" max="2307" width="8.85546875" style="42" customWidth="1"/>
    <col min="2308" max="2309" width="2.140625" style="42" customWidth="1"/>
    <col min="2310" max="2310" width="9.5703125" style="42" customWidth="1"/>
    <col min="2311" max="2311" width="8.28515625" style="42" customWidth="1"/>
    <col min="2312" max="2312" width="2.28515625" style="42" customWidth="1"/>
    <col min="2313" max="2313" width="9.42578125" style="42" customWidth="1"/>
    <col min="2314" max="2314" width="9.28515625" style="42" customWidth="1"/>
    <col min="2315" max="2316" width="7.7109375" style="42" customWidth="1"/>
    <col min="2317" max="2317" width="2.140625" style="42" customWidth="1"/>
    <col min="2318" max="2319" width="7.7109375" style="42" customWidth="1"/>
    <col min="2320" max="2320" width="2.28515625" style="42" customWidth="1"/>
    <col min="2321" max="2321" width="7.7109375" style="42" customWidth="1"/>
    <col min="2322" max="2322" width="8.85546875" style="42" customWidth="1"/>
    <col min="2323" max="2323" width="2.28515625" style="42" customWidth="1"/>
    <col min="2324" max="2325" width="7.7109375" style="42" customWidth="1"/>
    <col min="2326" max="2326" width="2" style="42" customWidth="1"/>
    <col min="2327" max="2328" width="7.7109375" style="42" customWidth="1"/>
    <col min="2329" max="2329" width="2.28515625" style="42" customWidth="1"/>
    <col min="2330" max="2331" width="7.7109375" style="42" customWidth="1"/>
    <col min="2332" max="2332" width="2.140625" style="42" customWidth="1"/>
    <col min="2333" max="2334" width="7.7109375" style="42" customWidth="1"/>
    <col min="2335" max="2335" width="2.7109375" style="42" customWidth="1"/>
    <col min="2336" max="2337" width="7.7109375" style="42" customWidth="1"/>
    <col min="2338" max="2338" width="2.7109375" style="42" customWidth="1"/>
    <col min="2339" max="2340" width="7.7109375" style="42" customWidth="1"/>
    <col min="2341" max="2341" width="2.7109375" style="42" customWidth="1"/>
    <col min="2342" max="2343" width="7.7109375" style="42" customWidth="1"/>
    <col min="2344" max="2344" width="2.7109375" style="42" customWidth="1"/>
    <col min="2345" max="2347" width="8.85546875" style="42" customWidth="1"/>
    <col min="2348" max="2560" width="8.85546875" style="42"/>
    <col min="2561" max="2561" width="36.28515625" style="42" customWidth="1"/>
    <col min="2562" max="2562" width="9.28515625" style="42" customWidth="1"/>
    <col min="2563" max="2563" width="8.85546875" style="42" customWidth="1"/>
    <col min="2564" max="2565" width="2.140625" style="42" customWidth="1"/>
    <col min="2566" max="2566" width="9.5703125" style="42" customWidth="1"/>
    <col min="2567" max="2567" width="8.28515625" style="42" customWidth="1"/>
    <col min="2568" max="2568" width="2.28515625" style="42" customWidth="1"/>
    <col min="2569" max="2569" width="9.42578125" style="42" customWidth="1"/>
    <col min="2570" max="2570" width="9.28515625" style="42" customWidth="1"/>
    <col min="2571" max="2572" width="7.7109375" style="42" customWidth="1"/>
    <col min="2573" max="2573" width="2.140625" style="42" customWidth="1"/>
    <col min="2574" max="2575" width="7.7109375" style="42" customWidth="1"/>
    <col min="2576" max="2576" width="2.28515625" style="42" customWidth="1"/>
    <col min="2577" max="2577" width="7.7109375" style="42" customWidth="1"/>
    <col min="2578" max="2578" width="8.85546875" style="42" customWidth="1"/>
    <col min="2579" max="2579" width="2.28515625" style="42" customWidth="1"/>
    <col min="2580" max="2581" width="7.7109375" style="42" customWidth="1"/>
    <col min="2582" max="2582" width="2" style="42" customWidth="1"/>
    <col min="2583" max="2584" width="7.7109375" style="42" customWidth="1"/>
    <col min="2585" max="2585" width="2.28515625" style="42" customWidth="1"/>
    <col min="2586" max="2587" width="7.7109375" style="42" customWidth="1"/>
    <col min="2588" max="2588" width="2.140625" style="42" customWidth="1"/>
    <col min="2589" max="2590" width="7.7109375" style="42" customWidth="1"/>
    <col min="2591" max="2591" width="2.7109375" style="42" customWidth="1"/>
    <col min="2592" max="2593" width="7.7109375" style="42" customWidth="1"/>
    <col min="2594" max="2594" width="2.7109375" style="42" customWidth="1"/>
    <col min="2595" max="2596" width="7.7109375" style="42" customWidth="1"/>
    <col min="2597" max="2597" width="2.7109375" style="42" customWidth="1"/>
    <col min="2598" max="2599" width="7.7109375" style="42" customWidth="1"/>
    <col min="2600" max="2600" width="2.7109375" style="42" customWidth="1"/>
    <col min="2601" max="2603" width="8.85546875" style="42" customWidth="1"/>
    <col min="2604" max="2816" width="8.85546875" style="42"/>
    <col min="2817" max="2817" width="36.28515625" style="42" customWidth="1"/>
    <col min="2818" max="2818" width="9.28515625" style="42" customWidth="1"/>
    <col min="2819" max="2819" width="8.85546875" style="42" customWidth="1"/>
    <col min="2820" max="2821" width="2.140625" style="42" customWidth="1"/>
    <col min="2822" max="2822" width="9.5703125" style="42" customWidth="1"/>
    <col min="2823" max="2823" width="8.28515625" style="42" customWidth="1"/>
    <col min="2824" max="2824" width="2.28515625" style="42" customWidth="1"/>
    <col min="2825" max="2825" width="9.42578125" style="42" customWidth="1"/>
    <col min="2826" max="2826" width="9.28515625" style="42" customWidth="1"/>
    <col min="2827" max="2828" width="7.7109375" style="42" customWidth="1"/>
    <col min="2829" max="2829" width="2.140625" style="42" customWidth="1"/>
    <col min="2830" max="2831" width="7.7109375" style="42" customWidth="1"/>
    <col min="2832" max="2832" width="2.28515625" style="42" customWidth="1"/>
    <col min="2833" max="2833" width="7.7109375" style="42" customWidth="1"/>
    <col min="2834" max="2834" width="8.85546875" style="42" customWidth="1"/>
    <col min="2835" max="2835" width="2.28515625" style="42" customWidth="1"/>
    <col min="2836" max="2837" width="7.7109375" style="42" customWidth="1"/>
    <col min="2838" max="2838" width="2" style="42" customWidth="1"/>
    <col min="2839" max="2840" width="7.7109375" style="42" customWidth="1"/>
    <col min="2841" max="2841" width="2.28515625" style="42" customWidth="1"/>
    <col min="2842" max="2843" width="7.7109375" style="42" customWidth="1"/>
    <col min="2844" max="2844" width="2.140625" style="42" customWidth="1"/>
    <col min="2845" max="2846" width="7.7109375" style="42" customWidth="1"/>
    <col min="2847" max="2847" width="2.7109375" style="42" customWidth="1"/>
    <col min="2848" max="2849" width="7.7109375" style="42" customWidth="1"/>
    <col min="2850" max="2850" width="2.7109375" style="42" customWidth="1"/>
    <col min="2851" max="2852" width="7.7109375" style="42" customWidth="1"/>
    <col min="2853" max="2853" width="2.7109375" style="42" customWidth="1"/>
    <col min="2854" max="2855" width="7.7109375" style="42" customWidth="1"/>
    <col min="2856" max="2856" width="2.7109375" style="42" customWidth="1"/>
    <col min="2857" max="2859" width="8.85546875" style="42" customWidth="1"/>
    <col min="2860" max="3072" width="8.85546875" style="42"/>
    <col min="3073" max="3073" width="36.28515625" style="42" customWidth="1"/>
    <col min="3074" max="3074" width="9.28515625" style="42" customWidth="1"/>
    <col min="3075" max="3075" width="8.85546875" style="42" customWidth="1"/>
    <col min="3076" max="3077" width="2.140625" style="42" customWidth="1"/>
    <col min="3078" max="3078" width="9.5703125" style="42" customWidth="1"/>
    <col min="3079" max="3079" width="8.28515625" style="42" customWidth="1"/>
    <col min="3080" max="3080" width="2.28515625" style="42" customWidth="1"/>
    <col min="3081" max="3081" width="9.42578125" style="42" customWidth="1"/>
    <col min="3082" max="3082" width="9.28515625" style="42" customWidth="1"/>
    <col min="3083" max="3084" width="7.7109375" style="42" customWidth="1"/>
    <col min="3085" max="3085" width="2.140625" style="42" customWidth="1"/>
    <col min="3086" max="3087" width="7.7109375" style="42" customWidth="1"/>
    <col min="3088" max="3088" width="2.28515625" style="42" customWidth="1"/>
    <col min="3089" max="3089" width="7.7109375" style="42" customWidth="1"/>
    <col min="3090" max="3090" width="8.85546875" style="42" customWidth="1"/>
    <col min="3091" max="3091" width="2.28515625" style="42" customWidth="1"/>
    <col min="3092" max="3093" width="7.7109375" style="42" customWidth="1"/>
    <col min="3094" max="3094" width="2" style="42" customWidth="1"/>
    <col min="3095" max="3096" width="7.7109375" style="42" customWidth="1"/>
    <col min="3097" max="3097" width="2.28515625" style="42" customWidth="1"/>
    <col min="3098" max="3099" width="7.7109375" style="42" customWidth="1"/>
    <col min="3100" max="3100" width="2.140625" style="42" customWidth="1"/>
    <col min="3101" max="3102" width="7.7109375" style="42" customWidth="1"/>
    <col min="3103" max="3103" width="2.7109375" style="42" customWidth="1"/>
    <col min="3104" max="3105" width="7.7109375" style="42" customWidth="1"/>
    <col min="3106" max="3106" width="2.7109375" style="42" customWidth="1"/>
    <col min="3107" max="3108" width="7.7109375" style="42" customWidth="1"/>
    <col min="3109" max="3109" width="2.7109375" style="42" customWidth="1"/>
    <col min="3110" max="3111" width="7.7109375" style="42" customWidth="1"/>
    <col min="3112" max="3112" width="2.7109375" style="42" customWidth="1"/>
    <col min="3113" max="3115" width="8.85546875" style="42" customWidth="1"/>
    <col min="3116" max="3328" width="8.85546875" style="42"/>
    <col min="3329" max="3329" width="36.28515625" style="42" customWidth="1"/>
    <col min="3330" max="3330" width="9.28515625" style="42" customWidth="1"/>
    <col min="3331" max="3331" width="8.85546875" style="42" customWidth="1"/>
    <col min="3332" max="3333" width="2.140625" style="42" customWidth="1"/>
    <col min="3334" max="3334" width="9.5703125" style="42" customWidth="1"/>
    <col min="3335" max="3335" width="8.28515625" style="42" customWidth="1"/>
    <col min="3336" max="3336" width="2.28515625" style="42" customWidth="1"/>
    <col min="3337" max="3337" width="9.42578125" style="42" customWidth="1"/>
    <col min="3338" max="3338" width="9.28515625" style="42" customWidth="1"/>
    <col min="3339" max="3340" width="7.7109375" style="42" customWidth="1"/>
    <col min="3341" max="3341" width="2.140625" style="42" customWidth="1"/>
    <col min="3342" max="3343" width="7.7109375" style="42" customWidth="1"/>
    <col min="3344" max="3344" width="2.28515625" style="42" customWidth="1"/>
    <col min="3345" max="3345" width="7.7109375" style="42" customWidth="1"/>
    <col min="3346" max="3346" width="8.85546875" style="42" customWidth="1"/>
    <col min="3347" max="3347" width="2.28515625" style="42" customWidth="1"/>
    <col min="3348" max="3349" width="7.7109375" style="42" customWidth="1"/>
    <col min="3350" max="3350" width="2" style="42" customWidth="1"/>
    <col min="3351" max="3352" width="7.7109375" style="42" customWidth="1"/>
    <col min="3353" max="3353" width="2.28515625" style="42" customWidth="1"/>
    <col min="3354" max="3355" width="7.7109375" style="42" customWidth="1"/>
    <col min="3356" max="3356" width="2.140625" style="42" customWidth="1"/>
    <col min="3357" max="3358" width="7.7109375" style="42" customWidth="1"/>
    <col min="3359" max="3359" width="2.7109375" style="42" customWidth="1"/>
    <col min="3360" max="3361" width="7.7109375" style="42" customWidth="1"/>
    <col min="3362" max="3362" width="2.7109375" style="42" customWidth="1"/>
    <col min="3363" max="3364" width="7.7109375" style="42" customWidth="1"/>
    <col min="3365" max="3365" width="2.7109375" style="42" customWidth="1"/>
    <col min="3366" max="3367" width="7.7109375" style="42" customWidth="1"/>
    <col min="3368" max="3368" width="2.7109375" style="42" customWidth="1"/>
    <col min="3369" max="3371" width="8.85546875" style="42" customWidth="1"/>
    <col min="3372" max="3584" width="8.85546875" style="42"/>
    <col min="3585" max="3585" width="36.28515625" style="42" customWidth="1"/>
    <col min="3586" max="3586" width="9.28515625" style="42" customWidth="1"/>
    <col min="3587" max="3587" width="8.85546875" style="42" customWidth="1"/>
    <col min="3588" max="3589" width="2.140625" style="42" customWidth="1"/>
    <col min="3590" max="3590" width="9.5703125" style="42" customWidth="1"/>
    <col min="3591" max="3591" width="8.28515625" style="42" customWidth="1"/>
    <col min="3592" max="3592" width="2.28515625" style="42" customWidth="1"/>
    <col min="3593" max="3593" width="9.42578125" style="42" customWidth="1"/>
    <col min="3594" max="3594" width="9.28515625" style="42" customWidth="1"/>
    <col min="3595" max="3596" width="7.7109375" style="42" customWidth="1"/>
    <col min="3597" max="3597" width="2.140625" style="42" customWidth="1"/>
    <col min="3598" max="3599" width="7.7109375" style="42" customWidth="1"/>
    <col min="3600" max="3600" width="2.28515625" style="42" customWidth="1"/>
    <col min="3601" max="3601" width="7.7109375" style="42" customWidth="1"/>
    <col min="3602" max="3602" width="8.85546875" style="42" customWidth="1"/>
    <col min="3603" max="3603" width="2.28515625" style="42" customWidth="1"/>
    <col min="3604" max="3605" width="7.7109375" style="42" customWidth="1"/>
    <col min="3606" max="3606" width="2" style="42" customWidth="1"/>
    <col min="3607" max="3608" width="7.7109375" style="42" customWidth="1"/>
    <col min="3609" max="3609" width="2.28515625" style="42" customWidth="1"/>
    <col min="3610" max="3611" width="7.7109375" style="42" customWidth="1"/>
    <col min="3612" max="3612" width="2.140625" style="42" customWidth="1"/>
    <col min="3613" max="3614" width="7.7109375" style="42" customWidth="1"/>
    <col min="3615" max="3615" width="2.7109375" style="42" customWidth="1"/>
    <col min="3616" max="3617" width="7.7109375" style="42" customWidth="1"/>
    <col min="3618" max="3618" width="2.7109375" style="42" customWidth="1"/>
    <col min="3619" max="3620" width="7.7109375" style="42" customWidth="1"/>
    <col min="3621" max="3621" width="2.7109375" style="42" customWidth="1"/>
    <col min="3622" max="3623" width="7.7109375" style="42" customWidth="1"/>
    <col min="3624" max="3624" width="2.7109375" style="42" customWidth="1"/>
    <col min="3625" max="3627" width="8.85546875" style="42" customWidth="1"/>
    <col min="3628" max="3840" width="8.85546875" style="42"/>
    <col min="3841" max="3841" width="36.28515625" style="42" customWidth="1"/>
    <col min="3842" max="3842" width="9.28515625" style="42" customWidth="1"/>
    <col min="3843" max="3843" width="8.85546875" style="42" customWidth="1"/>
    <col min="3844" max="3845" width="2.140625" style="42" customWidth="1"/>
    <col min="3846" max="3846" width="9.5703125" style="42" customWidth="1"/>
    <col min="3847" max="3847" width="8.28515625" style="42" customWidth="1"/>
    <col min="3848" max="3848" width="2.28515625" style="42" customWidth="1"/>
    <col min="3849" max="3849" width="9.42578125" style="42" customWidth="1"/>
    <col min="3850" max="3850" width="9.28515625" style="42" customWidth="1"/>
    <col min="3851" max="3852" width="7.7109375" style="42" customWidth="1"/>
    <col min="3853" max="3853" width="2.140625" style="42" customWidth="1"/>
    <col min="3854" max="3855" width="7.7109375" style="42" customWidth="1"/>
    <col min="3856" max="3856" width="2.28515625" style="42" customWidth="1"/>
    <col min="3857" max="3857" width="7.7109375" style="42" customWidth="1"/>
    <col min="3858" max="3858" width="8.85546875" style="42" customWidth="1"/>
    <col min="3859" max="3859" width="2.28515625" style="42" customWidth="1"/>
    <col min="3860" max="3861" width="7.7109375" style="42" customWidth="1"/>
    <col min="3862" max="3862" width="2" style="42" customWidth="1"/>
    <col min="3863" max="3864" width="7.7109375" style="42" customWidth="1"/>
    <col min="3865" max="3865" width="2.28515625" style="42" customWidth="1"/>
    <col min="3866" max="3867" width="7.7109375" style="42" customWidth="1"/>
    <col min="3868" max="3868" width="2.140625" style="42" customWidth="1"/>
    <col min="3869" max="3870" width="7.7109375" style="42" customWidth="1"/>
    <col min="3871" max="3871" width="2.7109375" style="42" customWidth="1"/>
    <col min="3872" max="3873" width="7.7109375" style="42" customWidth="1"/>
    <col min="3874" max="3874" width="2.7109375" style="42" customWidth="1"/>
    <col min="3875" max="3876" width="7.7109375" style="42" customWidth="1"/>
    <col min="3877" max="3877" width="2.7109375" style="42" customWidth="1"/>
    <col min="3878" max="3879" width="7.7109375" style="42" customWidth="1"/>
    <col min="3880" max="3880" width="2.7109375" style="42" customWidth="1"/>
    <col min="3881" max="3883" width="8.85546875" style="42" customWidth="1"/>
    <col min="3884" max="4096" width="8.85546875" style="42"/>
    <col min="4097" max="4097" width="36.28515625" style="42" customWidth="1"/>
    <col min="4098" max="4098" width="9.28515625" style="42" customWidth="1"/>
    <col min="4099" max="4099" width="8.85546875" style="42" customWidth="1"/>
    <col min="4100" max="4101" width="2.140625" style="42" customWidth="1"/>
    <col min="4102" max="4102" width="9.5703125" style="42" customWidth="1"/>
    <col min="4103" max="4103" width="8.28515625" style="42" customWidth="1"/>
    <col min="4104" max="4104" width="2.28515625" style="42" customWidth="1"/>
    <col min="4105" max="4105" width="9.42578125" style="42" customWidth="1"/>
    <col min="4106" max="4106" width="9.28515625" style="42" customWidth="1"/>
    <col min="4107" max="4108" width="7.7109375" style="42" customWidth="1"/>
    <col min="4109" max="4109" width="2.140625" style="42" customWidth="1"/>
    <col min="4110" max="4111" width="7.7109375" style="42" customWidth="1"/>
    <col min="4112" max="4112" width="2.28515625" style="42" customWidth="1"/>
    <col min="4113" max="4113" width="7.7109375" style="42" customWidth="1"/>
    <col min="4114" max="4114" width="8.85546875" style="42" customWidth="1"/>
    <col min="4115" max="4115" width="2.28515625" style="42" customWidth="1"/>
    <col min="4116" max="4117" width="7.7109375" style="42" customWidth="1"/>
    <col min="4118" max="4118" width="2" style="42" customWidth="1"/>
    <col min="4119" max="4120" width="7.7109375" style="42" customWidth="1"/>
    <col min="4121" max="4121" width="2.28515625" style="42" customWidth="1"/>
    <col min="4122" max="4123" width="7.7109375" style="42" customWidth="1"/>
    <col min="4124" max="4124" width="2.140625" style="42" customWidth="1"/>
    <col min="4125" max="4126" width="7.7109375" style="42" customWidth="1"/>
    <col min="4127" max="4127" width="2.7109375" style="42" customWidth="1"/>
    <col min="4128" max="4129" width="7.7109375" style="42" customWidth="1"/>
    <col min="4130" max="4130" width="2.7109375" style="42" customWidth="1"/>
    <col min="4131" max="4132" width="7.7109375" style="42" customWidth="1"/>
    <col min="4133" max="4133" width="2.7109375" style="42" customWidth="1"/>
    <col min="4134" max="4135" width="7.7109375" style="42" customWidth="1"/>
    <col min="4136" max="4136" width="2.7109375" style="42" customWidth="1"/>
    <col min="4137" max="4139" width="8.85546875" style="42" customWidth="1"/>
    <col min="4140" max="4352" width="8.85546875" style="42"/>
    <col min="4353" max="4353" width="36.28515625" style="42" customWidth="1"/>
    <col min="4354" max="4354" width="9.28515625" style="42" customWidth="1"/>
    <col min="4355" max="4355" width="8.85546875" style="42" customWidth="1"/>
    <col min="4356" max="4357" width="2.140625" style="42" customWidth="1"/>
    <col min="4358" max="4358" width="9.5703125" style="42" customWidth="1"/>
    <col min="4359" max="4359" width="8.28515625" style="42" customWidth="1"/>
    <col min="4360" max="4360" width="2.28515625" style="42" customWidth="1"/>
    <col min="4361" max="4361" width="9.42578125" style="42" customWidth="1"/>
    <col min="4362" max="4362" width="9.28515625" style="42" customWidth="1"/>
    <col min="4363" max="4364" width="7.7109375" style="42" customWidth="1"/>
    <col min="4365" max="4365" width="2.140625" style="42" customWidth="1"/>
    <col min="4366" max="4367" width="7.7109375" style="42" customWidth="1"/>
    <col min="4368" max="4368" width="2.28515625" style="42" customWidth="1"/>
    <col min="4369" max="4369" width="7.7109375" style="42" customWidth="1"/>
    <col min="4370" max="4370" width="8.85546875" style="42" customWidth="1"/>
    <col min="4371" max="4371" width="2.28515625" style="42" customWidth="1"/>
    <col min="4372" max="4373" width="7.7109375" style="42" customWidth="1"/>
    <col min="4374" max="4374" width="2" style="42" customWidth="1"/>
    <col min="4375" max="4376" width="7.7109375" style="42" customWidth="1"/>
    <col min="4377" max="4377" width="2.28515625" style="42" customWidth="1"/>
    <col min="4378" max="4379" width="7.7109375" style="42" customWidth="1"/>
    <col min="4380" max="4380" width="2.140625" style="42" customWidth="1"/>
    <col min="4381" max="4382" width="7.7109375" style="42" customWidth="1"/>
    <col min="4383" max="4383" width="2.7109375" style="42" customWidth="1"/>
    <col min="4384" max="4385" width="7.7109375" style="42" customWidth="1"/>
    <col min="4386" max="4386" width="2.7109375" style="42" customWidth="1"/>
    <col min="4387" max="4388" width="7.7109375" style="42" customWidth="1"/>
    <col min="4389" max="4389" width="2.7109375" style="42" customWidth="1"/>
    <col min="4390" max="4391" width="7.7109375" style="42" customWidth="1"/>
    <col min="4392" max="4392" width="2.7109375" style="42" customWidth="1"/>
    <col min="4393" max="4395" width="8.85546875" style="42" customWidth="1"/>
    <col min="4396" max="4608" width="8.85546875" style="42"/>
    <col min="4609" max="4609" width="36.28515625" style="42" customWidth="1"/>
    <col min="4610" max="4610" width="9.28515625" style="42" customWidth="1"/>
    <col min="4611" max="4611" width="8.85546875" style="42" customWidth="1"/>
    <col min="4612" max="4613" width="2.140625" style="42" customWidth="1"/>
    <col min="4614" max="4614" width="9.5703125" style="42" customWidth="1"/>
    <col min="4615" max="4615" width="8.28515625" style="42" customWidth="1"/>
    <col min="4616" max="4616" width="2.28515625" style="42" customWidth="1"/>
    <col min="4617" max="4617" width="9.42578125" style="42" customWidth="1"/>
    <col min="4618" max="4618" width="9.28515625" style="42" customWidth="1"/>
    <col min="4619" max="4620" width="7.7109375" style="42" customWidth="1"/>
    <col min="4621" max="4621" width="2.140625" style="42" customWidth="1"/>
    <col min="4622" max="4623" width="7.7109375" style="42" customWidth="1"/>
    <col min="4624" max="4624" width="2.28515625" style="42" customWidth="1"/>
    <col min="4625" max="4625" width="7.7109375" style="42" customWidth="1"/>
    <col min="4626" max="4626" width="8.85546875" style="42" customWidth="1"/>
    <col min="4627" max="4627" width="2.28515625" style="42" customWidth="1"/>
    <col min="4628" max="4629" width="7.7109375" style="42" customWidth="1"/>
    <col min="4630" max="4630" width="2" style="42" customWidth="1"/>
    <col min="4631" max="4632" width="7.7109375" style="42" customWidth="1"/>
    <col min="4633" max="4633" width="2.28515625" style="42" customWidth="1"/>
    <col min="4634" max="4635" width="7.7109375" style="42" customWidth="1"/>
    <col min="4636" max="4636" width="2.140625" style="42" customWidth="1"/>
    <col min="4637" max="4638" width="7.7109375" style="42" customWidth="1"/>
    <col min="4639" max="4639" width="2.7109375" style="42" customWidth="1"/>
    <col min="4640" max="4641" width="7.7109375" style="42" customWidth="1"/>
    <col min="4642" max="4642" width="2.7109375" style="42" customWidth="1"/>
    <col min="4643" max="4644" width="7.7109375" style="42" customWidth="1"/>
    <col min="4645" max="4645" width="2.7109375" style="42" customWidth="1"/>
    <col min="4646" max="4647" width="7.7109375" style="42" customWidth="1"/>
    <col min="4648" max="4648" width="2.7109375" style="42" customWidth="1"/>
    <col min="4649" max="4651" width="8.85546875" style="42" customWidth="1"/>
    <col min="4652" max="4864" width="8.85546875" style="42"/>
    <col min="4865" max="4865" width="36.28515625" style="42" customWidth="1"/>
    <col min="4866" max="4866" width="9.28515625" style="42" customWidth="1"/>
    <col min="4867" max="4867" width="8.85546875" style="42" customWidth="1"/>
    <col min="4868" max="4869" width="2.140625" style="42" customWidth="1"/>
    <col min="4870" max="4870" width="9.5703125" style="42" customWidth="1"/>
    <col min="4871" max="4871" width="8.28515625" style="42" customWidth="1"/>
    <col min="4872" max="4872" width="2.28515625" style="42" customWidth="1"/>
    <col min="4873" max="4873" width="9.42578125" style="42" customWidth="1"/>
    <col min="4874" max="4874" width="9.28515625" style="42" customWidth="1"/>
    <col min="4875" max="4876" width="7.7109375" style="42" customWidth="1"/>
    <col min="4877" max="4877" width="2.140625" style="42" customWidth="1"/>
    <col min="4878" max="4879" width="7.7109375" style="42" customWidth="1"/>
    <col min="4880" max="4880" width="2.28515625" style="42" customWidth="1"/>
    <col min="4881" max="4881" width="7.7109375" style="42" customWidth="1"/>
    <col min="4882" max="4882" width="8.85546875" style="42" customWidth="1"/>
    <col min="4883" max="4883" width="2.28515625" style="42" customWidth="1"/>
    <col min="4884" max="4885" width="7.7109375" style="42" customWidth="1"/>
    <col min="4886" max="4886" width="2" style="42" customWidth="1"/>
    <col min="4887" max="4888" width="7.7109375" style="42" customWidth="1"/>
    <col min="4889" max="4889" width="2.28515625" style="42" customWidth="1"/>
    <col min="4890" max="4891" width="7.7109375" style="42" customWidth="1"/>
    <col min="4892" max="4892" width="2.140625" style="42" customWidth="1"/>
    <col min="4893" max="4894" width="7.7109375" style="42" customWidth="1"/>
    <col min="4895" max="4895" width="2.7109375" style="42" customWidth="1"/>
    <col min="4896" max="4897" width="7.7109375" style="42" customWidth="1"/>
    <col min="4898" max="4898" width="2.7109375" style="42" customWidth="1"/>
    <col min="4899" max="4900" width="7.7109375" style="42" customWidth="1"/>
    <col min="4901" max="4901" width="2.7109375" style="42" customWidth="1"/>
    <col min="4902" max="4903" width="7.7109375" style="42" customWidth="1"/>
    <col min="4904" max="4904" width="2.7109375" style="42" customWidth="1"/>
    <col min="4905" max="4907" width="8.85546875" style="42" customWidth="1"/>
    <col min="4908" max="5120" width="8.85546875" style="42"/>
    <col min="5121" max="5121" width="36.28515625" style="42" customWidth="1"/>
    <col min="5122" max="5122" width="9.28515625" style="42" customWidth="1"/>
    <col min="5123" max="5123" width="8.85546875" style="42" customWidth="1"/>
    <col min="5124" max="5125" width="2.140625" style="42" customWidth="1"/>
    <col min="5126" max="5126" width="9.5703125" style="42" customWidth="1"/>
    <col min="5127" max="5127" width="8.28515625" style="42" customWidth="1"/>
    <col min="5128" max="5128" width="2.28515625" style="42" customWidth="1"/>
    <col min="5129" max="5129" width="9.42578125" style="42" customWidth="1"/>
    <col min="5130" max="5130" width="9.28515625" style="42" customWidth="1"/>
    <col min="5131" max="5132" width="7.7109375" style="42" customWidth="1"/>
    <col min="5133" max="5133" width="2.140625" style="42" customWidth="1"/>
    <col min="5134" max="5135" width="7.7109375" style="42" customWidth="1"/>
    <col min="5136" max="5136" width="2.28515625" style="42" customWidth="1"/>
    <col min="5137" max="5137" width="7.7109375" style="42" customWidth="1"/>
    <col min="5138" max="5138" width="8.85546875" style="42" customWidth="1"/>
    <col min="5139" max="5139" width="2.28515625" style="42" customWidth="1"/>
    <col min="5140" max="5141" width="7.7109375" style="42" customWidth="1"/>
    <col min="5142" max="5142" width="2" style="42" customWidth="1"/>
    <col min="5143" max="5144" width="7.7109375" style="42" customWidth="1"/>
    <col min="5145" max="5145" width="2.28515625" style="42" customWidth="1"/>
    <col min="5146" max="5147" width="7.7109375" style="42" customWidth="1"/>
    <col min="5148" max="5148" width="2.140625" style="42" customWidth="1"/>
    <col min="5149" max="5150" width="7.7109375" style="42" customWidth="1"/>
    <col min="5151" max="5151" width="2.7109375" style="42" customWidth="1"/>
    <col min="5152" max="5153" width="7.7109375" style="42" customWidth="1"/>
    <col min="5154" max="5154" width="2.7109375" style="42" customWidth="1"/>
    <col min="5155" max="5156" width="7.7109375" style="42" customWidth="1"/>
    <col min="5157" max="5157" width="2.7109375" style="42" customWidth="1"/>
    <col min="5158" max="5159" width="7.7109375" style="42" customWidth="1"/>
    <col min="5160" max="5160" width="2.7109375" style="42" customWidth="1"/>
    <col min="5161" max="5163" width="8.85546875" style="42" customWidth="1"/>
    <col min="5164" max="5376" width="8.85546875" style="42"/>
    <col min="5377" max="5377" width="36.28515625" style="42" customWidth="1"/>
    <col min="5378" max="5378" width="9.28515625" style="42" customWidth="1"/>
    <col min="5379" max="5379" width="8.85546875" style="42" customWidth="1"/>
    <col min="5380" max="5381" width="2.140625" style="42" customWidth="1"/>
    <col min="5382" max="5382" width="9.5703125" style="42" customWidth="1"/>
    <col min="5383" max="5383" width="8.28515625" style="42" customWidth="1"/>
    <col min="5384" max="5384" width="2.28515625" style="42" customWidth="1"/>
    <col min="5385" max="5385" width="9.42578125" style="42" customWidth="1"/>
    <col min="5386" max="5386" width="9.28515625" style="42" customWidth="1"/>
    <col min="5387" max="5388" width="7.7109375" style="42" customWidth="1"/>
    <col min="5389" max="5389" width="2.140625" style="42" customWidth="1"/>
    <col min="5390" max="5391" width="7.7109375" style="42" customWidth="1"/>
    <col min="5392" max="5392" width="2.28515625" style="42" customWidth="1"/>
    <col min="5393" max="5393" width="7.7109375" style="42" customWidth="1"/>
    <col min="5394" max="5394" width="8.85546875" style="42" customWidth="1"/>
    <col min="5395" max="5395" width="2.28515625" style="42" customWidth="1"/>
    <col min="5396" max="5397" width="7.7109375" style="42" customWidth="1"/>
    <col min="5398" max="5398" width="2" style="42" customWidth="1"/>
    <col min="5399" max="5400" width="7.7109375" style="42" customWidth="1"/>
    <col min="5401" max="5401" width="2.28515625" style="42" customWidth="1"/>
    <col min="5402" max="5403" width="7.7109375" style="42" customWidth="1"/>
    <col min="5404" max="5404" width="2.140625" style="42" customWidth="1"/>
    <col min="5405" max="5406" width="7.7109375" style="42" customWidth="1"/>
    <col min="5407" max="5407" width="2.7109375" style="42" customWidth="1"/>
    <col min="5408" max="5409" width="7.7109375" style="42" customWidth="1"/>
    <col min="5410" max="5410" width="2.7109375" style="42" customWidth="1"/>
    <col min="5411" max="5412" width="7.7109375" style="42" customWidth="1"/>
    <col min="5413" max="5413" width="2.7109375" style="42" customWidth="1"/>
    <col min="5414" max="5415" width="7.7109375" style="42" customWidth="1"/>
    <col min="5416" max="5416" width="2.7109375" style="42" customWidth="1"/>
    <col min="5417" max="5419" width="8.85546875" style="42" customWidth="1"/>
    <col min="5420" max="5632" width="8.85546875" style="42"/>
    <col min="5633" max="5633" width="36.28515625" style="42" customWidth="1"/>
    <col min="5634" max="5634" width="9.28515625" style="42" customWidth="1"/>
    <col min="5635" max="5635" width="8.85546875" style="42" customWidth="1"/>
    <col min="5636" max="5637" width="2.140625" style="42" customWidth="1"/>
    <col min="5638" max="5638" width="9.5703125" style="42" customWidth="1"/>
    <col min="5639" max="5639" width="8.28515625" style="42" customWidth="1"/>
    <col min="5640" max="5640" width="2.28515625" style="42" customWidth="1"/>
    <col min="5641" max="5641" width="9.42578125" style="42" customWidth="1"/>
    <col min="5642" max="5642" width="9.28515625" style="42" customWidth="1"/>
    <col min="5643" max="5644" width="7.7109375" style="42" customWidth="1"/>
    <col min="5645" max="5645" width="2.140625" style="42" customWidth="1"/>
    <col min="5646" max="5647" width="7.7109375" style="42" customWidth="1"/>
    <col min="5648" max="5648" width="2.28515625" style="42" customWidth="1"/>
    <col min="5649" max="5649" width="7.7109375" style="42" customWidth="1"/>
    <col min="5650" max="5650" width="8.85546875" style="42" customWidth="1"/>
    <col min="5651" max="5651" width="2.28515625" style="42" customWidth="1"/>
    <col min="5652" max="5653" width="7.7109375" style="42" customWidth="1"/>
    <col min="5654" max="5654" width="2" style="42" customWidth="1"/>
    <col min="5655" max="5656" width="7.7109375" style="42" customWidth="1"/>
    <col min="5657" max="5657" width="2.28515625" style="42" customWidth="1"/>
    <col min="5658" max="5659" width="7.7109375" style="42" customWidth="1"/>
    <col min="5660" max="5660" width="2.140625" style="42" customWidth="1"/>
    <col min="5661" max="5662" width="7.7109375" style="42" customWidth="1"/>
    <col min="5663" max="5663" width="2.7109375" style="42" customWidth="1"/>
    <col min="5664" max="5665" width="7.7109375" style="42" customWidth="1"/>
    <col min="5666" max="5666" width="2.7109375" style="42" customWidth="1"/>
    <col min="5667" max="5668" width="7.7109375" style="42" customWidth="1"/>
    <col min="5669" max="5669" width="2.7109375" style="42" customWidth="1"/>
    <col min="5670" max="5671" width="7.7109375" style="42" customWidth="1"/>
    <col min="5672" max="5672" width="2.7109375" style="42" customWidth="1"/>
    <col min="5673" max="5675" width="8.85546875" style="42" customWidth="1"/>
    <col min="5676" max="5888" width="8.85546875" style="42"/>
    <col min="5889" max="5889" width="36.28515625" style="42" customWidth="1"/>
    <col min="5890" max="5890" width="9.28515625" style="42" customWidth="1"/>
    <col min="5891" max="5891" width="8.85546875" style="42" customWidth="1"/>
    <col min="5892" max="5893" width="2.140625" style="42" customWidth="1"/>
    <col min="5894" max="5894" width="9.5703125" style="42" customWidth="1"/>
    <col min="5895" max="5895" width="8.28515625" style="42" customWidth="1"/>
    <col min="5896" max="5896" width="2.28515625" style="42" customWidth="1"/>
    <col min="5897" max="5897" width="9.42578125" style="42" customWidth="1"/>
    <col min="5898" max="5898" width="9.28515625" style="42" customWidth="1"/>
    <col min="5899" max="5900" width="7.7109375" style="42" customWidth="1"/>
    <col min="5901" max="5901" width="2.140625" style="42" customWidth="1"/>
    <col min="5902" max="5903" width="7.7109375" style="42" customWidth="1"/>
    <col min="5904" max="5904" width="2.28515625" style="42" customWidth="1"/>
    <col min="5905" max="5905" width="7.7109375" style="42" customWidth="1"/>
    <col min="5906" max="5906" width="8.85546875" style="42" customWidth="1"/>
    <col min="5907" max="5907" width="2.28515625" style="42" customWidth="1"/>
    <col min="5908" max="5909" width="7.7109375" style="42" customWidth="1"/>
    <col min="5910" max="5910" width="2" style="42" customWidth="1"/>
    <col min="5911" max="5912" width="7.7109375" style="42" customWidth="1"/>
    <col min="5913" max="5913" width="2.28515625" style="42" customWidth="1"/>
    <col min="5914" max="5915" width="7.7109375" style="42" customWidth="1"/>
    <col min="5916" max="5916" width="2.140625" style="42" customWidth="1"/>
    <col min="5917" max="5918" width="7.7109375" style="42" customWidth="1"/>
    <col min="5919" max="5919" width="2.7109375" style="42" customWidth="1"/>
    <col min="5920" max="5921" width="7.7109375" style="42" customWidth="1"/>
    <col min="5922" max="5922" width="2.7109375" style="42" customWidth="1"/>
    <col min="5923" max="5924" width="7.7109375" style="42" customWidth="1"/>
    <col min="5925" max="5925" width="2.7109375" style="42" customWidth="1"/>
    <col min="5926" max="5927" width="7.7109375" style="42" customWidth="1"/>
    <col min="5928" max="5928" width="2.7109375" style="42" customWidth="1"/>
    <col min="5929" max="5931" width="8.85546875" style="42" customWidth="1"/>
    <col min="5932" max="6144" width="8.85546875" style="42"/>
    <col min="6145" max="6145" width="36.28515625" style="42" customWidth="1"/>
    <col min="6146" max="6146" width="9.28515625" style="42" customWidth="1"/>
    <col min="6147" max="6147" width="8.85546875" style="42" customWidth="1"/>
    <col min="6148" max="6149" width="2.140625" style="42" customWidth="1"/>
    <col min="6150" max="6150" width="9.5703125" style="42" customWidth="1"/>
    <col min="6151" max="6151" width="8.28515625" style="42" customWidth="1"/>
    <col min="6152" max="6152" width="2.28515625" style="42" customWidth="1"/>
    <col min="6153" max="6153" width="9.42578125" style="42" customWidth="1"/>
    <col min="6154" max="6154" width="9.28515625" style="42" customWidth="1"/>
    <col min="6155" max="6156" width="7.7109375" style="42" customWidth="1"/>
    <col min="6157" max="6157" width="2.140625" style="42" customWidth="1"/>
    <col min="6158" max="6159" width="7.7109375" style="42" customWidth="1"/>
    <col min="6160" max="6160" width="2.28515625" style="42" customWidth="1"/>
    <col min="6161" max="6161" width="7.7109375" style="42" customWidth="1"/>
    <col min="6162" max="6162" width="8.85546875" style="42" customWidth="1"/>
    <col min="6163" max="6163" width="2.28515625" style="42" customWidth="1"/>
    <col min="6164" max="6165" width="7.7109375" style="42" customWidth="1"/>
    <col min="6166" max="6166" width="2" style="42" customWidth="1"/>
    <col min="6167" max="6168" width="7.7109375" style="42" customWidth="1"/>
    <col min="6169" max="6169" width="2.28515625" style="42" customWidth="1"/>
    <col min="6170" max="6171" width="7.7109375" style="42" customWidth="1"/>
    <col min="6172" max="6172" width="2.140625" style="42" customWidth="1"/>
    <col min="6173" max="6174" width="7.7109375" style="42" customWidth="1"/>
    <col min="6175" max="6175" width="2.7109375" style="42" customWidth="1"/>
    <col min="6176" max="6177" width="7.7109375" style="42" customWidth="1"/>
    <col min="6178" max="6178" width="2.7109375" style="42" customWidth="1"/>
    <col min="6179" max="6180" width="7.7109375" style="42" customWidth="1"/>
    <col min="6181" max="6181" width="2.7109375" style="42" customWidth="1"/>
    <col min="6182" max="6183" width="7.7109375" style="42" customWidth="1"/>
    <col min="6184" max="6184" width="2.7109375" style="42" customWidth="1"/>
    <col min="6185" max="6187" width="8.85546875" style="42" customWidth="1"/>
    <col min="6188" max="6400" width="8.85546875" style="42"/>
    <col min="6401" max="6401" width="36.28515625" style="42" customWidth="1"/>
    <col min="6402" max="6402" width="9.28515625" style="42" customWidth="1"/>
    <col min="6403" max="6403" width="8.85546875" style="42" customWidth="1"/>
    <col min="6404" max="6405" width="2.140625" style="42" customWidth="1"/>
    <col min="6406" max="6406" width="9.5703125" style="42" customWidth="1"/>
    <col min="6407" max="6407" width="8.28515625" style="42" customWidth="1"/>
    <col min="6408" max="6408" width="2.28515625" style="42" customWidth="1"/>
    <col min="6409" max="6409" width="9.42578125" style="42" customWidth="1"/>
    <col min="6410" max="6410" width="9.28515625" style="42" customWidth="1"/>
    <col min="6411" max="6412" width="7.7109375" style="42" customWidth="1"/>
    <col min="6413" max="6413" width="2.140625" style="42" customWidth="1"/>
    <col min="6414" max="6415" width="7.7109375" style="42" customWidth="1"/>
    <col min="6416" max="6416" width="2.28515625" style="42" customWidth="1"/>
    <col min="6417" max="6417" width="7.7109375" style="42" customWidth="1"/>
    <col min="6418" max="6418" width="8.85546875" style="42" customWidth="1"/>
    <col min="6419" max="6419" width="2.28515625" style="42" customWidth="1"/>
    <col min="6420" max="6421" width="7.7109375" style="42" customWidth="1"/>
    <col min="6422" max="6422" width="2" style="42" customWidth="1"/>
    <col min="6423" max="6424" width="7.7109375" style="42" customWidth="1"/>
    <col min="6425" max="6425" width="2.28515625" style="42" customWidth="1"/>
    <col min="6426" max="6427" width="7.7109375" style="42" customWidth="1"/>
    <col min="6428" max="6428" width="2.140625" style="42" customWidth="1"/>
    <col min="6429" max="6430" width="7.7109375" style="42" customWidth="1"/>
    <col min="6431" max="6431" width="2.7109375" style="42" customWidth="1"/>
    <col min="6432" max="6433" width="7.7109375" style="42" customWidth="1"/>
    <col min="6434" max="6434" width="2.7109375" style="42" customWidth="1"/>
    <col min="6435" max="6436" width="7.7109375" style="42" customWidth="1"/>
    <col min="6437" max="6437" width="2.7109375" style="42" customWidth="1"/>
    <col min="6438" max="6439" width="7.7109375" style="42" customWidth="1"/>
    <col min="6440" max="6440" width="2.7109375" style="42" customWidth="1"/>
    <col min="6441" max="6443" width="8.85546875" style="42" customWidth="1"/>
    <col min="6444" max="6656" width="8.85546875" style="42"/>
    <col min="6657" max="6657" width="36.28515625" style="42" customWidth="1"/>
    <col min="6658" max="6658" width="9.28515625" style="42" customWidth="1"/>
    <col min="6659" max="6659" width="8.85546875" style="42" customWidth="1"/>
    <col min="6660" max="6661" width="2.140625" style="42" customWidth="1"/>
    <col min="6662" max="6662" width="9.5703125" style="42" customWidth="1"/>
    <col min="6663" max="6663" width="8.28515625" style="42" customWidth="1"/>
    <col min="6664" max="6664" width="2.28515625" style="42" customWidth="1"/>
    <col min="6665" max="6665" width="9.42578125" style="42" customWidth="1"/>
    <col min="6666" max="6666" width="9.28515625" style="42" customWidth="1"/>
    <col min="6667" max="6668" width="7.7109375" style="42" customWidth="1"/>
    <col min="6669" max="6669" width="2.140625" style="42" customWidth="1"/>
    <col min="6670" max="6671" width="7.7109375" style="42" customWidth="1"/>
    <col min="6672" max="6672" width="2.28515625" style="42" customWidth="1"/>
    <col min="6673" max="6673" width="7.7109375" style="42" customWidth="1"/>
    <col min="6674" max="6674" width="8.85546875" style="42" customWidth="1"/>
    <col min="6675" max="6675" width="2.28515625" style="42" customWidth="1"/>
    <col min="6676" max="6677" width="7.7109375" style="42" customWidth="1"/>
    <col min="6678" max="6678" width="2" style="42" customWidth="1"/>
    <col min="6679" max="6680" width="7.7109375" style="42" customWidth="1"/>
    <col min="6681" max="6681" width="2.28515625" style="42" customWidth="1"/>
    <col min="6682" max="6683" width="7.7109375" style="42" customWidth="1"/>
    <col min="6684" max="6684" width="2.140625" style="42" customWidth="1"/>
    <col min="6685" max="6686" width="7.7109375" style="42" customWidth="1"/>
    <col min="6687" max="6687" width="2.7109375" style="42" customWidth="1"/>
    <col min="6688" max="6689" width="7.7109375" style="42" customWidth="1"/>
    <col min="6690" max="6690" width="2.7109375" style="42" customWidth="1"/>
    <col min="6691" max="6692" width="7.7109375" style="42" customWidth="1"/>
    <col min="6693" max="6693" width="2.7109375" style="42" customWidth="1"/>
    <col min="6694" max="6695" width="7.7109375" style="42" customWidth="1"/>
    <col min="6696" max="6696" width="2.7109375" style="42" customWidth="1"/>
    <col min="6697" max="6699" width="8.85546875" style="42" customWidth="1"/>
    <col min="6700" max="6912" width="8.85546875" style="42"/>
    <col min="6913" max="6913" width="36.28515625" style="42" customWidth="1"/>
    <col min="6914" max="6914" width="9.28515625" style="42" customWidth="1"/>
    <col min="6915" max="6915" width="8.85546875" style="42" customWidth="1"/>
    <col min="6916" max="6917" width="2.140625" style="42" customWidth="1"/>
    <col min="6918" max="6918" width="9.5703125" style="42" customWidth="1"/>
    <col min="6919" max="6919" width="8.28515625" style="42" customWidth="1"/>
    <col min="6920" max="6920" width="2.28515625" style="42" customWidth="1"/>
    <col min="6921" max="6921" width="9.42578125" style="42" customWidth="1"/>
    <col min="6922" max="6922" width="9.28515625" style="42" customWidth="1"/>
    <col min="6923" max="6924" width="7.7109375" style="42" customWidth="1"/>
    <col min="6925" max="6925" width="2.140625" style="42" customWidth="1"/>
    <col min="6926" max="6927" width="7.7109375" style="42" customWidth="1"/>
    <col min="6928" max="6928" width="2.28515625" style="42" customWidth="1"/>
    <col min="6929" max="6929" width="7.7109375" style="42" customWidth="1"/>
    <col min="6930" max="6930" width="8.85546875" style="42" customWidth="1"/>
    <col min="6931" max="6931" width="2.28515625" style="42" customWidth="1"/>
    <col min="6932" max="6933" width="7.7109375" style="42" customWidth="1"/>
    <col min="6934" max="6934" width="2" style="42" customWidth="1"/>
    <col min="6935" max="6936" width="7.7109375" style="42" customWidth="1"/>
    <col min="6937" max="6937" width="2.28515625" style="42" customWidth="1"/>
    <col min="6938" max="6939" width="7.7109375" style="42" customWidth="1"/>
    <col min="6940" max="6940" width="2.140625" style="42" customWidth="1"/>
    <col min="6941" max="6942" width="7.7109375" style="42" customWidth="1"/>
    <col min="6943" max="6943" width="2.7109375" style="42" customWidth="1"/>
    <col min="6944" max="6945" width="7.7109375" style="42" customWidth="1"/>
    <col min="6946" max="6946" width="2.7109375" style="42" customWidth="1"/>
    <col min="6947" max="6948" width="7.7109375" style="42" customWidth="1"/>
    <col min="6949" max="6949" width="2.7109375" style="42" customWidth="1"/>
    <col min="6950" max="6951" width="7.7109375" style="42" customWidth="1"/>
    <col min="6952" max="6952" width="2.7109375" style="42" customWidth="1"/>
    <col min="6953" max="6955" width="8.85546875" style="42" customWidth="1"/>
    <col min="6956" max="7168" width="8.85546875" style="42"/>
    <col min="7169" max="7169" width="36.28515625" style="42" customWidth="1"/>
    <col min="7170" max="7170" width="9.28515625" style="42" customWidth="1"/>
    <col min="7171" max="7171" width="8.85546875" style="42" customWidth="1"/>
    <col min="7172" max="7173" width="2.140625" style="42" customWidth="1"/>
    <col min="7174" max="7174" width="9.5703125" style="42" customWidth="1"/>
    <col min="7175" max="7175" width="8.28515625" style="42" customWidth="1"/>
    <col min="7176" max="7176" width="2.28515625" style="42" customWidth="1"/>
    <col min="7177" max="7177" width="9.42578125" style="42" customWidth="1"/>
    <col min="7178" max="7178" width="9.28515625" style="42" customWidth="1"/>
    <col min="7179" max="7180" width="7.7109375" style="42" customWidth="1"/>
    <col min="7181" max="7181" width="2.140625" style="42" customWidth="1"/>
    <col min="7182" max="7183" width="7.7109375" style="42" customWidth="1"/>
    <col min="7184" max="7184" width="2.28515625" style="42" customWidth="1"/>
    <col min="7185" max="7185" width="7.7109375" style="42" customWidth="1"/>
    <col min="7186" max="7186" width="8.85546875" style="42" customWidth="1"/>
    <col min="7187" max="7187" width="2.28515625" style="42" customWidth="1"/>
    <col min="7188" max="7189" width="7.7109375" style="42" customWidth="1"/>
    <col min="7190" max="7190" width="2" style="42" customWidth="1"/>
    <col min="7191" max="7192" width="7.7109375" style="42" customWidth="1"/>
    <col min="7193" max="7193" width="2.28515625" style="42" customWidth="1"/>
    <col min="7194" max="7195" width="7.7109375" style="42" customWidth="1"/>
    <col min="7196" max="7196" width="2.140625" style="42" customWidth="1"/>
    <col min="7197" max="7198" width="7.7109375" style="42" customWidth="1"/>
    <col min="7199" max="7199" width="2.7109375" style="42" customWidth="1"/>
    <col min="7200" max="7201" width="7.7109375" style="42" customWidth="1"/>
    <col min="7202" max="7202" width="2.7109375" style="42" customWidth="1"/>
    <col min="7203" max="7204" width="7.7109375" style="42" customWidth="1"/>
    <col min="7205" max="7205" width="2.7109375" style="42" customWidth="1"/>
    <col min="7206" max="7207" width="7.7109375" style="42" customWidth="1"/>
    <col min="7208" max="7208" width="2.7109375" style="42" customWidth="1"/>
    <col min="7209" max="7211" width="8.85546875" style="42" customWidth="1"/>
    <col min="7212" max="7424" width="8.85546875" style="42"/>
    <col min="7425" max="7425" width="36.28515625" style="42" customWidth="1"/>
    <col min="7426" max="7426" width="9.28515625" style="42" customWidth="1"/>
    <col min="7427" max="7427" width="8.85546875" style="42" customWidth="1"/>
    <col min="7428" max="7429" width="2.140625" style="42" customWidth="1"/>
    <col min="7430" max="7430" width="9.5703125" style="42" customWidth="1"/>
    <col min="7431" max="7431" width="8.28515625" style="42" customWidth="1"/>
    <col min="7432" max="7432" width="2.28515625" style="42" customWidth="1"/>
    <col min="7433" max="7433" width="9.42578125" style="42" customWidth="1"/>
    <col min="7434" max="7434" width="9.28515625" style="42" customWidth="1"/>
    <col min="7435" max="7436" width="7.7109375" style="42" customWidth="1"/>
    <col min="7437" max="7437" width="2.140625" style="42" customWidth="1"/>
    <col min="7438" max="7439" width="7.7109375" style="42" customWidth="1"/>
    <col min="7440" max="7440" width="2.28515625" style="42" customWidth="1"/>
    <col min="7441" max="7441" width="7.7109375" style="42" customWidth="1"/>
    <col min="7442" max="7442" width="8.85546875" style="42" customWidth="1"/>
    <col min="7443" max="7443" width="2.28515625" style="42" customWidth="1"/>
    <col min="7444" max="7445" width="7.7109375" style="42" customWidth="1"/>
    <col min="7446" max="7446" width="2" style="42" customWidth="1"/>
    <col min="7447" max="7448" width="7.7109375" style="42" customWidth="1"/>
    <col min="7449" max="7449" width="2.28515625" style="42" customWidth="1"/>
    <col min="7450" max="7451" width="7.7109375" style="42" customWidth="1"/>
    <col min="7452" max="7452" width="2.140625" style="42" customWidth="1"/>
    <col min="7453" max="7454" width="7.7109375" style="42" customWidth="1"/>
    <col min="7455" max="7455" width="2.7109375" style="42" customWidth="1"/>
    <col min="7456" max="7457" width="7.7109375" style="42" customWidth="1"/>
    <col min="7458" max="7458" width="2.7109375" style="42" customWidth="1"/>
    <col min="7459" max="7460" width="7.7109375" style="42" customWidth="1"/>
    <col min="7461" max="7461" width="2.7109375" style="42" customWidth="1"/>
    <col min="7462" max="7463" width="7.7109375" style="42" customWidth="1"/>
    <col min="7464" max="7464" width="2.7109375" style="42" customWidth="1"/>
    <col min="7465" max="7467" width="8.85546875" style="42" customWidth="1"/>
    <col min="7468" max="7680" width="8.85546875" style="42"/>
    <col min="7681" max="7681" width="36.28515625" style="42" customWidth="1"/>
    <col min="7682" max="7682" width="9.28515625" style="42" customWidth="1"/>
    <col min="7683" max="7683" width="8.85546875" style="42" customWidth="1"/>
    <col min="7684" max="7685" width="2.140625" style="42" customWidth="1"/>
    <col min="7686" max="7686" width="9.5703125" style="42" customWidth="1"/>
    <col min="7687" max="7687" width="8.28515625" style="42" customWidth="1"/>
    <col min="7688" max="7688" width="2.28515625" style="42" customWidth="1"/>
    <col min="7689" max="7689" width="9.42578125" style="42" customWidth="1"/>
    <col min="7690" max="7690" width="9.28515625" style="42" customWidth="1"/>
    <col min="7691" max="7692" width="7.7109375" style="42" customWidth="1"/>
    <col min="7693" max="7693" width="2.140625" style="42" customWidth="1"/>
    <col min="7694" max="7695" width="7.7109375" style="42" customWidth="1"/>
    <col min="7696" max="7696" width="2.28515625" style="42" customWidth="1"/>
    <col min="7697" max="7697" width="7.7109375" style="42" customWidth="1"/>
    <col min="7698" max="7698" width="8.85546875" style="42" customWidth="1"/>
    <col min="7699" max="7699" width="2.28515625" style="42" customWidth="1"/>
    <col min="7700" max="7701" width="7.7109375" style="42" customWidth="1"/>
    <col min="7702" max="7702" width="2" style="42" customWidth="1"/>
    <col min="7703" max="7704" width="7.7109375" style="42" customWidth="1"/>
    <col min="7705" max="7705" width="2.28515625" style="42" customWidth="1"/>
    <col min="7706" max="7707" width="7.7109375" style="42" customWidth="1"/>
    <col min="7708" max="7708" width="2.140625" style="42" customWidth="1"/>
    <col min="7709" max="7710" width="7.7109375" style="42" customWidth="1"/>
    <col min="7711" max="7711" width="2.7109375" style="42" customWidth="1"/>
    <col min="7712" max="7713" width="7.7109375" style="42" customWidth="1"/>
    <col min="7714" max="7714" width="2.7109375" style="42" customWidth="1"/>
    <col min="7715" max="7716" width="7.7109375" style="42" customWidth="1"/>
    <col min="7717" max="7717" width="2.7109375" style="42" customWidth="1"/>
    <col min="7718" max="7719" width="7.7109375" style="42" customWidth="1"/>
    <col min="7720" max="7720" width="2.7109375" style="42" customWidth="1"/>
    <col min="7721" max="7723" width="8.85546875" style="42" customWidth="1"/>
    <col min="7724" max="7936" width="8.85546875" style="42"/>
    <col min="7937" max="7937" width="36.28515625" style="42" customWidth="1"/>
    <col min="7938" max="7938" width="9.28515625" style="42" customWidth="1"/>
    <col min="7939" max="7939" width="8.85546875" style="42" customWidth="1"/>
    <col min="7940" max="7941" width="2.140625" style="42" customWidth="1"/>
    <col min="7942" max="7942" width="9.5703125" style="42" customWidth="1"/>
    <col min="7943" max="7943" width="8.28515625" style="42" customWidth="1"/>
    <col min="7944" max="7944" width="2.28515625" style="42" customWidth="1"/>
    <col min="7945" max="7945" width="9.42578125" style="42" customWidth="1"/>
    <col min="7946" max="7946" width="9.28515625" style="42" customWidth="1"/>
    <col min="7947" max="7948" width="7.7109375" style="42" customWidth="1"/>
    <col min="7949" max="7949" width="2.140625" style="42" customWidth="1"/>
    <col min="7950" max="7951" width="7.7109375" style="42" customWidth="1"/>
    <col min="7952" max="7952" width="2.28515625" style="42" customWidth="1"/>
    <col min="7953" max="7953" width="7.7109375" style="42" customWidth="1"/>
    <col min="7954" max="7954" width="8.85546875" style="42" customWidth="1"/>
    <col min="7955" max="7955" width="2.28515625" style="42" customWidth="1"/>
    <col min="7956" max="7957" width="7.7109375" style="42" customWidth="1"/>
    <col min="7958" max="7958" width="2" style="42" customWidth="1"/>
    <col min="7959" max="7960" width="7.7109375" style="42" customWidth="1"/>
    <col min="7961" max="7961" width="2.28515625" style="42" customWidth="1"/>
    <col min="7962" max="7963" width="7.7109375" style="42" customWidth="1"/>
    <col min="7964" max="7964" width="2.140625" style="42" customWidth="1"/>
    <col min="7965" max="7966" width="7.7109375" style="42" customWidth="1"/>
    <col min="7967" max="7967" width="2.7109375" style="42" customWidth="1"/>
    <col min="7968" max="7969" width="7.7109375" style="42" customWidth="1"/>
    <col min="7970" max="7970" width="2.7109375" style="42" customWidth="1"/>
    <col min="7971" max="7972" width="7.7109375" style="42" customWidth="1"/>
    <col min="7973" max="7973" width="2.7109375" style="42" customWidth="1"/>
    <col min="7974" max="7975" width="7.7109375" style="42" customWidth="1"/>
    <col min="7976" max="7976" width="2.7109375" style="42" customWidth="1"/>
    <col min="7977" max="7979" width="8.85546875" style="42" customWidth="1"/>
    <col min="7980" max="8192" width="8.85546875" style="42"/>
    <col min="8193" max="8193" width="36.28515625" style="42" customWidth="1"/>
    <col min="8194" max="8194" width="9.28515625" style="42" customWidth="1"/>
    <col min="8195" max="8195" width="8.85546875" style="42" customWidth="1"/>
    <col min="8196" max="8197" width="2.140625" style="42" customWidth="1"/>
    <col min="8198" max="8198" width="9.5703125" style="42" customWidth="1"/>
    <col min="8199" max="8199" width="8.28515625" style="42" customWidth="1"/>
    <col min="8200" max="8200" width="2.28515625" style="42" customWidth="1"/>
    <col min="8201" max="8201" width="9.42578125" style="42" customWidth="1"/>
    <col min="8202" max="8202" width="9.28515625" style="42" customWidth="1"/>
    <col min="8203" max="8204" width="7.7109375" style="42" customWidth="1"/>
    <col min="8205" max="8205" width="2.140625" style="42" customWidth="1"/>
    <col min="8206" max="8207" width="7.7109375" style="42" customWidth="1"/>
    <col min="8208" max="8208" width="2.28515625" style="42" customWidth="1"/>
    <col min="8209" max="8209" width="7.7109375" style="42" customWidth="1"/>
    <col min="8210" max="8210" width="8.85546875" style="42" customWidth="1"/>
    <col min="8211" max="8211" width="2.28515625" style="42" customWidth="1"/>
    <col min="8212" max="8213" width="7.7109375" style="42" customWidth="1"/>
    <col min="8214" max="8214" width="2" style="42" customWidth="1"/>
    <col min="8215" max="8216" width="7.7109375" style="42" customWidth="1"/>
    <col min="8217" max="8217" width="2.28515625" style="42" customWidth="1"/>
    <col min="8218" max="8219" width="7.7109375" style="42" customWidth="1"/>
    <col min="8220" max="8220" width="2.140625" style="42" customWidth="1"/>
    <col min="8221" max="8222" width="7.7109375" style="42" customWidth="1"/>
    <col min="8223" max="8223" width="2.7109375" style="42" customWidth="1"/>
    <col min="8224" max="8225" width="7.7109375" style="42" customWidth="1"/>
    <col min="8226" max="8226" width="2.7109375" style="42" customWidth="1"/>
    <col min="8227" max="8228" width="7.7109375" style="42" customWidth="1"/>
    <col min="8229" max="8229" width="2.7109375" style="42" customWidth="1"/>
    <col min="8230" max="8231" width="7.7109375" style="42" customWidth="1"/>
    <col min="8232" max="8232" width="2.7109375" style="42" customWidth="1"/>
    <col min="8233" max="8235" width="8.85546875" style="42" customWidth="1"/>
    <col min="8236" max="8448" width="8.85546875" style="42"/>
    <col min="8449" max="8449" width="36.28515625" style="42" customWidth="1"/>
    <col min="8450" max="8450" width="9.28515625" style="42" customWidth="1"/>
    <col min="8451" max="8451" width="8.85546875" style="42" customWidth="1"/>
    <col min="8452" max="8453" width="2.140625" style="42" customWidth="1"/>
    <col min="8454" max="8454" width="9.5703125" style="42" customWidth="1"/>
    <col min="8455" max="8455" width="8.28515625" style="42" customWidth="1"/>
    <col min="8456" max="8456" width="2.28515625" style="42" customWidth="1"/>
    <col min="8457" max="8457" width="9.42578125" style="42" customWidth="1"/>
    <col min="8458" max="8458" width="9.28515625" style="42" customWidth="1"/>
    <col min="8459" max="8460" width="7.7109375" style="42" customWidth="1"/>
    <col min="8461" max="8461" width="2.140625" style="42" customWidth="1"/>
    <col min="8462" max="8463" width="7.7109375" style="42" customWidth="1"/>
    <col min="8464" max="8464" width="2.28515625" style="42" customWidth="1"/>
    <col min="8465" max="8465" width="7.7109375" style="42" customWidth="1"/>
    <col min="8466" max="8466" width="8.85546875" style="42" customWidth="1"/>
    <col min="8467" max="8467" width="2.28515625" style="42" customWidth="1"/>
    <col min="8468" max="8469" width="7.7109375" style="42" customWidth="1"/>
    <col min="8470" max="8470" width="2" style="42" customWidth="1"/>
    <col min="8471" max="8472" width="7.7109375" style="42" customWidth="1"/>
    <col min="8473" max="8473" width="2.28515625" style="42" customWidth="1"/>
    <col min="8474" max="8475" width="7.7109375" style="42" customWidth="1"/>
    <col min="8476" max="8476" width="2.140625" style="42" customWidth="1"/>
    <col min="8477" max="8478" width="7.7109375" style="42" customWidth="1"/>
    <col min="8479" max="8479" width="2.7109375" style="42" customWidth="1"/>
    <col min="8480" max="8481" width="7.7109375" style="42" customWidth="1"/>
    <col min="8482" max="8482" width="2.7109375" style="42" customWidth="1"/>
    <col min="8483" max="8484" width="7.7109375" style="42" customWidth="1"/>
    <col min="8485" max="8485" width="2.7109375" style="42" customWidth="1"/>
    <col min="8486" max="8487" width="7.7109375" style="42" customWidth="1"/>
    <col min="8488" max="8488" width="2.7109375" style="42" customWidth="1"/>
    <col min="8489" max="8491" width="8.85546875" style="42" customWidth="1"/>
    <col min="8492" max="8704" width="8.85546875" style="42"/>
    <col min="8705" max="8705" width="36.28515625" style="42" customWidth="1"/>
    <col min="8706" max="8706" width="9.28515625" style="42" customWidth="1"/>
    <col min="8707" max="8707" width="8.85546875" style="42" customWidth="1"/>
    <col min="8708" max="8709" width="2.140625" style="42" customWidth="1"/>
    <col min="8710" max="8710" width="9.5703125" style="42" customWidth="1"/>
    <col min="8711" max="8711" width="8.28515625" style="42" customWidth="1"/>
    <col min="8712" max="8712" width="2.28515625" style="42" customWidth="1"/>
    <col min="8713" max="8713" width="9.42578125" style="42" customWidth="1"/>
    <col min="8714" max="8714" width="9.28515625" style="42" customWidth="1"/>
    <col min="8715" max="8716" width="7.7109375" style="42" customWidth="1"/>
    <col min="8717" max="8717" width="2.140625" style="42" customWidth="1"/>
    <col min="8718" max="8719" width="7.7109375" style="42" customWidth="1"/>
    <col min="8720" max="8720" width="2.28515625" style="42" customWidth="1"/>
    <col min="8721" max="8721" width="7.7109375" style="42" customWidth="1"/>
    <col min="8722" max="8722" width="8.85546875" style="42" customWidth="1"/>
    <col min="8723" max="8723" width="2.28515625" style="42" customWidth="1"/>
    <col min="8724" max="8725" width="7.7109375" style="42" customWidth="1"/>
    <col min="8726" max="8726" width="2" style="42" customWidth="1"/>
    <col min="8727" max="8728" width="7.7109375" style="42" customWidth="1"/>
    <col min="8729" max="8729" width="2.28515625" style="42" customWidth="1"/>
    <col min="8730" max="8731" width="7.7109375" style="42" customWidth="1"/>
    <col min="8732" max="8732" width="2.140625" style="42" customWidth="1"/>
    <col min="8733" max="8734" width="7.7109375" style="42" customWidth="1"/>
    <col min="8735" max="8735" width="2.7109375" style="42" customWidth="1"/>
    <col min="8736" max="8737" width="7.7109375" style="42" customWidth="1"/>
    <col min="8738" max="8738" width="2.7109375" style="42" customWidth="1"/>
    <col min="8739" max="8740" width="7.7109375" style="42" customWidth="1"/>
    <col min="8741" max="8741" width="2.7109375" style="42" customWidth="1"/>
    <col min="8742" max="8743" width="7.7109375" style="42" customWidth="1"/>
    <col min="8744" max="8744" width="2.7109375" style="42" customWidth="1"/>
    <col min="8745" max="8747" width="8.85546875" style="42" customWidth="1"/>
    <col min="8748" max="8960" width="8.85546875" style="42"/>
    <col min="8961" max="8961" width="36.28515625" style="42" customWidth="1"/>
    <col min="8962" max="8962" width="9.28515625" style="42" customWidth="1"/>
    <col min="8963" max="8963" width="8.85546875" style="42" customWidth="1"/>
    <col min="8964" max="8965" width="2.140625" style="42" customWidth="1"/>
    <col min="8966" max="8966" width="9.5703125" style="42" customWidth="1"/>
    <col min="8967" max="8967" width="8.28515625" style="42" customWidth="1"/>
    <col min="8968" max="8968" width="2.28515625" style="42" customWidth="1"/>
    <col min="8969" max="8969" width="9.42578125" style="42" customWidth="1"/>
    <col min="8970" max="8970" width="9.28515625" style="42" customWidth="1"/>
    <col min="8971" max="8972" width="7.7109375" style="42" customWidth="1"/>
    <col min="8973" max="8973" width="2.140625" style="42" customWidth="1"/>
    <col min="8974" max="8975" width="7.7109375" style="42" customWidth="1"/>
    <col min="8976" max="8976" width="2.28515625" style="42" customWidth="1"/>
    <col min="8977" max="8977" width="7.7109375" style="42" customWidth="1"/>
    <col min="8978" max="8978" width="8.85546875" style="42" customWidth="1"/>
    <col min="8979" max="8979" width="2.28515625" style="42" customWidth="1"/>
    <col min="8980" max="8981" width="7.7109375" style="42" customWidth="1"/>
    <col min="8982" max="8982" width="2" style="42" customWidth="1"/>
    <col min="8983" max="8984" width="7.7109375" style="42" customWidth="1"/>
    <col min="8985" max="8985" width="2.28515625" style="42" customWidth="1"/>
    <col min="8986" max="8987" width="7.7109375" style="42" customWidth="1"/>
    <col min="8988" max="8988" width="2.140625" style="42" customWidth="1"/>
    <col min="8989" max="8990" width="7.7109375" style="42" customWidth="1"/>
    <col min="8991" max="8991" width="2.7109375" style="42" customWidth="1"/>
    <col min="8992" max="8993" width="7.7109375" style="42" customWidth="1"/>
    <col min="8994" max="8994" width="2.7109375" style="42" customWidth="1"/>
    <col min="8995" max="8996" width="7.7109375" style="42" customWidth="1"/>
    <col min="8997" max="8997" width="2.7109375" style="42" customWidth="1"/>
    <col min="8998" max="8999" width="7.7109375" style="42" customWidth="1"/>
    <col min="9000" max="9000" width="2.7109375" style="42" customWidth="1"/>
    <col min="9001" max="9003" width="8.85546875" style="42" customWidth="1"/>
    <col min="9004" max="9216" width="8.85546875" style="42"/>
    <col min="9217" max="9217" width="36.28515625" style="42" customWidth="1"/>
    <col min="9218" max="9218" width="9.28515625" style="42" customWidth="1"/>
    <col min="9219" max="9219" width="8.85546875" style="42" customWidth="1"/>
    <col min="9220" max="9221" width="2.140625" style="42" customWidth="1"/>
    <col min="9222" max="9222" width="9.5703125" style="42" customWidth="1"/>
    <col min="9223" max="9223" width="8.28515625" style="42" customWidth="1"/>
    <col min="9224" max="9224" width="2.28515625" style="42" customWidth="1"/>
    <col min="9225" max="9225" width="9.42578125" style="42" customWidth="1"/>
    <col min="9226" max="9226" width="9.28515625" style="42" customWidth="1"/>
    <col min="9227" max="9228" width="7.7109375" style="42" customWidth="1"/>
    <col min="9229" max="9229" width="2.140625" style="42" customWidth="1"/>
    <col min="9230" max="9231" width="7.7109375" style="42" customWidth="1"/>
    <col min="9232" max="9232" width="2.28515625" style="42" customWidth="1"/>
    <col min="9233" max="9233" width="7.7109375" style="42" customWidth="1"/>
    <col min="9234" max="9234" width="8.85546875" style="42" customWidth="1"/>
    <col min="9235" max="9235" width="2.28515625" style="42" customWidth="1"/>
    <col min="9236" max="9237" width="7.7109375" style="42" customWidth="1"/>
    <col min="9238" max="9238" width="2" style="42" customWidth="1"/>
    <col min="9239" max="9240" width="7.7109375" style="42" customWidth="1"/>
    <col min="9241" max="9241" width="2.28515625" style="42" customWidth="1"/>
    <col min="9242" max="9243" width="7.7109375" style="42" customWidth="1"/>
    <col min="9244" max="9244" width="2.140625" style="42" customWidth="1"/>
    <col min="9245" max="9246" width="7.7109375" style="42" customWidth="1"/>
    <col min="9247" max="9247" width="2.7109375" style="42" customWidth="1"/>
    <col min="9248" max="9249" width="7.7109375" style="42" customWidth="1"/>
    <col min="9250" max="9250" width="2.7109375" style="42" customWidth="1"/>
    <col min="9251" max="9252" width="7.7109375" style="42" customWidth="1"/>
    <col min="9253" max="9253" width="2.7109375" style="42" customWidth="1"/>
    <col min="9254" max="9255" width="7.7109375" style="42" customWidth="1"/>
    <col min="9256" max="9256" width="2.7109375" style="42" customWidth="1"/>
    <col min="9257" max="9259" width="8.85546875" style="42" customWidth="1"/>
    <col min="9260" max="9472" width="8.85546875" style="42"/>
    <col min="9473" max="9473" width="36.28515625" style="42" customWidth="1"/>
    <col min="9474" max="9474" width="9.28515625" style="42" customWidth="1"/>
    <col min="9475" max="9475" width="8.85546875" style="42" customWidth="1"/>
    <col min="9476" max="9477" width="2.140625" style="42" customWidth="1"/>
    <col min="9478" max="9478" width="9.5703125" style="42" customWidth="1"/>
    <col min="9479" max="9479" width="8.28515625" style="42" customWidth="1"/>
    <col min="9480" max="9480" width="2.28515625" style="42" customWidth="1"/>
    <col min="9481" max="9481" width="9.42578125" style="42" customWidth="1"/>
    <col min="9482" max="9482" width="9.28515625" style="42" customWidth="1"/>
    <col min="9483" max="9484" width="7.7109375" style="42" customWidth="1"/>
    <col min="9485" max="9485" width="2.140625" style="42" customWidth="1"/>
    <col min="9486" max="9487" width="7.7109375" style="42" customWidth="1"/>
    <col min="9488" max="9488" width="2.28515625" style="42" customWidth="1"/>
    <col min="9489" max="9489" width="7.7109375" style="42" customWidth="1"/>
    <col min="9490" max="9490" width="8.85546875" style="42" customWidth="1"/>
    <col min="9491" max="9491" width="2.28515625" style="42" customWidth="1"/>
    <col min="9492" max="9493" width="7.7109375" style="42" customWidth="1"/>
    <col min="9494" max="9494" width="2" style="42" customWidth="1"/>
    <col min="9495" max="9496" width="7.7109375" style="42" customWidth="1"/>
    <col min="9497" max="9497" width="2.28515625" style="42" customWidth="1"/>
    <col min="9498" max="9499" width="7.7109375" style="42" customWidth="1"/>
    <col min="9500" max="9500" width="2.140625" style="42" customWidth="1"/>
    <col min="9501" max="9502" width="7.7109375" style="42" customWidth="1"/>
    <col min="9503" max="9503" width="2.7109375" style="42" customWidth="1"/>
    <col min="9504" max="9505" width="7.7109375" style="42" customWidth="1"/>
    <col min="9506" max="9506" width="2.7109375" style="42" customWidth="1"/>
    <col min="9507" max="9508" width="7.7109375" style="42" customWidth="1"/>
    <col min="9509" max="9509" width="2.7109375" style="42" customWidth="1"/>
    <col min="9510" max="9511" width="7.7109375" style="42" customWidth="1"/>
    <col min="9512" max="9512" width="2.7109375" style="42" customWidth="1"/>
    <col min="9513" max="9515" width="8.85546875" style="42" customWidth="1"/>
    <col min="9516" max="9728" width="8.85546875" style="42"/>
    <col min="9729" max="9729" width="36.28515625" style="42" customWidth="1"/>
    <col min="9730" max="9730" width="9.28515625" style="42" customWidth="1"/>
    <col min="9731" max="9731" width="8.85546875" style="42" customWidth="1"/>
    <col min="9732" max="9733" width="2.140625" style="42" customWidth="1"/>
    <col min="9734" max="9734" width="9.5703125" style="42" customWidth="1"/>
    <col min="9735" max="9735" width="8.28515625" style="42" customWidth="1"/>
    <col min="9736" max="9736" width="2.28515625" style="42" customWidth="1"/>
    <col min="9737" max="9737" width="9.42578125" style="42" customWidth="1"/>
    <col min="9738" max="9738" width="9.28515625" style="42" customWidth="1"/>
    <col min="9739" max="9740" width="7.7109375" style="42" customWidth="1"/>
    <col min="9741" max="9741" width="2.140625" style="42" customWidth="1"/>
    <col min="9742" max="9743" width="7.7109375" style="42" customWidth="1"/>
    <col min="9744" max="9744" width="2.28515625" style="42" customWidth="1"/>
    <col min="9745" max="9745" width="7.7109375" style="42" customWidth="1"/>
    <col min="9746" max="9746" width="8.85546875" style="42" customWidth="1"/>
    <col min="9747" max="9747" width="2.28515625" style="42" customWidth="1"/>
    <col min="9748" max="9749" width="7.7109375" style="42" customWidth="1"/>
    <col min="9750" max="9750" width="2" style="42" customWidth="1"/>
    <col min="9751" max="9752" width="7.7109375" style="42" customWidth="1"/>
    <col min="9753" max="9753" width="2.28515625" style="42" customWidth="1"/>
    <col min="9754" max="9755" width="7.7109375" style="42" customWidth="1"/>
    <col min="9756" max="9756" width="2.140625" style="42" customWidth="1"/>
    <col min="9757" max="9758" width="7.7109375" style="42" customWidth="1"/>
    <col min="9759" max="9759" width="2.7109375" style="42" customWidth="1"/>
    <col min="9760" max="9761" width="7.7109375" style="42" customWidth="1"/>
    <col min="9762" max="9762" width="2.7109375" style="42" customWidth="1"/>
    <col min="9763" max="9764" width="7.7109375" style="42" customWidth="1"/>
    <col min="9765" max="9765" width="2.7109375" style="42" customWidth="1"/>
    <col min="9766" max="9767" width="7.7109375" style="42" customWidth="1"/>
    <col min="9768" max="9768" width="2.7109375" style="42" customWidth="1"/>
    <col min="9769" max="9771" width="8.85546875" style="42" customWidth="1"/>
    <col min="9772" max="9984" width="8.85546875" style="42"/>
    <col min="9985" max="9985" width="36.28515625" style="42" customWidth="1"/>
    <col min="9986" max="9986" width="9.28515625" style="42" customWidth="1"/>
    <col min="9987" max="9987" width="8.85546875" style="42" customWidth="1"/>
    <col min="9988" max="9989" width="2.140625" style="42" customWidth="1"/>
    <col min="9990" max="9990" width="9.5703125" style="42" customWidth="1"/>
    <col min="9991" max="9991" width="8.28515625" style="42" customWidth="1"/>
    <col min="9992" max="9992" width="2.28515625" style="42" customWidth="1"/>
    <col min="9993" max="9993" width="9.42578125" style="42" customWidth="1"/>
    <col min="9994" max="9994" width="9.28515625" style="42" customWidth="1"/>
    <col min="9995" max="9996" width="7.7109375" style="42" customWidth="1"/>
    <col min="9997" max="9997" width="2.140625" style="42" customWidth="1"/>
    <col min="9998" max="9999" width="7.7109375" style="42" customWidth="1"/>
    <col min="10000" max="10000" width="2.28515625" style="42" customWidth="1"/>
    <col min="10001" max="10001" width="7.7109375" style="42" customWidth="1"/>
    <col min="10002" max="10002" width="8.85546875" style="42" customWidth="1"/>
    <col min="10003" max="10003" width="2.28515625" style="42" customWidth="1"/>
    <col min="10004" max="10005" width="7.7109375" style="42" customWidth="1"/>
    <col min="10006" max="10006" width="2" style="42" customWidth="1"/>
    <col min="10007" max="10008" width="7.7109375" style="42" customWidth="1"/>
    <col min="10009" max="10009" width="2.28515625" style="42" customWidth="1"/>
    <col min="10010" max="10011" width="7.7109375" style="42" customWidth="1"/>
    <col min="10012" max="10012" width="2.140625" style="42" customWidth="1"/>
    <col min="10013" max="10014" width="7.7109375" style="42" customWidth="1"/>
    <col min="10015" max="10015" width="2.7109375" style="42" customWidth="1"/>
    <col min="10016" max="10017" width="7.7109375" style="42" customWidth="1"/>
    <col min="10018" max="10018" width="2.7109375" style="42" customWidth="1"/>
    <col min="10019" max="10020" width="7.7109375" style="42" customWidth="1"/>
    <col min="10021" max="10021" width="2.7109375" style="42" customWidth="1"/>
    <col min="10022" max="10023" width="7.7109375" style="42" customWidth="1"/>
    <col min="10024" max="10024" width="2.7109375" style="42" customWidth="1"/>
    <col min="10025" max="10027" width="8.85546875" style="42" customWidth="1"/>
    <col min="10028" max="10240" width="8.85546875" style="42"/>
    <col min="10241" max="10241" width="36.28515625" style="42" customWidth="1"/>
    <col min="10242" max="10242" width="9.28515625" style="42" customWidth="1"/>
    <col min="10243" max="10243" width="8.85546875" style="42" customWidth="1"/>
    <col min="10244" max="10245" width="2.140625" style="42" customWidth="1"/>
    <col min="10246" max="10246" width="9.5703125" style="42" customWidth="1"/>
    <col min="10247" max="10247" width="8.28515625" style="42" customWidth="1"/>
    <col min="10248" max="10248" width="2.28515625" style="42" customWidth="1"/>
    <col min="10249" max="10249" width="9.42578125" style="42" customWidth="1"/>
    <col min="10250" max="10250" width="9.28515625" style="42" customWidth="1"/>
    <col min="10251" max="10252" width="7.7109375" style="42" customWidth="1"/>
    <col min="10253" max="10253" width="2.140625" style="42" customWidth="1"/>
    <col min="10254" max="10255" width="7.7109375" style="42" customWidth="1"/>
    <col min="10256" max="10256" width="2.28515625" style="42" customWidth="1"/>
    <col min="10257" max="10257" width="7.7109375" style="42" customWidth="1"/>
    <col min="10258" max="10258" width="8.85546875" style="42" customWidth="1"/>
    <col min="10259" max="10259" width="2.28515625" style="42" customWidth="1"/>
    <col min="10260" max="10261" width="7.7109375" style="42" customWidth="1"/>
    <col min="10262" max="10262" width="2" style="42" customWidth="1"/>
    <col min="10263" max="10264" width="7.7109375" style="42" customWidth="1"/>
    <col min="10265" max="10265" width="2.28515625" style="42" customWidth="1"/>
    <col min="10266" max="10267" width="7.7109375" style="42" customWidth="1"/>
    <col min="10268" max="10268" width="2.140625" style="42" customWidth="1"/>
    <col min="10269" max="10270" width="7.7109375" style="42" customWidth="1"/>
    <col min="10271" max="10271" width="2.7109375" style="42" customWidth="1"/>
    <col min="10272" max="10273" width="7.7109375" style="42" customWidth="1"/>
    <col min="10274" max="10274" width="2.7109375" style="42" customWidth="1"/>
    <col min="10275" max="10276" width="7.7109375" style="42" customWidth="1"/>
    <col min="10277" max="10277" width="2.7109375" style="42" customWidth="1"/>
    <col min="10278" max="10279" width="7.7109375" style="42" customWidth="1"/>
    <col min="10280" max="10280" width="2.7109375" style="42" customWidth="1"/>
    <col min="10281" max="10283" width="8.85546875" style="42" customWidth="1"/>
    <col min="10284" max="10496" width="8.85546875" style="42"/>
    <col min="10497" max="10497" width="36.28515625" style="42" customWidth="1"/>
    <col min="10498" max="10498" width="9.28515625" style="42" customWidth="1"/>
    <col min="10499" max="10499" width="8.85546875" style="42" customWidth="1"/>
    <col min="10500" max="10501" width="2.140625" style="42" customWidth="1"/>
    <col min="10502" max="10502" width="9.5703125" style="42" customWidth="1"/>
    <col min="10503" max="10503" width="8.28515625" style="42" customWidth="1"/>
    <col min="10504" max="10504" width="2.28515625" style="42" customWidth="1"/>
    <col min="10505" max="10505" width="9.42578125" style="42" customWidth="1"/>
    <col min="10506" max="10506" width="9.28515625" style="42" customWidth="1"/>
    <col min="10507" max="10508" width="7.7109375" style="42" customWidth="1"/>
    <col min="10509" max="10509" width="2.140625" style="42" customWidth="1"/>
    <col min="10510" max="10511" width="7.7109375" style="42" customWidth="1"/>
    <col min="10512" max="10512" width="2.28515625" style="42" customWidth="1"/>
    <col min="10513" max="10513" width="7.7109375" style="42" customWidth="1"/>
    <col min="10514" max="10514" width="8.85546875" style="42" customWidth="1"/>
    <col min="10515" max="10515" width="2.28515625" style="42" customWidth="1"/>
    <col min="10516" max="10517" width="7.7109375" style="42" customWidth="1"/>
    <col min="10518" max="10518" width="2" style="42" customWidth="1"/>
    <col min="10519" max="10520" width="7.7109375" style="42" customWidth="1"/>
    <col min="10521" max="10521" width="2.28515625" style="42" customWidth="1"/>
    <col min="10522" max="10523" width="7.7109375" style="42" customWidth="1"/>
    <col min="10524" max="10524" width="2.140625" style="42" customWidth="1"/>
    <col min="10525" max="10526" width="7.7109375" style="42" customWidth="1"/>
    <col min="10527" max="10527" width="2.7109375" style="42" customWidth="1"/>
    <col min="10528" max="10529" width="7.7109375" style="42" customWidth="1"/>
    <col min="10530" max="10530" width="2.7109375" style="42" customWidth="1"/>
    <col min="10531" max="10532" width="7.7109375" style="42" customWidth="1"/>
    <col min="10533" max="10533" width="2.7109375" style="42" customWidth="1"/>
    <col min="10534" max="10535" width="7.7109375" style="42" customWidth="1"/>
    <col min="10536" max="10536" width="2.7109375" style="42" customWidth="1"/>
    <col min="10537" max="10539" width="8.85546875" style="42" customWidth="1"/>
    <col min="10540" max="10752" width="8.85546875" style="42"/>
    <col min="10753" max="10753" width="36.28515625" style="42" customWidth="1"/>
    <col min="10754" max="10754" width="9.28515625" style="42" customWidth="1"/>
    <col min="10755" max="10755" width="8.85546875" style="42" customWidth="1"/>
    <col min="10756" max="10757" width="2.140625" style="42" customWidth="1"/>
    <col min="10758" max="10758" width="9.5703125" style="42" customWidth="1"/>
    <col min="10759" max="10759" width="8.28515625" style="42" customWidth="1"/>
    <col min="10760" max="10760" width="2.28515625" style="42" customWidth="1"/>
    <col min="10761" max="10761" width="9.42578125" style="42" customWidth="1"/>
    <col min="10762" max="10762" width="9.28515625" style="42" customWidth="1"/>
    <col min="10763" max="10764" width="7.7109375" style="42" customWidth="1"/>
    <col min="10765" max="10765" width="2.140625" style="42" customWidth="1"/>
    <col min="10766" max="10767" width="7.7109375" style="42" customWidth="1"/>
    <col min="10768" max="10768" width="2.28515625" style="42" customWidth="1"/>
    <col min="10769" max="10769" width="7.7109375" style="42" customWidth="1"/>
    <col min="10770" max="10770" width="8.85546875" style="42" customWidth="1"/>
    <col min="10771" max="10771" width="2.28515625" style="42" customWidth="1"/>
    <col min="10772" max="10773" width="7.7109375" style="42" customWidth="1"/>
    <col min="10774" max="10774" width="2" style="42" customWidth="1"/>
    <col min="10775" max="10776" width="7.7109375" style="42" customWidth="1"/>
    <col min="10777" max="10777" width="2.28515625" style="42" customWidth="1"/>
    <col min="10778" max="10779" width="7.7109375" style="42" customWidth="1"/>
    <col min="10780" max="10780" width="2.140625" style="42" customWidth="1"/>
    <col min="10781" max="10782" width="7.7109375" style="42" customWidth="1"/>
    <col min="10783" max="10783" width="2.7109375" style="42" customWidth="1"/>
    <col min="10784" max="10785" width="7.7109375" style="42" customWidth="1"/>
    <col min="10786" max="10786" width="2.7109375" style="42" customWidth="1"/>
    <col min="10787" max="10788" width="7.7109375" style="42" customWidth="1"/>
    <col min="10789" max="10789" width="2.7109375" style="42" customWidth="1"/>
    <col min="10790" max="10791" width="7.7109375" style="42" customWidth="1"/>
    <col min="10792" max="10792" width="2.7109375" style="42" customWidth="1"/>
    <col min="10793" max="10795" width="8.85546875" style="42" customWidth="1"/>
    <col min="10796" max="11008" width="8.85546875" style="42"/>
    <col min="11009" max="11009" width="36.28515625" style="42" customWidth="1"/>
    <col min="11010" max="11010" width="9.28515625" style="42" customWidth="1"/>
    <col min="11011" max="11011" width="8.85546875" style="42" customWidth="1"/>
    <col min="11012" max="11013" width="2.140625" style="42" customWidth="1"/>
    <col min="11014" max="11014" width="9.5703125" style="42" customWidth="1"/>
    <col min="11015" max="11015" width="8.28515625" style="42" customWidth="1"/>
    <col min="11016" max="11016" width="2.28515625" style="42" customWidth="1"/>
    <col min="11017" max="11017" width="9.42578125" style="42" customWidth="1"/>
    <col min="11018" max="11018" width="9.28515625" style="42" customWidth="1"/>
    <col min="11019" max="11020" width="7.7109375" style="42" customWidth="1"/>
    <col min="11021" max="11021" width="2.140625" style="42" customWidth="1"/>
    <col min="11022" max="11023" width="7.7109375" style="42" customWidth="1"/>
    <col min="11024" max="11024" width="2.28515625" style="42" customWidth="1"/>
    <col min="11025" max="11025" width="7.7109375" style="42" customWidth="1"/>
    <col min="11026" max="11026" width="8.85546875" style="42" customWidth="1"/>
    <col min="11027" max="11027" width="2.28515625" style="42" customWidth="1"/>
    <col min="11028" max="11029" width="7.7109375" style="42" customWidth="1"/>
    <col min="11030" max="11030" width="2" style="42" customWidth="1"/>
    <col min="11031" max="11032" width="7.7109375" style="42" customWidth="1"/>
    <col min="11033" max="11033" width="2.28515625" style="42" customWidth="1"/>
    <col min="11034" max="11035" width="7.7109375" style="42" customWidth="1"/>
    <col min="11036" max="11036" width="2.140625" style="42" customWidth="1"/>
    <col min="11037" max="11038" width="7.7109375" style="42" customWidth="1"/>
    <col min="11039" max="11039" width="2.7109375" style="42" customWidth="1"/>
    <col min="11040" max="11041" width="7.7109375" style="42" customWidth="1"/>
    <col min="11042" max="11042" width="2.7109375" style="42" customWidth="1"/>
    <col min="11043" max="11044" width="7.7109375" style="42" customWidth="1"/>
    <col min="11045" max="11045" width="2.7109375" style="42" customWidth="1"/>
    <col min="11046" max="11047" width="7.7109375" style="42" customWidth="1"/>
    <col min="11048" max="11048" width="2.7109375" style="42" customWidth="1"/>
    <col min="11049" max="11051" width="8.85546875" style="42" customWidth="1"/>
    <col min="11052" max="11264" width="8.85546875" style="42"/>
    <col min="11265" max="11265" width="36.28515625" style="42" customWidth="1"/>
    <col min="11266" max="11266" width="9.28515625" style="42" customWidth="1"/>
    <col min="11267" max="11267" width="8.85546875" style="42" customWidth="1"/>
    <col min="11268" max="11269" width="2.140625" style="42" customWidth="1"/>
    <col min="11270" max="11270" width="9.5703125" style="42" customWidth="1"/>
    <col min="11271" max="11271" width="8.28515625" style="42" customWidth="1"/>
    <col min="11272" max="11272" width="2.28515625" style="42" customWidth="1"/>
    <col min="11273" max="11273" width="9.42578125" style="42" customWidth="1"/>
    <col min="11274" max="11274" width="9.28515625" style="42" customWidth="1"/>
    <col min="11275" max="11276" width="7.7109375" style="42" customWidth="1"/>
    <col min="11277" max="11277" width="2.140625" style="42" customWidth="1"/>
    <col min="11278" max="11279" width="7.7109375" style="42" customWidth="1"/>
    <col min="11280" max="11280" width="2.28515625" style="42" customWidth="1"/>
    <col min="11281" max="11281" width="7.7109375" style="42" customWidth="1"/>
    <col min="11282" max="11282" width="8.85546875" style="42" customWidth="1"/>
    <col min="11283" max="11283" width="2.28515625" style="42" customWidth="1"/>
    <col min="11284" max="11285" width="7.7109375" style="42" customWidth="1"/>
    <col min="11286" max="11286" width="2" style="42" customWidth="1"/>
    <col min="11287" max="11288" width="7.7109375" style="42" customWidth="1"/>
    <col min="11289" max="11289" width="2.28515625" style="42" customWidth="1"/>
    <col min="11290" max="11291" width="7.7109375" style="42" customWidth="1"/>
    <col min="11292" max="11292" width="2.140625" style="42" customWidth="1"/>
    <col min="11293" max="11294" width="7.7109375" style="42" customWidth="1"/>
    <col min="11295" max="11295" width="2.7109375" style="42" customWidth="1"/>
    <col min="11296" max="11297" width="7.7109375" style="42" customWidth="1"/>
    <col min="11298" max="11298" width="2.7109375" style="42" customWidth="1"/>
    <col min="11299" max="11300" width="7.7109375" style="42" customWidth="1"/>
    <col min="11301" max="11301" width="2.7109375" style="42" customWidth="1"/>
    <col min="11302" max="11303" width="7.7109375" style="42" customWidth="1"/>
    <col min="11304" max="11304" width="2.7109375" style="42" customWidth="1"/>
    <col min="11305" max="11307" width="8.85546875" style="42" customWidth="1"/>
    <col min="11308" max="11520" width="8.85546875" style="42"/>
    <col min="11521" max="11521" width="36.28515625" style="42" customWidth="1"/>
    <col min="11522" max="11522" width="9.28515625" style="42" customWidth="1"/>
    <col min="11523" max="11523" width="8.85546875" style="42" customWidth="1"/>
    <col min="11524" max="11525" width="2.140625" style="42" customWidth="1"/>
    <col min="11526" max="11526" width="9.5703125" style="42" customWidth="1"/>
    <col min="11527" max="11527" width="8.28515625" style="42" customWidth="1"/>
    <col min="11528" max="11528" width="2.28515625" style="42" customWidth="1"/>
    <col min="11529" max="11529" width="9.42578125" style="42" customWidth="1"/>
    <col min="11530" max="11530" width="9.28515625" style="42" customWidth="1"/>
    <col min="11531" max="11532" width="7.7109375" style="42" customWidth="1"/>
    <col min="11533" max="11533" width="2.140625" style="42" customWidth="1"/>
    <col min="11534" max="11535" width="7.7109375" style="42" customWidth="1"/>
    <col min="11536" max="11536" width="2.28515625" style="42" customWidth="1"/>
    <col min="11537" max="11537" width="7.7109375" style="42" customWidth="1"/>
    <col min="11538" max="11538" width="8.85546875" style="42" customWidth="1"/>
    <col min="11539" max="11539" width="2.28515625" style="42" customWidth="1"/>
    <col min="11540" max="11541" width="7.7109375" style="42" customWidth="1"/>
    <col min="11542" max="11542" width="2" style="42" customWidth="1"/>
    <col min="11543" max="11544" width="7.7109375" style="42" customWidth="1"/>
    <col min="11545" max="11545" width="2.28515625" style="42" customWidth="1"/>
    <col min="11546" max="11547" width="7.7109375" style="42" customWidth="1"/>
    <col min="11548" max="11548" width="2.140625" style="42" customWidth="1"/>
    <col min="11549" max="11550" width="7.7109375" style="42" customWidth="1"/>
    <col min="11551" max="11551" width="2.7109375" style="42" customWidth="1"/>
    <col min="11552" max="11553" width="7.7109375" style="42" customWidth="1"/>
    <col min="11554" max="11554" width="2.7109375" style="42" customWidth="1"/>
    <col min="11555" max="11556" width="7.7109375" style="42" customWidth="1"/>
    <col min="11557" max="11557" width="2.7109375" style="42" customWidth="1"/>
    <col min="11558" max="11559" width="7.7109375" style="42" customWidth="1"/>
    <col min="11560" max="11560" width="2.7109375" style="42" customWidth="1"/>
    <col min="11561" max="11563" width="8.85546875" style="42" customWidth="1"/>
    <col min="11564" max="11776" width="8.85546875" style="42"/>
    <col min="11777" max="11777" width="36.28515625" style="42" customWidth="1"/>
    <col min="11778" max="11778" width="9.28515625" style="42" customWidth="1"/>
    <col min="11779" max="11779" width="8.85546875" style="42" customWidth="1"/>
    <col min="11780" max="11781" width="2.140625" style="42" customWidth="1"/>
    <col min="11782" max="11782" width="9.5703125" style="42" customWidth="1"/>
    <col min="11783" max="11783" width="8.28515625" style="42" customWidth="1"/>
    <col min="11784" max="11784" width="2.28515625" style="42" customWidth="1"/>
    <col min="11785" max="11785" width="9.42578125" style="42" customWidth="1"/>
    <col min="11786" max="11786" width="9.28515625" style="42" customWidth="1"/>
    <col min="11787" max="11788" width="7.7109375" style="42" customWidth="1"/>
    <col min="11789" max="11789" width="2.140625" style="42" customWidth="1"/>
    <col min="11790" max="11791" width="7.7109375" style="42" customWidth="1"/>
    <col min="11792" max="11792" width="2.28515625" style="42" customWidth="1"/>
    <col min="11793" max="11793" width="7.7109375" style="42" customWidth="1"/>
    <col min="11794" max="11794" width="8.85546875" style="42" customWidth="1"/>
    <col min="11795" max="11795" width="2.28515625" style="42" customWidth="1"/>
    <col min="11796" max="11797" width="7.7109375" style="42" customWidth="1"/>
    <col min="11798" max="11798" width="2" style="42" customWidth="1"/>
    <col min="11799" max="11800" width="7.7109375" style="42" customWidth="1"/>
    <col min="11801" max="11801" width="2.28515625" style="42" customWidth="1"/>
    <col min="11802" max="11803" width="7.7109375" style="42" customWidth="1"/>
    <col min="11804" max="11804" width="2.140625" style="42" customWidth="1"/>
    <col min="11805" max="11806" width="7.7109375" style="42" customWidth="1"/>
    <col min="11807" max="11807" width="2.7109375" style="42" customWidth="1"/>
    <col min="11808" max="11809" width="7.7109375" style="42" customWidth="1"/>
    <col min="11810" max="11810" width="2.7109375" style="42" customWidth="1"/>
    <col min="11811" max="11812" width="7.7109375" style="42" customWidth="1"/>
    <col min="11813" max="11813" width="2.7109375" style="42" customWidth="1"/>
    <col min="11814" max="11815" width="7.7109375" style="42" customWidth="1"/>
    <col min="11816" max="11816" width="2.7109375" style="42" customWidth="1"/>
    <col min="11817" max="11819" width="8.85546875" style="42" customWidth="1"/>
    <col min="11820" max="12032" width="8.85546875" style="42"/>
    <col min="12033" max="12033" width="36.28515625" style="42" customWidth="1"/>
    <col min="12034" max="12034" width="9.28515625" style="42" customWidth="1"/>
    <col min="12035" max="12035" width="8.85546875" style="42" customWidth="1"/>
    <col min="12036" max="12037" width="2.140625" style="42" customWidth="1"/>
    <col min="12038" max="12038" width="9.5703125" style="42" customWidth="1"/>
    <col min="12039" max="12039" width="8.28515625" style="42" customWidth="1"/>
    <col min="12040" max="12040" width="2.28515625" style="42" customWidth="1"/>
    <col min="12041" max="12041" width="9.42578125" style="42" customWidth="1"/>
    <col min="12042" max="12042" width="9.28515625" style="42" customWidth="1"/>
    <col min="12043" max="12044" width="7.7109375" style="42" customWidth="1"/>
    <col min="12045" max="12045" width="2.140625" style="42" customWidth="1"/>
    <col min="12046" max="12047" width="7.7109375" style="42" customWidth="1"/>
    <col min="12048" max="12048" width="2.28515625" style="42" customWidth="1"/>
    <col min="12049" max="12049" width="7.7109375" style="42" customWidth="1"/>
    <col min="12050" max="12050" width="8.85546875" style="42" customWidth="1"/>
    <col min="12051" max="12051" width="2.28515625" style="42" customWidth="1"/>
    <col min="12052" max="12053" width="7.7109375" style="42" customWidth="1"/>
    <col min="12054" max="12054" width="2" style="42" customWidth="1"/>
    <col min="12055" max="12056" width="7.7109375" style="42" customWidth="1"/>
    <col min="12057" max="12057" width="2.28515625" style="42" customWidth="1"/>
    <col min="12058" max="12059" width="7.7109375" style="42" customWidth="1"/>
    <col min="12060" max="12060" width="2.140625" style="42" customWidth="1"/>
    <col min="12061" max="12062" width="7.7109375" style="42" customWidth="1"/>
    <col min="12063" max="12063" width="2.7109375" style="42" customWidth="1"/>
    <col min="12064" max="12065" width="7.7109375" style="42" customWidth="1"/>
    <col min="12066" max="12066" width="2.7109375" style="42" customWidth="1"/>
    <col min="12067" max="12068" width="7.7109375" style="42" customWidth="1"/>
    <col min="12069" max="12069" width="2.7109375" style="42" customWidth="1"/>
    <col min="12070" max="12071" width="7.7109375" style="42" customWidth="1"/>
    <col min="12072" max="12072" width="2.7109375" style="42" customWidth="1"/>
    <col min="12073" max="12075" width="8.85546875" style="42" customWidth="1"/>
    <col min="12076" max="12288" width="8.85546875" style="42"/>
    <col min="12289" max="12289" width="36.28515625" style="42" customWidth="1"/>
    <col min="12290" max="12290" width="9.28515625" style="42" customWidth="1"/>
    <col min="12291" max="12291" width="8.85546875" style="42" customWidth="1"/>
    <col min="12292" max="12293" width="2.140625" style="42" customWidth="1"/>
    <col min="12294" max="12294" width="9.5703125" style="42" customWidth="1"/>
    <col min="12295" max="12295" width="8.28515625" style="42" customWidth="1"/>
    <col min="12296" max="12296" width="2.28515625" style="42" customWidth="1"/>
    <col min="12297" max="12297" width="9.42578125" style="42" customWidth="1"/>
    <col min="12298" max="12298" width="9.28515625" style="42" customWidth="1"/>
    <col min="12299" max="12300" width="7.7109375" style="42" customWidth="1"/>
    <col min="12301" max="12301" width="2.140625" style="42" customWidth="1"/>
    <col min="12302" max="12303" width="7.7109375" style="42" customWidth="1"/>
    <col min="12304" max="12304" width="2.28515625" style="42" customWidth="1"/>
    <col min="12305" max="12305" width="7.7109375" style="42" customWidth="1"/>
    <col min="12306" max="12306" width="8.85546875" style="42" customWidth="1"/>
    <col min="12307" max="12307" width="2.28515625" style="42" customWidth="1"/>
    <col min="12308" max="12309" width="7.7109375" style="42" customWidth="1"/>
    <col min="12310" max="12310" width="2" style="42" customWidth="1"/>
    <col min="12311" max="12312" width="7.7109375" style="42" customWidth="1"/>
    <col min="12313" max="12313" width="2.28515625" style="42" customWidth="1"/>
    <col min="12314" max="12315" width="7.7109375" style="42" customWidth="1"/>
    <col min="12316" max="12316" width="2.140625" style="42" customWidth="1"/>
    <col min="12317" max="12318" width="7.7109375" style="42" customWidth="1"/>
    <col min="12319" max="12319" width="2.7109375" style="42" customWidth="1"/>
    <col min="12320" max="12321" width="7.7109375" style="42" customWidth="1"/>
    <col min="12322" max="12322" width="2.7109375" style="42" customWidth="1"/>
    <col min="12323" max="12324" width="7.7109375" style="42" customWidth="1"/>
    <col min="12325" max="12325" width="2.7109375" style="42" customWidth="1"/>
    <col min="12326" max="12327" width="7.7109375" style="42" customWidth="1"/>
    <col min="12328" max="12328" width="2.7109375" style="42" customWidth="1"/>
    <col min="12329" max="12331" width="8.85546875" style="42" customWidth="1"/>
    <col min="12332" max="12544" width="8.85546875" style="42"/>
    <col min="12545" max="12545" width="36.28515625" style="42" customWidth="1"/>
    <col min="12546" max="12546" width="9.28515625" style="42" customWidth="1"/>
    <col min="12547" max="12547" width="8.85546875" style="42" customWidth="1"/>
    <col min="12548" max="12549" width="2.140625" style="42" customWidth="1"/>
    <col min="12550" max="12550" width="9.5703125" style="42" customWidth="1"/>
    <col min="12551" max="12551" width="8.28515625" style="42" customWidth="1"/>
    <col min="12552" max="12552" width="2.28515625" style="42" customWidth="1"/>
    <col min="12553" max="12553" width="9.42578125" style="42" customWidth="1"/>
    <col min="12554" max="12554" width="9.28515625" style="42" customWidth="1"/>
    <col min="12555" max="12556" width="7.7109375" style="42" customWidth="1"/>
    <col min="12557" max="12557" width="2.140625" style="42" customWidth="1"/>
    <col min="12558" max="12559" width="7.7109375" style="42" customWidth="1"/>
    <col min="12560" max="12560" width="2.28515625" style="42" customWidth="1"/>
    <col min="12561" max="12561" width="7.7109375" style="42" customWidth="1"/>
    <col min="12562" max="12562" width="8.85546875" style="42" customWidth="1"/>
    <col min="12563" max="12563" width="2.28515625" style="42" customWidth="1"/>
    <col min="12564" max="12565" width="7.7109375" style="42" customWidth="1"/>
    <col min="12566" max="12566" width="2" style="42" customWidth="1"/>
    <col min="12567" max="12568" width="7.7109375" style="42" customWidth="1"/>
    <col min="12569" max="12569" width="2.28515625" style="42" customWidth="1"/>
    <col min="12570" max="12571" width="7.7109375" style="42" customWidth="1"/>
    <col min="12572" max="12572" width="2.140625" style="42" customWidth="1"/>
    <col min="12573" max="12574" width="7.7109375" style="42" customWidth="1"/>
    <col min="12575" max="12575" width="2.7109375" style="42" customWidth="1"/>
    <col min="12576" max="12577" width="7.7109375" style="42" customWidth="1"/>
    <col min="12578" max="12578" width="2.7109375" style="42" customWidth="1"/>
    <col min="12579" max="12580" width="7.7109375" style="42" customWidth="1"/>
    <col min="12581" max="12581" width="2.7109375" style="42" customWidth="1"/>
    <col min="12582" max="12583" width="7.7109375" style="42" customWidth="1"/>
    <col min="12584" max="12584" width="2.7109375" style="42" customWidth="1"/>
    <col min="12585" max="12587" width="8.85546875" style="42" customWidth="1"/>
    <col min="12588" max="12800" width="8.85546875" style="42"/>
    <col min="12801" max="12801" width="36.28515625" style="42" customWidth="1"/>
    <col min="12802" max="12802" width="9.28515625" style="42" customWidth="1"/>
    <col min="12803" max="12803" width="8.85546875" style="42" customWidth="1"/>
    <col min="12804" max="12805" width="2.140625" style="42" customWidth="1"/>
    <col min="12806" max="12806" width="9.5703125" style="42" customWidth="1"/>
    <col min="12807" max="12807" width="8.28515625" style="42" customWidth="1"/>
    <col min="12808" max="12808" width="2.28515625" style="42" customWidth="1"/>
    <col min="12809" max="12809" width="9.42578125" style="42" customWidth="1"/>
    <col min="12810" max="12810" width="9.28515625" style="42" customWidth="1"/>
    <col min="12811" max="12812" width="7.7109375" style="42" customWidth="1"/>
    <col min="12813" max="12813" width="2.140625" style="42" customWidth="1"/>
    <col min="12814" max="12815" width="7.7109375" style="42" customWidth="1"/>
    <col min="12816" max="12816" width="2.28515625" style="42" customWidth="1"/>
    <col min="12817" max="12817" width="7.7109375" style="42" customWidth="1"/>
    <col min="12818" max="12818" width="8.85546875" style="42" customWidth="1"/>
    <col min="12819" max="12819" width="2.28515625" style="42" customWidth="1"/>
    <col min="12820" max="12821" width="7.7109375" style="42" customWidth="1"/>
    <col min="12822" max="12822" width="2" style="42" customWidth="1"/>
    <col min="12823" max="12824" width="7.7109375" style="42" customWidth="1"/>
    <col min="12825" max="12825" width="2.28515625" style="42" customWidth="1"/>
    <col min="12826" max="12827" width="7.7109375" style="42" customWidth="1"/>
    <col min="12828" max="12828" width="2.140625" style="42" customWidth="1"/>
    <col min="12829" max="12830" width="7.7109375" style="42" customWidth="1"/>
    <col min="12831" max="12831" width="2.7109375" style="42" customWidth="1"/>
    <col min="12832" max="12833" width="7.7109375" style="42" customWidth="1"/>
    <col min="12834" max="12834" width="2.7109375" style="42" customWidth="1"/>
    <col min="12835" max="12836" width="7.7109375" style="42" customWidth="1"/>
    <col min="12837" max="12837" width="2.7109375" style="42" customWidth="1"/>
    <col min="12838" max="12839" width="7.7109375" style="42" customWidth="1"/>
    <col min="12840" max="12840" width="2.7109375" style="42" customWidth="1"/>
    <col min="12841" max="12843" width="8.85546875" style="42" customWidth="1"/>
    <col min="12844" max="13056" width="8.85546875" style="42"/>
    <col min="13057" max="13057" width="36.28515625" style="42" customWidth="1"/>
    <col min="13058" max="13058" width="9.28515625" style="42" customWidth="1"/>
    <col min="13059" max="13059" width="8.85546875" style="42" customWidth="1"/>
    <col min="13060" max="13061" width="2.140625" style="42" customWidth="1"/>
    <col min="13062" max="13062" width="9.5703125" style="42" customWidth="1"/>
    <col min="13063" max="13063" width="8.28515625" style="42" customWidth="1"/>
    <col min="13064" max="13064" width="2.28515625" style="42" customWidth="1"/>
    <col min="13065" max="13065" width="9.42578125" style="42" customWidth="1"/>
    <col min="13066" max="13066" width="9.28515625" style="42" customWidth="1"/>
    <col min="13067" max="13068" width="7.7109375" style="42" customWidth="1"/>
    <col min="13069" max="13069" width="2.140625" style="42" customWidth="1"/>
    <col min="13070" max="13071" width="7.7109375" style="42" customWidth="1"/>
    <col min="13072" max="13072" width="2.28515625" style="42" customWidth="1"/>
    <col min="13073" max="13073" width="7.7109375" style="42" customWidth="1"/>
    <col min="13074" max="13074" width="8.85546875" style="42" customWidth="1"/>
    <col min="13075" max="13075" width="2.28515625" style="42" customWidth="1"/>
    <col min="13076" max="13077" width="7.7109375" style="42" customWidth="1"/>
    <col min="13078" max="13078" width="2" style="42" customWidth="1"/>
    <col min="13079" max="13080" width="7.7109375" style="42" customWidth="1"/>
    <col min="13081" max="13081" width="2.28515625" style="42" customWidth="1"/>
    <col min="13082" max="13083" width="7.7109375" style="42" customWidth="1"/>
    <col min="13084" max="13084" width="2.140625" style="42" customWidth="1"/>
    <col min="13085" max="13086" width="7.7109375" style="42" customWidth="1"/>
    <col min="13087" max="13087" width="2.7109375" style="42" customWidth="1"/>
    <col min="13088" max="13089" width="7.7109375" style="42" customWidth="1"/>
    <col min="13090" max="13090" width="2.7109375" style="42" customWidth="1"/>
    <col min="13091" max="13092" width="7.7109375" style="42" customWidth="1"/>
    <col min="13093" max="13093" width="2.7109375" style="42" customWidth="1"/>
    <col min="13094" max="13095" width="7.7109375" style="42" customWidth="1"/>
    <col min="13096" max="13096" width="2.7109375" style="42" customWidth="1"/>
    <col min="13097" max="13099" width="8.85546875" style="42" customWidth="1"/>
    <col min="13100" max="13312" width="8.85546875" style="42"/>
    <col min="13313" max="13313" width="36.28515625" style="42" customWidth="1"/>
    <col min="13314" max="13314" width="9.28515625" style="42" customWidth="1"/>
    <col min="13315" max="13315" width="8.85546875" style="42" customWidth="1"/>
    <col min="13316" max="13317" width="2.140625" style="42" customWidth="1"/>
    <col min="13318" max="13318" width="9.5703125" style="42" customWidth="1"/>
    <col min="13319" max="13319" width="8.28515625" style="42" customWidth="1"/>
    <col min="13320" max="13320" width="2.28515625" style="42" customWidth="1"/>
    <col min="13321" max="13321" width="9.42578125" style="42" customWidth="1"/>
    <col min="13322" max="13322" width="9.28515625" style="42" customWidth="1"/>
    <col min="13323" max="13324" width="7.7109375" style="42" customWidth="1"/>
    <col min="13325" max="13325" width="2.140625" style="42" customWidth="1"/>
    <col min="13326" max="13327" width="7.7109375" style="42" customWidth="1"/>
    <col min="13328" max="13328" width="2.28515625" style="42" customWidth="1"/>
    <col min="13329" max="13329" width="7.7109375" style="42" customWidth="1"/>
    <col min="13330" max="13330" width="8.85546875" style="42" customWidth="1"/>
    <col min="13331" max="13331" width="2.28515625" style="42" customWidth="1"/>
    <col min="13332" max="13333" width="7.7109375" style="42" customWidth="1"/>
    <col min="13334" max="13334" width="2" style="42" customWidth="1"/>
    <col min="13335" max="13336" width="7.7109375" style="42" customWidth="1"/>
    <col min="13337" max="13337" width="2.28515625" style="42" customWidth="1"/>
    <col min="13338" max="13339" width="7.7109375" style="42" customWidth="1"/>
    <col min="13340" max="13340" width="2.140625" style="42" customWidth="1"/>
    <col min="13341" max="13342" width="7.7109375" style="42" customWidth="1"/>
    <col min="13343" max="13343" width="2.7109375" style="42" customWidth="1"/>
    <col min="13344" max="13345" width="7.7109375" style="42" customWidth="1"/>
    <col min="13346" max="13346" width="2.7109375" style="42" customWidth="1"/>
    <col min="13347" max="13348" width="7.7109375" style="42" customWidth="1"/>
    <col min="13349" max="13349" width="2.7109375" style="42" customWidth="1"/>
    <col min="13350" max="13351" width="7.7109375" style="42" customWidth="1"/>
    <col min="13352" max="13352" width="2.7109375" style="42" customWidth="1"/>
    <col min="13353" max="13355" width="8.85546875" style="42" customWidth="1"/>
    <col min="13356" max="13568" width="8.85546875" style="42"/>
    <col min="13569" max="13569" width="36.28515625" style="42" customWidth="1"/>
    <col min="13570" max="13570" width="9.28515625" style="42" customWidth="1"/>
    <col min="13571" max="13571" width="8.85546875" style="42" customWidth="1"/>
    <col min="13572" max="13573" width="2.140625" style="42" customWidth="1"/>
    <col min="13574" max="13574" width="9.5703125" style="42" customWidth="1"/>
    <col min="13575" max="13575" width="8.28515625" style="42" customWidth="1"/>
    <col min="13576" max="13576" width="2.28515625" style="42" customWidth="1"/>
    <col min="13577" max="13577" width="9.42578125" style="42" customWidth="1"/>
    <col min="13578" max="13578" width="9.28515625" style="42" customWidth="1"/>
    <col min="13579" max="13580" width="7.7109375" style="42" customWidth="1"/>
    <col min="13581" max="13581" width="2.140625" style="42" customWidth="1"/>
    <col min="13582" max="13583" width="7.7109375" style="42" customWidth="1"/>
    <col min="13584" max="13584" width="2.28515625" style="42" customWidth="1"/>
    <col min="13585" max="13585" width="7.7109375" style="42" customWidth="1"/>
    <col min="13586" max="13586" width="8.85546875" style="42" customWidth="1"/>
    <col min="13587" max="13587" width="2.28515625" style="42" customWidth="1"/>
    <col min="13588" max="13589" width="7.7109375" style="42" customWidth="1"/>
    <col min="13590" max="13590" width="2" style="42" customWidth="1"/>
    <col min="13591" max="13592" width="7.7109375" style="42" customWidth="1"/>
    <col min="13593" max="13593" width="2.28515625" style="42" customWidth="1"/>
    <col min="13594" max="13595" width="7.7109375" style="42" customWidth="1"/>
    <col min="13596" max="13596" width="2.140625" style="42" customWidth="1"/>
    <col min="13597" max="13598" width="7.7109375" style="42" customWidth="1"/>
    <col min="13599" max="13599" width="2.7109375" style="42" customWidth="1"/>
    <col min="13600" max="13601" width="7.7109375" style="42" customWidth="1"/>
    <col min="13602" max="13602" width="2.7109375" style="42" customWidth="1"/>
    <col min="13603" max="13604" width="7.7109375" style="42" customWidth="1"/>
    <col min="13605" max="13605" width="2.7109375" style="42" customWidth="1"/>
    <col min="13606" max="13607" width="7.7109375" style="42" customWidth="1"/>
    <col min="13608" max="13608" width="2.7109375" style="42" customWidth="1"/>
    <col min="13609" max="13611" width="8.85546875" style="42" customWidth="1"/>
    <col min="13612" max="13824" width="8.85546875" style="42"/>
    <col min="13825" max="13825" width="36.28515625" style="42" customWidth="1"/>
    <col min="13826" max="13826" width="9.28515625" style="42" customWidth="1"/>
    <col min="13827" max="13827" width="8.85546875" style="42" customWidth="1"/>
    <col min="13828" max="13829" width="2.140625" style="42" customWidth="1"/>
    <col min="13830" max="13830" width="9.5703125" style="42" customWidth="1"/>
    <col min="13831" max="13831" width="8.28515625" style="42" customWidth="1"/>
    <col min="13832" max="13832" width="2.28515625" style="42" customWidth="1"/>
    <col min="13833" max="13833" width="9.42578125" style="42" customWidth="1"/>
    <col min="13834" max="13834" width="9.28515625" style="42" customWidth="1"/>
    <col min="13835" max="13836" width="7.7109375" style="42" customWidth="1"/>
    <col min="13837" max="13837" width="2.140625" style="42" customWidth="1"/>
    <col min="13838" max="13839" width="7.7109375" style="42" customWidth="1"/>
    <col min="13840" max="13840" width="2.28515625" style="42" customWidth="1"/>
    <col min="13841" max="13841" width="7.7109375" style="42" customWidth="1"/>
    <col min="13842" max="13842" width="8.85546875" style="42" customWidth="1"/>
    <col min="13843" max="13843" width="2.28515625" style="42" customWidth="1"/>
    <col min="13844" max="13845" width="7.7109375" style="42" customWidth="1"/>
    <col min="13846" max="13846" width="2" style="42" customWidth="1"/>
    <col min="13847" max="13848" width="7.7109375" style="42" customWidth="1"/>
    <col min="13849" max="13849" width="2.28515625" style="42" customWidth="1"/>
    <col min="13850" max="13851" width="7.7109375" style="42" customWidth="1"/>
    <col min="13852" max="13852" width="2.140625" style="42" customWidth="1"/>
    <col min="13853" max="13854" width="7.7109375" style="42" customWidth="1"/>
    <col min="13855" max="13855" width="2.7109375" style="42" customWidth="1"/>
    <col min="13856" max="13857" width="7.7109375" style="42" customWidth="1"/>
    <col min="13858" max="13858" width="2.7109375" style="42" customWidth="1"/>
    <col min="13859" max="13860" width="7.7109375" style="42" customWidth="1"/>
    <col min="13861" max="13861" width="2.7109375" style="42" customWidth="1"/>
    <col min="13862" max="13863" width="7.7109375" style="42" customWidth="1"/>
    <col min="13864" max="13864" width="2.7109375" style="42" customWidth="1"/>
    <col min="13865" max="13867" width="8.85546875" style="42" customWidth="1"/>
    <col min="13868" max="14080" width="8.85546875" style="42"/>
    <col min="14081" max="14081" width="36.28515625" style="42" customWidth="1"/>
    <col min="14082" max="14082" width="9.28515625" style="42" customWidth="1"/>
    <col min="14083" max="14083" width="8.85546875" style="42" customWidth="1"/>
    <col min="14084" max="14085" width="2.140625" style="42" customWidth="1"/>
    <col min="14086" max="14086" width="9.5703125" style="42" customWidth="1"/>
    <col min="14087" max="14087" width="8.28515625" style="42" customWidth="1"/>
    <col min="14088" max="14088" width="2.28515625" style="42" customWidth="1"/>
    <col min="14089" max="14089" width="9.42578125" style="42" customWidth="1"/>
    <col min="14090" max="14090" width="9.28515625" style="42" customWidth="1"/>
    <col min="14091" max="14092" width="7.7109375" style="42" customWidth="1"/>
    <col min="14093" max="14093" width="2.140625" style="42" customWidth="1"/>
    <col min="14094" max="14095" width="7.7109375" style="42" customWidth="1"/>
    <col min="14096" max="14096" width="2.28515625" style="42" customWidth="1"/>
    <col min="14097" max="14097" width="7.7109375" style="42" customWidth="1"/>
    <col min="14098" max="14098" width="8.85546875" style="42" customWidth="1"/>
    <col min="14099" max="14099" width="2.28515625" style="42" customWidth="1"/>
    <col min="14100" max="14101" width="7.7109375" style="42" customWidth="1"/>
    <col min="14102" max="14102" width="2" style="42" customWidth="1"/>
    <col min="14103" max="14104" width="7.7109375" style="42" customWidth="1"/>
    <col min="14105" max="14105" width="2.28515625" style="42" customWidth="1"/>
    <col min="14106" max="14107" width="7.7109375" style="42" customWidth="1"/>
    <col min="14108" max="14108" width="2.140625" style="42" customWidth="1"/>
    <col min="14109" max="14110" width="7.7109375" style="42" customWidth="1"/>
    <col min="14111" max="14111" width="2.7109375" style="42" customWidth="1"/>
    <col min="14112" max="14113" width="7.7109375" style="42" customWidth="1"/>
    <col min="14114" max="14114" width="2.7109375" style="42" customWidth="1"/>
    <col min="14115" max="14116" width="7.7109375" style="42" customWidth="1"/>
    <col min="14117" max="14117" width="2.7109375" style="42" customWidth="1"/>
    <col min="14118" max="14119" width="7.7109375" style="42" customWidth="1"/>
    <col min="14120" max="14120" width="2.7109375" style="42" customWidth="1"/>
    <col min="14121" max="14123" width="8.85546875" style="42" customWidth="1"/>
    <col min="14124" max="14336" width="8.85546875" style="42"/>
    <col min="14337" max="14337" width="36.28515625" style="42" customWidth="1"/>
    <col min="14338" max="14338" width="9.28515625" style="42" customWidth="1"/>
    <col min="14339" max="14339" width="8.85546875" style="42" customWidth="1"/>
    <col min="14340" max="14341" width="2.140625" style="42" customWidth="1"/>
    <col min="14342" max="14342" width="9.5703125" style="42" customWidth="1"/>
    <col min="14343" max="14343" width="8.28515625" style="42" customWidth="1"/>
    <col min="14344" max="14344" width="2.28515625" style="42" customWidth="1"/>
    <col min="14345" max="14345" width="9.42578125" style="42" customWidth="1"/>
    <col min="14346" max="14346" width="9.28515625" style="42" customWidth="1"/>
    <col min="14347" max="14348" width="7.7109375" style="42" customWidth="1"/>
    <col min="14349" max="14349" width="2.140625" style="42" customWidth="1"/>
    <col min="14350" max="14351" width="7.7109375" style="42" customWidth="1"/>
    <col min="14352" max="14352" width="2.28515625" style="42" customWidth="1"/>
    <col min="14353" max="14353" width="7.7109375" style="42" customWidth="1"/>
    <col min="14354" max="14354" width="8.85546875" style="42" customWidth="1"/>
    <col min="14355" max="14355" width="2.28515625" style="42" customWidth="1"/>
    <col min="14356" max="14357" width="7.7109375" style="42" customWidth="1"/>
    <col min="14358" max="14358" width="2" style="42" customWidth="1"/>
    <col min="14359" max="14360" width="7.7109375" style="42" customWidth="1"/>
    <col min="14361" max="14361" width="2.28515625" style="42" customWidth="1"/>
    <col min="14362" max="14363" width="7.7109375" style="42" customWidth="1"/>
    <col min="14364" max="14364" width="2.140625" style="42" customWidth="1"/>
    <col min="14365" max="14366" width="7.7109375" style="42" customWidth="1"/>
    <col min="14367" max="14367" width="2.7109375" style="42" customWidth="1"/>
    <col min="14368" max="14369" width="7.7109375" style="42" customWidth="1"/>
    <col min="14370" max="14370" width="2.7109375" style="42" customWidth="1"/>
    <col min="14371" max="14372" width="7.7109375" style="42" customWidth="1"/>
    <col min="14373" max="14373" width="2.7109375" style="42" customWidth="1"/>
    <col min="14374" max="14375" width="7.7109375" style="42" customWidth="1"/>
    <col min="14376" max="14376" width="2.7109375" style="42" customWidth="1"/>
    <col min="14377" max="14379" width="8.85546875" style="42" customWidth="1"/>
    <col min="14380" max="14592" width="8.85546875" style="42"/>
    <col min="14593" max="14593" width="36.28515625" style="42" customWidth="1"/>
    <col min="14594" max="14594" width="9.28515625" style="42" customWidth="1"/>
    <col min="14595" max="14595" width="8.85546875" style="42" customWidth="1"/>
    <col min="14596" max="14597" width="2.140625" style="42" customWidth="1"/>
    <col min="14598" max="14598" width="9.5703125" style="42" customWidth="1"/>
    <col min="14599" max="14599" width="8.28515625" style="42" customWidth="1"/>
    <col min="14600" max="14600" width="2.28515625" style="42" customWidth="1"/>
    <col min="14601" max="14601" width="9.42578125" style="42" customWidth="1"/>
    <col min="14602" max="14602" width="9.28515625" style="42" customWidth="1"/>
    <col min="14603" max="14604" width="7.7109375" style="42" customWidth="1"/>
    <col min="14605" max="14605" width="2.140625" style="42" customWidth="1"/>
    <col min="14606" max="14607" width="7.7109375" style="42" customWidth="1"/>
    <col min="14608" max="14608" width="2.28515625" style="42" customWidth="1"/>
    <col min="14609" max="14609" width="7.7109375" style="42" customWidth="1"/>
    <col min="14610" max="14610" width="8.85546875" style="42" customWidth="1"/>
    <col min="14611" max="14611" width="2.28515625" style="42" customWidth="1"/>
    <col min="14612" max="14613" width="7.7109375" style="42" customWidth="1"/>
    <col min="14614" max="14614" width="2" style="42" customWidth="1"/>
    <col min="14615" max="14616" width="7.7109375" style="42" customWidth="1"/>
    <col min="14617" max="14617" width="2.28515625" style="42" customWidth="1"/>
    <col min="14618" max="14619" width="7.7109375" style="42" customWidth="1"/>
    <col min="14620" max="14620" width="2.140625" style="42" customWidth="1"/>
    <col min="14621" max="14622" width="7.7109375" style="42" customWidth="1"/>
    <col min="14623" max="14623" width="2.7109375" style="42" customWidth="1"/>
    <col min="14624" max="14625" width="7.7109375" style="42" customWidth="1"/>
    <col min="14626" max="14626" width="2.7109375" style="42" customWidth="1"/>
    <col min="14627" max="14628" width="7.7109375" style="42" customWidth="1"/>
    <col min="14629" max="14629" width="2.7109375" style="42" customWidth="1"/>
    <col min="14630" max="14631" width="7.7109375" style="42" customWidth="1"/>
    <col min="14632" max="14632" width="2.7109375" style="42" customWidth="1"/>
    <col min="14633" max="14635" width="8.85546875" style="42" customWidth="1"/>
    <col min="14636" max="14848" width="8.85546875" style="42"/>
    <col min="14849" max="14849" width="36.28515625" style="42" customWidth="1"/>
    <col min="14850" max="14850" width="9.28515625" style="42" customWidth="1"/>
    <col min="14851" max="14851" width="8.85546875" style="42" customWidth="1"/>
    <col min="14852" max="14853" width="2.140625" style="42" customWidth="1"/>
    <col min="14854" max="14854" width="9.5703125" style="42" customWidth="1"/>
    <col min="14855" max="14855" width="8.28515625" style="42" customWidth="1"/>
    <col min="14856" max="14856" width="2.28515625" style="42" customWidth="1"/>
    <col min="14857" max="14857" width="9.42578125" style="42" customWidth="1"/>
    <col min="14858" max="14858" width="9.28515625" style="42" customWidth="1"/>
    <col min="14859" max="14860" width="7.7109375" style="42" customWidth="1"/>
    <col min="14861" max="14861" width="2.140625" style="42" customWidth="1"/>
    <col min="14862" max="14863" width="7.7109375" style="42" customWidth="1"/>
    <col min="14864" max="14864" width="2.28515625" style="42" customWidth="1"/>
    <col min="14865" max="14865" width="7.7109375" style="42" customWidth="1"/>
    <col min="14866" max="14866" width="8.85546875" style="42" customWidth="1"/>
    <col min="14867" max="14867" width="2.28515625" style="42" customWidth="1"/>
    <col min="14868" max="14869" width="7.7109375" style="42" customWidth="1"/>
    <col min="14870" max="14870" width="2" style="42" customWidth="1"/>
    <col min="14871" max="14872" width="7.7109375" style="42" customWidth="1"/>
    <col min="14873" max="14873" width="2.28515625" style="42" customWidth="1"/>
    <col min="14874" max="14875" width="7.7109375" style="42" customWidth="1"/>
    <col min="14876" max="14876" width="2.140625" style="42" customWidth="1"/>
    <col min="14877" max="14878" width="7.7109375" style="42" customWidth="1"/>
    <col min="14879" max="14879" width="2.7109375" style="42" customWidth="1"/>
    <col min="14880" max="14881" width="7.7109375" style="42" customWidth="1"/>
    <col min="14882" max="14882" width="2.7109375" style="42" customWidth="1"/>
    <col min="14883" max="14884" width="7.7109375" style="42" customWidth="1"/>
    <col min="14885" max="14885" width="2.7109375" style="42" customWidth="1"/>
    <col min="14886" max="14887" width="7.7109375" style="42" customWidth="1"/>
    <col min="14888" max="14888" width="2.7109375" style="42" customWidth="1"/>
    <col min="14889" max="14891" width="8.85546875" style="42" customWidth="1"/>
    <col min="14892" max="15104" width="8.85546875" style="42"/>
    <col min="15105" max="15105" width="36.28515625" style="42" customWidth="1"/>
    <col min="15106" max="15106" width="9.28515625" style="42" customWidth="1"/>
    <col min="15107" max="15107" width="8.85546875" style="42" customWidth="1"/>
    <col min="15108" max="15109" width="2.140625" style="42" customWidth="1"/>
    <col min="15110" max="15110" width="9.5703125" style="42" customWidth="1"/>
    <col min="15111" max="15111" width="8.28515625" style="42" customWidth="1"/>
    <col min="15112" max="15112" width="2.28515625" style="42" customWidth="1"/>
    <col min="15113" max="15113" width="9.42578125" style="42" customWidth="1"/>
    <col min="15114" max="15114" width="9.28515625" style="42" customWidth="1"/>
    <col min="15115" max="15116" width="7.7109375" style="42" customWidth="1"/>
    <col min="15117" max="15117" width="2.140625" style="42" customWidth="1"/>
    <col min="15118" max="15119" width="7.7109375" style="42" customWidth="1"/>
    <col min="15120" max="15120" width="2.28515625" style="42" customWidth="1"/>
    <col min="15121" max="15121" width="7.7109375" style="42" customWidth="1"/>
    <col min="15122" max="15122" width="8.85546875" style="42" customWidth="1"/>
    <col min="15123" max="15123" width="2.28515625" style="42" customWidth="1"/>
    <col min="15124" max="15125" width="7.7109375" style="42" customWidth="1"/>
    <col min="15126" max="15126" width="2" style="42" customWidth="1"/>
    <col min="15127" max="15128" width="7.7109375" style="42" customWidth="1"/>
    <col min="15129" max="15129" width="2.28515625" style="42" customWidth="1"/>
    <col min="15130" max="15131" width="7.7109375" style="42" customWidth="1"/>
    <col min="15132" max="15132" width="2.140625" style="42" customWidth="1"/>
    <col min="15133" max="15134" width="7.7109375" style="42" customWidth="1"/>
    <col min="15135" max="15135" width="2.7109375" style="42" customWidth="1"/>
    <col min="15136" max="15137" width="7.7109375" style="42" customWidth="1"/>
    <col min="15138" max="15138" width="2.7109375" style="42" customWidth="1"/>
    <col min="15139" max="15140" width="7.7109375" style="42" customWidth="1"/>
    <col min="15141" max="15141" width="2.7109375" style="42" customWidth="1"/>
    <col min="15142" max="15143" width="7.7109375" style="42" customWidth="1"/>
    <col min="15144" max="15144" width="2.7109375" style="42" customWidth="1"/>
    <col min="15145" max="15147" width="8.85546875" style="42" customWidth="1"/>
    <col min="15148" max="15360" width="8.85546875" style="42"/>
    <col min="15361" max="15361" width="36.28515625" style="42" customWidth="1"/>
    <col min="15362" max="15362" width="9.28515625" style="42" customWidth="1"/>
    <col min="15363" max="15363" width="8.85546875" style="42" customWidth="1"/>
    <col min="15364" max="15365" width="2.140625" style="42" customWidth="1"/>
    <col min="15366" max="15366" width="9.5703125" style="42" customWidth="1"/>
    <col min="15367" max="15367" width="8.28515625" style="42" customWidth="1"/>
    <col min="15368" max="15368" width="2.28515625" style="42" customWidth="1"/>
    <col min="15369" max="15369" width="9.42578125" style="42" customWidth="1"/>
    <col min="15370" max="15370" width="9.28515625" style="42" customWidth="1"/>
    <col min="15371" max="15372" width="7.7109375" style="42" customWidth="1"/>
    <col min="15373" max="15373" width="2.140625" style="42" customWidth="1"/>
    <col min="15374" max="15375" width="7.7109375" style="42" customWidth="1"/>
    <col min="15376" max="15376" width="2.28515625" style="42" customWidth="1"/>
    <col min="15377" max="15377" width="7.7109375" style="42" customWidth="1"/>
    <col min="15378" max="15378" width="8.85546875" style="42" customWidth="1"/>
    <col min="15379" max="15379" width="2.28515625" style="42" customWidth="1"/>
    <col min="15380" max="15381" width="7.7109375" style="42" customWidth="1"/>
    <col min="15382" max="15382" width="2" style="42" customWidth="1"/>
    <col min="15383" max="15384" width="7.7109375" style="42" customWidth="1"/>
    <col min="15385" max="15385" width="2.28515625" style="42" customWidth="1"/>
    <col min="15386" max="15387" width="7.7109375" style="42" customWidth="1"/>
    <col min="15388" max="15388" width="2.140625" style="42" customWidth="1"/>
    <col min="15389" max="15390" width="7.7109375" style="42" customWidth="1"/>
    <col min="15391" max="15391" width="2.7109375" style="42" customWidth="1"/>
    <col min="15392" max="15393" width="7.7109375" style="42" customWidth="1"/>
    <col min="15394" max="15394" width="2.7109375" style="42" customWidth="1"/>
    <col min="15395" max="15396" width="7.7109375" style="42" customWidth="1"/>
    <col min="15397" max="15397" width="2.7109375" style="42" customWidth="1"/>
    <col min="15398" max="15399" width="7.7109375" style="42" customWidth="1"/>
    <col min="15400" max="15400" width="2.7109375" style="42" customWidth="1"/>
    <col min="15401" max="15403" width="8.85546875" style="42" customWidth="1"/>
    <col min="15404" max="15616" width="8.85546875" style="42"/>
    <col min="15617" max="15617" width="36.28515625" style="42" customWidth="1"/>
    <col min="15618" max="15618" width="9.28515625" style="42" customWidth="1"/>
    <col min="15619" max="15619" width="8.85546875" style="42" customWidth="1"/>
    <col min="15620" max="15621" width="2.140625" style="42" customWidth="1"/>
    <col min="15622" max="15622" width="9.5703125" style="42" customWidth="1"/>
    <col min="15623" max="15623" width="8.28515625" style="42" customWidth="1"/>
    <col min="15624" max="15624" width="2.28515625" style="42" customWidth="1"/>
    <col min="15625" max="15625" width="9.42578125" style="42" customWidth="1"/>
    <col min="15626" max="15626" width="9.28515625" style="42" customWidth="1"/>
    <col min="15627" max="15628" width="7.7109375" style="42" customWidth="1"/>
    <col min="15629" max="15629" width="2.140625" style="42" customWidth="1"/>
    <col min="15630" max="15631" width="7.7109375" style="42" customWidth="1"/>
    <col min="15632" max="15632" width="2.28515625" style="42" customWidth="1"/>
    <col min="15633" max="15633" width="7.7109375" style="42" customWidth="1"/>
    <col min="15634" max="15634" width="8.85546875" style="42" customWidth="1"/>
    <col min="15635" max="15635" width="2.28515625" style="42" customWidth="1"/>
    <col min="15636" max="15637" width="7.7109375" style="42" customWidth="1"/>
    <col min="15638" max="15638" width="2" style="42" customWidth="1"/>
    <col min="15639" max="15640" width="7.7109375" style="42" customWidth="1"/>
    <col min="15641" max="15641" width="2.28515625" style="42" customWidth="1"/>
    <col min="15642" max="15643" width="7.7109375" style="42" customWidth="1"/>
    <col min="15644" max="15644" width="2.140625" style="42" customWidth="1"/>
    <col min="15645" max="15646" width="7.7109375" style="42" customWidth="1"/>
    <col min="15647" max="15647" width="2.7109375" style="42" customWidth="1"/>
    <col min="15648" max="15649" width="7.7109375" style="42" customWidth="1"/>
    <col min="15650" max="15650" width="2.7109375" style="42" customWidth="1"/>
    <col min="15651" max="15652" width="7.7109375" style="42" customWidth="1"/>
    <col min="15653" max="15653" width="2.7109375" style="42" customWidth="1"/>
    <col min="15654" max="15655" width="7.7109375" style="42" customWidth="1"/>
    <col min="15656" max="15656" width="2.7109375" style="42" customWidth="1"/>
    <col min="15657" max="15659" width="8.85546875" style="42" customWidth="1"/>
    <col min="15660" max="15872" width="8.85546875" style="42"/>
    <col min="15873" max="15873" width="36.28515625" style="42" customWidth="1"/>
    <col min="15874" max="15874" width="9.28515625" style="42" customWidth="1"/>
    <col min="15875" max="15875" width="8.85546875" style="42" customWidth="1"/>
    <col min="15876" max="15877" width="2.140625" style="42" customWidth="1"/>
    <col min="15878" max="15878" width="9.5703125" style="42" customWidth="1"/>
    <col min="15879" max="15879" width="8.28515625" style="42" customWidth="1"/>
    <col min="15880" max="15880" width="2.28515625" style="42" customWidth="1"/>
    <col min="15881" max="15881" width="9.42578125" style="42" customWidth="1"/>
    <col min="15882" max="15882" width="9.28515625" style="42" customWidth="1"/>
    <col min="15883" max="15884" width="7.7109375" style="42" customWidth="1"/>
    <col min="15885" max="15885" width="2.140625" style="42" customWidth="1"/>
    <col min="15886" max="15887" width="7.7109375" style="42" customWidth="1"/>
    <col min="15888" max="15888" width="2.28515625" style="42" customWidth="1"/>
    <col min="15889" max="15889" width="7.7109375" style="42" customWidth="1"/>
    <col min="15890" max="15890" width="8.85546875" style="42" customWidth="1"/>
    <col min="15891" max="15891" width="2.28515625" style="42" customWidth="1"/>
    <col min="15892" max="15893" width="7.7109375" style="42" customWidth="1"/>
    <col min="15894" max="15894" width="2" style="42" customWidth="1"/>
    <col min="15895" max="15896" width="7.7109375" style="42" customWidth="1"/>
    <col min="15897" max="15897" width="2.28515625" style="42" customWidth="1"/>
    <col min="15898" max="15899" width="7.7109375" style="42" customWidth="1"/>
    <col min="15900" max="15900" width="2.140625" style="42" customWidth="1"/>
    <col min="15901" max="15902" width="7.7109375" style="42" customWidth="1"/>
    <col min="15903" max="15903" width="2.7109375" style="42" customWidth="1"/>
    <col min="15904" max="15905" width="7.7109375" style="42" customWidth="1"/>
    <col min="15906" max="15906" width="2.7109375" style="42" customWidth="1"/>
    <col min="15907" max="15908" width="7.7109375" style="42" customWidth="1"/>
    <col min="15909" max="15909" width="2.7109375" style="42" customWidth="1"/>
    <col min="15910" max="15911" width="7.7109375" style="42" customWidth="1"/>
    <col min="15912" max="15912" width="2.7109375" style="42" customWidth="1"/>
    <col min="15913" max="15915" width="8.85546875" style="42" customWidth="1"/>
    <col min="15916" max="16128" width="8.85546875" style="42"/>
    <col min="16129" max="16129" width="36.28515625" style="42" customWidth="1"/>
    <col min="16130" max="16130" width="9.28515625" style="42" customWidth="1"/>
    <col min="16131" max="16131" width="8.85546875" style="42" customWidth="1"/>
    <col min="16132" max="16133" width="2.140625" style="42" customWidth="1"/>
    <col min="16134" max="16134" width="9.5703125" style="42" customWidth="1"/>
    <col min="16135" max="16135" width="8.28515625" style="42" customWidth="1"/>
    <col min="16136" max="16136" width="2.28515625" style="42" customWidth="1"/>
    <col min="16137" max="16137" width="9.42578125" style="42" customWidth="1"/>
    <col min="16138" max="16138" width="9.28515625" style="42" customWidth="1"/>
    <col min="16139" max="16140" width="7.7109375" style="42" customWidth="1"/>
    <col min="16141" max="16141" width="2.140625" style="42" customWidth="1"/>
    <col min="16142" max="16143" width="7.7109375" style="42" customWidth="1"/>
    <col min="16144" max="16144" width="2.28515625" style="42" customWidth="1"/>
    <col min="16145" max="16145" width="7.7109375" style="42" customWidth="1"/>
    <col min="16146" max="16146" width="8.85546875" style="42" customWidth="1"/>
    <col min="16147" max="16147" width="2.28515625" style="42" customWidth="1"/>
    <col min="16148" max="16149" width="7.7109375" style="42" customWidth="1"/>
    <col min="16150" max="16150" width="2" style="42" customWidth="1"/>
    <col min="16151" max="16152" width="7.7109375" style="42" customWidth="1"/>
    <col min="16153" max="16153" width="2.28515625" style="42" customWidth="1"/>
    <col min="16154" max="16155" width="7.7109375" style="42" customWidth="1"/>
    <col min="16156" max="16156" width="2.140625" style="42" customWidth="1"/>
    <col min="16157" max="16158" width="7.7109375" style="42" customWidth="1"/>
    <col min="16159" max="16159" width="2.7109375" style="42" customWidth="1"/>
    <col min="16160" max="16161" width="7.7109375" style="42" customWidth="1"/>
    <col min="16162" max="16162" width="2.7109375" style="42" customWidth="1"/>
    <col min="16163" max="16164" width="7.7109375" style="42" customWidth="1"/>
    <col min="16165" max="16165" width="2.7109375" style="42" customWidth="1"/>
    <col min="16166" max="16167" width="7.7109375" style="42" customWidth="1"/>
    <col min="16168" max="16168" width="2.7109375" style="42" customWidth="1"/>
    <col min="16169" max="16171" width="8.85546875" style="42" customWidth="1"/>
    <col min="16172" max="16384" width="8.85546875" style="42"/>
  </cols>
  <sheetData>
    <row r="1" spans="1:40" ht="15">
      <c r="A1" s="339" t="s">
        <v>311</v>
      </c>
      <c r="B1" s="396"/>
      <c r="C1" s="397"/>
      <c r="D1" s="353"/>
      <c r="E1" s="353"/>
      <c r="F1" s="396"/>
      <c r="G1" s="397"/>
      <c r="H1" s="353"/>
      <c r="I1" s="396"/>
      <c r="J1" s="397"/>
      <c r="K1" s="398"/>
    </row>
    <row r="2" spans="1:40" ht="15">
      <c r="A2" s="338" t="s">
        <v>312</v>
      </c>
      <c r="B2" s="367"/>
      <c r="C2" s="368"/>
      <c r="D2" s="369"/>
      <c r="E2" s="369"/>
      <c r="F2" s="367"/>
      <c r="G2" s="368"/>
      <c r="H2" s="369"/>
      <c r="I2" s="367"/>
      <c r="J2" s="368"/>
      <c r="K2" s="398"/>
    </row>
    <row r="3" spans="1:40" ht="15">
      <c r="A3" s="338"/>
      <c r="B3" s="367"/>
      <c r="C3" s="368"/>
      <c r="D3" s="369"/>
      <c r="E3" s="369"/>
      <c r="F3" s="367"/>
      <c r="G3" s="368"/>
      <c r="H3" s="369"/>
      <c r="I3" s="367"/>
      <c r="J3" s="368"/>
      <c r="K3" s="398"/>
    </row>
    <row r="4" spans="1:40" ht="15">
      <c r="A4" s="338" t="s">
        <v>1063</v>
      </c>
      <c r="B4" s="367"/>
      <c r="C4" s="368"/>
      <c r="D4" s="369"/>
      <c r="E4" s="369"/>
      <c r="F4" s="367"/>
      <c r="G4" s="368"/>
      <c r="H4" s="369"/>
      <c r="I4" s="367"/>
      <c r="J4" s="368"/>
      <c r="K4" s="398"/>
    </row>
    <row r="5" spans="1:40" ht="15">
      <c r="A5" s="338" t="s">
        <v>1064</v>
      </c>
      <c r="B5" s="367"/>
      <c r="C5" s="368"/>
      <c r="D5" s="369"/>
      <c r="E5" s="369"/>
      <c r="F5" s="367"/>
      <c r="G5" s="368"/>
      <c r="H5" s="369"/>
      <c r="I5" s="367"/>
      <c r="J5" s="368"/>
      <c r="K5" s="398"/>
    </row>
    <row r="6" spans="1:40" ht="15.75" thickBot="1">
      <c r="A6" s="346"/>
      <c r="B6" s="401"/>
      <c r="C6" s="401"/>
      <c r="D6" s="402"/>
      <c r="E6" s="402"/>
      <c r="F6" s="401"/>
      <c r="G6" s="403"/>
      <c r="H6" s="402"/>
      <c r="I6" s="401"/>
      <c r="J6" s="403"/>
      <c r="K6" s="398"/>
    </row>
    <row r="7" spans="1:40" ht="19.899999999999999" customHeight="1">
      <c r="A7" s="347"/>
      <c r="B7" s="404"/>
      <c r="C7" s="404"/>
      <c r="D7" s="404"/>
      <c r="E7" s="369"/>
      <c r="F7" s="1294" t="s">
        <v>1065</v>
      </c>
      <c r="G7" s="1294"/>
      <c r="H7" s="1294"/>
      <c r="I7" s="1294"/>
      <c r="J7" s="1294"/>
      <c r="K7" s="405"/>
      <c r="L7" s="275"/>
      <c r="M7" s="275"/>
      <c r="N7" s="275"/>
      <c r="O7" s="275"/>
      <c r="P7" s="406"/>
      <c r="Q7" s="400"/>
      <c r="R7" s="400"/>
      <c r="S7" s="400"/>
      <c r="T7" s="400"/>
      <c r="U7" s="400"/>
      <c r="W7" s="400"/>
      <c r="X7" s="400"/>
      <c r="Y7" s="400"/>
      <c r="Z7" s="400"/>
      <c r="AA7" s="400"/>
      <c r="AC7" s="115"/>
      <c r="AD7" s="115"/>
      <c r="AE7" s="115"/>
      <c r="AF7" s="115"/>
      <c r="AG7" s="115"/>
      <c r="AI7" s="242"/>
      <c r="AJ7" s="242"/>
      <c r="AK7" s="242"/>
      <c r="AL7" s="242"/>
      <c r="AM7" s="242"/>
    </row>
    <row r="8" spans="1:40" ht="19.899999999999999" customHeight="1">
      <c r="A8" s="407" t="s">
        <v>1066</v>
      </c>
      <c r="B8" s="1295" t="s">
        <v>5</v>
      </c>
      <c r="C8" s="1295"/>
      <c r="D8" s="369"/>
      <c r="E8" s="369"/>
      <c r="F8" s="1295" t="s">
        <v>1012</v>
      </c>
      <c r="G8" s="1295"/>
      <c r="H8" s="369"/>
      <c r="I8" s="1295" t="s">
        <v>1013</v>
      </c>
      <c r="J8" s="1295"/>
      <c r="K8" s="408"/>
      <c r="L8" s="400"/>
      <c r="M8" s="115"/>
      <c r="N8" s="400"/>
      <c r="O8" s="400"/>
      <c r="P8" s="406"/>
      <c r="Q8" s="400"/>
      <c r="R8" s="400"/>
      <c r="S8" s="115"/>
      <c r="T8" s="400"/>
      <c r="U8" s="400"/>
      <c r="W8" s="400"/>
      <c r="X8" s="400"/>
      <c r="Y8" s="115"/>
      <c r="Z8" s="400"/>
      <c r="AA8" s="400"/>
      <c r="AC8" s="115"/>
      <c r="AD8" s="115"/>
      <c r="AE8" s="115"/>
      <c r="AF8" s="115"/>
      <c r="AG8" s="115"/>
      <c r="AI8" s="242"/>
      <c r="AJ8" s="242"/>
      <c r="AK8" s="242"/>
      <c r="AL8" s="242"/>
      <c r="AM8" s="242"/>
    </row>
    <row r="9" spans="1:40" ht="19.899999999999999" customHeight="1">
      <c r="A9" s="407" t="s">
        <v>1067</v>
      </c>
      <c r="B9" s="367" t="s">
        <v>9</v>
      </c>
      <c r="C9" s="368" t="s">
        <v>10</v>
      </c>
      <c r="D9" s="369"/>
      <c r="E9" s="369"/>
      <c r="F9" s="367" t="s">
        <v>9</v>
      </c>
      <c r="G9" s="368" t="s">
        <v>10</v>
      </c>
      <c r="H9" s="369"/>
      <c r="I9" s="367" t="s">
        <v>9</v>
      </c>
      <c r="J9" s="368" t="s">
        <v>10</v>
      </c>
      <c r="K9" s="409"/>
      <c r="L9" s="410"/>
      <c r="M9" s="242"/>
      <c r="N9" s="411"/>
      <c r="O9" s="410"/>
      <c r="P9" s="240"/>
      <c r="Q9" s="412"/>
      <c r="R9" s="177"/>
      <c r="S9" s="115"/>
      <c r="T9" s="412"/>
      <c r="U9" s="177"/>
      <c r="W9" s="412"/>
      <c r="X9" s="177"/>
      <c r="Y9" s="115"/>
      <c r="Z9" s="412"/>
      <c r="AA9" s="177"/>
      <c r="AC9" s="115"/>
      <c r="AD9" s="115"/>
      <c r="AE9" s="115"/>
      <c r="AF9" s="115"/>
      <c r="AG9" s="115"/>
      <c r="AI9" s="242"/>
      <c r="AJ9" s="242"/>
      <c r="AK9" s="242"/>
      <c r="AL9" s="242"/>
      <c r="AM9" s="242"/>
    </row>
    <row r="10" spans="1:40" ht="19.899999999999999" customHeight="1" thickBot="1">
      <c r="A10" s="346"/>
      <c r="B10" s="401"/>
      <c r="C10" s="403"/>
      <c r="D10" s="402"/>
      <c r="E10" s="402"/>
      <c r="F10" s="401"/>
      <c r="G10" s="403"/>
      <c r="H10" s="402"/>
      <c r="I10" s="401"/>
      <c r="J10" s="403"/>
      <c r="K10" s="398"/>
      <c r="M10" s="251"/>
      <c r="P10" s="240"/>
      <c r="S10" s="413"/>
    </row>
    <row r="11" spans="1:40" ht="19.899999999999999" customHeight="1">
      <c r="A11" s="347"/>
      <c r="B11" s="367"/>
      <c r="C11" s="368"/>
      <c r="D11" s="369"/>
      <c r="E11" s="369"/>
      <c r="F11" s="367"/>
      <c r="G11" s="368"/>
      <c r="H11" s="369"/>
      <c r="I11" s="367"/>
      <c r="J11" s="368"/>
      <c r="K11" s="398"/>
      <c r="M11" s="251"/>
      <c r="P11" s="240"/>
      <c r="S11" s="413"/>
      <c r="V11" s="413"/>
      <c r="Y11" s="413"/>
      <c r="AB11" s="413"/>
      <c r="AC11" s="414"/>
      <c r="AD11" s="414"/>
      <c r="AE11" s="414"/>
      <c r="AF11" s="414"/>
      <c r="AG11" s="414"/>
      <c r="AH11" s="415"/>
      <c r="AI11" s="415"/>
      <c r="AJ11" s="415"/>
      <c r="AK11" s="415"/>
      <c r="AL11" s="415"/>
      <c r="AM11" s="415"/>
      <c r="AN11" s="415"/>
    </row>
    <row r="12" spans="1:40" ht="19.899999999999999" customHeight="1">
      <c r="A12" s="416" t="s">
        <v>1068</v>
      </c>
      <c r="B12" s="417">
        <f>IF($A12&lt;&gt;"",F12+I12,"")</f>
        <v>5833</v>
      </c>
      <c r="C12" s="418">
        <f>IF($A12&lt;&gt;"",G12+J12,"")</f>
        <v>100</v>
      </c>
      <c r="D12" s="404"/>
      <c r="E12" s="404"/>
      <c r="F12" s="417">
        <f>F14+F34</f>
        <v>3348</v>
      </c>
      <c r="G12" s="418">
        <f>IF($A12&lt;&gt;"",F12/$B12*100,"")</f>
        <v>57.397565575175726</v>
      </c>
      <c r="H12" s="419"/>
      <c r="I12" s="417">
        <f>I14+I34</f>
        <v>2485</v>
      </c>
      <c r="J12" s="418">
        <f>IF($A12&lt;&gt;"",I12/$B12*100,"")</f>
        <v>42.602434424824274</v>
      </c>
      <c r="K12" s="398"/>
      <c r="M12" s="251"/>
      <c r="P12" s="240"/>
      <c r="S12" s="413"/>
    </row>
    <row r="13" spans="1:40" ht="19.899999999999999" customHeight="1">
      <c r="A13" s="338"/>
      <c r="B13" s="417"/>
      <c r="C13" s="418" t="str">
        <f t="shared" ref="C13:C34" si="0">IF($A13&lt;&gt;"",G13+J13,"")</f>
        <v/>
      </c>
      <c r="D13" s="404"/>
      <c r="E13" s="404"/>
      <c r="F13" s="417"/>
      <c r="G13" s="418"/>
      <c r="H13" s="419"/>
      <c r="I13" s="417"/>
      <c r="J13" s="418"/>
      <c r="K13" s="398"/>
      <c r="M13" s="251"/>
      <c r="P13" s="240"/>
      <c r="S13" s="413"/>
    </row>
    <row r="14" spans="1:40" ht="19.899999999999999" customHeight="1">
      <c r="A14" s="416" t="s">
        <v>326</v>
      </c>
      <c r="B14" s="417">
        <f t="shared" ref="B14:B34" si="1">IF($A14&lt;&gt;"",F14+I14,"")</f>
        <v>4467</v>
      </c>
      <c r="C14" s="418">
        <f t="shared" si="0"/>
        <v>100</v>
      </c>
      <c r="D14" s="404"/>
      <c r="E14" s="404"/>
      <c r="F14" s="417">
        <f>SUM(F15:F32)</f>
        <v>2491</v>
      </c>
      <c r="G14" s="418">
        <f t="shared" ref="G14:G34" si="2">IF($A14&lt;&gt;"",F14/$B14*100,"")</f>
        <v>55.764495186926347</v>
      </c>
      <c r="H14" s="419"/>
      <c r="I14" s="417">
        <f>SUM(I15:I32)</f>
        <v>1976</v>
      </c>
      <c r="J14" s="418">
        <f t="shared" ref="J14:J34" si="3">IF($A14&lt;&gt;"",I14/$B14*100,"")</f>
        <v>44.235504813073653</v>
      </c>
      <c r="K14" s="420"/>
      <c r="M14" s="251"/>
      <c r="N14" s="399"/>
      <c r="P14" s="240"/>
      <c r="S14" s="413"/>
    </row>
    <row r="15" spans="1:40" ht="19.899999999999999" customHeight="1">
      <c r="A15" s="338"/>
      <c r="B15" s="417" t="str">
        <f t="shared" si="1"/>
        <v/>
      </c>
      <c r="C15" s="418" t="str">
        <f t="shared" si="0"/>
        <v/>
      </c>
      <c r="D15" s="404"/>
      <c r="E15" s="404"/>
      <c r="F15" s="417"/>
      <c r="G15" s="418" t="str">
        <f t="shared" si="2"/>
        <v/>
      </c>
      <c r="H15" s="419"/>
      <c r="I15" s="417"/>
      <c r="J15" s="418" t="str">
        <f t="shared" si="3"/>
        <v/>
      </c>
      <c r="K15" s="398"/>
      <c r="M15" s="251"/>
      <c r="P15" s="240"/>
      <c r="S15" s="413"/>
    </row>
    <row r="16" spans="1:40" ht="19.899999999999999" customHeight="1">
      <c r="A16" s="338" t="s">
        <v>1069</v>
      </c>
      <c r="B16" s="417">
        <f t="shared" si="1"/>
        <v>227</v>
      </c>
      <c r="C16" s="418">
        <f t="shared" si="0"/>
        <v>100</v>
      </c>
      <c r="D16" s="404"/>
      <c r="E16" s="404"/>
      <c r="F16" s="421">
        <v>135</v>
      </c>
      <c r="G16" s="418">
        <f t="shared" si="2"/>
        <v>59.471365638766514</v>
      </c>
      <c r="H16" s="419"/>
      <c r="I16" s="421">
        <v>92</v>
      </c>
      <c r="J16" s="418">
        <f t="shared" si="3"/>
        <v>40.528634361233479</v>
      </c>
      <c r="K16" s="398"/>
      <c r="M16" s="251"/>
      <c r="P16" s="240"/>
      <c r="S16" s="413"/>
    </row>
    <row r="17" spans="1:19" ht="19.899999999999999" customHeight="1">
      <c r="A17" s="339"/>
      <c r="B17" s="417" t="str">
        <f t="shared" si="1"/>
        <v/>
      </c>
      <c r="C17" s="418" t="str">
        <f t="shared" si="0"/>
        <v/>
      </c>
      <c r="D17" s="365"/>
      <c r="E17" s="365"/>
      <c r="F17" s="421"/>
      <c r="G17" s="344" t="str">
        <f t="shared" si="2"/>
        <v/>
      </c>
      <c r="H17" s="422"/>
      <c r="I17" s="421"/>
      <c r="J17" s="418" t="str">
        <f t="shared" si="3"/>
        <v/>
      </c>
      <c r="K17" s="398"/>
      <c r="M17" s="251"/>
      <c r="P17" s="240"/>
      <c r="S17" s="413"/>
    </row>
    <row r="18" spans="1:19" ht="19.899999999999999" customHeight="1">
      <c r="A18" s="339" t="s">
        <v>375</v>
      </c>
      <c r="B18" s="417">
        <f t="shared" si="1"/>
        <v>152</v>
      </c>
      <c r="C18" s="418">
        <f t="shared" si="0"/>
        <v>100</v>
      </c>
      <c r="D18" s="365"/>
      <c r="E18" s="365"/>
      <c r="F18" s="421">
        <v>55</v>
      </c>
      <c r="G18" s="344">
        <f t="shared" si="2"/>
        <v>36.184210526315788</v>
      </c>
      <c r="H18" s="422"/>
      <c r="I18" s="421">
        <v>97</v>
      </c>
      <c r="J18" s="418">
        <f t="shared" si="3"/>
        <v>63.815789473684212</v>
      </c>
      <c r="K18" s="398"/>
      <c r="M18" s="251"/>
      <c r="P18" s="240"/>
      <c r="S18" s="413"/>
    </row>
    <row r="19" spans="1:19" ht="19.899999999999999" customHeight="1">
      <c r="A19" s="339"/>
      <c r="B19" s="417" t="str">
        <f t="shared" si="1"/>
        <v/>
      </c>
      <c r="C19" s="418" t="str">
        <f t="shared" si="0"/>
        <v/>
      </c>
      <c r="D19" s="365"/>
      <c r="E19" s="365"/>
      <c r="F19" s="421"/>
      <c r="G19" s="344" t="str">
        <f t="shared" si="2"/>
        <v/>
      </c>
      <c r="H19" s="422"/>
      <c r="I19" s="421"/>
      <c r="J19" s="418" t="str">
        <f t="shared" si="3"/>
        <v/>
      </c>
      <c r="K19" s="398"/>
      <c r="M19" s="251"/>
      <c r="P19" s="240"/>
      <c r="S19" s="413"/>
    </row>
    <row r="20" spans="1:19" ht="19.899999999999999" customHeight="1">
      <c r="A20" s="339" t="s">
        <v>329</v>
      </c>
      <c r="B20" s="417">
        <f t="shared" si="1"/>
        <v>2016</v>
      </c>
      <c r="C20" s="418">
        <f t="shared" si="0"/>
        <v>100</v>
      </c>
      <c r="D20" s="365"/>
      <c r="E20" s="365"/>
      <c r="F20" s="421">
        <v>1227</v>
      </c>
      <c r="G20" s="344">
        <f t="shared" si="2"/>
        <v>60.863095238095234</v>
      </c>
      <c r="H20" s="422"/>
      <c r="I20" s="421">
        <v>789</v>
      </c>
      <c r="J20" s="418">
        <f t="shared" si="3"/>
        <v>39.136904761904759</v>
      </c>
      <c r="K20" s="398"/>
      <c r="M20" s="251"/>
      <c r="P20" s="240"/>
      <c r="S20" s="413"/>
    </row>
    <row r="21" spans="1:19" ht="19.899999999999999" customHeight="1">
      <c r="A21" s="339"/>
      <c r="B21" s="417" t="str">
        <f t="shared" si="1"/>
        <v/>
      </c>
      <c r="C21" s="418" t="str">
        <f t="shared" si="0"/>
        <v/>
      </c>
      <c r="D21" s="365"/>
      <c r="E21" s="365"/>
      <c r="F21" s="421"/>
      <c r="G21" s="344" t="str">
        <f t="shared" si="2"/>
        <v/>
      </c>
      <c r="H21" s="422"/>
      <c r="I21" s="421"/>
      <c r="J21" s="418" t="str">
        <f t="shared" si="3"/>
        <v/>
      </c>
      <c r="K21" s="398"/>
      <c r="M21" s="251"/>
      <c r="P21" s="240"/>
      <c r="S21" s="413"/>
    </row>
    <row r="22" spans="1:19" ht="19.899999999999999" customHeight="1">
      <c r="A22" s="339" t="s">
        <v>333</v>
      </c>
      <c r="B22" s="417">
        <f t="shared" si="1"/>
        <v>683</v>
      </c>
      <c r="C22" s="418">
        <f t="shared" si="0"/>
        <v>100</v>
      </c>
      <c r="D22" s="365"/>
      <c r="E22" s="365"/>
      <c r="F22" s="421">
        <v>454</v>
      </c>
      <c r="G22" s="344">
        <f t="shared" si="2"/>
        <v>66.471449487554906</v>
      </c>
      <c r="H22" s="422"/>
      <c r="I22" s="421">
        <v>229</v>
      </c>
      <c r="J22" s="418">
        <f t="shared" si="3"/>
        <v>33.528550512445094</v>
      </c>
      <c r="K22" s="398"/>
      <c r="M22" s="251"/>
      <c r="P22" s="240"/>
      <c r="S22" s="413"/>
    </row>
    <row r="23" spans="1:19" ht="19.899999999999999" customHeight="1">
      <c r="A23" s="339"/>
      <c r="B23" s="417" t="str">
        <f t="shared" si="1"/>
        <v/>
      </c>
      <c r="C23" s="418" t="str">
        <f t="shared" si="0"/>
        <v/>
      </c>
      <c r="D23" s="365"/>
      <c r="E23" s="365"/>
      <c r="F23" s="421"/>
      <c r="G23" s="344" t="str">
        <f t="shared" si="2"/>
        <v/>
      </c>
      <c r="H23" s="422"/>
      <c r="I23" s="421"/>
      <c r="J23" s="418" t="str">
        <f t="shared" si="3"/>
        <v/>
      </c>
      <c r="K23" s="398"/>
      <c r="M23" s="251"/>
      <c r="P23" s="240"/>
      <c r="S23" s="413"/>
    </row>
    <row r="24" spans="1:19" ht="19.899999999999999" customHeight="1">
      <c r="A24" s="339" t="s">
        <v>336</v>
      </c>
      <c r="B24" s="417">
        <f t="shared" si="1"/>
        <v>150</v>
      </c>
      <c r="C24" s="418">
        <f t="shared" si="0"/>
        <v>100</v>
      </c>
      <c r="D24" s="365"/>
      <c r="E24" s="365"/>
      <c r="F24" s="421">
        <v>84</v>
      </c>
      <c r="G24" s="344">
        <f t="shared" si="2"/>
        <v>56.000000000000007</v>
      </c>
      <c r="H24" s="422"/>
      <c r="I24" s="421">
        <v>66</v>
      </c>
      <c r="J24" s="418">
        <f t="shared" si="3"/>
        <v>44</v>
      </c>
      <c r="K24" s="398"/>
      <c r="M24" s="251"/>
      <c r="P24" s="240"/>
      <c r="S24" s="413"/>
    </row>
    <row r="25" spans="1:19" ht="19.899999999999999" customHeight="1">
      <c r="A25" s="339"/>
      <c r="B25" s="417" t="str">
        <f t="shared" si="1"/>
        <v/>
      </c>
      <c r="C25" s="418" t="str">
        <f t="shared" si="0"/>
        <v/>
      </c>
      <c r="D25" s="365"/>
      <c r="E25" s="365"/>
      <c r="F25" s="421"/>
      <c r="G25" s="344" t="str">
        <f t="shared" si="2"/>
        <v/>
      </c>
      <c r="H25" s="422"/>
      <c r="I25" s="421"/>
      <c r="J25" s="418" t="str">
        <f t="shared" si="3"/>
        <v/>
      </c>
      <c r="K25" s="398"/>
      <c r="M25" s="251"/>
      <c r="P25" s="240"/>
      <c r="S25" s="413"/>
    </row>
    <row r="26" spans="1:19" ht="19.899999999999999" customHeight="1">
      <c r="A26" s="339" t="s">
        <v>396</v>
      </c>
      <c r="B26" s="417">
        <f t="shared" si="1"/>
        <v>537</v>
      </c>
      <c r="C26" s="418">
        <f t="shared" si="0"/>
        <v>100</v>
      </c>
      <c r="D26" s="365"/>
      <c r="E26" s="365"/>
      <c r="F26" s="421">
        <v>138</v>
      </c>
      <c r="G26" s="344">
        <f t="shared" si="2"/>
        <v>25.69832402234637</v>
      </c>
      <c r="H26" s="422"/>
      <c r="I26" s="421">
        <v>399</v>
      </c>
      <c r="J26" s="418">
        <f t="shared" si="3"/>
        <v>74.30167597765363</v>
      </c>
      <c r="K26" s="398"/>
      <c r="M26" s="251"/>
      <c r="P26" s="240"/>
      <c r="S26" s="413"/>
    </row>
    <row r="27" spans="1:19" ht="19.899999999999999" customHeight="1">
      <c r="A27" s="339"/>
      <c r="B27" s="417" t="str">
        <f t="shared" si="1"/>
        <v/>
      </c>
      <c r="C27" s="418" t="str">
        <f t="shared" si="0"/>
        <v/>
      </c>
      <c r="D27" s="365"/>
      <c r="E27" s="365"/>
      <c r="F27" s="421"/>
      <c r="G27" s="344" t="str">
        <f t="shared" si="2"/>
        <v/>
      </c>
      <c r="H27" s="422"/>
      <c r="I27" s="421"/>
      <c r="J27" s="418" t="str">
        <f t="shared" si="3"/>
        <v/>
      </c>
      <c r="K27" s="398"/>
      <c r="M27" s="251"/>
      <c r="P27" s="240"/>
      <c r="S27" s="413"/>
    </row>
    <row r="28" spans="1:19" ht="19.899999999999999" customHeight="1">
      <c r="A28" s="339" t="s">
        <v>1070</v>
      </c>
      <c r="B28" s="417">
        <f t="shared" si="1"/>
        <v>28</v>
      </c>
      <c r="C28" s="418">
        <f t="shared" si="0"/>
        <v>100</v>
      </c>
      <c r="D28" s="365"/>
      <c r="E28" s="365"/>
      <c r="F28" s="421">
        <v>13</v>
      </c>
      <c r="G28" s="344">
        <f t="shared" si="2"/>
        <v>46.428571428571431</v>
      </c>
      <c r="H28" s="422"/>
      <c r="I28" s="421">
        <v>15</v>
      </c>
      <c r="J28" s="418">
        <f t="shared" si="3"/>
        <v>53.571428571428569</v>
      </c>
      <c r="K28" s="398"/>
      <c r="M28" s="251"/>
      <c r="P28" s="240"/>
      <c r="S28" s="413"/>
    </row>
    <row r="29" spans="1:19" ht="19.899999999999999" customHeight="1">
      <c r="A29" s="339"/>
      <c r="B29" s="417" t="str">
        <f t="shared" si="1"/>
        <v/>
      </c>
      <c r="C29" s="418" t="str">
        <f t="shared" si="0"/>
        <v/>
      </c>
      <c r="D29" s="365"/>
      <c r="E29" s="365"/>
      <c r="F29" s="421"/>
      <c r="G29" s="344" t="str">
        <f t="shared" si="2"/>
        <v/>
      </c>
      <c r="H29" s="422"/>
      <c r="I29" s="421"/>
      <c r="J29" s="418" t="str">
        <f t="shared" si="3"/>
        <v/>
      </c>
      <c r="K29" s="398"/>
      <c r="M29" s="251"/>
      <c r="P29" s="240"/>
      <c r="S29" s="413"/>
    </row>
    <row r="30" spans="1:19" ht="19.899999999999999" customHeight="1">
      <c r="A30" s="339" t="s">
        <v>409</v>
      </c>
      <c r="B30" s="417">
        <f t="shared" si="1"/>
        <v>53</v>
      </c>
      <c r="C30" s="418">
        <f t="shared" si="0"/>
        <v>100</v>
      </c>
      <c r="D30" s="365"/>
      <c r="E30" s="365"/>
      <c r="F30" s="421">
        <v>35</v>
      </c>
      <c r="G30" s="344">
        <f t="shared" si="2"/>
        <v>66.037735849056602</v>
      </c>
      <c r="H30" s="422"/>
      <c r="I30" s="421">
        <v>18</v>
      </c>
      <c r="J30" s="418">
        <f t="shared" si="3"/>
        <v>33.962264150943398</v>
      </c>
      <c r="K30" s="398"/>
      <c r="M30" s="251"/>
      <c r="P30" s="240"/>
      <c r="S30" s="413"/>
    </row>
    <row r="31" spans="1:19" ht="19.899999999999999" customHeight="1">
      <c r="A31" s="339"/>
      <c r="B31" s="417" t="str">
        <f t="shared" si="1"/>
        <v/>
      </c>
      <c r="C31" s="418" t="str">
        <f t="shared" si="0"/>
        <v/>
      </c>
      <c r="D31" s="365"/>
      <c r="E31" s="365"/>
      <c r="F31" s="421"/>
      <c r="G31" s="344" t="str">
        <f t="shared" si="2"/>
        <v/>
      </c>
      <c r="H31" s="422"/>
      <c r="I31" s="421"/>
      <c r="J31" s="418" t="str">
        <f t="shared" si="3"/>
        <v/>
      </c>
      <c r="K31" s="398"/>
      <c r="M31" s="251"/>
      <c r="P31" s="240"/>
      <c r="S31" s="413"/>
    </row>
    <row r="32" spans="1:19" ht="19.899999999999999" customHeight="1">
      <c r="A32" s="339" t="s">
        <v>149</v>
      </c>
      <c r="B32" s="417">
        <f t="shared" si="1"/>
        <v>621</v>
      </c>
      <c r="C32" s="418">
        <f t="shared" si="0"/>
        <v>100</v>
      </c>
      <c r="D32" s="365"/>
      <c r="E32" s="365"/>
      <c r="F32" s="421">
        <v>350</v>
      </c>
      <c r="G32" s="344">
        <f t="shared" si="2"/>
        <v>56.360708534621573</v>
      </c>
      <c r="H32" s="422"/>
      <c r="I32" s="421">
        <v>271</v>
      </c>
      <c r="J32" s="418">
        <f t="shared" si="3"/>
        <v>43.63929146537842</v>
      </c>
      <c r="K32" s="398"/>
      <c r="M32" s="251"/>
      <c r="P32" s="240"/>
      <c r="S32" s="413"/>
    </row>
    <row r="33" spans="1:40" ht="19.899999999999999" customHeight="1">
      <c r="A33" s="339"/>
      <c r="B33" s="417" t="str">
        <f t="shared" si="1"/>
        <v/>
      </c>
      <c r="C33" s="418" t="str">
        <f t="shared" si="0"/>
        <v/>
      </c>
      <c r="D33" s="365"/>
      <c r="E33" s="365"/>
      <c r="F33"/>
      <c r="G33" s="344" t="str">
        <f t="shared" si="2"/>
        <v/>
      </c>
      <c r="H33" s="422"/>
      <c r="I33"/>
      <c r="J33" s="418" t="str">
        <f t="shared" si="3"/>
        <v/>
      </c>
      <c r="K33" s="398"/>
      <c r="M33" s="251"/>
      <c r="P33" s="240"/>
      <c r="S33" s="413"/>
    </row>
    <row r="34" spans="1:40" ht="19.899999999999999" customHeight="1">
      <c r="A34" s="348" t="s">
        <v>346</v>
      </c>
      <c r="B34" s="417">
        <f t="shared" si="1"/>
        <v>1366</v>
      </c>
      <c r="C34" s="418">
        <f t="shared" si="0"/>
        <v>100</v>
      </c>
      <c r="D34" s="365"/>
      <c r="E34" s="365"/>
      <c r="F34" s="352">
        <v>857</v>
      </c>
      <c r="G34" s="344">
        <f t="shared" si="2"/>
        <v>62.73792093704246</v>
      </c>
      <c r="H34" s="422"/>
      <c r="I34" s="352">
        <v>509</v>
      </c>
      <c r="J34" s="418">
        <f t="shared" si="3"/>
        <v>37.26207906295754</v>
      </c>
      <c r="K34" s="398"/>
      <c r="M34" s="251"/>
      <c r="P34" s="240"/>
      <c r="S34" s="413"/>
    </row>
    <row r="35" spans="1:40" ht="19.899999999999999" customHeight="1" thickBot="1">
      <c r="A35" s="339"/>
      <c r="B35" s="423"/>
      <c r="C35" s="424"/>
      <c r="D35" s="425"/>
      <c r="E35" s="425"/>
      <c r="F35" s="423"/>
      <c r="G35" s="424"/>
      <c r="H35" s="425"/>
      <c r="I35" s="423"/>
      <c r="J35" s="424"/>
      <c r="K35" s="398"/>
      <c r="M35" s="251"/>
      <c r="P35" s="240"/>
      <c r="S35" s="413"/>
    </row>
    <row r="36" spans="1:40" ht="12.75" customHeight="1">
      <c r="A36" s="340"/>
      <c r="B36" s="396"/>
      <c r="C36" s="397"/>
      <c r="D36" s="353"/>
      <c r="E36" s="353"/>
      <c r="F36" s="396"/>
      <c r="G36" s="397"/>
      <c r="H36" s="353"/>
      <c r="I36" s="396"/>
      <c r="J36" s="397"/>
      <c r="K36" s="398"/>
      <c r="V36" s="413"/>
      <c r="Y36" s="413"/>
      <c r="AB36" s="413"/>
      <c r="AC36" s="414"/>
      <c r="AD36" s="414"/>
      <c r="AE36" s="414"/>
      <c r="AF36" s="414"/>
      <c r="AG36" s="414"/>
      <c r="AH36" s="415"/>
      <c r="AI36" s="415"/>
      <c r="AJ36" s="415"/>
      <c r="AK36" s="415"/>
      <c r="AL36" s="415"/>
      <c r="AM36" s="415"/>
      <c r="AN36" s="415"/>
    </row>
    <row r="37" spans="1:40" ht="15">
      <c r="A37" s="339" t="s">
        <v>1071</v>
      </c>
      <c r="B37" s="396"/>
      <c r="C37" s="397"/>
      <c r="D37" s="353"/>
      <c r="E37" s="353"/>
      <c r="F37" s="396"/>
      <c r="G37" s="397"/>
      <c r="H37" s="353"/>
      <c r="I37" s="396"/>
      <c r="J37" s="397"/>
      <c r="K37" s="398"/>
    </row>
    <row r="38" spans="1:40" ht="15">
      <c r="A38" s="339" t="s">
        <v>795</v>
      </c>
      <c r="B38" s="396"/>
      <c r="C38" s="397"/>
      <c r="D38" s="353"/>
      <c r="E38" s="353"/>
      <c r="F38" s="396"/>
      <c r="G38" s="397"/>
      <c r="H38" s="353"/>
      <c r="I38" s="396"/>
      <c r="J38" s="397"/>
      <c r="K38" s="398"/>
    </row>
    <row r="39" spans="1:40" ht="15">
      <c r="F39" s="364"/>
      <c r="G39" s="364"/>
    </row>
    <row r="40" spans="1:40" s="400" customFormat="1" ht="15">
      <c r="B40" s="115"/>
      <c r="C40" s="115"/>
      <c r="D40" s="115"/>
      <c r="E40" s="115"/>
      <c r="F40" s="364"/>
      <c r="G40" s="364"/>
      <c r="H40" s="115"/>
      <c r="I40" s="115"/>
      <c r="J40" s="115"/>
    </row>
    <row r="41" spans="1:40" s="400" customFormat="1">
      <c r="B41" s="115"/>
      <c r="C41" s="115"/>
      <c r="D41" s="115"/>
      <c r="E41" s="115"/>
      <c r="F41" s="115"/>
      <c r="G41" s="115"/>
      <c r="H41" s="115"/>
      <c r="I41" s="115"/>
      <c r="J41" s="115"/>
    </row>
    <row r="42" spans="1:40" s="400" customFormat="1">
      <c r="B42" s="115"/>
      <c r="C42" s="115"/>
      <c r="D42" s="115"/>
      <c r="E42" s="115"/>
      <c r="F42" s="115"/>
      <c r="G42" s="115"/>
      <c r="H42" s="115"/>
      <c r="I42" s="115"/>
      <c r="J42" s="115"/>
    </row>
    <row r="43" spans="1:40" s="400" customFormat="1">
      <c r="B43" s="115"/>
      <c r="C43" s="115"/>
      <c r="D43" s="115"/>
      <c r="E43" s="115"/>
      <c r="F43" s="115"/>
      <c r="G43" s="115"/>
      <c r="H43" s="115"/>
      <c r="I43" s="115"/>
      <c r="J43" s="115"/>
    </row>
    <row r="44" spans="1:40" s="400" customFormat="1">
      <c r="B44" s="115"/>
      <c r="C44" s="115"/>
      <c r="D44" s="115"/>
      <c r="E44" s="115"/>
      <c r="F44" s="115"/>
      <c r="G44" s="115"/>
      <c r="H44" s="115"/>
      <c r="I44" s="115"/>
      <c r="J44" s="115"/>
    </row>
    <row r="45" spans="1:40" s="400" customFormat="1">
      <c r="B45" s="115"/>
      <c r="C45" s="115"/>
      <c r="D45" s="115"/>
      <c r="E45" s="115"/>
      <c r="F45" s="115"/>
      <c r="G45" s="115"/>
      <c r="H45" s="115"/>
      <c r="I45" s="115"/>
      <c r="J45" s="115"/>
    </row>
    <row r="46" spans="1:40" s="400" customFormat="1">
      <c r="B46" s="115"/>
      <c r="C46" s="115"/>
      <c r="D46" s="115"/>
      <c r="E46" s="115"/>
      <c r="F46" s="115"/>
      <c r="G46" s="115"/>
      <c r="H46" s="115"/>
      <c r="I46" s="115"/>
      <c r="J46" s="115"/>
    </row>
    <row r="47" spans="1:40" s="400" customFormat="1">
      <c r="B47" s="115"/>
      <c r="C47" s="115"/>
      <c r="D47" s="115"/>
      <c r="E47" s="115"/>
      <c r="F47" s="115"/>
      <c r="G47" s="115"/>
      <c r="H47" s="115"/>
      <c r="I47" s="115"/>
      <c r="J47" s="115"/>
    </row>
    <row r="48" spans="1:40" s="400" customFormat="1">
      <c r="B48" s="115"/>
      <c r="C48" s="115"/>
      <c r="D48" s="115"/>
      <c r="E48" s="115"/>
      <c r="F48" s="115"/>
      <c r="G48" s="115"/>
      <c r="H48" s="115"/>
      <c r="I48" s="115"/>
      <c r="J48" s="115"/>
    </row>
    <row r="49" spans="2:10" s="400" customFormat="1">
      <c r="B49" s="115"/>
      <c r="C49" s="115"/>
      <c r="D49" s="115"/>
      <c r="E49" s="115"/>
      <c r="F49" s="115"/>
      <c r="G49" s="115"/>
      <c r="H49" s="115"/>
      <c r="I49" s="115"/>
      <c r="J49" s="115"/>
    </row>
    <row r="50" spans="2:10" s="400" customFormat="1">
      <c r="B50" s="115"/>
      <c r="C50" s="115"/>
      <c r="D50" s="115"/>
      <c r="E50" s="115"/>
      <c r="F50" s="115"/>
      <c r="G50" s="115"/>
      <c r="H50" s="115"/>
      <c r="I50" s="115"/>
      <c r="J50" s="115"/>
    </row>
    <row r="51" spans="2:10" s="400" customFormat="1">
      <c r="B51" s="115"/>
      <c r="C51" s="115"/>
      <c r="D51" s="115"/>
      <c r="E51" s="115"/>
      <c r="F51" s="115"/>
      <c r="G51" s="115"/>
      <c r="H51" s="115"/>
      <c r="I51" s="115"/>
      <c r="J51" s="115"/>
    </row>
    <row r="52" spans="2:10" s="400" customFormat="1">
      <c r="B52" s="115"/>
      <c r="C52" s="115"/>
      <c r="D52" s="115"/>
      <c r="E52" s="115"/>
      <c r="F52" s="115"/>
      <c r="G52" s="115"/>
      <c r="H52" s="115"/>
      <c r="I52" s="115"/>
      <c r="J52" s="115"/>
    </row>
    <row r="53" spans="2:10" s="400" customFormat="1">
      <c r="B53" s="115"/>
      <c r="C53" s="115"/>
      <c r="D53" s="115"/>
      <c r="E53" s="115"/>
      <c r="F53" s="115"/>
      <c r="G53" s="115"/>
      <c r="H53" s="115"/>
      <c r="I53" s="115"/>
      <c r="J53" s="115"/>
    </row>
    <row r="54" spans="2:10" s="400" customFormat="1">
      <c r="B54" s="115"/>
      <c r="C54" s="115"/>
      <c r="D54" s="115"/>
      <c r="E54" s="115"/>
      <c r="F54" s="115"/>
      <c r="G54" s="115"/>
      <c r="H54" s="115"/>
      <c r="I54" s="115"/>
      <c r="J54" s="115"/>
    </row>
    <row r="55" spans="2:10" s="400" customFormat="1">
      <c r="B55" s="115"/>
      <c r="C55" s="115"/>
      <c r="D55" s="115"/>
      <c r="E55" s="115"/>
      <c r="F55" s="115"/>
      <c r="G55" s="115"/>
      <c r="H55" s="115"/>
      <c r="I55" s="115"/>
      <c r="J55" s="115"/>
    </row>
    <row r="56" spans="2:10" s="400" customFormat="1">
      <c r="B56" s="115"/>
      <c r="C56" s="115"/>
      <c r="D56" s="115"/>
      <c r="E56" s="115"/>
      <c r="F56" s="115"/>
      <c r="G56" s="115"/>
      <c r="H56" s="115"/>
      <c r="I56" s="115"/>
      <c r="J56" s="115"/>
    </row>
    <row r="57" spans="2:10" s="400" customFormat="1">
      <c r="B57" s="115"/>
      <c r="C57" s="115"/>
      <c r="D57" s="115"/>
      <c r="E57" s="115"/>
      <c r="F57" s="115"/>
      <c r="G57" s="115"/>
      <c r="H57" s="115"/>
      <c r="I57" s="115"/>
      <c r="J57" s="115"/>
    </row>
    <row r="58" spans="2:10" s="400" customFormat="1">
      <c r="B58" s="115"/>
      <c r="C58" s="115"/>
      <c r="D58" s="115"/>
      <c r="E58" s="115"/>
      <c r="F58" s="115"/>
      <c r="G58" s="115"/>
      <c r="H58" s="115"/>
      <c r="I58" s="115"/>
      <c r="J58" s="115"/>
    </row>
    <row r="59" spans="2:10" s="400" customFormat="1">
      <c r="B59" s="115"/>
      <c r="C59" s="115"/>
      <c r="D59" s="115"/>
      <c r="E59" s="115"/>
      <c r="F59" s="115"/>
      <c r="G59" s="115"/>
      <c r="H59" s="115"/>
      <c r="I59" s="115"/>
      <c r="J59" s="115"/>
    </row>
    <row r="60" spans="2:10" s="400" customFormat="1">
      <c r="B60" s="115"/>
      <c r="C60" s="115"/>
      <c r="D60" s="115"/>
      <c r="E60" s="115"/>
      <c r="F60" s="115"/>
      <c r="G60" s="115"/>
      <c r="H60" s="115"/>
      <c r="I60" s="115"/>
      <c r="J60" s="115"/>
    </row>
    <row r="61" spans="2:10" s="400" customFormat="1">
      <c r="B61" s="115"/>
      <c r="C61" s="115"/>
      <c r="D61" s="115"/>
      <c r="E61" s="115"/>
      <c r="F61" s="115"/>
      <c r="G61" s="115"/>
      <c r="H61" s="115"/>
      <c r="I61" s="115"/>
      <c r="J61" s="115"/>
    </row>
    <row r="62" spans="2:10" s="400" customFormat="1">
      <c r="B62" s="115"/>
      <c r="C62" s="115"/>
      <c r="D62" s="115"/>
      <c r="E62" s="115"/>
      <c r="F62" s="115"/>
      <c r="G62" s="115"/>
      <c r="H62" s="115"/>
      <c r="I62" s="115"/>
      <c r="J62" s="115"/>
    </row>
    <row r="63" spans="2:10" s="400" customFormat="1">
      <c r="B63" s="115"/>
      <c r="C63" s="115"/>
      <c r="D63" s="115"/>
      <c r="E63" s="115"/>
      <c r="F63" s="115"/>
      <c r="G63" s="115"/>
      <c r="H63" s="115"/>
      <c r="I63" s="115"/>
      <c r="J63" s="115"/>
    </row>
    <row r="64" spans="2:10" s="400" customFormat="1">
      <c r="B64" s="115"/>
      <c r="C64" s="115"/>
      <c r="D64" s="115"/>
      <c r="E64" s="115"/>
      <c r="F64" s="115"/>
      <c r="G64" s="115"/>
      <c r="H64" s="115"/>
      <c r="I64" s="115"/>
      <c r="J64" s="115"/>
    </row>
    <row r="65" spans="2:10" s="400" customFormat="1">
      <c r="B65" s="115"/>
      <c r="C65" s="115"/>
      <c r="D65" s="115"/>
      <c r="E65" s="115"/>
      <c r="F65" s="115"/>
      <c r="G65" s="115"/>
      <c r="H65" s="115"/>
      <c r="I65" s="115"/>
      <c r="J65" s="115"/>
    </row>
    <row r="66" spans="2:10" s="400" customFormat="1">
      <c r="B66" s="115"/>
      <c r="C66" s="115"/>
      <c r="D66" s="115"/>
      <c r="E66" s="115"/>
      <c r="F66" s="115"/>
      <c r="G66" s="115"/>
      <c r="H66" s="115"/>
      <c r="I66" s="115"/>
      <c r="J66" s="115"/>
    </row>
    <row r="67" spans="2:10" s="400" customFormat="1">
      <c r="B67" s="115"/>
      <c r="C67" s="115"/>
      <c r="D67" s="115"/>
      <c r="E67" s="115"/>
      <c r="F67" s="115"/>
      <c r="G67" s="115"/>
      <c r="H67" s="115"/>
      <c r="I67" s="115"/>
      <c r="J67" s="115"/>
    </row>
    <row r="68" spans="2:10" s="400" customFormat="1">
      <c r="B68" s="115"/>
      <c r="C68" s="115"/>
      <c r="D68" s="115"/>
      <c r="E68" s="115"/>
      <c r="F68" s="115"/>
      <c r="G68" s="115"/>
      <c r="H68" s="115"/>
      <c r="I68" s="115"/>
      <c r="J68" s="115"/>
    </row>
    <row r="69" spans="2:10" s="400" customFormat="1">
      <c r="B69" s="115"/>
      <c r="C69" s="115"/>
      <c r="D69" s="115"/>
      <c r="E69" s="115"/>
      <c r="F69" s="115"/>
      <c r="G69" s="115"/>
      <c r="H69" s="115"/>
      <c r="I69" s="115"/>
      <c r="J69" s="115"/>
    </row>
    <row r="70" spans="2:10" s="400" customFormat="1">
      <c r="B70" s="115"/>
      <c r="C70" s="115"/>
      <c r="D70" s="115"/>
      <c r="E70" s="115"/>
      <c r="F70" s="115"/>
      <c r="G70" s="115"/>
      <c r="H70" s="115"/>
      <c r="I70" s="115"/>
      <c r="J70" s="115"/>
    </row>
    <row r="71" spans="2:10" s="400" customFormat="1">
      <c r="B71" s="115"/>
      <c r="C71" s="115"/>
      <c r="D71" s="115"/>
      <c r="E71" s="115"/>
      <c r="F71" s="115"/>
      <c r="G71" s="115"/>
      <c r="H71" s="115"/>
      <c r="I71" s="115"/>
      <c r="J71" s="115"/>
    </row>
    <row r="72" spans="2:10" s="400" customFormat="1">
      <c r="B72" s="115"/>
      <c r="C72" s="115"/>
      <c r="D72" s="115"/>
      <c r="E72" s="115"/>
      <c r="F72" s="115"/>
      <c r="G72" s="115"/>
      <c r="H72" s="115"/>
      <c r="I72" s="115"/>
      <c r="J72" s="115"/>
    </row>
    <row r="73" spans="2:10" s="400" customFormat="1">
      <c r="B73" s="115"/>
      <c r="C73" s="115"/>
      <c r="D73" s="115"/>
      <c r="E73" s="115"/>
      <c r="F73" s="115"/>
      <c r="G73" s="115"/>
      <c r="H73" s="115"/>
      <c r="I73" s="115"/>
      <c r="J73" s="115"/>
    </row>
    <row r="74" spans="2:10" s="400" customFormat="1">
      <c r="B74" s="115"/>
      <c r="C74" s="115"/>
      <c r="D74" s="115"/>
      <c r="E74" s="115"/>
      <c r="F74" s="115"/>
      <c r="G74" s="115"/>
      <c r="H74" s="115"/>
      <c r="I74" s="115"/>
      <c r="J74" s="115"/>
    </row>
    <row r="75" spans="2:10" s="400" customFormat="1">
      <c r="B75" s="115"/>
      <c r="C75" s="115"/>
      <c r="D75" s="115"/>
      <c r="E75" s="115"/>
      <c r="F75" s="115"/>
      <c r="G75" s="115"/>
      <c r="H75" s="115"/>
      <c r="I75" s="115"/>
      <c r="J75" s="115"/>
    </row>
    <row r="76" spans="2:10" s="400" customFormat="1">
      <c r="B76" s="115"/>
      <c r="C76" s="115"/>
      <c r="D76" s="115"/>
      <c r="E76" s="115"/>
      <c r="F76" s="115"/>
      <c r="G76" s="115"/>
      <c r="H76" s="115"/>
      <c r="I76" s="115"/>
      <c r="J76" s="115"/>
    </row>
    <row r="77" spans="2:10" s="400" customFormat="1">
      <c r="B77" s="115"/>
      <c r="C77" s="115"/>
      <c r="D77" s="115"/>
      <c r="E77" s="115"/>
      <c r="F77" s="115"/>
      <c r="G77" s="115"/>
      <c r="H77" s="115"/>
      <c r="I77" s="115"/>
      <c r="J77" s="115"/>
    </row>
    <row r="78" spans="2:10" s="400" customFormat="1">
      <c r="B78" s="115"/>
      <c r="C78" s="115"/>
      <c r="D78" s="115"/>
      <c r="E78" s="115"/>
      <c r="F78" s="115"/>
      <c r="G78" s="115"/>
      <c r="H78" s="115"/>
      <c r="I78" s="115"/>
      <c r="J78" s="115"/>
    </row>
    <row r="79" spans="2:10" s="400" customFormat="1">
      <c r="B79" s="115"/>
      <c r="C79" s="115"/>
      <c r="D79" s="115"/>
      <c r="E79" s="115"/>
      <c r="F79" s="115"/>
      <c r="G79" s="115"/>
      <c r="H79" s="115"/>
      <c r="I79" s="115"/>
      <c r="J79" s="115"/>
    </row>
    <row r="80" spans="2:10" s="400" customFormat="1">
      <c r="B80" s="115"/>
      <c r="C80" s="115"/>
      <c r="D80" s="115"/>
      <c r="E80" s="115"/>
      <c r="F80" s="115"/>
      <c r="G80" s="115"/>
      <c r="H80" s="115"/>
      <c r="I80" s="115"/>
      <c r="J80" s="115"/>
    </row>
    <row r="81" spans="2:10" s="400" customFormat="1">
      <c r="B81" s="115"/>
      <c r="C81" s="115"/>
      <c r="D81" s="115"/>
      <c r="E81" s="115"/>
      <c r="F81" s="115"/>
      <c r="G81" s="115"/>
      <c r="H81" s="115"/>
      <c r="I81" s="115"/>
      <c r="J81" s="115"/>
    </row>
  </sheetData>
  <mergeCells count="4">
    <mergeCell ref="F7:J7"/>
    <mergeCell ref="B8:C8"/>
    <mergeCell ref="F8:G8"/>
    <mergeCell ref="I8:J8"/>
  </mergeCells>
  <printOptions horizontalCentered="1" verticalCentered="1"/>
  <pageMargins left="0" right="0" top="0" bottom="0" header="0.31496062992125984" footer="0.31496062992125984"/>
  <pageSetup paperSize="9" scale="90" orientation="portrait" r:id="rId1"/>
  <drawing r:id="rId2"/>
</worksheet>
</file>

<file path=xl/worksheets/sheet61.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K16" sqref="K16"/>
    </sheetView>
  </sheetViews>
  <sheetFormatPr baseColWidth="10" defaultRowHeight="15"/>
  <sheetData>
    <row r="1" spans="2:11" ht="12.75" customHeight="1"/>
    <row r="2" spans="2:11" ht="12.75" customHeight="1">
      <c r="B2" t="s">
        <v>1012</v>
      </c>
      <c r="C2" t="s">
        <v>1013</v>
      </c>
      <c r="J2" s="429"/>
    </row>
    <row r="3" spans="2:11" ht="12.75" customHeight="1">
      <c r="B3" s="31">
        <v>57.4</v>
      </c>
      <c r="C3" s="31">
        <v>42.6</v>
      </c>
      <c r="D3" s="31"/>
      <c r="E3" s="31"/>
      <c r="F3" s="31"/>
      <c r="G3" s="432"/>
      <c r="H3" s="33"/>
    </row>
    <row r="4" spans="2:11" ht="12.75" customHeight="1">
      <c r="H4" s="34"/>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sheetPr>
    <tabColor rgb="FFFFFF00"/>
  </sheetPr>
  <dimension ref="A1:M24"/>
  <sheetViews>
    <sheetView workbookViewId="0">
      <selection activeCell="B19" sqref="B19"/>
    </sheetView>
  </sheetViews>
  <sheetFormatPr baseColWidth="10" defaultRowHeight="15"/>
  <cols>
    <col min="1" max="1" width="13.28515625" style="279" customWidth="1"/>
    <col min="2" max="2" width="128.28515625" style="279" customWidth="1"/>
    <col min="3" max="16384" width="11.42578125" style="279"/>
  </cols>
  <sheetData>
    <row r="1" spans="1:13" ht="15.75">
      <c r="A1" s="28" t="s">
        <v>251</v>
      </c>
    </row>
    <row r="2" spans="1:13" ht="15.75">
      <c r="A2" s="475" t="s">
        <v>1095</v>
      </c>
    </row>
    <row r="3" spans="1:13">
      <c r="A3" s="476"/>
    </row>
    <row r="4" spans="1:13" ht="15.75">
      <c r="A4" s="475" t="s">
        <v>722</v>
      </c>
    </row>
    <row r="5" spans="1:13" ht="15.75">
      <c r="A5" s="29" t="s">
        <v>1096</v>
      </c>
      <c r="B5" s="29" t="s">
        <v>1097</v>
      </c>
    </row>
    <row r="6" spans="1:13" ht="15.75">
      <c r="A6" s="29"/>
      <c r="B6" s="29"/>
    </row>
    <row r="7" spans="1:13" ht="15.75">
      <c r="A7" s="475" t="s">
        <v>1098</v>
      </c>
    </row>
    <row r="8" spans="1:13" ht="31.5">
      <c r="A8" s="29" t="s">
        <v>1099</v>
      </c>
      <c r="B8" s="27" t="s">
        <v>1100</v>
      </c>
    </row>
    <row r="9" spans="1:13" ht="15.75">
      <c r="A9" s="29" t="s">
        <v>1101</v>
      </c>
      <c r="B9" s="29" t="s">
        <v>1102</v>
      </c>
    </row>
    <row r="10" spans="1:13" ht="15.75">
      <c r="A10" s="29" t="s">
        <v>1103</v>
      </c>
      <c r="B10" s="29" t="s">
        <v>1104</v>
      </c>
    </row>
    <row r="11" spans="1:13" ht="15.75">
      <c r="A11" s="29" t="s">
        <v>1105</v>
      </c>
      <c r="B11" s="29" t="s">
        <v>1106</v>
      </c>
    </row>
    <row r="12" spans="1:13" ht="15.75">
      <c r="A12" s="29"/>
      <c r="B12" s="29"/>
    </row>
    <row r="13" spans="1:13" ht="15.75">
      <c r="A13" s="475" t="s">
        <v>1107</v>
      </c>
    </row>
    <row r="14" spans="1:13" ht="15.75">
      <c r="A14" s="29" t="s">
        <v>1108</v>
      </c>
      <c r="B14" s="29" t="s">
        <v>1109</v>
      </c>
    </row>
    <row r="15" spans="1:13" ht="15.75">
      <c r="A15" s="29" t="s">
        <v>1110</v>
      </c>
      <c r="B15" s="1296" t="s">
        <v>1111</v>
      </c>
      <c r="C15" s="1296"/>
      <c r="D15" s="1296"/>
      <c r="E15" s="1296"/>
      <c r="F15" s="1296"/>
      <c r="G15" s="1296"/>
      <c r="H15" s="1296"/>
      <c r="I15" s="1296"/>
      <c r="J15" s="1296"/>
      <c r="K15" s="1296"/>
      <c r="L15" s="1296"/>
      <c r="M15" s="1296"/>
    </row>
    <row r="16" spans="1:13" ht="15.75">
      <c r="A16" s="29"/>
      <c r="B16" s="30"/>
    </row>
    <row r="17" spans="1:2" ht="15.75">
      <c r="A17" s="475" t="s">
        <v>1112</v>
      </c>
    </row>
    <row r="18" spans="1:2" ht="15.75">
      <c r="A18" s="29" t="s">
        <v>1113</v>
      </c>
      <c r="B18" s="29" t="s">
        <v>1114</v>
      </c>
    </row>
    <row r="19" spans="1:2" ht="15.75">
      <c r="A19" s="29" t="s">
        <v>1115</v>
      </c>
      <c r="B19" s="29" t="s">
        <v>1116</v>
      </c>
    </row>
    <row r="20" spans="1:2" ht="15.75">
      <c r="A20" s="29" t="s">
        <v>1117</v>
      </c>
      <c r="B20" s="29" t="s">
        <v>1118</v>
      </c>
    </row>
    <row r="21" spans="1:2" ht="15.75">
      <c r="A21" s="29" t="s">
        <v>1119</v>
      </c>
      <c r="B21" s="29" t="s">
        <v>1120</v>
      </c>
    </row>
    <row r="22" spans="1:2" ht="15.75">
      <c r="A22" s="29" t="s">
        <v>1121</v>
      </c>
      <c r="B22" s="29" t="s">
        <v>1122</v>
      </c>
    </row>
    <row r="23" spans="1:2" ht="15.75">
      <c r="A23" s="29" t="s">
        <v>1123</v>
      </c>
      <c r="B23" s="30" t="s">
        <v>1124</v>
      </c>
    </row>
    <row r="24" spans="1:2">
      <c r="A24" s="476"/>
    </row>
  </sheetData>
  <mergeCells count="1">
    <mergeCell ref="B15:M15"/>
  </mergeCells>
  <pageMargins left="0.70866141732283472" right="0.70866141732283472" top="0.74803149606299213" bottom="0.74803149606299213" header="0.31496062992125984" footer="0.31496062992125984"/>
  <pageSetup paperSize="9" scale="85" orientation="landscape" r:id="rId1"/>
</worksheet>
</file>

<file path=xl/worksheets/sheet63.xml><?xml version="1.0" encoding="utf-8"?>
<worksheet xmlns="http://schemas.openxmlformats.org/spreadsheetml/2006/main" xmlns:r="http://schemas.openxmlformats.org/officeDocument/2006/relationships">
  <dimension ref="A1:N98"/>
  <sheetViews>
    <sheetView topLeftCell="A19" workbookViewId="0">
      <selection activeCell="A26" sqref="A26"/>
    </sheetView>
  </sheetViews>
  <sheetFormatPr baseColWidth="10" defaultColWidth="8.85546875" defaultRowHeight="15"/>
  <cols>
    <col min="1" max="1" width="30.85546875" style="1" customWidth="1"/>
    <col min="2" max="2" width="2.42578125" customWidth="1"/>
    <col min="3" max="3" width="9.7109375" style="2" customWidth="1"/>
    <col min="4" max="4" width="8.7109375" style="1" customWidth="1"/>
    <col min="5" max="5" width="2.5703125" style="1" customWidth="1"/>
    <col min="6" max="6" width="9.7109375" style="2" customWidth="1"/>
    <col min="7" max="7" width="8.7109375" style="2" customWidth="1"/>
    <col min="8" max="8" width="2.7109375" style="2" customWidth="1"/>
    <col min="9" max="9" width="9.7109375" style="2" customWidth="1"/>
    <col min="10" max="10" width="8.7109375" style="2" customWidth="1"/>
    <col min="11" max="11" width="2.85546875" style="2" customWidth="1"/>
    <col min="12" max="12" width="9.42578125" style="2" customWidth="1"/>
    <col min="13" max="13" width="9.7109375" style="2" customWidth="1"/>
    <col min="14" max="14" width="3.7109375" style="3" customWidth="1"/>
    <col min="257" max="257" width="30.85546875" customWidth="1"/>
    <col min="258" max="258" width="2.42578125" customWidth="1"/>
    <col min="259" max="259" width="9.7109375" customWidth="1"/>
    <col min="260" max="260" width="8.7109375" customWidth="1"/>
    <col min="261" max="261" width="2.5703125" customWidth="1"/>
    <col min="262" max="262" width="9.7109375" customWidth="1"/>
    <col min="263" max="263" width="8.7109375" customWidth="1"/>
    <col min="264" max="264" width="2.7109375" customWidth="1"/>
    <col min="265" max="265" width="9.7109375" customWidth="1"/>
    <col min="266" max="266" width="8.7109375" customWidth="1"/>
    <col min="267" max="267" width="2.85546875" customWidth="1"/>
    <col min="268" max="268" width="9.42578125" customWidth="1"/>
    <col min="269" max="269" width="9.7109375" customWidth="1"/>
    <col min="270" max="270" width="3.7109375" customWidth="1"/>
    <col min="513" max="513" width="30.85546875" customWidth="1"/>
    <col min="514" max="514" width="2.42578125" customWidth="1"/>
    <col min="515" max="515" width="9.7109375" customWidth="1"/>
    <col min="516" max="516" width="8.7109375" customWidth="1"/>
    <col min="517" max="517" width="2.5703125" customWidth="1"/>
    <col min="518" max="518" width="9.7109375" customWidth="1"/>
    <col min="519" max="519" width="8.7109375" customWidth="1"/>
    <col min="520" max="520" width="2.7109375" customWidth="1"/>
    <col min="521" max="521" width="9.7109375" customWidth="1"/>
    <col min="522" max="522" width="8.7109375" customWidth="1"/>
    <col min="523" max="523" width="2.85546875" customWidth="1"/>
    <col min="524" max="524" width="9.42578125" customWidth="1"/>
    <col min="525" max="525" width="9.7109375" customWidth="1"/>
    <col min="526" max="526" width="3.7109375" customWidth="1"/>
    <col min="769" max="769" width="30.85546875" customWidth="1"/>
    <col min="770" max="770" width="2.42578125" customWidth="1"/>
    <col min="771" max="771" width="9.7109375" customWidth="1"/>
    <col min="772" max="772" width="8.7109375" customWidth="1"/>
    <col min="773" max="773" width="2.5703125" customWidth="1"/>
    <col min="774" max="774" width="9.7109375" customWidth="1"/>
    <col min="775" max="775" width="8.7109375" customWidth="1"/>
    <col min="776" max="776" width="2.7109375" customWidth="1"/>
    <col min="777" max="777" width="9.7109375" customWidth="1"/>
    <col min="778" max="778" width="8.7109375" customWidth="1"/>
    <col min="779" max="779" width="2.85546875" customWidth="1"/>
    <col min="780" max="780" width="9.42578125" customWidth="1"/>
    <col min="781" max="781" width="9.7109375" customWidth="1"/>
    <col min="782" max="782" width="3.7109375" customWidth="1"/>
    <col min="1025" max="1025" width="30.85546875" customWidth="1"/>
    <col min="1026" max="1026" width="2.42578125" customWidth="1"/>
    <col min="1027" max="1027" width="9.7109375" customWidth="1"/>
    <col min="1028" max="1028" width="8.7109375" customWidth="1"/>
    <col min="1029" max="1029" width="2.5703125" customWidth="1"/>
    <col min="1030" max="1030" width="9.7109375" customWidth="1"/>
    <col min="1031" max="1031" width="8.7109375" customWidth="1"/>
    <col min="1032" max="1032" width="2.7109375" customWidth="1"/>
    <col min="1033" max="1033" width="9.7109375" customWidth="1"/>
    <col min="1034" max="1034" width="8.7109375" customWidth="1"/>
    <col min="1035" max="1035" width="2.85546875" customWidth="1"/>
    <col min="1036" max="1036" width="9.42578125" customWidth="1"/>
    <col min="1037" max="1037" width="9.7109375" customWidth="1"/>
    <col min="1038" max="1038" width="3.7109375" customWidth="1"/>
    <col min="1281" max="1281" width="30.85546875" customWidth="1"/>
    <col min="1282" max="1282" width="2.42578125" customWidth="1"/>
    <col min="1283" max="1283" width="9.7109375" customWidth="1"/>
    <col min="1284" max="1284" width="8.7109375" customWidth="1"/>
    <col min="1285" max="1285" width="2.5703125" customWidth="1"/>
    <col min="1286" max="1286" width="9.7109375" customWidth="1"/>
    <col min="1287" max="1287" width="8.7109375" customWidth="1"/>
    <col min="1288" max="1288" width="2.7109375" customWidth="1"/>
    <col min="1289" max="1289" width="9.7109375" customWidth="1"/>
    <col min="1290" max="1290" width="8.7109375" customWidth="1"/>
    <col min="1291" max="1291" width="2.85546875" customWidth="1"/>
    <col min="1292" max="1292" width="9.42578125" customWidth="1"/>
    <col min="1293" max="1293" width="9.7109375" customWidth="1"/>
    <col min="1294" max="1294" width="3.7109375" customWidth="1"/>
    <col min="1537" max="1537" width="30.85546875" customWidth="1"/>
    <col min="1538" max="1538" width="2.42578125" customWidth="1"/>
    <col min="1539" max="1539" width="9.7109375" customWidth="1"/>
    <col min="1540" max="1540" width="8.7109375" customWidth="1"/>
    <col min="1541" max="1541" width="2.5703125" customWidth="1"/>
    <col min="1542" max="1542" width="9.7109375" customWidth="1"/>
    <col min="1543" max="1543" width="8.7109375" customWidth="1"/>
    <col min="1544" max="1544" width="2.7109375" customWidth="1"/>
    <col min="1545" max="1545" width="9.7109375" customWidth="1"/>
    <col min="1546" max="1546" width="8.7109375" customWidth="1"/>
    <col min="1547" max="1547" width="2.85546875" customWidth="1"/>
    <col min="1548" max="1548" width="9.42578125" customWidth="1"/>
    <col min="1549" max="1549" width="9.7109375" customWidth="1"/>
    <col min="1550" max="1550" width="3.7109375" customWidth="1"/>
    <col min="1793" max="1793" width="30.85546875" customWidth="1"/>
    <col min="1794" max="1794" width="2.42578125" customWidth="1"/>
    <col min="1795" max="1795" width="9.7109375" customWidth="1"/>
    <col min="1796" max="1796" width="8.7109375" customWidth="1"/>
    <col min="1797" max="1797" width="2.5703125" customWidth="1"/>
    <col min="1798" max="1798" width="9.7109375" customWidth="1"/>
    <col min="1799" max="1799" width="8.7109375" customWidth="1"/>
    <col min="1800" max="1800" width="2.7109375" customWidth="1"/>
    <col min="1801" max="1801" width="9.7109375" customWidth="1"/>
    <col min="1802" max="1802" width="8.7109375" customWidth="1"/>
    <col min="1803" max="1803" width="2.85546875" customWidth="1"/>
    <col min="1804" max="1804" width="9.42578125" customWidth="1"/>
    <col min="1805" max="1805" width="9.7109375" customWidth="1"/>
    <col min="1806" max="1806" width="3.7109375" customWidth="1"/>
    <col min="2049" max="2049" width="30.85546875" customWidth="1"/>
    <col min="2050" max="2050" width="2.42578125" customWidth="1"/>
    <col min="2051" max="2051" width="9.7109375" customWidth="1"/>
    <col min="2052" max="2052" width="8.7109375" customWidth="1"/>
    <col min="2053" max="2053" width="2.5703125" customWidth="1"/>
    <col min="2054" max="2054" width="9.7109375" customWidth="1"/>
    <col min="2055" max="2055" width="8.7109375" customWidth="1"/>
    <col min="2056" max="2056" width="2.7109375" customWidth="1"/>
    <col min="2057" max="2057" width="9.7109375" customWidth="1"/>
    <col min="2058" max="2058" width="8.7109375" customWidth="1"/>
    <col min="2059" max="2059" width="2.85546875" customWidth="1"/>
    <col min="2060" max="2060" width="9.42578125" customWidth="1"/>
    <col min="2061" max="2061" width="9.7109375" customWidth="1"/>
    <col min="2062" max="2062" width="3.7109375" customWidth="1"/>
    <col min="2305" max="2305" width="30.85546875" customWidth="1"/>
    <col min="2306" max="2306" width="2.42578125" customWidth="1"/>
    <col min="2307" max="2307" width="9.7109375" customWidth="1"/>
    <col min="2308" max="2308" width="8.7109375" customWidth="1"/>
    <col min="2309" max="2309" width="2.5703125" customWidth="1"/>
    <col min="2310" max="2310" width="9.7109375" customWidth="1"/>
    <col min="2311" max="2311" width="8.7109375" customWidth="1"/>
    <col min="2312" max="2312" width="2.7109375" customWidth="1"/>
    <col min="2313" max="2313" width="9.7109375" customWidth="1"/>
    <col min="2314" max="2314" width="8.7109375" customWidth="1"/>
    <col min="2315" max="2315" width="2.85546875" customWidth="1"/>
    <col min="2316" max="2316" width="9.42578125" customWidth="1"/>
    <col min="2317" max="2317" width="9.7109375" customWidth="1"/>
    <col min="2318" max="2318" width="3.7109375" customWidth="1"/>
    <col min="2561" max="2561" width="30.85546875" customWidth="1"/>
    <col min="2562" max="2562" width="2.42578125" customWidth="1"/>
    <col min="2563" max="2563" width="9.7109375" customWidth="1"/>
    <col min="2564" max="2564" width="8.7109375" customWidth="1"/>
    <col min="2565" max="2565" width="2.5703125" customWidth="1"/>
    <col min="2566" max="2566" width="9.7109375" customWidth="1"/>
    <col min="2567" max="2567" width="8.7109375" customWidth="1"/>
    <col min="2568" max="2568" width="2.7109375" customWidth="1"/>
    <col min="2569" max="2569" width="9.7109375" customWidth="1"/>
    <col min="2570" max="2570" width="8.7109375" customWidth="1"/>
    <col min="2571" max="2571" width="2.85546875" customWidth="1"/>
    <col min="2572" max="2572" width="9.42578125" customWidth="1"/>
    <col min="2573" max="2573" width="9.7109375" customWidth="1"/>
    <col min="2574" max="2574" width="3.7109375" customWidth="1"/>
    <col min="2817" max="2817" width="30.85546875" customWidth="1"/>
    <col min="2818" max="2818" width="2.42578125" customWidth="1"/>
    <col min="2819" max="2819" width="9.7109375" customWidth="1"/>
    <col min="2820" max="2820" width="8.7109375" customWidth="1"/>
    <col min="2821" max="2821" width="2.5703125" customWidth="1"/>
    <col min="2822" max="2822" width="9.7109375" customWidth="1"/>
    <col min="2823" max="2823" width="8.7109375" customWidth="1"/>
    <col min="2824" max="2824" width="2.7109375" customWidth="1"/>
    <col min="2825" max="2825" width="9.7109375" customWidth="1"/>
    <col min="2826" max="2826" width="8.7109375" customWidth="1"/>
    <col min="2827" max="2827" width="2.85546875" customWidth="1"/>
    <col min="2828" max="2828" width="9.42578125" customWidth="1"/>
    <col min="2829" max="2829" width="9.7109375" customWidth="1"/>
    <col min="2830" max="2830" width="3.7109375" customWidth="1"/>
    <col min="3073" max="3073" width="30.85546875" customWidth="1"/>
    <col min="3074" max="3074" width="2.42578125" customWidth="1"/>
    <col min="3075" max="3075" width="9.7109375" customWidth="1"/>
    <col min="3076" max="3076" width="8.7109375" customWidth="1"/>
    <col min="3077" max="3077" width="2.5703125" customWidth="1"/>
    <col min="3078" max="3078" width="9.7109375" customWidth="1"/>
    <col min="3079" max="3079" width="8.7109375" customWidth="1"/>
    <col min="3080" max="3080" width="2.7109375" customWidth="1"/>
    <col min="3081" max="3081" width="9.7109375" customWidth="1"/>
    <col min="3082" max="3082" width="8.7109375" customWidth="1"/>
    <col min="3083" max="3083" width="2.85546875" customWidth="1"/>
    <col min="3084" max="3084" width="9.42578125" customWidth="1"/>
    <col min="3085" max="3085" width="9.7109375" customWidth="1"/>
    <col min="3086" max="3086" width="3.7109375" customWidth="1"/>
    <col min="3329" max="3329" width="30.85546875" customWidth="1"/>
    <col min="3330" max="3330" width="2.42578125" customWidth="1"/>
    <col min="3331" max="3331" width="9.7109375" customWidth="1"/>
    <col min="3332" max="3332" width="8.7109375" customWidth="1"/>
    <col min="3333" max="3333" width="2.5703125" customWidth="1"/>
    <col min="3334" max="3334" width="9.7109375" customWidth="1"/>
    <col min="3335" max="3335" width="8.7109375" customWidth="1"/>
    <col min="3336" max="3336" width="2.7109375" customWidth="1"/>
    <col min="3337" max="3337" width="9.7109375" customWidth="1"/>
    <col min="3338" max="3338" width="8.7109375" customWidth="1"/>
    <col min="3339" max="3339" width="2.85546875" customWidth="1"/>
    <col min="3340" max="3340" width="9.42578125" customWidth="1"/>
    <col min="3341" max="3341" width="9.7109375" customWidth="1"/>
    <col min="3342" max="3342" width="3.7109375" customWidth="1"/>
    <col min="3585" max="3585" width="30.85546875" customWidth="1"/>
    <col min="3586" max="3586" width="2.42578125" customWidth="1"/>
    <col min="3587" max="3587" width="9.7109375" customWidth="1"/>
    <col min="3588" max="3588" width="8.7109375" customWidth="1"/>
    <col min="3589" max="3589" width="2.5703125" customWidth="1"/>
    <col min="3590" max="3590" width="9.7109375" customWidth="1"/>
    <col min="3591" max="3591" width="8.7109375" customWidth="1"/>
    <col min="3592" max="3592" width="2.7109375" customWidth="1"/>
    <col min="3593" max="3593" width="9.7109375" customWidth="1"/>
    <col min="3594" max="3594" width="8.7109375" customWidth="1"/>
    <col min="3595" max="3595" width="2.85546875" customWidth="1"/>
    <col min="3596" max="3596" width="9.42578125" customWidth="1"/>
    <col min="3597" max="3597" width="9.7109375" customWidth="1"/>
    <col min="3598" max="3598" width="3.7109375" customWidth="1"/>
    <col min="3841" max="3841" width="30.85546875" customWidth="1"/>
    <col min="3842" max="3842" width="2.42578125" customWidth="1"/>
    <col min="3843" max="3843" width="9.7109375" customWidth="1"/>
    <col min="3844" max="3844" width="8.7109375" customWidth="1"/>
    <col min="3845" max="3845" width="2.5703125" customWidth="1"/>
    <col min="3846" max="3846" width="9.7109375" customWidth="1"/>
    <col min="3847" max="3847" width="8.7109375" customWidth="1"/>
    <col min="3848" max="3848" width="2.7109375" customWidth="1"/>
    <col min="3849" max="3849" width="9.7109375" customWidth="1"/>
    <col min="3850" max="3850" width="8.7109375" customWidth="1"/>
    <col min="3851" max="3851" width="2.85546875" customWidth="1"/>
    <col min="3852" max="3852" width="9.42578125" customWidth="1"/>
    <col min="3853" max="3853" width="9.7109375" customWidth="1"/>
    <col min="3854" max="3854" width="3.7109375" customWidth="1"/>
    <col min="4097" max="4097" width="30.85546875" customWidth="1"/>
    <col min="4098" max="4098" width="2.42578125" customWidth="1"/>
    <col min="4099" max="4099" width="9.7109375" customWidth="1"/>
    <col min="4100" max="4100" width="8.7109375" customWidth="1"/>
    <col min="4101" max="4101" width="2.5703125" customWidth="1"/>
    <col min="4102" max="4102" width="9.7109375" customWidth="1"/>
    <col min="4103" max="4103" width="8.7109375" customWidth="1"/>
    <col min="4104" max="4104" width="2.7109375" customWidth="1"/>
    <col min="4105" max="4105" width="9.7109375" customWidth="1"/>
    <col min="4106" max="4106" width="8.7109375" customWidth="1"/>
    <col min="4107" max="4107" width="2.85546875" customWidth="1"/>
    <col min="4108" max="4108" width="9.42578125" customWidth="1"/>
    <col min="4109" max="4109" width="9.7109375" customWidth="1"/>
    <col min="4110" max="4110" width="3.7109375" customWidth="1"/>
    <col min="4353" max="4353" width="30.85546875" customWidth="1"/>
    <col min="4354" max="4354" width="2.42578125" customWidth="1"/>
    <col min="4355" max="4355" width="9.7109375" customWidth="1"/>
    <col min="4356" max="4356" width="8.7109375" customWidth="1"/>
    <col min="4357" max="4357" width="2.5703125" customWidth="1"/>
    <col min="4358" max="4358" width="9.7109375" customWidth="1"/>
    <col min="4359" max="4359" width="8.7109375" customWidth="1"/>
    <col min="4360" max="4360" width="2.7109375" customWidth="1"/>
    <col min="4361" max="4361" width="9.7109375" customWidth="1"/>
    <col min="4362" max="4362" width="8.7109375" customWidth="1"/>
    <col min="4363" max="4363" width="2.85546875" customWidth="1"/>
    <col min="4364" max="4364" width="9.42578125" customWidth="1"/>
    <col min="4365" max="4365" width="9.7109375" customWidth="1"/>
    <col min="4366" max="4366" width="3.7109375" customWidth="1"/>
    <col min="4609" max="4609" width="30.85546875" customWidth="1"/>
    <col min="4610" max="4610" width="2.42578125" customWidth="1"/>
    <col min="4611" max="4611" width="9.7109375" customWidth="1"/>
    <col min="4612" max="4612" width="8.7109375" customWidth="1"/>
    <col min="4613" max="4613" width="2.5703125" customWidth="1"/>
    <col min="4614" max="4614" width="9.7109375" customWidth="1"/>
    <col min="4615" max="4615" width="8.7109375" customWidth="1"/>
    <col min="4616" max="4616" width="2.7109375" customWidth="1"/>
    <col min="4617" max="4617" width="9.7109375" customWidth="1"/>
    <col min="4618" max="4618" width="8.7109375" customWidth="1"/>
    <col min="4619" max="4619" width="2.85546875" customWidth="1"/>
    <col min="4620" max="4620" width="9.42578125" customWidth="1"/>
    <col min="4621" max="4621" width="9.7109375" customWidth="1"/>
    <col min="4622" max="4622" width="3.7109375" customWidth="1"/>
    <col min="4865" max="4865" width="30.85546875" customWidth="1"/>
    <col min="4866" max="4866" width="2.42578125" customWidth="1"/>
    <col min="4867" max="4867" width="9.7109375" customWidth="1"/>
    <col min="4868" max="4868" width="8.7109375" customWidth="1"/>
    <col min="4869" max="4869" width="2.5703125" customWidth="1"/>
    <col min="4870" max="4870" width="9.7109375" customWidth="1"/>
    <col min="4871" max="4871" width="8.7109375" customWidth="1"/>
    <col min="4872" max="4872" width="2.7109375" customWidth="1"/>
    <col min="4873" max="4873" width="9.7109375" customWidth="1"/>
    <col min="4874" max="4874" width="8.7109375" customWidth="1"/>
    <col min="4875" max="4875" width="2.85546875" customWidth="1"/>
    <col min="4876" max="4876" width="9.42578125" customWidth="1"/>
    <col min="4877" max="4877" width="9.7109375" customWidth="1"/>
    <col min="4878" max="4878" width="3.7109375" customWidth="1"/>
    <col min="5121" max="5121" width="30.85546875" customWidth="1"/>
    <col min="5122" max="5122" width="2.42578125" customWidth="1"/>
    <col min="5123" max="5123" width="9.7109375" customWidth="1"/>
    <col min="5124" max="5124" width="8.7109375" customWidth="1"/>
    <col min="5125" max="5125" width="2.5703125" customWidth="1"/>
    <col min="5126" max="5126" width="9.7109375" customWidth="1"/>
    <col min="5127" max="5127" width="8.7109375" customWidth="1"/>
    <col min="5128" max="5128" width="2.7109375" customWidth="1"/>
    <col min="5129" max="5129" width="9.7109375" customWidth="1"/>
    <col min="5130" max="5130" width="8.7109375" customWidth="1"/>
    <col min="5131" max="5131" width="2.85546875" customWidth="1"/>
    <col min="5132" max="5132" width="9.42578125" customWidth="1"/>
    <col min="5133" max="5133" width="9.7109375" customWidth="1"/>
    <col min="5134" max="5134" width="3.7109375" customWidth="1"/>
    <col min="5377" max="5377" width="30.85546875" customWidth="1"/>
    <col min="5378" max="5378" width="2.42578125" customWidth="1"/>
    <col min="5379" max="5379" width="9.7109375" customWidth="1"/>
    <col min="5380" max="5380" width="8.7109375" customWidth="1"/>
    <col min="5381" max="5381" width="2.5703125" customWidth="1"/>
    <col min="5382" max="5382" width="9.7109375" customWidth="1"/>
    <col min="5383" max="5383" width="8.7109375" customWidth="1"/>
    <col min="5384" max="5384" width="2.7109375" customWidth="1"/>
    <col min="5385" max="5385" width="9.7109375" customWidth="1"/>
    <col min="5386" max="5386" width="8.7109375" customWidth="1"/>
    <col min="5387" max="5387" width="2.85546875" customWidth="1"/>
    <col min="5388" max="5388" width="9.42578125" customWidth="1"/>
    <col min="5389" max="5389" width="9.7109375" customWidth="1"/>
    <col min="5390" max="5390" width="3.7109375" customWidth="1"/>
    <col min="5633" max="5633" width="30.85546875" customWidth="1"/>
    <col min="5634" max="5634" width="2.42578125" customWidth="1"/>
    <col min="5635" max="5635" width="9.7109375" customWidth="1"/>
    <col min="5636" max="5636" width="8.7109375" customWidth="1"/>
    <col min="5637" max="5637" width="2.5703125" customWidth="1"/>
    <col min="5638" max="5638" width="9.7109375" customWidth="1"/>
    <col min="5639" max="5639" width="8.7109375" customWidth="1"/>
    <col min="5640" max="5640" width="2.7109375" customWidth="1"/>
    <col min="5641" max="5641" width="9.7109375" customWidth="1"/>
    <col min="5642" max="5642" width="8.7109375" customWidth="1"/>
    <col min="5643" max="5643" width="2.85546875" customWidth="1"/>
    <col min="5644" max="5644" width="9.42578125" customWidth="1"/>
    <col min="5645" max="5645" width="9.7109375" customWidth="1"/>
    <col min="5646" max="5646" width="3.7109375" customWidth="1"/>
    <col min="5889" max="5889" width="30.85546875" customWidth="1"/>
    <col min="5890" max="5890" width="2.42578125" customWidth="1"/>
    <col min="5891" max="5891" width="9.7109375" customWidth="1"/>
    <col min="5892" max="5892" width="8.7109375" customWidth="1"/>
    <col min="5893" max="5893" width="2.5703125" customWidth="1"/>
    <col min="5894" max="5894" width="9.7109375" customWidth="1"/>
    <col min="5895" max="5895" width="8.7109375" customWidth="1"/>
    <col min="5896" max="5896" width="2.7109375" customWidth="1"/>
    <col min="5897" max="5897" width="9.7109375" customWidth="1"/>
    <col min="5898" max="5898" width="8.7109375" customWidth="1"/>
    <col min="5899" max="5899" width="2.85546875" customWidth="1"/>
    <col min="5900" max="5900" width="9.42578125" customWidth="1"/>
    <col min="5901" max="5901" width="9.7109375" customWidth="1"/>
    <col min="5902" max="5902" width="3.7109375" customWidth="1"/>
    <col min="6145" max="6145" width="30.85546875" customWidth="1"/>
    <col min="6146" max="6146" width="2.42578125" customWidth="1"/>
    <col min="6147" max="6147" width="9.7109375" customWidth="1"/>
    <col min="6148" max="6148" width="8.7109375" customWidth="1"/>
    <col min="6149" max="6149" width="2.5703125" customWidth="1"/>
    <col min="6150" max="6150" width="9.7109375" customWidth="1"/>
    <col min="6151" max="6151" width="8.7109375" customWidth="1"/>
    <col min="6152" max="6152" width="2.7109375" customWidth="1"/>
    <col min="6153" max="6153" width="9.7109375" customWidth="1"/>
    <col min="6154" max="6154" width="8.7109375" customWidth="1"/>
    <col min="6155" max="6155" width="2.85546875" customWidth="1"/>
    <col min="6156" max="6156" width="9.42578125" customWidth="1"/>
    <col min="6157" max="6157" width="9.7109375" customWidth="1"/>
    <col min="6158" max="6158" width="3.7109375" customWidth="1"/>
    <col min="6401" max="6401" width="30.85546875" customWidth="1"/>
    <col min="6402" max="6402" width="2.42578125" customWidth="1"/>
    <col min="6403" max="6403" width="9.7109375" customWidth="1"/>
    <col min="6404" max="6404" width="8.7109375" customWidth="1"/>
    <col min="6405" max="6405" width="2.5703125" customWidth="1"/>
    <col min="6406" max="6406" width="9.7109375" customWidth="1"/>
    <col min="6407" max="6407" width="8.7109375" customWidth="1"/>
    <col min="6408" max="6408" width="2.7109375" customWidth="1"/>
    <col min="6409" max="6409" width="9.7109375" customWidth="1"/>
    <col min="6410" max="6410" width="8.7109375" customWidth="1"/>
    <col min="6411" max="6411" width="2.85546875" customWidth="1"/>
    <col min="6412" max="6412" width="9.42578125" customWidth="1"/>
    <col min="6413" max="6413" width="9.7109375" customWidth="1"/>
    <col min="6414" max="6414" width="3.7109375" customWidth="1"/>
    <col min="6657" max="6657" width="30.85546875" customWidth="1"/>
    <col min="6658" max="6658" width="2.42578125" customWidth="1"/>
    <col min="6659" max="6659" width="9.7109375" customWidth="1"/>
    <col min="6660" max="6660" width="8.7109375" customWidth="1"/>
    <col min="6661" max="6661" width="2.5703125" customWidth="1"/>
    <col min="6662" max="6662" width="9.7109375" customWidth="1"/>
    <col min="6663" max="6663" width="8.7109375" customWidth="1"/>
    <col min="6664" max="6664" width="2.7109375" customWidth="1"/>
    <col min="6665" max="6665" width="9.7109375" customWidth="1"/>
    <col min="6666" max="6666" width="8.7109375" customWidth="1"/>
    <col min="6667" max="6667" width="2.85546875" customWidth="1"/>
    <col min="6668" max="6668" width="9.42578125" customWidth="1"/>
    <col min="6669" max="6669" width="9.7109375" customWidth="1"/>
    <col min="6670" max="6670" width="3.7109375" customWidth="1"/>
    <col min="6913" max="6913" width="30.85546875" customWidth="1"/>
    <col min="6914" max="6914" width="2.42578125" customWidth="1"/>
    <col min="6915" max="6915" width="9.7109375" customWidth="1"/>
    <col min="6916" max="6916" width="8.7109375" customWidth="1"/>
    <col min="6917" max="6917" width="2.5703125" customWidth="1"/>
    <col min="6918" max="6918" width="9.7109375" customWidth="1"/>
    <col min="6919" max="6919" width="8.7109375" customWidth="1"/>
    <col min="6920" max="6920" width="2.7109375" customWidth="1"/>
    <col min="6921" max="6921" width="9.7109375" customWidth="1"/>
    <col min="6922" max="6922" width="8.7109375" customWidth="1"/>
    <col min="6923" max="6923" width="2.85546875" customWidth="1"/>
    <col min="6924" max="6924" width="9.42578125" customWidth="1"/>
    <col min="6925" max="6925" width="9.7109375" customWidth="1"/>
    <col min="6926" max="6926" width="3.7109375" customWidth="1"/>
    <col min="7169" max="7169" width="30.85546875" customWidth="1"/>
    <col min="7170" max="7170" width="2.42578125" customWidth="1"/>
    <col min="7171" max="7171" width="9.7109375" customWidth="1"/>
    <col min="7172" max="7172" width="8.7109375" customWidth="1"/>
    <col min="7173" max="7173" width="2.5703125" customWidth="1"/>
    <col min="7174" max="7174" width="9.7109375" customWidth="1"/>
    <col min="7175" max="7175" width="8.7109375" customWidth="1"/>
    <col min="7176" max="7176" width="2.7109375" customWidth="1"/>
    <col min="7177" max="7177" width="9.7109375" customWidth="1"/>
    <col min="7178" max="7178" width="8.7109375" customWidth="1"/>
    <col min="7179" max="7179" width="2.85546875" customWidth="1"/>
    <col min="7180" max="7180" width="9.42578125" customWidth="1"/>
    <col min="7181" max="7181" width="9.7109375" customWidth="1"/>
    <col min="7182" max="7182" width="3.7109375" customWidth="1"/>
    <col min="7425" max="7425" width="30.85546875" customWidth="1"/>
    <col min="7426" max="7426" width="2.42578125" customWidth="1"/>
    <col min="7427" max="7427" width="9.7109375" customWidth="1"/>
    <col min="7428" max="7428" width="8.7109375" customWidth="1"/>
    <col min="7429" max="7429" width="2.5703125" customWidth="1"/>
    <col min="7430" max="7430" width="9.7109375" customWidth="1"/>
    <col min="7431" max="7431" width="8.7109375" customWidth="1"/>
    <col min="7432" max="7432" width="2.7109375" customWidth="1"/>
    <col min="7433" max="7433" width="9.7109375" customWidth="1"/>
    <col min="7434" max="7434" width="8.7109375" customWidth="1"/>
    <col min="7435" max="7435" width="2.85546875" customWidth="1"/>
    <col min="7436" max="7436" width="9.42578125" customWidth="1"/>
    <col min="7437" max="7437" width="9.7109375" customWidth="1"/>
    <col min="7438" max="7438" width="3.7109375" customWidth="1"/>
    <col min="7681" max="7681" width="30.85546875" customWidth="1"/>
    <col min="7682" max="7682" width="2.42578125" customWidth="1"/>
    <col min="7683" max="7683" width="9.7109375" customWidth="1"/>
    <col min="7684" max="7684" width="8.7109375" customWidth="1"/>
    <col min="7685" max="7685" width="2.5703125" customWidth="1"/>
    <col min="7686" max="7686" width="9.7109375" customWidth="1"/>
    <col min="7687" max="7687" width="8.7109375" customWidth="1"/>
    <col min="7688" max="7688" width="2.7109375" customWidth="1"/>
    <col min="7689" max="7689" width="9.7109375" customWidth="1"/>
    <col min="7690" max="7690" width="8.7109375" customWidth="1"/>
    <col min="7691" max="7691" width="2.85546875" customWidth="1"/>
    <col min="7692" max="7692" width="9.42578125" customWidth="1"/>
    <col min="7693" max="7693" width="9.7109375" customWidth="1"/>
    <col min="7694" max="7694" width="3.7109375" customWidth="1"/>
    <col min="7937" max="7937" width="30.85546875" customWidth="1"/>
    <col min="7938" max="7938" width="2.42578125" customWidth="1"/>
    <col min="7939" max="7939" width="9.7109375" customWidth="1"/>
    <col min="7940" max="7940" width="8.7109375" customWidth="1"/>
    <col min="7941" max="7941" width="2.5703125" customWidth="1"/>
    <col min="7942" max="7942" width="9.7109375" customWidth="1"/>
    <col min="7943" max="7943" width="8.7109375" customWidth="1"/>
    <col min="7944" max="7944" width="2.7109375" customWidth="1"/>
    <col min="7945" max="7945" width="9.7109375" customWidth="1"/>
    <col min="7946" max="7946" width="8.7109375" customWidth="1"/>
    <col min="7947" max="7947" width="2.85546875" customWidth="1"/>
    <col min="7948" max="7948" width="9.42578125" customWidth="1"/>
    <col min="7949" max="7949" width="9.7109375" customWidth="1"/>
    <col min="7950" max="7950" width="3.7109375" customWidth="1"/>
    <col min="8193" max="8193" width="30.85546875" customWidth="1"/>
    <col min="8194" max="8194" width="2.42578125" customWidth="1"/>
    <col min="8195" max="8195" width="9.7109375" customWidth="1"/>
    <col min="8196" max="8196" width="8.7109375" customWidth="1"/>
    <col min="8197" max="8197" width="2.5703125" customWidth="1"/>
    <col min="8198" max="8198" width="9.7109375" customWidth="1"/>
    <col min="8199" max="8199" width="8.7109375" customWidth="1"/>
    <col min="8200" max="8200" width="2.7109375" customWidth="1"/>
    <col min="8201" max="8201" width="9.7109375" customWidth="1"/>
    <col min="8202" max="8202" width="8.7109375" customWidth="1"/>
    <col min="8203" max="8203" width="2.85546875" customWidth="1"/>
    <col min="8204" max="8204" width="9.42578125" customWidth="1"/>
    <col min="8205" max="8205" width="9.7109375" customWidth="1"/>
    <col min="8206" max="8206" width="3.7109375" customWidth="1"/>
    <col min="8449" max="8449" width="30.85546875" customWidth="1"/>
    <col min="8450" max="8450" width="2.42578125" customWidth="1"/>
    <col min="8451" max="8451" width="9.7109375" customWidth="1"/>
    <col min="8452" max="8452" width="8.7109375" customWidth="1"/>
    <col min="8453" max="8453" width="2.5703125" customWidth="1"/>
    <col min="8454" max="8454" width="9.7109375" customWidth="1"/>
    <col min="8455" max="8455" width="8.7109375" customWidth="1"/>
    <col min="8456" max="8456" width="2.7109375" customWidth="1"/>
    <col min="8457" max="8457" width="9.7109375" customWidth="1"/>
    <col min="8458" max="8458" width="8.7109375" customWidth="1"/>
    <col min="8459" max="8459" width="2.85546875" customWidth="1"/>
    <col min="8460" max="8460" width="9.42578125" customWidth="1"/>
    <col min="8461" max="8461" width="9.7109375" customWidth="1"/>
    <col min="8462" max="8462" width="3.7109375" customWidth="1"/>
    <col min="8705" max="8705" width="30.85546875" customWidth="1"/>
    <col min="8706" max="8706" width="2.42578125" customWidth="1"/>
    <col min="8707" max="8707" width="9.7109375" customWidth="1"/>
    <col min="8708" max="8708" width="8.7109375" customWidth="1"/>
    <col min="8709" max="8709" width="2.5703125" customWidth="1"/>
    <col min="8710" max="8710" width="9.7109375" customWidth="1"/>
    <col min="8711" max="8711" width="8.7109375" customWidth="1"/>
    <col min="8712" max="8712" width="2.7109375" customWidth="1"/>
    <col min="8713" max="8713" width="9.7109375" customWidth="1"/>
    <col min="8714" max="8714" width="8.7109375" customWidth="1"/>
    <col min="8715" max="8715" width="2.85546875" customWidth="1"/>
    <col min="8716" max="8716" width="9.42578125" customWidth="1"/>
    <col min="8717" max="8717" width="9.7109375" customWidth="1"/>
    <col min="8718" max="8718" width="3.7109375" customWidth="1"/>
    <col min="8961" max="8961" width="30.85546875" customWidth="1"/>
    <col min="8962" max="8962" width="2.42578125" customWidth="1"/>
    <col min="8963" max="8963" width="9.7109375" customWidth="1"/>
    <col min="8964" max="8964" width="8.7109375" customWidth="1"/>
    <col min="8965" max="8965" width="2.5703125" customWidth="1"/>
    <col min="8966" max="8966" width="9.7109375" customWidth="1"/>
    <col min="8967" max="8967" width="8.7109375" customWidth="1"/>
    <col min="8968" max="8968" width="2.7109375" customWidth="1"/>
    <col min="8969" max="8969" width="9.7109375" customWidth="1"/>
    <col min="8970" max="8970" width="8.7109375" customWidth="1"/>
    <col min="8971" max="8971" width="2.85546875" customWidth="1"/>
    <col min="8972" max="8972" width="9.42578125" customWidth="1"/>
    <col min="8973" max="8973" width="9.7109375" customWidth="1"/>
    <col min="8974" max="8974" width="3.7109375" customWidth="1"/>
    <col min="9217" max="9217" width="30.85546875" customWidth="1"/>
    <col min="9218" max="9218" width="2.42578125" customWidth="1"/>
    <col min="9219" max="9219" width="9.7109375" customWidth="1"/>
    <col min="9220" max="9220" width="8.7109375" customWidth="1"/>
    <col min="9221" max="9221" width="2.5703125" customWidth="1"/>
    <col min="9222" max="9222" width="9.7109375" customWidth="1"/>
    <col min="9223" max="9223" width="8.7109375" customWidth="1"/>
    <col min="9224" max="9224" width="2.7109375" customWidth="1"/>
    <col min="9225" max="9225" width="9.7109375" customWidth="1"/>
    <col min="9226" max="9226" width="8.7109375" customWidth="1"/>
    <col min="9227" max="9227" width="2.85546875" customWidth="1"/>
    <col min="9228" max="9228" width="9.42578125" customWidth="1"/>
    <col min="9229" max="9229" width="9.7109375" customWidth="1"/>
    <col min="9230" max="9230" width="3.7109375" customWidth="1"/>
    <col min="9473" max="9473" width="30.85546875" customWidth="1"/>
    <col min="9474" max="9474" width="2.42578125" customWidth="1"/>
    <col min="9475" max="9475" width="9.7109375" customWidth="1"/>
    <col min="9476" max="9476" width="8.7109375" customWidth="1"/>
    <col min="9477" max="9477" width="2.5703125" customWidth="1"/>
    <col min="9478" max="9478" width="9.7109375" customWidth="1"/>
    <col min="9479" max="9479" width="8.7109375" customWidth="1"/>
    <col min="9480" max="9480" width="2.7109375" customWidth="1"/>
    <col min="9481" max="9481" width="9.7109375" customWidth="1"/>
    <col min="9482" max="9482" width="8.7109375" customWidth="1"/>
    <col min="9483" max="9483" width="2.85546875" customWidth="1"/>
    <col min="9484" max="9484" width="9.42578125" customWidth="1"/>
    <col min="9485" max="9485" width="9.7109375" customWidth="1"/>
    <col min="9486" max="9486" width="3.7109375" customWidth="1"/>
    <col min="9729" max="9729" width="30.85546875" customWidth="1"/>
    <col min="9730" max="9730" width="2.42578125" customWidth="1"/>
    <col min="9731" max="9731" width="9.7109375" customWidth="1"/>
    <col min="9732" max="9732" width="8.7109375" customWidth="1"/>
    <col min="9733" max="9733" width="2.5703125" customWidth="1"/>
    <col min="9734" max="9734" width="9.7109375" customWidth="1"/>
    <col min="9735" max="9735" width="8.7109375" customWidth="1"/>
    <col min="9736" max="9736" width="2.7109375" customWidth="1"/>
    <col min="9737" max="9737" width="9.7109375" customWidth="1"/>
    <col min="9738" max="9738" width="8.7109375" customWidth="1"/>
    <col min="9739" max="9739" width="2.85546875" customWidth="1"/>
    <col min="9740" max="9740" width="9.42578125" customWidth="1"/>
    <col min="9741" max="9741" width="9.7109375" customWidth="1"/>
    <col min="9742" max="9742" width="3.7109375" customWidth="1"/>
    <col min="9985" max="9985" width="30.85546875" customWidth="1"/>
    <col min="9986" max="9986" width="2.42578125" customWidth="1"/>
    <col min="9987" max="9987" width="9.7109375" customWidth="1"/>
    <col min="9988" max="9988" width="8.7109375" customWidth="1"/>
    <col min="9989" max="9989" width="2.5703125" customWidth="1"/>
    <col min="9990" max="9990" width="9.7109375" customWidth="1"/>
    <col min="9991" max="9991" width="8.7109375" customWidth="1"/>
    <col min="9992" max="9992" width="2.7109375" customWidth="1"/>
    <col min="9993" max="9993" width="9.7109375" customWidth="1"/>
    <col min="9994" max="9994" width="8.7109375" customWidth="1"/>
    <col min="9995" max="9995" width="2.85546875" customWidth="1"/>
    <col min="9996" max="9996" width="9.42578125" customWidth="1"/>
    <col min="9997" max="9997" width="9.7109375" customWidth="1"/>
    <col min="9998" max="9998" width="3.7109375" customWidth="1"/>
    <col min="10241" max="10241" width="30.85546875" customWidth="1"/>
    <col min="10242" max="10242" width="2.42578125" customWidth="1"/>
    <col min="10243" max="10243" width="9.7109375" customWidth="1"/>
    <col min="10244" max="10244" width="8.7109375" customWidth="1"/>
    <col min="10245" max="10245" width="2.5703125" customWidth="1"/>
    <col min="10246" max="10246" width="9.7109375" customWidth="1"/>
    <col min="10247" max="10247" width="8.7109375" customWidth="1"/>
    <col min="10248" max="10248" width="2.7109375" customWidth="1"/>
    <col min="10249" max="10249" width="9.7109375" customWidth="1"/>
    <col min="10250" max="10250" width="8.7109375" customWidth="1"/>
    <col min="10251" max="10251" width="2.85546875" customWidth="1"/>
    <col min="10252" max="10252" width="9.42578125" customWidth="1"/>
    <col min="10253" max="10253" width="9.7109375" customWidth="1"/>
    <col min="10254" max="10254" width="3.7109375" customWidth="1"/>
    <col min="10497" max="10497" width="30.85546875" customWidth="1"/>
    <col min="10498" max="10498" width="2.42578125" customWidth="1"/>
    <col min="10499" max="10499" width="9.7109375" customWidth="1"/>
    <col min="10500" max="10500" width="8.7109375" customWidth="1"/>
    <col min="10501" max="10501" width="2.5703125" customWidth="1"/>
    <col min="10502" max="10502" width="9.7109375" customWidth="1"/>
    <col min="10503" max="10503" width="8.7109375" customWidth="1"/>
    <col min="10504" max="10504" width="2.7109375" customWidth="1"/>
    <col min="10505" max="10505" width="9.7109375" customWidth="1"/>
    <col min="10506" max="10506" width="8.7109375" customWidth="1"/>
    <col min="10507" max="10507" width="2.85546875" customWidth="1"/>
    <col min="10508" max="10508" width="9.42578125" customWidth="1"/>
    <col min="10509" max="10509" width="9.7109375" customWidth="1"/>
    <col min="10510" max="10510" width="3.7109375" customWidth="1"/>
    <col min="10753" max="10753" width="30.85546875" customWidth="1"/>
    <col min="10754" max="10754" width="2.42578125" customWidth="1"/>
    <col min="10755" max="10755" width="9.7109375" customWidth="1"/>
    <col min="10756" max="10756" width="8.7109375" customWidth="1"/>
    <col min="10757" max="10757" width="2.5703125" customWidth="1"/>
    <col min="10758" max="10758" width="9.7109375" customWidth="1"/>
    <col min="10759" max="10759" width="8.7109375" customWidth="1"/>
    <col min="10760" max="10760" width="2.7109375" customWidth="1"/>
    <col min="10761" max="10761" width="9.7109375" customWidth="1"/>
    <col min="10762" max="10762" width="8.7109375" customWidth="1"/>
    <col min="10763" max="10763" width="2.85546875" customWidth="1"/>
    <col min="10764" max="10764" width="9.42578125" customWidth="1"/>
    <col min="10765" max="10765" width="9.7109375" customWidth="1"/>
    <col min="10766" max="10766" width="3.7109375" customWidth="1"/>
    <col min="11009" max="11009" width="30.85546875" customWidth="1"/>
    <col min="11010" max="11010" width="2.42578125" customWidth="1"/>
    <col min="11011" max="11011" width="9.7109375" customWidth="1"/>
    <col min="11012" max="11012" width="8.7109375" customWidth="1"/>
    <col min="11013" max="11013" width="2.5703125" customWidth="1"/>
    <col min="11014" max="11014" width="9.7109375" customWidth="1"/>
    <col min="11015" max="11015" width="8.7109375" customWidth="1"/>
    <col min="11016" max="11016" width="2.7109375" customWidth="1"/>
    <col min="11017" max="11017" width="9.7109375" customWidth="1"/>
    <col min="11018" max="11018" width="8.7109375" customWidth="1"/>
    <col min="11019" max="11019" width="2.85546875" customWidth="1"/>
    <col min="11020" max="11020" width="9.42578125" customWidth="1"/>
    <col min="11021" max="11021" width="9.7109375" customWidth="1"/>
    <col min="11022" max="11022" width="3.7109375" customWidth="1"/>
    <col min="11265" max="11265" width="30.85546875" customWidth="1"/>
    <col min="11266" max="11266" width="2.42578125" customWidth="1"/>
    <col min="11267" max="11267" width="9.7109375" customWidth="1"/>
    <col min="11268" max="11268" width="8.7109375" customWidth="1"/>
    <col min="11269" max="11269" width="2.5703125" customWidth="1"/>
    <col min="11270" max="11270" width="9.7109375" customWidth="1"/>
    <col min="11271" max="11271" width="8.7109375" customWidth="1"/>
    <col min="11272" max="11272" width="2.7109375" customWidth="1"/>
    <col min="11273" max="11273" width="9.7109375" customWidth="1"/>
    <col min="11274" max="11274" width="8.7109375" customWidth="1"/>
    <col min="11275" max="11275" width="2.85546875" customWidth="1"/>
    <col min="11276" max="11276" width="9.42578125" customWidth="1"/>
    <col min="11277" max="11277" width="9.7109375" customWidth="1"/>
    <col min="11278" max="11278" width="3.7109375" customWidth="1"/>
    <col min="11521" max="11521" width="30.85546875" customWidth="1"/>
    <col min="11522" max="11522" width="2.42578125" customWidth="1"/>
    <col min="11523" max="11523" width="9.7109375" customWidth="1"/>
    <col min="11524" max="11524" width="8.7109375" customWidth="1"/>
    <col min="11525" max="11525" width="2.5703125" customWidth="1"/>
    <col min="11526" max="11526" width="9.7109375" customWidth="1"/>
    <col min="11527" max="11527" width="8.7109375" customWidth="1"/>
    <col min="11528" max="11528" width="2.7109375" customWidth="1"/>
    <col min="11529" max="11529" width="9.7109375" customWidth="1"/>
    <col min="11530" max="11530" width="8.7109375" customWidth="1"/>
    <col min="11531" max="11531" width="2.85546875" customWidth="1"/>
    <col min="11532" max="11532" width="9.42578125" customWidth="1"/>
    <col min="11533" max="11533" width="9.7109375" customWidth="1"/>
    <col min="11534" max="11534" width="3.7109375" customWidth="1"/>
    <col min="11777" max="11777" width="30.85546875" customWidth="1"/>
    <col min="11778" max="11778" width="2.42578125" customWidth="1"/>
    <col min="11779" max="11779" width="9.7109375" customWidth="1"/>
    <col min="11780" max="11780" width="8.7109375" customWidth="1"/>
    <col min="11781" max="11781" width="2.5703125" customWidth="1"/>
    <col min="11782" max="11782" width="9.7109375" customWidth="1"/>
    <col min="11783" max="11783" width="8.7109375" customWidth="1"/>
    <col min="11784" max="11784" width="2.7109375" customWidth="1"/>
    <col min="11785" max="11785" width="9.7109375" customWidth="1"/>
    <col min="11786" max="11786" width="8.7109375" customWidth="1"/>
    <col min="11787" max="11787" width="2.85546875" customWidth="1"/>
    <col min="11788" max="11788" width="9.42578125" customWidth="1"/>
    <col min="11789" max="11789" width="9.7109375" customWidth="1"/>
    <col min="11790" max="11790" width="3.7109375" customWidth="1"/>
    <col min="12033" max="12033" width="30.85546875" customWidth="1"/>
    <col min="12034" max="12034" width="2.42578125" customWidth="1"/>
    <col min="12035" max="12035" width="9.7109375" customWidth="1"/>
    <col min="12036" max="12036" width="8.7109375" customWidth="1"/>
    <col min="12037" max="12037" width="2.5703125" customWidth="1"/>
    <col min="12038" max="12038" width="9.7109375" customWidth="1"/>
    <col min="12039" max="12039" width="8.7109375" customWidth="1"/>
    <col min="12040" max="12040" width="2.7109375" customWidth="1"/>
    <col min="12041" max="12041" width="9.7109375" customWidth="1"/>
    <col min="12042" max="12042" width="8.7109375" customWidth="1"/>
    <col min="12043" max="12043" width="2.85546875" customWidth="1"/>
    <col min="12044" max="12044" width="9.42578125" customWidth="1"/>
    <col min="12045" max="12045" width="9.7109375" customWidth="1"/>
    <col min="12046" max="12046" width="3.7109375" customWidth="1"/>
    <col min="12289" max="12289" width="30.85546875" customWidth="1"/>
    <col min="12290" max="12290" width="2.42578125" customWidth="1"/>
    <col min="12291" max="12291" width="9.7109375" customWidth="1"/>
    <col min="12292" max="12292" width="8.7109375" customWidth="1"/>
    <col min="12293" max="12293" width="2.5703125" customWidth="1"/>
    <col min="12294" max="12294" width="9.7109375" customWidth="1"/>
    <col min="12295" max="12295" width="8.7109375" customWidth="1"/>
    <col min="12296" max="12296" width="2.7109375" customWidth="1"/>
    <col min="12297" max="12297" width="9.7109375" customWidth="1"/>
    <col min="12298" max="12298" width="8.7109375" customWidth="1"/>
    <col min="12299" max="12299" width="2.85546875" customWidth="1"/>
    <col min="12300" max="12300" width="9.42578125" customWidth="1"/>
    <col min="12301" max="12301" width="9.7109375" customWidth="1"/>
    <col min="12302" max="12302" width="3.7109375" customWidth="1"/>
    <col min="12545" max="12545" width="30.85546875" customWidth="1"/>
    <col min="12546" max="12546" width="2.42578125" customWidth="1"/>
    <col min="12547" max="12547" width="9.7109375" customWidth="1"/>
    <col min="12548" max="12548" width="8.7109375" customWidth="1"/>
    <col min="12549" max="12549" width="2.5703125" customWidth="1"/>
    <col min="12550" max="12550" width="9.7109375" customWidth="1"/>
    <col min="12551" max="12551" width="8.7109375" customWidth="1"/>
    <col min="12552" max="12552" width="2.7109375" customWidth="1"/>
    <col min="12553" max="12553" width="9.7109375" customWidth="1"/>
    <col min="12554" max="12554" width="8.7109375" customWidth="1"/>
    <col min="12555" max="12555" width="2.85546875" customWidth="1"/>
    <col min="12556" max="12556" width="9.42578125" customWidth="1"/>
    <col min="12557" max="12557" width="9.7109375" customWidth="1"/>
    <col min="12558" max="12558" width="3.7109375" customWidth="1"/>
    <col min="12801" max="12801" width="30.85546875" customWidth="1"/>
    <col min="12802" max="12802" width="2.42578125" customWidth="1"/>
    <col min="12803" max="12803" width="9.7109375" customWidth="1"/>
    <col min="12804" max="12804" width="8.7109375" customWidth="1"/>
    <col min="12805" max="12805" width="2.5703125" customWidth="1"/>
    <col min="12806" max="12806" width="9.7109375" customWidth="1"/>
    <col min="12807" max="12807" width="8.7109375" customWidth="1"/>
    <col min="12808" max="12808" width="2.7109375" customWidth="1"/>
    <col min="12809" max="12809" width="9.7109375" customWidth="1"/>
    <col min="12810" max="12810" width="8.7109375" customWidth="1"/>
    <col min="12811" max="12811" width="2.85546875" customWidth="1"/>
    <col min="12812" max="12812" width="9.42578125" customWidth="1"/>
    <col min="12813" max="12813" width="9.7109375" customWidth="1"/>
    <col min="12814" max="12814" width="3.7109375" customWidth="1"/>
    <col min="13057" max="13057" width="30.85546875" customWidth="1"/>
    <col min="13058" max="13058" width="2.42578125" customWidth="1"/>
    <col min="13059" max="13059" width="9.7109375" customWidth="1"/>
    <col min="13060" max="13060" width="8.7109375" customWidth="1"/>
    <col min="13061" max="13061" width="2.5703125" customWidth="1"/>
    <col min="13062" max="13062" width="9.7109375" customWidth="1"/>
    <col min="13063" max="13063" width="8.7109375" customWidth="1"/>
    <col min="13064" max="13064" width="2.7109375" customWidth="1"/>
    <col min="13065" max="13065" width="9.7109375" customWidth="1"/>
    <col min="13066" max="13066" width="8.7109375" customWidth="1"/>
    <col min="13067" max="13067" width="2.85546875" customWidth="1"/>
    <col min="13068" max="13068" width="9.42578125" customWidth="1"/>
    <col min="13069" max="13069" width="9.7109375" customWidth="1"/>
    <col min="13070" max="13070" width="3.7109375" customWidth="1"/>
    <col min="13313" max="13313" width="30.85546875" customWidth="1"/>
    <col min="13314" max="13314" width="2.42578125" customWidth="1"/>
    <col min="13315" max="13315" width="9.7109375" customWidth="1"/>
    <col min="13316" max="13316" width="8.7109375" customWidth="1"/>
    <col min="13317" max="13317" width="2.5703125" customWidth="1"/>
    <col min="13318" max="13318" width="9.7109375" customWidth="1"/>
    <col min="13319" max="13319" width="8.7109375" customWidth="1"/>
    <col min="13320" max="13320" width="2.7109375" customWidth="1"/>
    <col min="13321" max="13321" width="9.7109375" customWidth="1"/>
    <col min="13322" max="13322" width="8.7109375" customWidth="1"/>
    <col min="13323" max="13323" width="2.85546875" customWidth="1"/>
    <col min="13324" max="13324" width="9.42578125" customWidth="1"/>
    <col min="13325" max="13325" width="9.7109375" customWidth="1"/>
    <col min="13326" max="13326" width="3.7109375" customWidth="1"/>
    <col min="13569" max="13569" width="30.85546875" customWidth="1"/>
    <col min="13570" max="13570" width="2.42578125" customWidth="1"/>
    <col min="13571" max="13571" width="9.7109375" customWidth="1"/>
    <col min="13572" max="13572" width="8.7109375" customWidth="1"/>
    <col min="13573" max="13573" width="2.5703125" customWidth="1"/>
    <col min="13574" max="13574" width="9.7109375" customWidth="1"/>
    <col min="13575" max="13575" width="8.7109375" customWidth="1"/>
    <col min="13576" max="13576" width="2.7109375" customWidth="1"/>
    <col min="13577" max="13577" width="9.7109375" customWidth="1"/>
    <col min="13578" max="13578" width="8.7109375" customWidth="1"/>
    <col min="13579" max="13579" width="2.85546875" customWidth="1"/>
    <col min="13580" max="13580" width="9.42578125" customWidth="1"/>
    <col min="13581" max="13581" width="9.7109375" customWidth="1"/>
    <col min="13582" max="13582" width="3.7109375" customWidth="1"/>
    <col min="13825" max="13825" width="30.85546875" customWidth="1"/>
    <col min="13826" max="13826" width="2.42578125" customWidth="1"/>
    <col min="13827" max="13827" width="9.7109375" customWidth="1"/>
    <col min="13828" max="13828" width="8.7109375" customWidth="1"/>
    <col min="13829" max="13829" width="2.5703125" customWidth="1"/>
    <col min="13830" max="13830" width="9.7109375" customWidth="1"/>
    <col min="13831" max="13831" width="8.7109375" customWidth="1"/>
    <col min="13832" max="13832" width="2.7109375" customWidth="1"/>
    <col min="13833" max="13833" width="9.7109375" customWidth="1"/>
    <col min="13834" max="13834" width="8.7109375" customWidth="1"/>
    <col min="13835" max="13835" width="2.85546875" customWidth="1"/>
    <col min="13836" max="13836" width="9.42578125" customWidth="1"/>
    <col min="13837" max="13837" width="9.7109375" customWidth="1"/>
    <col min="13838" max="13838" width="3.7109375" customWidth="1"/>
    <col min="14081" max="14081" width="30.85546875" customWidth="1"/>
    <col min="14082" max="14082" width="2.42578125" customWidth="1"/>
    <col min="14083" max="14083" width="9.7109375" customWidth="1"/>
    <col min="14084" max="14084" width="8.7109375" customWidth="1"/>
    <col min="14085" max="14085" width="2.5703125" customWidth="1"/>
    <col min="14086" max="14086" width="9.7109375" customWidth="1"/>
    <col min="14087" max="14087" width="8.7109375" customWidth="1"/>
    <col min="14088" max="14088" width="2.7109375" customWidth="1"/>
    <col min="14089" max="14089" width="9.7109375" customWidth="1"/>
    <col min="14090" max="14090" width="8.7109375" customWidth="1"/>
    <col min="14091" max="14091" width="2.85546875" customWidth="1"/>
    <col min="14092" max="14092" width="9.42578125" customWidth="1"/>
    <col min="14093" max="14093" width="9.7109375" customWidth="1"/>
    <col min="14094" max="14094" width="3.7109375" customWidth="1"/>
    <col min="14337" max="14337" width="30.85546875" customWidth="1"/>
    <col min="14338" max="14338" width="2.42578125" customWidth="1"/>
    <col min="14339" max="14339" width="9.7109375" customWidth="1"/>
    <col min="14340" max="14340" width="8.7109375" customWidth="1"/>
    <col min="14341" max="14341" width="2.5703125" customWidth="1"/>
    <col min="14342" max="14342" width="9.7109375" customWidth="1"/>
    <col min="14343" max="14343" width="8.7109375" customWidth="1"/>
    <col min="14344" max="14344" width="2.7109375" customWidth="1"/>
    <col min="14345" max="14345" width="9.7109375" customWidth="1"/>
    <col min="14346" max="14346" width="8.7109375" customWidth="1"/>
    <col min="14347" max="14347" width="2.85546875" customWidth="1"/>
    <col min="14348" max="14348" width="9.42578125" customWidth="1"/>
    <col min="14349" max="14349" width="9.7109375" customWidth="1"/>
    <col min="14350" max="14350" width="3.7109375" customWidth="1"/>
    <col min="14593" max="14593" width="30.85546875" customWidth="1"/>
    <col min="14594" max="14594" width="2.42578125" customWidth="1"/>
    <col min="14595" max="14595" width="9.7109375" customWidth="1"/>
    <col min="14596" max="14596" width="8.7109375" customWidth="1"/>
    <col min="14597" max="14597" width="2.5703125" customWidth="1"/>
    <col min="14598" max="14598" width="9.7109375" customWidth="1"/>
    <col min="14599" max="14599" width="8.7109375" customWidth="1"/>
    <col min="14600" max="14600" width="2.7109375" customWidth="1"/>
    <col min="14601" max="14601" width="9.7109375" customWidth="1"/>
    <col min="14602" max="14602" width="8.7109375" customWidth="1"/>
    <col min="14603" max="14603" width="2.85546875" customWidth="1"/>
    <col min="14604" max="14604" width="9.42578125" customWidth="1"/>
    <col min="14605" max="14605" width="9.7109375" customWidth="1"/>
    <col min="14606" max="14606" width="3.7109375" customWidth="1"/>
    <col min="14849" max="14849" width="30.85546875" customWidth="1"/>
    <col min="14850" max="14850" width="2.42578125" customWidth="1"/>
    <col min="14851" max="14851" width="9.7109375" customWidth="1"/>
    <col min="14852" max="14852" width="8.7109375" customWidth="1"/>
    <col min="14853" max="14853" width="2.5703125" customWidth="1"/>
    <col min="14854" max="14854" width="9.7109375" customWidth="1"/>
    <col min="14855" max="14855" width="8.7109375" customWidth="1"/>
    <col min="14856" max="14856" width="2.7109375" customWidth="1"/>
    <col min="14857" max="14857" width="9.7109375" customWidth="1"/>
    <col min="14858" max="14858" width="8.7109375" customWidth="1"/>
    <col min="14859" max="14859" width="2.85546875" customWidth="1"/>
    <col min="14860" max="14860" width="9.42578125" customWidth="1"/>
    <col min="14861" max="14861" width="9.7109375" customWidth="1"/>
    <col min="14862" max="14862" width="3.7109375" customWidth="1"/>
    <col min="15105" max="15105" width="30.85546875" customWidth="1"/>
    <col min="15106" max="15106" width="2.42578125" customWidth="1"/>
    <col min="15107" max="15107" width="9.7109375" customWidth="1"/>
    <col min="15108" max="15108" width="8.7109375" customWidth="1"/>
    <col min="15109" max="15109" width="2.5703125" customWidth="1"/>
    <col min="15110" max="15110" width="9.7109375" customWidth="1"/>
    <col min="15111" max="15111" width="8.7109375" customWidth="1"/>
    <col min="15112" max="15112" width="2.7109375" customWidth="1"/>
    <col min="15113" max="15113" width="9.7109375" customWidth="1"/>
    <col min="15114" max="15114" width="8.7109375" customWidth="1"/>
    <col min="15115" max="15115" width="2.85546875" customWidth="1"/>
    <col min="15116" max="15116" width="9.42578125" customWidth="1"/>
    <col min="15117" max="15117" width="9.7109375" customWidth="1"/>
    <col min="15118" max="15118" width="3.7109375" customWidth="1"/>
    <col min="15361" max="15361" width="30.85546875" customWidth="1"/>
    <col min="15362" max="15362" width="2.42578125" customWidth="1"/>
    <col min="15363" max="15363" width="9.7109375" customWidth="1"/>
    <col min="15364" max="15364" width="8.7109375" customWidth="1"/>
    <col min="15365" max="15365" width="2.5703125" customWidth="1"/>
    <col min="15366" max="15366" width="9.7109375" customWidth="1"/>
    <col min="15367" max="15367" width="8.7109375" customWidth="1"/>
    <col min="15368" max="15368" width="2.7109375" customWidth="1"/>
    <col min="15369" max="15369" width="9.7109375" customWidth="1"/>
    <col min="15370" max="15370" width="8.7109375" customWidth="1"/>
    <col min="15371" max="15371" width="2.85546875" customWidth="1"/>
    <col min="15372" max="15372" width="9.42578125" customWidth="1"/>
    <col min="15373" max="15373" width="9.7109375" customWidth="1"/>
    <col min="15374" max="15374" width="3.7109375" customWidth="1"/>
    <col min="15617" max="15617" width="30.85546875" customWidth="1"/>
    <col min="15618" max="15618" width="2.42578125" customWidth="1"/>
    <col min="15619" max="15619" width="9.7109375" customWidth="1"/>
    <col min="15620" max="15620" width="8.7109375" customWidth="1"/>
    <col min="15621" max="15621" width="2.5703125" customWidth="1"/>
    <col min="15622" max="15622" width="9.7109375" customWidth="1"/>
    <col min="15623" max="15623" width="8.7109375" customWidth="1"/>
    <col min="15624" max="15624" width="2.7109375" customWidth="1"/>
    <col min="15625" max="15625" width="9.7109375" customWidth="1"/>
    <col min="15626" max="15626" width="8.7109375" customWidth="1"/>
    <col min="15627" max="15627" width="2.85546875" customWidth="1"/>
    <col min="15628" max="15628" width="9.42578125" customWidth="1"/>
    <col min="15629" max="15629" width="9.7109375" customWidth="1"/>
    <col min="15630" max="15630" width="3.7109375" customWidth="1"/>
    <col min="15873" max="15873" width="30.85546875" customWidth="1"/>
    <col min="15874" max="15874" width="2.42578125" customWidth="1"/>
    <col min="15875" max="15875" width="9.7109375" customWidth="1"/>
    <col min="15876" max="15876" width="8.7109375" customWidth="1"/>
    <col min="15877" max="15877" width="2.5703125" customWidth="1"/>
    <col min="15878" max="15878" width="9.7109375" customWidth="1"/>
    <col min="15879" max="15879" width="8.7109375" customWidth="1"/>
    <col min="15880" max="15880" width="2.7109375" customWidth="1"/>
    <col min="15881" max="15881" width="9.7109375" customWidth="1"/>
    <col min="15882" max="15882" width="8.7109375" customWidth="1"/>
    <col min="15883" max="15883" width="2.85546875" customWidth="1"/>
    <col min="15884" max="15884" width="9.42578125" customWidth="1"/>
    <col min="15885" max="15885" width="9.7109375" customWidth="1"/>
    <col min="15886" max="15886" width="3.7109375" customWidth="1"/>
    <col min="16129" max="16129" width="30.85546875" customWidth="1"/>
    <col min="16130" max="16130" width="2.42578125" customWidth="1"/>
    <col min="16131" max="16131" width="9.7109375" customWidth="1"/>
    <col min="16132" max="16132" width="8.7109375" customWidth="1"/>
    <col min="16133" max="16133" width="2.5703125" customWidth="1"/>
    <col min="16134" max="16134" width="9.7109375" customWidth="1"/>
    <col min="16135" max="16135" width="8.7109375" customWidth="1"/>
    <col min="16136" max="16136" width="2.7109375" customWidth="1"/>
    <col min="16137" max="16137" width="9.7109375" customWidth="1"/>
    <col min="16138" max="16138" width="8.7109375" customWidth="1"/>
    <col min="16139" max="16139" width="2.85546875" customWidth="1"/>
    <col min="16140" max="16140" width="9.42578125" customWidth="1"/>
    <col min="16141" max="16141" width="9.7109375" customWidth="1"/>
    <col min="16142" max="16142" width="3.7109375" customWidth="1"/>
  </cols>
  <sheetData>
    <row r="1" spans="1:14">
      <c r="A1" s="1" t="s">
        <v>0</v>
      </c>
    </row>
    <row r="2" spans="1:14">
      <c r="A2" s="1" t="s">
        <v>1</v>
      </c>
    </row>
    <row r="3" spans="1:14" ht="6.95" customHeight="1"/>
    <row r="4" spans="1:14">
      <c r="A4" s="4" t="s">
        <v>1125</v>
      </c>
    </row>
    <row r="5" spans="1:14" ht="7.5" customHeight="1" thickBot="1"/>
    <row r="6" spans="1:14" ht="6.95" customHeight="1">
      <c r="A6" s="5"/>
      <c r="B6" s="6"/>
      <c r="C6" s="7"/>
      <c r="D6" s="5"/>
      <c r="E6" s="5"/>
      <c r="F6" s="7"/>
      <c r="G6" s="7"/>
      <c r="H6" s="7"/>
      <c r="I6" s="7"/>
      <c r="J6" s="7"/>
      <c r="K6" s="7"/>
      <c r="L6" s="7"/>
      <c r="M6" s="7"/>
    </row>
    <row r="7" spans="1:14">
      <c r="C7" s="1257" t="s">
        <v>3</v>
      </c>
      <c r="D7" s="1257"/>
      <c r="E7" s="1257"/>
      <c r="F7" s="1257"/>
      <c r="G7" s="1257"/>
      <c r="H7" s="1257"/>
      <c r="I7" s="1257"/>
      <c r="J7" s="1257"/>
      <c r="K7" s="1257"/>
      <c r="L7" s="1257"/>
      <c r="M7" s="1257"/>
      <c r="N7" s="8"/>
    </row>
    <row r="8" spans="1:14">
      <c r="A8" s="9" t="s">
        <v>4</v>
      </c>
      <c r="C8" s="1258" t="s">
        <v>5</v>
      </c>
      <c r="D8" s="1258"/>
      <c r="F8" s="477" t="s">
        <v>6</v>
      </c>
      <c r="G8" s="169"/>
      <c r="H8" s="10"/>
      <c r="I8" s="477" t="s">
        <v>7</v>
      </c>
      <c r="J8" s="169"/>
      <c r="K8" s="10"/>
      <c r="L8" s="477" t="s">
        <v>8</v>
      </c>
      <c r="M8" s="169"/>
      <c r="N8" s="8"/>
    </row>
    <row r="9" spans="1:14">
      <c r="C9" s="11" t="s">
        <v>9</v>
      </c>
      <c r="D9" s="12" t="s">
        <v>10</v>
      </c>
      <c r="F9" s="12" t="s">
        <v>9</v>
      </c>
      <c r="G9" s="12" t="s">
        <v>10</v>
      </c>
      <c r="I9" s="12" t="s">
        <v>9</v>
      </c>
      <c r="J9" s="12" t="s">
        <v>10</v>
      </c>
      <c r="L9" s="12" t="s">
        <v>9</v>
      </c>
      <c r="M9" s="12" t="s">
        <v>10</v>
      </c>
      <c r="N9" s="13"/>
    </row>
    <row r="10" spans="1:14" ht="6.95" customHeight="1" thickBot="1">
      <c r="A10" s="14"/>
      <c r="B10" s="15"/>
      <c r="C10" s="16"/>
      <c r="D10" s="14"/>
      <c r="E10" s="14"/>
      <c r="F10" s="16"/>
      <c r="G10" s="16"/>
      <c r="H10" s="16"/>
      <c r="I10" s="16"/>
      <c r="J10" s="16"/>
      <c r="K10" s="16"/>
      <c r="L10" s="16"/>
      <c r="M10" s="16"/>
    </row>
    <row r="11" spans="1:14" ht="6.95" customHeight="1"/>
    <row r="12" spans="1:14">
      <c r="A12" s="9" t="s">
        <v>1126</v>
      </c>
      <c r="C12" s="2">
        <f>IF($A12&lt;&gt;0,F12+I12+L12,"")</f>
        <v>1058.6469999999999</v>
      </c>
      <c r="D12" s="17">
        <f>IF($A12&lt;&gt;0,G12+J12+M12,"")</f>
        <v>100</v>
      </c>
      <c r="F12" s="2">
        <f>SUM(F14+F84)</f>
        <v>354.142</v>
      </c>
      <c r="G12" s="2">
        <f>IF($A12&lt;&gt;0,F12/$C12*100,"")</f>
        <v>33.452321689855069</v>
      </c>
      <c r="I12" s="2">
        <f>SUM(I14+I84)</f>
        <v>373.755</v>
      </c>
      <c r="J12" s="2">
        <f>IF($A12&lt;&gt;0,I12/$C12*100,"")</f>
        <v>35.304969456296575</v>
      </c>
      <c r="L12" s="2">
        <f>SUM(L14+L84)</f>
        <v>330.75</v>
      </c>
      <c r="M12" s="2">
        <f>IF($A12&lt;&gt;0,L12/$C12*100,"")</f>
        <v>31.242708853848356</v>
      </c>
    </row>
    <row r="13" spans="1:14" ht="6.95" customHeight="1">
      <c r="C13" s="2" t="str">
        <f>IF($A13&lt;&gt;0,F13+I13+L13,"")</f>
        <v/>
      </c>
      <c r="D13" s="17" t="str">
        <f>IF($A13&lt;&gt;0,G13+J13+M13,"")</f>
        <v/>
      </c>
      <c r="G13" s="2" t="str">
        <f>IF($A13&lt;&gt;0,F13/$C13*100,"")</f>
        <v/>
      </c>
      <c r="J13" s="2" t="str">
        <f>IF($A13&lt;&gt;0,I13/$C13*100,"")</f>
        <v/>
      </c>
      <c r="L13" s="2" t="s">
        <v>11</v>
      </c>
      <c r="M13" s="2" t="str">
        <f>IF($A13&lt;&gt;0,L13/$C13*100,"")</f>
        <v/>
      </c>
    </row>
    <row r="14" spans="1:14">
      <c r="A14" s="9" t="s">
        <v>326</v>
      </c>
      <c r="C14" s="2">
        <f t="shared" ref="C14:D51" si="0">IF($A14&lt;&gt;0,F14+I14+L14,"")</f>
        <v>1000.322</v>
      </c>
      <c r="D14" s="17">
        <f t="shared" si="0"/>
        <v>100</v>
      </c>
      <c r="F14" s="2">
        <f>F16+F33+F82</f>
        <v>339.56700000000001</v>
      </c>
      <c r="G14" s="2">
        <f t="shared" ref="G14:G77" si="1">IF($A14&lt;&gt;0,F14/$C14*100,"")</f>
        <v>33.945769462233159</v>
      </c>
      <c r="I14" s="2">
        <f>I16+I33+I82</f>
        <v>334.505</v>
      </c>
      <c r="J14" s="2">
        <f t="shared" ref="J14:J77" si="2">IF($A14&lt;&gt;0,I14/$C14*100,"")</f>
        <v>33.439732406165213</v>
      </c>
      <c r="L14" s="2">
        <f>L16+L33+L82</f>
        <v>326.25</v>
      </c>
      <c r="M14" s="2">
        <f t="shared" ref="M14:M77" si="3">IF($A14&lt;&gt;0,L14/$C14*100,"")</f>
        <v>32.614498131601628</v>
      </c>
    </row>
    <row r="15" spans="1:14" ht="6.95" customHeight="1">
      <c r="C15" s="2" t="str">
        <f t="shared" si="0"/>
        <v/>
      </c>
      <c r="D15" s="17" t="str">
        <f t="shared" si="0"/>
        <v/>
      </c>
      <c r="G15" s="2" t="str">
        <f t="shared" si="1"/>
        <v/>
      </c>
      <c r="J15" s="2" t="str">
        <f t="shared" si="2"/>
        <v/>
      </c>
      <c r="L15" s="2" t="s">
        <v>11</v>
      </c>
      <c r="M15" s="2" t="str">
        <f t="shared" si="3"/>
        <v/>
      </c>
    </row>
    <row r="16" spans="1:14">
      <c r="A16" s="1" t="s">
        <v>87</v>
      </c>
      <c r="C16" s="2">
        <f t="shared" si="0"/>
        <v>442.02499999999998</v>
      </c>
      <c r="D16" s="17">
        <f t="shared" si="0"/>
        <v>100</v>
      </c>
      <c r="F16" s="2">
        <f>SUM(F18:F31)</f>
        <v>89.4</v>
      </c>
      <c r="G16" s="2">
        <f t="shared" si="1"/>
        <v>20.225100390249423</v>
      </c>
      <c r="I16" s="2">
        <f>SUM(I18:I31)</f>
        <v>205.625</v>
      </c>
      <c r="J16" s="2">
        <f t="shared" si="2"/>
        <v>46.518862055313612</v>
      </c>
      <c r="L16" s="2">
        <f>SUM(L18:L31)</f>
        <v>147</v>
      </c>
      <c r="M16" s="2">
        <f t="shared" si="3"/>
        <v>33.256037554436965</v>
      </c>
    </row>
    <row r="17" spans="1:13">
      <c r="C17" s="2" t="str">
        <f t="shared" si="0"/>
        <v/>
      </c>
      <c r="D17" s="17" t="str">
        <f t="shared" si="0"/>
        <v/>
      </c>
      <c r="G17" s="2" t="str">
        <f t="shared" si="1"/>
        <v/>
      </c>
      <c r="J17" s="2" t="str">
        <f t="shared" si="2"/>
        <v/>
      </c>
      <c r="L17" s="2" t="s">
        <v>11</v>
      </c>
      <c r="M17" s="2" t="str">
        <f t="shared" si="3"/>
        <v/>
      </c>
    </row>
    <row r="18" spans="1:13" ht="12.6" customHeight="1">
      <c r="A18" s="1" t="s">
        <v>88</v>
      </c>
      <c r="C18" s="2">
        <f t="shared" si="0"/>
        <v>62.875</v>
      </c>
      <c r="D18" s="17">
        <f t="shared" si="0"/>
        <v>100.00000000000001</v>
      </c>
      <c r="F18" s="2">
        <v>54.875</v>
      </c>
      <c r="G18" s="2">
        <f t="shared" si="1"/>
        <v>87.276341948310147</v>
      </c>
      <c r="I18" s="2">
        <v>7</v>
      </c>
      <c r="J18" s="2">
        <f t="shared" si="2"/>
        <v>11.133200795228628</v>
      </c>
      <c r="L18" s="2">
        <v>1</v>
      </c>
      <c r="M18" s="2">
        <f t="shared" si="3"/>
        <v>1.5904572564612325</v>
      </c>
    </row>
    <row r="19" spans="1:13" ht="12.6" customHeight="1">
      <c r="A19" s="1" t="s">
        <v>89</v>
      </c>
      <c r="C19" s="2">
        <f t="shared" si="0"/>
        <v>63.75</v>
      </c>
      <c r="D19" s="17">
        <f t="shared" si="0"/>
        <v>100</v>
      </c>
      <c r="F19" s="2">
        <v>1</v>
      </c>
      <c r="G19" s="2">
        <f t="shared" si="1"/>
        <v>1.5686274509803921</v>
      </c>
      <c r="I19" s="2">
        <v>3</v>
      </c>
      <c r="J19" s="2">
        <f t="shared" si="2"/>
        <v>4.7058823529411766</v>
      </c>
      <c r="L19" s="2">
        <v>59.75</v>
      </c>
      <c r="M19" s="2">
        <f t="shared" si="3"/>
        <v>93.725490196078425</v>
      </c>
    </row>
    <row r="20" spans="1:13" ht="12.6" customHeight="1">
      <c r="A20" s="1" t="s">
        <v>90</v>
      </c>
      <c r="C20" s="2">
        <f t="shared" si="0"/>
        <v>162.625</v>
      </c>
      <c r="D20" s="17">
        <f t="shared" si="0"/>
        <v>100</v>
      </c>
      <c r="F20" s="2">
        <v>0</v>
      </c>
      <c r="G20" s="2">
        <f t="shared" si="1"/>
        <v>0</v>
      </c>
      <c r="I20" s="2">
        <v>131.625</v>
      </c>
      <c r="J20" s="2">
        <f t="shared" si="2"/>
        <v>80.937740199846274</v>
      </c>
      <c r="L20" s="2">
        <v>31</v>
      </c>
      <c r="M20" s="2">
        <f t="shared" si="3"/>
        <v>19.062259800153729</v>
      </c>
    </row>
    <row r="21" spans="1:13" ht="12.6" customHeight="1">
      <c r="A21" s="19" t="s">
        <v>91</v>
      </c>
      <c r="C21" s="2">
        <f t="shared" si="0"/>
        <v>23.25</v>
      </c>
      <c r="D21" s="17">
        <f t="shared" si="0"/>
        <v>100</v>
      </c>
      <c r="F21" s="2">
        <v>4.25</v>
      </c>
      <c r="G21" s="2">
        <f t="shared" si="1"/>
        <v>18.27956989247312</v>
      </c>
      <c r="I21" s="2">
        <v>9</v>
      </c>
      <c r="J21" s="2">
        <f t="shared" si="2"/>
        <v>38.70967741935484</v>
      </c>
      <c r="L21" s="2">
        <v>10</v>
      </c>
      <c r="M21" s="2">
        <f t="shared" si="3"/>
        <v>43.01075268817204</v>
      </c>
    </row>
    <row r="22" spans="1:13" ht="12.6" customHeight="1">
      <c r="A22" s="19" t="s">
        <v>92</v>
      </c>
      <c r="C22" s="2">
        <f t="shared" si="0"/>
        <v>76.525000000000006</v>
      </c>
      <c r="D22" s="17">
        <f t="shared" si="0"/>
        <v>99.999999999999986</v>
      </c>
      <c r="F22" s="2">
        <v>18.274999999999999</v>
      </c>
      <c r="G22" s="2">
        <f t="shared" si="1"/>
        <v>23.881084612871607</v>
      </c>
      <c r="I22" s="2">
        <v>32.25</v>
      </c>
      <c r="J22" s="2">
        <f t="shared" si="2"/>
        <v>42.143090493302836</v>
      </c>
      <c r="L22" s="2">
        <v>26</v>
      </c>
      <c r="M22" s="2">
        <f t="shared" si="3"/>
        <v>33.975824893825546</v>
      </c>
    </row>
    <row r="23" spans="1:13" ht="12.6" customHeight="1">
      <c r="A23" s="19" t="s">
        <v>93</v>
      </c>
      <c r="C23" s="2">
        <f t="shared" si="0"/>
        <v>23</v>
      </c>
      <c r="D23" s="17">
        <f t="shared" si="0"/>
        <v>100</v>
      </c>
      <c r="F23" s="2">
        <v>4</v>
      </c>
      <c r="G23" s="2">
        <f t="shared" si="1"/>
        <v>17.391304347826086</v>
      </c>
      <c r="I23" s="2">
        <v>13</v>
      </c>
      <c r="J23" s="2">
        <f t="shared" si="2"/>
        <v>56.521739130434781</v>
      </c>
      <c r="L23" s="2">
        <v>6</v>
      </c>
      <c r="M23" s="2">
        <f t="shared" si="3"/>
        <v>26.086956521739129</v>
      </c>
    </row>
    <row r="24" spans="1:13" ht="12.6" customHeight="1">
      <c r="A24" s="19" t="s">
        <v>94</v>
      </c>
      <c r="C24" s="2">
        <f t="shared" si="0"/>
        <v>10</v>
      </c>
      <c r="D24" s="17">
        <f t="shared" si="0"/>
        <v>100</v>
      </c>
      <c r="F24" s="2">
        <v>2</v>
      </c>
      <c r="G24" s="2">
        <f>IF($A24&lt;&gt;0,F24/$C24*100,"")</f>
        <v>20</v>
      </c>
      <c r="I24" s="2">
        <v>6</v>
      </c>
      <c r="J24" s="2">
        <f>IF($A24&lt;&gt;0,I24/$C24*100,"")</f>
        <v>60</v>
      </c>
      <c r="L24" s="2">
        <v>2</v>
      </c>
      <c r="M24" s="2">
        <f t="shared" si="3"/>
        <v>20</v>
      </c>
    </row>
    <row r="25" spans="1:13" ht="12.6" customHeight="1">
      <c r="A25" s="19" t="s">
        <v>95</v>
      </c>
      <c r="C25" s="2">
        <f t="shared" si="0"/>
        <v>1</v>
      </c>
      <c r="D25" s="17">
        <f t="shared" si="0"/>
        <v>100</v>
      </c>
      <c r="F25" s="2">
        <v>0</v>
      </c>
      <c r="G25" s="2">
        <f>IF($A25&lt;&gt;0,F25/$C25*100,"")</f>
        <v>0</v>
      </c>
      <c r="I25" s="2">
        <v>0</v>
      </c>
      <c r="J25" s="2">
        <f>IF($A25&lt;&gt;0,I25/$C25*100,"")</f>
        <v>0</v>
      </c>
      <c r="L25" s="2">
        <v>1</v>
      </c>
      <c r="M25" s="2">
        <f t="shared" si="3"/>
        <v>100</v>
      </c>
    </row>
    <row r="26" spans="1:13" ht="12.6" customHeight="1">
      <c r="A26" s="19" t="s">
        <v>96</v>
      </c>
      <c r="C26" s="2">
        <f t="shared" si="0"/>
        <v>5.5</v>
      </c>
      <c r="D26" s="17">
        <f t="shared" si="0"/>
        <v>100</v>
      </c>
      <c r="F26" s="2">
        <v>1.5</v>
      </c>
      <c r="G26" s="2">
        <f>IF($A26&lt;&gt;0,F26/$C26*100,"")</f>
        <v>27.27272727272727</v>
      </c>
      <c r="I26" s="2">
        <v>2</v>
      </c>
      <c r="J26" s="2">
        <f>IF($A26&lt;&gt;0,I26/$C26*100,"")</f>
        <v>36.363636363636367</v>
      </c>
      <c r="L26" s="2">
        <v>2</v>
      </c>
      <c r="M26" s="2">
        <f t="shared" si="3"/>
        <v>36.363636363636367</v>
      </c>
    </row>
    <row r="27" spans="1:13" ht="12.6" customHeight="1">
      <c r="A27" s="19" t="s">
        <v>97</v>
      </c>
      <c r="C27" s="2">
        <f t="shared" si="0"/>
        <v>2</v>
      </c>
      <c r="D27" s="17">
        <f t="shared" si="0"/>
        <v>100</v>
      </c>
      <c r="F27" s="2">
        <v>1</v>
      </c>
      <c r="G27" s="2">
        <f t="shared" si="1"/>
        <v>50</v>
      </c>
      <c r="I27" s="2">
        <v>0</v>
      </c>
      <c r="J27" s="2">
        <f t="shared" si="2"/>
        <v>0</v>
      </c>
      <c r="L27" s="2">
        <v>1</v>
      </c>
      <c r="M27" s="2">
        <f t="shared" si="3"/>
        <v>50</v>
      </c>
    </row>
    <row r="28" spans="1:13" ht="12.6" customHeight="1">
      <c r="A28" s="19" t="s">
        <v>98</v>
      </c>
      <c r="C28" s="2">
        <f t="shared" si="0"/>
        <v>1.5</v>
      </c>
      <c r="D28" s="17">
        <f t="shared" si="0"/>
        <v>99.999999999999986</v>
      </c>
      <c r="F28" s="2">
        <v>0.5</v>
      </c>
      <c r="G28" s="2">
        <f t="shared" si="1"/>
        <v>33.333333333333329</v>
      </c>
      <c r="I28" s="2">
        <v>0</v>
      </c>
      <c r="J28" s="2">
        <f t="shared" si="2"/>
        <v>0</v>
      </c>
      <c r="L28" s="2">
        <v>1</v>
      </c>
      <c r="M28" s="2">
        <f t="shared" si="3"/>
        <v>66.666666666666657</v>
      </c>
    </row>
    <row r="29" spans="1:13" ht="12.6" customHeight="1">
      <c r="A29" s="19" t="s">
        <v>99</v>
      </c>
      <c r="C29" s="2">
        <f t="shared" si="0"/>
        <v>6</v>
      </c>
      <c r="D29" s="17">
        <f t="shared" si="0"/>
        <v>99.999999999999986</v>
      </c>
      <c r="F29" s="2">
        <v>0.5</v>
      </c>
      <c r="G29" s="2">
        <f t="shared" si="1"/>
        <v>8.3333333333333321</v>
      </c>
      <c r="I29" s="2">
        <v>0</v>
      </c>
      <c r="J29" s="2">
        <f t="shared" si="2"/>
        <v>0</v>
      </c>
      <c r="L29" s="2">
        <v>5.5</v>
      </c>
      <c r="M29" s="2">
        <f t="shared" si="3"/>
        <v>91.666666666666657</v>
      </c>
    </row>
    <row r="30" spans="1:13" ht="12.6" customHeight="1">
      <c r="A30" s="19" t="s">
        <v>100</v>
      </c>
      <c r="C30" s="2">
        <f>IF($A30&lt;&gt;0,F30+I30+L30,"")</f>
        <v>3</v>
      </c>
      <c r="D30" s="17">
        <f>IF($A30&lt;&gt;0,G30+J30+M30,"")</f>
        <v>100</v>
      </c>
      <c r="F30" s="2">
        <v>0.5</v>
      </c>
      <c r="G30" s="2">
        <f>IF($A30&lt;&gt;0,F30/$C30*100,"")</f>
        <v>16.666666666666664</v>
      </c>
      <c r="I30" s="2">
        <v>1.75</v>
      </c>
      <c r="J30" s="2">
        <f>IF($A30&lt;&gt;0,I30/$C30*100,"")</f>
        <v>58.333333333333336</v>
      </c>
      <c r="L30" s="2">
        <v>0.75</v>
      </c>
      <c r="M30" s="2">
        <f t="shared" si="3"/>
        <v>25</v>
      </c>
    </row>
    <row r="31" spans="1:13" ht="12.6" customHeight="1">
      <c r="A31" s="19" t="s">
        <v>101</v>
      </c>
      <c r="C31" s="2">
        <f>IF($A31&lt;&gt;0,F31+I31+L31,"")</f>
        <v>1</v>
      </c>
      <c r="D31" s="17">
        <f>IF($A31&lt;&gt;0,G31+J31+M31,"")</f>
        <v>100</v>
      </c>
      <c r="F31" s="2">
        <v>1</v>
      </c>
      <c r="G31" s="2">
        <f t="shared" si="1"/>
        <v>100</v>
      </c>
      <c r="I31" s="2">
        <v>0</v>
      </c>
      <c r="J31" s="2">
        <f t="shared" si="2"/>
        <v>0</v>
      </c>
      <c r="L31" s="2">
        <v>0</v>
      </c>
      <c r="M31" s="2">
        <f t="shared" si="3"/>
        <v>0</v>
      </c>
    </row>
    <row r="32" spans="1:13" ht="4.5" customHeight="1">
      <c r="A32" s="20"/>
      <c r="C32" s="2" t="str">
        <f t="shared" si="0"/>
        <v/>
      </c>
      <c r="D32" s="17" t="str">
        <f t="shared" si="0"/>
        <v/>
      </c>
      <c r="G32" s="2" t="str">
        <f t="shared" si="1"/>
        <v/>
      </c>
      <c r="J32" s="2" t="str">
        <f t="shared" si="2"/>
        <v/>
      </c>
      <c r="L32" s="2" t="s">
        <v>11</v>
      </c>
      <c r="M32" s="2" t="str">
        <f t="shared" si="3"/>
        <v/>
      </c>
    </row>
    <row r="33" spans="1:13" ht="12.6" customHeight="1">
      <c r="A33" s="1" t="s">
        <v>102</v>
      </c>
      <c r="C33" s="2">
        <f t="shared" si="0"/>
        <v>458.92200000000003</v>
      </c>
      <c r="D33" s="17">
        <f t="shared" si="0"/>
        <v>100</v>
      </c>
      <c r="F33" s="2">
        <f>SUM(F35:F80)</f>
        <v>187.292</v>
      </c>
      <c r="G33" s="2">
        <f t="shared" si="1"/>
        <v>40.811292550803842</v>
      </c>
      <c r="I33" s="2">
        <f>SUM(I35:I80)</f>
        <v>128.38</v>
      </c>
      <c r="J33" s="2">
        <f t="shared" si="2"/>
        <v>27.974252705252745</v>
      </c>
      <c r="L33" s="2">
        <f>SUM(L35:L80)</f>
        <v>143.25</v>
      </c>
      <c r="M33" s="2">
        <f t="shared" si="3"/>
        <v>31.214454743943413</v>
      </c>
    </row>
    <row r="34" spans="1:13" ht="6" customHeight="1">
      <c r="A34" s="20"/>
      <c r="D34" s="17" t="str">
        <f t="shared" si="0"/>
        <v/>
      </c>
      <c r="G34" s="2" t="str">
        <f t="shared" si="1"/>
        <v/>
      </c>
      <c r="J34" s="2" t="str">
        <f t="shared" si="2"/>
        <v/>
      </c>
      <c r="L34" s="2" t="s">
        <v>11</v>
      </c>
      <c r="M34" s="2" t="str">
        <f t="shared" si="3"/>
        <v/>
      </c>
    </row>
    <row r="35" spans="1:13" ht="12.6" customHeight="1">
      <c r="A35" s="19" t="s">
        <v>103</v>
      </c>
      <c r="C35" s="2">
        <f t="shared" si="0"/>
        <v>24</v>
      </c>
      <c r="D35" s="17">
        <f t="shared" si="0"/>
        <v>100</v>
      </c>
      <c r="F35" s="2">
        <v>12</v>
      </c>
      <c r="G35" s="2">
        <f t="shared" si="1"/>
        <v>50</v>
      </c>
      <c r="I35" s="2">
        <v>6.5</v>
      </c>
      <c r="J35" s="2">
        <f t="shared" si="2"/>
        <v>27.083333333333332</v>
      </c>
      <c r="L35" s="2">
        <v>5.5</v>
      </c>
      <c r="M35" s="2">
        <f t="shared" si="3"/>
        <v>22.916666666666664</v>
      </c>
    </row>
    <row r="36" spans="1:13" ht="12.6" customHeight="1">
      <c r="A36" s="19" t="s">
        <v>104</v>
      </c>
      <c r="C36" s="2">
        <f t="shared" si="0"/>
        <v>9.25</v>
      </c>
      <c r="D36" s="17">
        <f t="shared" si="0"/>
        <v>100</v>
      </c>
      <c r="F36" s="2">
        <v>3.25</v>
      </c>
      <c r="G36" s="2">
        <f t="shared" si="1"/>
        <v>35.135135135135137</v>
      </c>
      <c r="I36" s="2">
        <v>2</v>
      </c>
      <c r="J36" s="2">
        <f t="shared" si="2"/>
        <v>21.621621621621621</v>
      </c>
      <c r="L36" s="2">
        <v>4</v>
      </c>
      <c r="M36" s="2">
        <f t="shared" si="3"/>
        <v>43.243243243243242</v>
      </c>
    </row>
    <row r="37" spans="1:13" ht="12.6" customHeight="1">
      <c r="A37" s="19" t="s">
        <v>105</v>
      </c>
      <c r="C37" s="2">
        <f t="shared" si="0"/>
        <v>4</v>
      </c>
      <c r="D37" s="17">
        <f t="shared" si="0"/>
        <v>100</v>
      </c>
      <c r="F37" s="2">
        <v>2</v>
      </c>
      <c r="G37" s="2">
        <f t="shared" si="1"/>
        <v>50</v>
      </c>
      <c r="I37" s="2">
        <v>1</v>
      </c>
      <c r="J37" s="2">
        <f t="shared" si="2"/>
        <v>25</v>
      </c>
      <c r="L37" s="2">
        <v>1</v>
      </c>
      <c r="M37" s="2">
        <f t="shared" si="3"/>
        <v>25</v>
      </c>
    </row>
    <row r="38" spans="1:13" ht="12.6" customHeight="1">
      <c r="A38" s="19" t="s">
        <v>106</v>
      </c>
      <c r="C38" s="2">
        <f t="shared" si="0"/>
        <v>7.5</v>
      </c>
      <c r="D38" s="17">
        <f t="shared" si="0"/>
        <v>99.999999999999986</v>
      </c>
      <c r="F38" s="2">
        <v>1.5</v>
      </c>
      <c r="G38" s="2">
        <f t="shared" si="1"/>
        <v>20</v>
      </c>
      <c r="I38" s="2">
        <v>5</v>
      </c>
      <c r="J38" s="2">
        <f t="shared" si="2"/>
        <v>66.666666666666657</v>
      </c>
      <c r="L38" s="2">
        <v>1</v>
      </c>
      <c r="M38" s="2">
        <f t="shared" si="3"/>
        <v>13.333333333333334</v>
      </c>
    </row>
    <row r="39" spans="1:13" ht="12.6" customHeight="1">
      <c r="A39" s="19" t="s">
        <v>107</v>
      </c>
      <c r="C39" s="2">
        <f t="shared" si="0"/>
        <v>6.5</v>
      </c>
      <c r="D39" s="17">
        <f t="shared" si="0"/>
        <v>100</v>
      </c>
      <c r="F39" s="2">
        <v>2.5</v>
      </c>
      <c r="G39" s="2">
        <f t="shared" si="1"/>
        <v>38.461538461538467</v>
      </c>
      <c r="I39" s="2">
        <v>3</v>
      </c>
      <c r="J39" s="2">
        <f t="shared" si="2"/>
        <v>46.153846153846153</v>
      </c>
      <c r="L39" s="2">
        <v>1</v>
      </c>
      <c r="M39" s="2">
        <f t="shared" si="3"/>
        <v>15.384615384615385</v>
      </c>
    </row>
    <row r="40" spans="1:13" ht="12.6" customHeight="1">
      <c r="A40" s="19" t="s">
        <v>108</v>
      </c>
      <c r="C40" s="2">
        <f t="shared" si="0"/>
        <v>7</v>
      </c>
      <c r="D40" s="17">
        <f t="shared" si="0"/>
        <v>99.999999999999986</v>
      </c>
      <c r="F40" s="2">
        <v>1</v>
      </c>
      <c r="G40" s="2">
        <f t="shared" si="1"/>
        <v>14.285714285714285</v>
      </c>
      <c r="I40" s="2">
        <v>4</v>
      </c>
      <c r="J40" s="2">
        <f t="shared" si="2"/>
        <v>57.142857142857139</v>
      </c>
      <c r="L40" s="2">
        <v>2</v>
      </c>
      <c r="M40" s="2">
        <f t="shared" si="3"/>
        <v>28.571428571428569</v>
      </c>
    </row>
    <row r="41" spans="1:13" ht="12.6" customHeight="1">
      <c r="A41" s="19" t="s">
        <v>109</v>
      </c>
      <c r="C41" s="2">
        <f t="shared" si="0"/>
        <v>3</v>
      </c>
      <c r="D41" s="17">
        <f t="shared" si="0"/>
        <v>99.999999999999986</v>
      </c>
      <c r="F41" s="2">
        <v>1</v>
      </c>
      <c r="G41" s="2">
        <f t="shared" si="1"/>
        <v>33.333333333333329</v>
      </c>
      <c r="I41" s="2">
        <v>0</v>
      </c>
      <c r="J41" s="2">
        <f t="shared" si="2"/>
        <v>0</v>
      </c>
      <c r="L41" s="2">
        <v>2</v>
      </c>
      <c r="M41" s="2">
        <f t="shared" si="3"/>
        <v>66.666666666666657</v>
      </c>
    </row>
    <row r="42" spans="1:13" ht="12.6" customHeight="1">
      <c r="A42" s="19" t="s">
        <v>110</v>
      </c>
      <c r="C42" s="2">
        <f t="shared" si="0"/>
        <v>9.5</v>
      </c>
      <c r="D42" s="17">
        <f t="shared" si="0"/>
        <v>100</v>
      </c>
      <c r="F42" s="2">
        <v>4.5</v>
      </c>
      <c r="G42" s="2">
        <f t="shared" si="1"/>
        <v>47.368421052631575</v>
      </c>
      <c r="I42" s="2">
        <v>2</v>
      </c>
      <c r="J42" s="2">
        <f t="shared" si="2"/>
        <v>21.052631578947366</v>
      </c>
      <c r="L42" s="2">
        <v>3</v>
      </c>
      <c r="M42" s="2">
        <f t="shared" si="3"/>
        <v>31.578947368421051</v>
      </c>
    </row>
    <row r="43" spans="1:13" ht="12.6" customHeight="1">
      <c r="A43" s="19" t="s">
        <v>111</v>
      </c>
      <c r="C43" s="2">
        <f t="shared" si="0"/>
        <v>21.5</v>
      </c>
      <c r="D43" s="17">
        <f t="shared" si="0"/>
        <v>100</v>
      </c>
      <c r="F43" s="2">
        <v>9</v>
      </c>
      <c r="G43" s="2">
        <f t="shared" si="1"/>
        <v>41.860465116279073</v>
      </c>
      <c r="I43" s="2">
        <v>7.5</v>
      </c>
      <c r="J43" s="2">
        <f t="shared" si="2"/>
        <v>34.883720930232556</v>
      </c>
      <c r="L43" s="2">
        <v>5</v>
      </c>
      <c r="M43" s="2">
        <f t="shared" si="3"/>
        <v>23.255813953488371</v>
      </c>
    </row>
    <row r="44" spans="1:13" ht="12.6" customHeight="1">
      <c r="A44" s="19" t="s">
        <v>112</v>
      </c>
      <c r="C44" s="2">
        <f t="shared" si="0"/>
        <v>23.75</v>
      </c>
      <c r="D44" s="17">
        <f t="shared" si="0"/>
        <v>100</v>
      </c>
      <c r="F44" s="2">
        <v>9.25</v>
      </c>
      <c r="G44" s="2">
        <f t="shared" si="1"/>
        <v>38.94736842105263</v>
      </c>
      <c r="I44" s="2">
        <v>6</v>
      </c>
      <c r="J44" s="2">
        <f t="shared" si="2"/>
        <v>25.263157894736842</v>
      </c>
      <c r="L44" s="2">
        <v>8.5</v>
      </c>
      <c r="M44" s="2">
        <f t="shared" si="3"/>
        <v>35.789473684210527</v>
      </c>
    </row>
    <row r="45" spans="1:13" ht="12.6" customHeight="1">
      <c r="A45" s="19" t="s">
        <v>113</v>
      </c>
      <c r="C45" s="2">
        <f t="shared" si="0"/>
        <v>23.5</v>
      </c>
      <c r="D45" s="17">
        <f t="shared" si="0"/>
        <v>100</v>
      </c>
      <c r="F45" s="2">
        <v>10</v>
      </c>
      <c r="G45" s="2">
        <f t="shared" si="1"/>
        <v>42.553191489361701</v>
      </c>
      <c r="I45" s="2">
        <v>8</v>
      </c>
      <c r="J45" s="2">
        <f t="shared" si="2"/>
        <v>34.042553191489361</v>
      </c>
      <c r="L45" s="2">
        <v>5.5</v>
      </c>
      <c r="M45" s="2">
        <f t="shared" si="3"/>
        <v>23.404255319148938</v>
      </c>
    </row>
    <row r="46" spans="1:13" ht="12.6" customHeight="1">
      <c r="A46" s="19" t="s">
        <v>114</v>
      </c>
      <c r="C46" s="2">
        <f t="shared" si="0"/>
        <v>35.5</v>
      </c>
      <c r="D46" s="17">
        <f t="shared" si="0"/>
        <v>100</v>
      </c>
      <c r="F46" s="2">
        <v>14.5</v>
      </c>
      <c r="G46" s="2">
        <f t="shared" si="1"/>
        <v>40.845070422535215</v>
      </c>
      <c r="I46" s="2">
        <v>12.5</v>
      </c>
      <c r="J46" s="2">
        <f t="shared" si="2"/>
        <v>35.2112676056338</v>
      </c>
      <c r="L46" s="2">
        <v>8.5</v>
      </c>
      <c r="M46" s="2">
        <f t="shared" si="3"/>
        <v>23.943661971830984</v>
      </c>
    </row>
    <row r="47" spans="1:13" ht="12.6" customHeight="1">
      <c r="A47" s="19" t="s">
        <v>115</v>
      </c>
      <c r="C47" s="2">
        <f t="shared" si="0"/>
        <v>19.75</v>
      </c>
      <c r="D47" s="17">
        <f t="shared" si="0"/>
        <v>100</v>
      </c>
      <c r="F47" s="2">
        <v>5.75</v>
      </c>
      <c r="G47" s="2">
        <f t="shared" si="1"/>
        <v>29.11392405063291</v>
      </c>
      <c r="I47" s="2">
        <v>9</v>
      </c>
      <c r="J47" s="2">
        <f t="shared" si="2"/>
        <v>45.569620253164558</v>
      </c>
      <c r="L47" s="2">
        <v>5</v>
      </c>
      <c r="M47" s="2">
        <f t="shared" si="3"/>
        <v>25.316455696202532</v>
      </c>
    </row>
    <row r="48" spans="1:13" ht="12.6" customHeight="1">
      <c r="A48" s="19" t="s">
        <v>116</v>
      </c>
      <c r="C48" s="2">
        <f t="shared" si="0"/>
        <v>32.792000000000002</v>
      </c>
      <c r="D48" s="17">
        <f t="shared" si="0"/>
        <v>100</v>
      </c>
      <c r="F48" s="2">
        <v>17.292000000000002</v>
      </c>
      <c r="G48" s="2">
        <f t="shared" si="1"/>
        <v>52.73237374969505</v>
      </c>
      <c r="I48" s="2">
        <v>4</v>
      </c>
      <c r="J48" s="2">
        <f t="shared" si="2"/>
        <v>12.198097096852891</v>
      </c>
      <c r="L48" s="2">
        <v>11.5</v>
      </c>
      <c r="M48" s="2">
        <f t="shared" si="3"/>
        <v>35.069529153452059</v>
      </c>
    </row>
    <row r="49" spans="1:13" ht="12.6" customHeight="1">
      <c r="A49" s="19" t="s">
        <v>117</v>
      </c>
      <c r="C49" s="2">
        <f t="shared" si="0"/>
        <v>20.25</v>
      </c>
      <c r="D49" s="17">
        <f t="shared" si="0"/>
        <v>100</v>
      </c>
      <c r="F49" s="2">
        <v>8.25</v>
      </c>
      <c r="G49" s="2">
        <f t="shared" si="1"/>
        <v>40.74074074074074</v>
      </c>
      <c r="I49" s="2">
        <v>6.75</v>
      </c>
      <c r="J49" s="2">
        <f t="shared" si="2"/>
        <v>33.333333333333329</v>
      </c>
      <c r="L49" s="2">
        <v>5.25</v>
      </c>
      <c r="M49" s="2">
        <f t="shared" si="3"/>
        <v>25.925925925925924</v>
      </c>
    </row>
    <row r="50" spans="1:13" ht="12.6" customHeight="1">
      <c r="A50" s="19" t="s">
        <v>118</v>
      </c>
      <c r="C50" s="2">
        <f t="shared" si="0"/>
        <v>22.88</v>
      </c>
      <c r="D50" s="17">
        <f t="shared" si="0"/>
        <v>100</v>
      </c>
      <c r="F50" s="2">
        <v>12.25</v>
      </c>
      <c r="G50" s="2">
        <f t="shared" si="1"/>
        <v>53.540209790209794</v>
      </c>
      <c r="I50" s="2">
        <v>4.13</v>
      </c>
      <c r="J50" s="2">
        <f t="shared" si="2"/>
        <v>18.050699300699304</v>
      </c>
      <c r="L50" s="2">
        <v>6.5</v>
      </c>
      <c r="M50" s="2">
        <f t="shared" si="3"/>
        <v>28.40909090909091</v>
      </c>
    </row>
    <row r="51" spans="1:13" ht="12.6" customHeight="1">
      <c r="A51" s="19" t="s">
        <v>119</v>
      </c>
      <c r="C51" s="2">
        <f t="shared" si="0"/>
        <v>39.25</v>
      </c>
      <c r="D51" s="17">
        <f t="shared" si="0"/>
        <v>100.00000000000001</v>
      </c>
      <c r="F51" s="2">
        <v>12</v>
      </c>
      <c r="G51" s="2">
        <f t="shared" si="1"/>
        <v>30.573248407643312</v>
      </c>
      <c r="I51" s="2">
        <v>18.75</v>
      </c>
      <c r="J51" s="2">
        <f t="shared" si="2"/>
        <v>47.770700636942678</v>
      </c>
      <c r="L51" s="2">
        <v>8.5</v>
      </c>
      <c r="M51" s="2">
        <f t="shared" si="3"/>
        <v>21.656050955414013</v>
      </c>
    </row>
    <row r="52" spans="1:13" ht="12.6" customHeight="1">
      <c r="A52" s="19" t="s">
        <v>120</v>
      </c>
      <c r="C52" s="2">
        <f t="shared" ref="C52:D83" si="4">IF($A52&lt;&gt;0,F52+I52+L52,"")</f>
        <v>29.625</v>
      </c>
      <c r="D52" s="17">
        <f t="shared" si="4"/>
        <v>100</v>
      </c>
      <c r="F52" s="2">
        <v>14.625</v>
      </c>
      <c r="G52" s="2">
        <f t="shared" si="1"/>
        <v>49.367088607594937</v>
      </c>
      <c r="I52" s="2">
        <v>8</v>
      </c>
      <c r="J52" s="2">
        <f t="shared" si="2"/>
        <v>27.004219409282697</v>
      </c>
      <c r="L52" s="2">
        <v>7</v>
      </c>
      <c r="M52" s="2">
        <f t="shared" si="3"/>
        <v>23.628691983122362</v>
      </c>
    </row>
    <row r="53" spans="1:13" ht="12.6" customHeight="1">
      <c r="A53" s="19" t="s">
        <v>121</v>
      </c>
      <c r="C53" s="2">
        <f t="shared" si="4"/>
        <v>23.5</v>
      </c>
      <c r="D53" s="17">
        <f t="shared" si="4"/>
        <v>100</v>
      </c>
      <c r="F53" s="2">
        <v>9.5</v>
      </c>
      <c r="G53" s="2">
        <f t="shared" si="1"/>
        <v>40.425531914893611</v>
      </c>
      <c r="I53" s="2">
        <v>8</v>
      </c>
      <c r="J53" s="2">
        <f t="shared" si="2"/>
        <v>34.042553191489361</v>
      </c>
      <c r="L53" s="2">
        <v>6</v>
      </c>
      <c r="M53" s="2">
        <f t="shared" si="3"/>
        <v>25.531914893617021</v>
      </c>
    </row>
    <row r="54" spans="1:13" ht="12.6" customHeight="1">
      <c r="A54" s="19" t="s">
        <v>122</v>
      </c>
      <c r="C54" s="2">
        <f t="shared" si="4"/>
        <v>2.5</v>
      </c>
      <c r="D54" s="17">
        <f t="shared" si="4"/>
        <v>100</v>
      </c>
      <c r="F54" s="2">
        <v>1.5</v>
      </c>
      <c r="G54" s="2">
        <f t="shared" si="1"/>
        <v>60</v>
      </c>
      <c r="I54" s="2">
        <v>1</v>
      </c>
      <c r="J54" s="2">
        <f t="shared" si="2"/>
        <v>40</v>
      </c>
      <c r="L54" s="2">
        <v>0</v>
      </c>
      <c r="M54" s="2">
        <f t="shared" si="3"/>
        <v>0</v>
      </c>
    </row>
    <row r="55" spans="1:13" ht="12.6" customHeight="1">
      <c r="A55" s="19" t="s">
        <v>123</v>
      </c>
      <c r="C55" s="2">
        <f t="shared" si="4"/>
        <v>3</v>
      </c>
      <c r="D55" s="17">
        <f t="shared" si="4"/>
        <v>99.999999999999986</v>
      </c>
      <c r="F55" s="2">
        <v>1</v>
      </c>
      <c r="G55" s="2">
        <f t="shared" si="1"/>
        <v>33.333333333333329</v>
      </c>
      <c r="I55" s="2">
        <v>1</v>
      </c>
      <c r="J55" s="2">
        <f t="shared" si="2"/>
        <v>33.333333333333329</v>
      </c>
      <c r="L55" s="2">
        <v>1</v>
      </c>
      <c r="M55" s="2">
        <f t="shared" si="3"/>
        <v>33.333333333333329</v>
      </c>
    </row>
    <row r="56" spans="1:13" ht="12.6" customHeight="1">
      <c r="A56" s="19" t="s">
        <v>124</v>
      </c>
      <c r="C56" s="2">
        <f t="shared" si="4"/>
        <v>1.5</v>
      </c>
      <c r="D56" s="17">
        <f t="shared" si="4"/>
        <v>99.999999999999986</v>
      </c>
      <c r="F56" s="2">
        <v>0.5</v>
      </c>
      <c r="G56" s="2">
        <f t="shared" si="1"/>
        <v>33.333333333333329</v>
      </c>
      <c r="I56" s="2">
        <v>0</v>
      </c>
      <c r="J56" s="2">
        <f t="shared" si="2"/>
        <v>0</v>
      </c>
      <c r="L56" s="2">
        <v>1</v>
      </c>
      <c r="M56" s="2">
        <f t="shared" si="3"/>
        <v>66.666666666666657</v>
      </c>
    </row>
    <row r="57" spans="1:13" ht="12.6" customHeight="1">
      <c r="A57" s="19" t="s">
        <v>125</v>
      </c>
      <c r="C57" s="2">
        <f t="shared" si="4"/>
        <v>2.5</v>
      </c>
      <c r="D57" s="17">
        <f t="shared" si="4"/>
        <v>100</v>
      </c>
      <c r="F57" s="2">
        <v>1.5</v>
      </c>
      <c r="G57" s="2">
        <f t="shared" si="1"/>
        <v>60</v>
      </c>
      <c r="I57" s="2">
        <v>0</v>
      </c>
      <c r="J57" s="2">
        <f t="shared" si="2"/>
        <v>0</v>
      </c>
      <c r="L57" s="2">
        <v>1</v>
      </c>
      <c r="M57" s="2">
        <f t="shared" si="3"/>
        <v>40</v>
      </c>
    </row>
    <row r="58" spans="1:13" ht="12.6" customHeight="1">
      <c r="A58" s="19" t="s">
        <v>126</v>
      </c>
      <c r="C58" s="2">
        <f t="shared" si="4"/>
        <v>1.5</v>
      </c>
      <c r="D58" s="17">
        <f t="shared" si="4"/>
        <v>99.999999999999986</v>
      </c>
      <c r="F58" s="2">
        <v>0.5</v>
      </c>
      <c r="G58" s="2">
        <f t="shared" si="1"/>
        <v>33.333333333333329</v>
      </c>
      <c r="I58" s="2">
        <v>0</v>
      </c>
      <c r="J58" s="2">
        <f t="shared" si="2"/>
        <v>0</v>
      </c>
      <c r="L58" s="2">
        <v>1</v>
      </c>
      <c r="M58" s="2">
        <f t="shared" si="3"/>
        <v>66.666666666666657</v>
      </c>
    </row>
    <row r="59" spans="1:13" ht="12.6" customHeight="1">
      <c r="A59" s="19" t="s">
        <v>127</v>
      </c>
      <c r="C59" s="2">
        <f t="shared" si="4"/>
        <v>1.5</v>
      </c>
      <c r="D59" s="17">
        <f t="shared" si="4"/>
        <v>99.999999999999986</v>
      </c>
      <c r="F59" s="2">
        <v>0.5</v>
      </c>
      <c r="G59" s="2">
        <f t="shared" si="1"/>
        <v>33.333333333333329</v>
      </c>
      <c r="I59" s="2">
        <v>0</v>
      </c>
      <c r="J59" s="2">
        <f t="shared" si="2"/>
        <v>0</v>
      </c>
      <c r="L59" s="2">
        <v>1</v>
      </c>
      <c r="M59" s="2">
        <f t="shared" si="3"/>
        <v>66.666666666666657</v>
      </c>
    </row>
    <row r="60" spans="1:13" ht="12.6" customHeight="1">
      <c r="A60" s="19" t="s">
        <v>128</v>
      </c>
      <c r="C60" s="2">
        <f t="shared" si="4"/>
        <v>5.75</v>
      </c>
      <c r="D60" s="17">
        <f t="shared" si="4"/>
        <v>100</v>
      </c>
      <c r="F60" s="2">
        <v>1.5</v>
      </c>
      <c r="G60" s="2">
        <f t="shared" si="1"/>
        <v>26.086956521739129</v>
      </c>
      <c r="I60" s="2">
        <v>1.75</v>
      </c>
      <c r="J60" s="2">
        <f t="shared" si="2"/>
        <v>30.434782608695656</v>
      </c>
      <c r="L60" s="2">
        <v>2.5</v>
      </c>
      <c r="M60" s="2">
        <f t="shared" si="3"/>
        <v>43.478260869565219</v>
      </c>
    </row>
    <row r="61" spans="1:13" ht="12.6" customHeight="1">
      <c r="A61" s="19" t="s">
        <v>129</v>
      </c>
      <c r="C61" s="2">
        <f t="shared" si="4"/>
        <v>2.375</v>
      </c>
      <c r="D61" s="17">
        <f t="shared" si="4"/>
        <v>100</v>
      </c>
      <c r="F61" s="2">
        <v>1.375</v>
      </c>
      <c r="G61" s="2">
        <f t="shared" si="1"/>
        <v>57.894736842105267</v>
      </c>
      <c r="I61" s="2">
        <v>0</v>
      </c>
      <c r="J61" s="2">
        <f t="shared" si="2"/>
        <v>0</v>
      </c>
      <c r="L61" s="2">
        <v>1</v>
      </c>
      <c r="M61" s="2">
        <f t="shared" si="3"/>
        <v>42.105263157894733</v>
      </c>
    </row>
    <row r="62" spans="1:13" ht="12.6" customHeight="1">
      <c r="A62" s="19" t="s">
        <v>130</v>
      </c>
      <c r="C62" s="2">
        <f t="shared" si="4"/>
        <v>8</v>
      </c>
      <c r="D62" s="17">
        <f t="shared" si="4"/>
        <v>100</v>
      </c>
      <c r="F62" s="2">
        <v>3.5</v>
      </c>
      <c r="G62" s="2">
        <f t="shared" si="1"/>
        <v>43.75</v>
      </c>
      <c r="I62" s="2">
        <v>1</v>
      </c>
      <c r="J62" s="2">
        <f t="shared" si="2"/>
        <v>12.5</v>
      </c>
      <c r="L62" s="2">
        <v>3.5</v>
      </c>
      <c r="M62" s="2">
        <f t="shared" si="3"/>
        <v>43.75</v>
      </c>
    </row>
    <row r="63" spans="1:13" ht="12.6" customHeight="1">
      <c r="A63" s="19" t="s">
        <v>131</v>
      </c>
      <c r="C63" s="2">
        <f t="shared" si="4"/>
        <v>1</v>
      </c>
      <c r="D63" s="17">
        <f t="shared" si="4"/>
        <v>100</v>
      </c>
      <c r="F63" s="2">
        <v>1</v>
      </c>
      <c r="G63" s="2">
        <f t="shared" si="1"/>
        <v>100</v>
      </c>
      <c r="I63" s="2">
        <v>0</v>
      </c>
      <c r="J63" s="2">
        <f t="shared" si="2"/>
        <v>0</v>
      </c>
      <c r="L63" s="2">
        <v>0</v>
      </c>
      <c r="M63" s="2">
        <f t="shared" si="3"/>
        <v>0</v>
      </c>
    </row>
    <row r="64" spans="1:13" ht="12.6" customHeight="1">
      <c r="A64" s="19" t="s">
        <v>132</v>
      </c>
      <c r="C64" s="2">
        <f t="shared" si="4"/>
        <v>2.5</v>
      </c>
      <c r="D64" s="17">
        <f t="shared" si="4"/>
        <v>100</v>
      </c>
      <c r="F64" s="2">
        <v>0.5</v>
      </c>
      <c r="G64" s="2">
        <f t="shared" si="1"/>
        <v>20</v>
      </c>
      <c r="I64" s="2">
        <v>0</v>
      </c>
      <c r="J64" s="2">
        <f t="shared" si="2"/>
        <v>0</v>
      </c>
      <c r="L64" s="2">
        <v>2</v>
      </c>
      <c r="M64" s="2">
        <f t="shared" si="3"/>
        <v>80</v>
      </c>
    </row>
    <row r="65" spans="1:13" ht="12.6" customHeight="1">
      <c r="A65" s="19" t="s">
        <v>133</v>
      </c>
      <c r="C65" s="2">
        <f t="shared" si="4"/>
        <v>4</v>
      </c>
      <c r="D65" s="17">
        <f t="shared" si="4"/>
        <v>100</v>
      </c>
      <c r="F65" s="2">
        <v>1</v>
      </c>
      <c r="G65" s="2">
        <f t="shared" si="1"/>
        <v>25</v>
      </c>
      <c r="I65" s="2">
        <v>0.5</v>
      </c>
      <c r="J65" s="2">
        <f t="shared" si="2"/>
        <v>12.5</v>
      </c>
      <c r="L65" s="2">
        <v>2.5</v>
      </c>
      <c r="M65" s="2">
        <f t="shared" si="3"/>
        <v>62.5</v>
      </c>
    </row>
    <row r="66" spans="1:13" ht="12.6" customHeight="1">
      <c r="A66" s="19" t="s">
        <v>134</v>
      </c>
      <c r="C66" s="2">
        <f t="shared" si="4"/>
        <v>3.5</v>
      </c>
      <c r="D66" s="17">
        <f t="shared" si="4"/>
        <v>100</v>
      </c>
      <c r="F66" s="2">
        <v>1</v>
      </c>
      <c r="G66" s="2">
        <f t="shared" si="1"/>
        <v>28.571428571428569</v>
      </c>
      <c r="I66" s="2">
        <v>0</v>
      </c>
      <c r="J66" s="2">
        <f t="shared" si="2"/>
        <v>0</v>
      </c>
      <c r="L66" s="2">
        <v>2.5</v>
      </c>
      <c r="M66" s="2">
        <f t="shared" si="3"/>
        <v>71.428571428571431</v>
      </c>
    </row>
    <row r="67" spans="1:13" ht="12.6" customHeight="1">
      <c r="A67" s="19" t="s">
        <v>135</v>
      </c>
      <c r="C67" s="2">
        <f t="shared" si="4"/>
        <v>2.5</v>
      </c>
      <c r="D67" s="17">
        <f t="shared" si="4"/>
        <v>100</v>
      </c>
      <c r="F67" s="2">
        <v>1.5</v>
      </c>
      <c r="G67" s="2">
        <f t="shared" si="1"/>
        <v>60</v>
      </c>
      <c r="I67" s="2">
        <v>0</v>
      </c>
      <c r="J67" s="2">
        <f t="shared" si="2"/>
        <v>0</v>
      </c>
      <c r="L67" s="2">
        <v>1</v>
      </c>
      <c r="M67" s="2">
        <f t="shared" si="3"/>
        <v>40</v>
      </c>
    </row>
    <row r="68" spans="1:13" ht="12.6" customHeight="1">
      <c r="A68" s="19" t="s">
        <v>136</v>
      </c>
      <c r="C68" s="2">
        <f t="shared" si="4"/>
        <v>12</v>
      </c>
      <c r="D68" s="17">
        <f t="shared" si="4"/>
        <v>100</v>
      </c>
      <c r="F68" s="2">
        <v>6</v>
      </c>
      <c r="G68" s="2">
        <f t="shared" si="1"/>
        <v>50</v>
      </c>
      <c r="I68" s="2">
        <v>3</v>
      </c>
      <c r="J68" s="2">
        <f t="shared" si="2"/>
        <v>25</v>
      </c>
      <c r="L68" s="2">
        <v>3</v>
      </c>
      <c r="M68" s="2">
        <f t="shared" si="3"/>
        <v>25</v>
      </c>
    </row>
    <row r="69" spans="1:13" ht="12.6" customHeight="1">
      <c r="A69" s="19" t="s">
        <v>137</v>
      </c>
      <c r="C69" s="2">
        <f t="shared" si="4"/>
        <v>2.5</v>
      </c>
      <c r="D69" s="17">
        <f t="shared" si="4"/>
        <v>100</v>
      </c>
      <c r="F69" s="2">
        <v>0.5</v>
      </c>
      <c r="G69" s="2">
        <f t="shared" si="1"/>
        <v>20</v>
      </c>
      <c r="I69" s="2">
        <v>0</v>
      </c>
      <c r="J69" s="2">
        <f t="shared" si="2"/>
        <v>0</v>
      </c>
      <c r="L69" s="2">
        <v>2</v>
      </c>
      <c r="M69" s="2">
        <f t="shared" si="3"/>
        <v>80</v>
      </c>
    </row>
    <row r="70" spans="1:13" ht="12.6" customHeight="1">
      <c r="A70" s="19" t="s">
        <v>138</v>
      </c>
      <c r="C70" s="2">
        <f t="shared" si="4"/>
        <v>3.5</v>
      </c>
      <c r="D70" s="17">
        <f t="shared" si="4"/>
        <v>100</v>
      </c>
      <c r="F70" s="2">
        <v>0.5</v>
      </c>
      <c r="G70" s="2">
        <f t="shared" si="1"/>
        <v>14.285714285714285</v>
      </c>
      <c r="I70" s="2">
        <v>0</v>
      </c>
      <c r="J70" s="2">
        <f t="shared" si="2"/>
        <v>0</v>
      </c>
      <c r="L70" s="2">
        <v>3</v>
      </c>
      <c r="M70" s="2">
        <f t="shared" si="3"/>
        <v>85.714285714285708</v>
      </c>
    </row>
    <row r="71" spans="1:13" ht="12.6" customHeight="1">
      <c r="A71" s="19" t="s">
        <v>139</v>
      </c>
      <c r="C71" s="2">
        <f t="shared" si="4"/>
        <v>4.5</v>
      </c>
      <c r="D71" s="17">
        <f t="shared" si="4"/>
        <v>100</v>
      </c>
      <c r="F71" s="2">
        <v>0.5</v>
      </c>
      <c r="G71" s="2">
        <f t="shared" si="1"/>
        <v>11.111111111111111</v>
      </c>
      <c r="I71" s="2">
        <v>2</v>
      </c>
      <c r="J71" s="2">
        <f t="shared" si="2"/>
        <v>44.444444444444443</v>
      </c>
      <c r="L71" s="2">
        <v>2</v>
      </c>
      <c r="M71" s="2">
        <f t="shared" si="3"/>
        <v>44.444444444444443</v>
      </c>
    </row>
    <row r="72" spans="1:13" ht="12.6" customHeight="1">
      <c r="A72" s="19" t="s">
        <v>140</v>
      </c>
      <c r="C72" s="2">
        <f t="shared" si="4"/>
        <v>8.5</v>
      </c>
      <c r="D72" s="17">
        <f t="shared" si="4"/>
        <v>100</v>
      </c>
      <c r="F72" s="2">
        <v>2.5</v>
      </c>
      <c r="G72" s="2">
        <f t="shared" si="1"/>
        <v>29.411764705882355</v>
      </c>
      <c r="I72" s="2">
        <v>0</v>
      </c>
      <c r="J72" s="2">
        <f t="shared" si="2"/>
        <v>0</v>
      </c>
      <c r="L72" s="2">
        <v>6</v>
      </c>
      <c r="M72" s="2">
        <f t="shared" si="3"/>
        <v>70.588235294117652</v>
      </c>
    </row>
    <row r="73" spans="1:13" ht="12.6" customHeight="1">
      <c r="A73" s="19" t="s">
        <v>141</v>
      </c>
      <c r="C73" s="2">
        <f>IF($A73&lt;&gt;0,F73+I73+L73,"")</f>
        <v>3</v>
      </c>
      <c r="D73" s="17">
        <f>IF($A73&lt;&gt;0,G73+J73+M73,"")</f>
        <v>100</v>
      </c>
      <c r="F73" s="2">
        <v>0.5</v>
      </c>
      <c r="G73" s="2">
        <f>IF($A73&lt;&gt;0,F73/$C73*100,"")</f>
        <v>16.666666666666664</v>
      </c>
      <c r="I73" s="2">
        <v>0</v>
      </c>
      <c r="J73" s="2">
        <f>IF($A73&lt;&gt;0,I73/$C73*100,"")</f>
        <v>0</v>
      </c>
      <c r="L73" s="2">
        <v>2.5</v>
      </c>
      <c r="M73" s="2">
        <f t="shared" si="3"/>
        <v>83.333333333333343</v>
      </c>
    </row>
    <row r="74" spans="1:13" ht="12.6" customHeight="1">
      <c r="A74" s="19" t="s">
        <v>142</v>
      </c>
      <c r="C74" s="2">
        <f t="shared" si="4"/>
        <v>4.25</v>
      </c>
      <c r="D74" s="17">
        <f t="shared" si="4"/>
        <v>100</v>
      </c>
      <c r="F74" s="2">
        <v>0.75</v>
      </c>
      <c r="G74" s="2">
        <f t="shared" si="1"/>
        <v>17.647058823529413</v>
      </c>
      <c r="I74" s="2">
        <v>0.5</v>
      </c>
      <c r="J74" s="2">
        <f t="shared" si="2"/>
        <v>11.76470588235294</v>
      </c>
      <c r="L74" s="2">
        <v>3</v>
      </c>
      <c r="M74" s="2">
        <f t="shared" si="3"/>
        <v>70.588235294117652</v>
      </c>
    </row>
    <row r="75" spans="1:13" ht="12.6" customHeight="1">
      <c r="A75" s="19" t="s">
        <v>143</v>
      </c>
      <c r="C75" s="2">
        <f t="shared" si="4"/>
        <v>6.5</v>
      </c>
      <c r="D75" s="17">
        <f t="shared" si="4"/>
        <v>100</v>
      </c>
      <c r="F75" s="2">
        <v>3.5</v>
      </c>
      <c r="G75" s="2">
        <f t="shared" si="1"/>
        <v>53.846153846153847</v>
      </c>
      <c r="I75" s="2">
        <v>0</v>
      </c>
      <c r="J75" s="2">
        <f t="shared" si="2"/>
        <v>0</v>
      </c>
      <c r="L75" s="2">
        <v>3</v>
      </c>
      <c r="M75" s="2">
        <f t="shared" si="3"/>
        <v>46.153846153846153</v>
      </c>
    </row>
    <row r="76" spans="1:13" ht="12.6" customHeight="1">
      <c r="A76" s="19" t="s">
        <v>144</v>
      </c>
      <c r="C76" s="2">
        <f t="shared" si="4"/>
        <v>2.5</v>
      </c>
      <c r="D76" s="17">
        <f t="shared" si="4"/>
        <v>100</v>
      </c>
      <c r="F76" s="2">
        <v>1.5</v>
      </c>
      <c r="G76" s="2">
        <f t="shared" si="1"/>
        <v>60</v>
      </c>
      <c r="I76" s="2">
        <v>0</v>
      </c>
      <c r="J76" s="2">
        <f t="shared" si="2"/>
        <v>0</v>
      </c>
      <c r="L76" s="2">
        <v>1</v>
      </c>
      <c r="M76" s="2">
        <f t="shared" si="3"/>
        <v>40</v>
      </c>
    </row>
    <row r="77" spans="1:13" ht="12.6" customHeight="1">
      <c r="A77" s="19" t="s">
        <v>145</v>
      </c>
      <c r="C77" s="2">
        <f t="shared" si="4"/>
        <v>0.5</v>
      </c>
      <c r="D77" s="17">
        <f t="shared" si="4"/>
        <v>100</v>
      </c>
      <c r="F77" s="2">
        <v>0.5</v>
      </c>
      <c r="G77" s="2">
        <f t="shared" si="1"/>
        <v>100</v>
      </c>
      <c r="I77" s="2">
        <v>0</v>
      </c>
      <c r="J77" s="2">
        <f t="shared" si="2"/>
        <v>0</v>
      </c>
      <c r="L77" s="2">
        <v>0</v>
      </c>
      <c r="M77" s="2">
        <f t="shared" si="3"/>
        <v>0</v>
      </c>
    </row>
    <row r="78" spans="1:13" ht="12.6" customHeight="1">
      <c r="A78" s="19" t="s">
        <v>146</v>
      </c>
      <c r="C78" s="2">
        <f t="shared" si="4"/>
        <v>4.25</v>
      </c>
      <c r="D78" s="17">
        <f t="shared" si="4"/>
        <v>100.00000000000001</v>
      </c>
      <c r="F78" s="2">
        <v>2.25</v>
      </c>
      <c r="G78" s="2">
        <f t="shared" ref="G78:G89" si="5">IF($A78&lt;&gt;0,F78/$C78*100,"")</f>
        <v>52.941176470588239</v>
      </c>
      <c r="I78" s="2">
        <v>1.5</v>
      </c>
      <c r="J78" s="2">
        <f t="shared" ref="J78:J89" si="6">IF($A78&lt;&gt;0,I78/$C78*100,"")</f>
        <v>35.294117647058826</v>
      </c>
      <c r="L78" s="2">
        <v>0.5</v>
      </c>
      <c r="M78" s="2">
        <f t="shared" ref="M78:M89" si="7">IF($A78&lt;&gt;0,L78/$C78*100,"")</f>
        <v>11.76470588235294</v>
      </c>
    </row>
    <row r="79" spans="1:13" ht="12.6" customHeight="1">
      <c r="A79" s="19" t="s">
        <v>147</v>
      </c>
      <c r="C79" s="2">
        <f>IF($A79&lt;&gt;0,F79+I79+L79,"")</f>
        <v>1</v>
      </c>
      <c r="D79" s="17">
        <f>IF($A79&lt;&gt;0,G79+J79+M79,"")</f>
        <v>100</v>
      </c>
      <c r="F79" s="2">
        <v>1</v>
      </c>
      <c r="G79" s="2">
        <f t="shared" si="5"/>
        <v>100</v>
      </c>
      <c r="I79" s="2">
        <v>0</v>
      </c>
      <c r="J79" s="2">
        <f t="shared" si="6"/>
        <v>0</v>
      </c>
      <c r="L79" s="2">
        <v>0</v>
      </c>
      <c r="M79" s="2">
        <f t="shared" si="7"/>
        <v>0</v>
      </c>
    </row>
    <row r="80" spans="1:13" ht="12.6" customHeight="1">
      <c r="A80" s="19" t="s">
        <v>148</v>
      </c>
      <c r="C80" s="2">
        <f t="shared" si="4"/>
        <v>0.75</v>
      </c>
      <c r="D80" s="17">
        <f t="shared" si="4"/>
        <v>99.999999999999986</v>
      </c>
      <c r="F80" s="2">
        <v>0.25</v>
      </c>
      <c r="G80" s="2">
        <f t="shared" si="5"/>
        <v>33.333333333333329</v>
      </c>
      <c r="I80" s="2">
        <v>0</v>
      </c>
      <c r="J80" s="2">
        <f t="shared" si="6"/>
        <v>0</v>
      </c>
      <c r="L80" s="2">
        <v>0.5</v>
      </c>
      <c r="M80" s="2">
        <f t="shared" si="7"/>
        <v>66.666666666666657</v>
      </c>
    </row>
    <row r="81" spans="1:13" ht="6" customHeight="1">
      <c r="A81" s="20"/>
      <c r="C81" s="2" t="str">
        <f t="shared" si="4"/>
        <v/>
      </c>
      <c r="D81" s="17" t="str">
        <f t="shared" si="4"/>
        <v/>
      </c>
      <c r="G81" s="2" t="str">
        <f t="shared" si="5"/>
        <v/>
      </c>
      <c r="J81" s="2" t="str">
        <f t="shared" si="6"/>
        <v/>
      </c>
      <c r="L81" s="2" t="s">
        <v>11</v>
      </c>
      <c r="M81" s="2" t="str">
        <f t="shared" si="7"/>
        <v/>
      </c>
    </row>
    <row r="82" spans="1:13" ht="12.6" customHeight="1">
      <c r="A82" s="1" t="s">
        <v>149</v>
      </c>
      <c r="C82" s="2">
        <f t="shared" si="4"/>
        <v>99.375</v>
      </c>
      <c r="D82" s="17">
        <f t="shared" si="4"/>
        <v>100</v>
      </c>
      <c r="F82" s="2">
        <v>62.875</v>
      </c>
      <c r="G82" s="2">
        <f t="shared" si="5"/>
        <v>63.270440251572325</v>
      </c>
      <c r="I82" s="2">
        <v>0.5</v>
      </c>
      <c r="J82" s="2">
        <f t="shared" si="6"/>
        <v>0.50314465408805031</v>
      </c>
      <c r="L82" s="2">
        <v>36</v>
      </c>
      <c r="M82" s="2">
        <f t="shared" si="7"/>
        <v>36.226415094339622</v>
      </c>
    </row>
    <row r="83" spans="1:13" ht="6.75" customHeight="1">
      <c r="C83" s="2" t="str">
        <f t="shared" si="4"/>
        <v/>
      </c>
      <c r="D83" s="17" t="str">
        <f t="shared" si="4"/>
        <v/>
      </c>
      <c r="G83" s="2" t="str">
        <f t="shared" si="5"/>
        <v/>
      </c>
      <c r="J83" s="2" t="str">
        <f t="shared" si="6"/>
        <v/>
      </c>
      <c r="L83" s="2" t="s">
        <v>11</v>
      </c>
      <c r="M83" s="2" t="str">
        <f t="shared" si="7"/>
        <v/>
      </c>
    </row>
    <row r="84" spans="1:13" ht="12.6" customHeight="1">
      <c r="A84" s="9" t="s">
        <v>213</v>
      </c>
      <c r="C84" s="2">
        <f t="shared" ref="C84:D89" si="8">IF($A84&lt;&gt;0,F84+I84+L84,"")</f>
        <v>58.325000000000003</v>
      </c>
      <c r="D84" s="17">
        <f t="shared" si="8"/>
        <v>99.999999999999986</v>
      </c>
      <c r="F84" s="2">
        <f>SUM(F85:F89)</f>
        <v>14.574999999999999</v>
      </c>
      <c r="G84" s="2">
        <f t="shared" si="5"/>
        <v>24.989284183454778</v>
      </c>
      <c r="I84" s="2">
        <f>SUM(I85:I89)</f>
        <v>39.25</v>
      </c>
      <c r="J84" s="2">
        <f t="shared" si="6"/>
        <v>67.295327903986276</v>
      </c>
      <c r="L84" s="2">
        <f>SUM(L85:L89)</f>
        <v>4.5</v>
      </c>
      <c r="M84" s="2">
        <f t="shared" si="7"/>
        <v>7.7153879125589366</v>
      </c>
    </row>
    <row r="85" spans="1:13" ht="12.6" customHeight="1">
      <c r="A85" s="19" t="s">
        <v>1127</v>
      </c>
      <c r="C85" s="2">
        <f t="shared" si="8"/>
        <v>29.5</v>
      </c>
      <c r="D85" s="17">
        <f t="shared" si="8"/>
        <v>100</v>
      </c>
      <c r="F85" s="21">
        <v>5.75</v>
      </c>
      <c r="G85" s="2">
        <f t="shared" si="5"/>
        <v>19.491525423728813</v>
      </c>
      <c r="I85" s="2">
        <v>21.25</v>
      </c>
      <c r="J85" s="2">
        <f t="shared" si="6"/>
        <v>72.033898305084747</v>
      </c>
      <c r="L85" s="2">
        <v>2.5</v>
      </c>
      <c r="M85" s="2">
        <f t="shared" si="7"/>
        <v>8.4745762711864394</v>
      </c>
    </row>
    <row r="86" spans="1:13" ht="12.6" customHeight="1">
      <c r="A86" s="19" t="s">
        <v>222</v>
      </c>
      <c r="C86" s="2">
        <f t="shared" si="8"/>
        <v>11.824999999999999</v>
      </c>
      <c r="D86" s="17">
        <f t="shared" si="8"/>
        <v>100.00000000000001</v>
      </c>
      <c r="F86" s="2">
        <v>3.8250000000000002</v>
      </c>
      <c r="G86" s="2">
        <f t="shared" si="5"/>
        <v>32.346723044397471</v>
      </c>
      <c r="I86" s="2">
        <v>7</v>
      </c>
      <c r="J86" s="2">
        <f t="shared" si="6"/>
        <v>59.196617336152222</v>
      </c>
      <c r="L86" s="2">
        <v>1</v>
      </c>
      <c r="M86" s="2">
        <f t="shared" si="7"/>
        <v>8.456659619450317</v>
      </c>
    </row>
    <row r="87" spans="1:13" ht="12.6" customHeight="1">
      <c r="A87" s="19" t="s">
        <v>1128</v>
      </c>
      <c r="C87" s="2">
        <f t="shared" si="8"/>
        <v>10</v>
      </c>
      <c r="D87" s="17">
        <f t="shared" si="8"/>
        <v>100</v>
      </c>
      <c r="F87" s="21">
        <f>1.5+3.5</f>
        <v>5</v>
      </c>
      <c r="G87" s="2">
        <f t="shared" si="5"/>
        <v>50</v>
      </c>
      <c r="I87" s="2">
        <v>5</v>
      </c>
      <c r="J87" s="2">
        <f t="shared" si="6"/>
        <v>50</v>
      </c>
      <c r="L87" s="2">
        <v>0</v>
      </c>
      <c r="M87" s="2">
        <f t="shared" si="7"/>
        <v>0</v>
      </c>
    </row>
    <row r="88" spans="1:13" ht="12.6" customHeight="1">
      <c r="A88" s="19" t="s">
        <v>234</v>
      </c>
      <c r="C88" s="2">
        <f t="shared" si="8"/>
        <v>2</v>
      </c>
      <c r="D88" s="17">
        <f t="shared" si="8"/>
        <v>100</v>
      </c>
      <c r="F88" s="2">
        <v>0</v>
      </c>
      <c r="G88" s="2">
        <f t="shared" si="5"/>
        <v>0</v>
      </c>
      <c r="I88" s="2">
        <v>1</v>
      </c>
      <c r="J88" s="2">
        <f t="shared" si="6"/>
        <v>50</v>
      </c>
      <c r="L88" s="2">
        <v>1</v>
      </c>
      <c r="M88" s="2">
        <f t="shared" si="7"/>
        <v>50</v>
      </c>
    </row>
    <row r="89" spans="1:13" ht="12.6" customHeight="1">
      <c r="A89" s="19" t="s">
        <v>240</v>
      </c>
      <c r="C89" s="2">
        <f t="shared" si="8"/>
        <v>5</v>
      </c>
      <c r="D89" s="17">
        <f t="shared" si="8"/>
        <v>100</v>
      </c>
      <c r="F89" s="2">
        <v>0</v>
      </c>
      <c r="G89" s="2">
        <f t="shared" si="5"/>
        <v>0</v>
      </c>
      <c r="I89" s="2">
        <v>5</v>
      </c>
      <c r="J89" s="2">
        <f t="shared" si="6"/>
        <v>100</v>
      </c>
      <c r="L89" s="2">
        <v>0</v>
      </c>
      <c r="M89" s="2">
        <f t="shared" si="7"/>
        <v>0</v>
      </c>
    </row>
    <row r="90" spans="1:13" ht="6.75" customHeight="1" thickBot="1">
      <c r="A90" s="14"/>
      <c r="B90" s="15"/>
      <c r="C90" s="16"/>
      <c r="D90" s="14"/>
      <c r="E90" s="14"/>
      <c r="F90" s="16"/>
      <c r="G90" s="16"/>
      <c r="H90" s="16"/>
      <c r="I90" s="16"/>
      <c r="J90" s="16"/>
      <c r="K90" s="16"/>
      <c r="L90" s="16"/>
      <c r="M90" s="16"/>
    </row>
    <row r="91" spans="1:13" ht="12.6" customHeight="1"/>
    <row r="92" spans="1:13" ht="13.5" customHeight="1">
      <c r="A92" s="22" t="s">
        <v>245</v>
      </c>
    </row>
    <row r="93" spans="1:13" ht="13.5" customHeight="1">
      <c r="A93" s="22" t="s">
        <v>1129</v>
      </c>
    </row>
    <row r="94" spans="1:13" ht="9.75" customHeight="1">
      <c r="A94" s="22" t="s">
        <v>248</v>
      </c>
    </row>
    <row r="95" spans="1:13" ht="12.6" customHeight="1">
      <c r="A95" s="4" t="s">
        <v>249</v>
      </c>
    </row>
    <row r="96" spans="1:13" ht="12.6" customHeight="1">
      <c r="A96" s="1" t="s">
        <v>250</v>
      </c>
    </row>
    <row r="98" spans="1:1" ht="15.75">
      <c r="A98" s="23"/>
    </row>
  </sheetData>
  <mergeCells count="2">
    <mergeCell ref="C7:M7"/>
    <mergeCell ref="C8:D8"/>
  </mergeCells>
  <printOptions horizontalCentered="1" verticalCentered="1"/>
  <pageMargins left="0" right="0" top="0" bottom="0" header="0.31496062992125984" footer="0.31496062992125984"/>
  <pageSetup paperSize="9" scale="70" orientation="portrait" r:id="rId1"/>
</worksheet>
</file>

<file path=xl/worksheets/sheet64.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J2" sqref="J2"/>
    </sheetView>
  </sheetViews>
  <sheetFormatPr baseColWidth="10" defaultRowHeight="15"/>
  <sheetData>
    <row r="1" spans="2:11" ht="12.75" customHeight="1"/>
    <row r="2" spans="2:11" ht="12.75" customHeight="1">
      <c r="J2" s="32"/>
    </row>
    <row r="3" spans="2:11" ht="12.75" customHeight="1">
      <c r="B3" t="s">
        <v>7</v>
      </c>
      <c r="C3" t="s">
        <v>6</v>
      </c>
      <c r="D3" t="s">
        <v>8</v>
      </c>
      <c r="H3" s="33"/>
    </row>
    <row r="4" spans="2:11" ht="12.75" customHeight="1">
      <c r="B4" s="478">
        <v>35.299999999999997</v>
      </c>
      <c r="C4" s="478">
        <v>33.450000000000003</v>
      </c>
      <c r="D4" s="478">
        <v>31.24</v>
      </c>
      <c r="F4" s="31"/>
      <c r="H4" s="34"/>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dimension ref="A1:W203"/>
  <sheetViews>
    <sheetView workbookViewId="0">
      <selection activeCell="A2" sqref="A2"/>
    </sheetView>
  </sheetViews>
  <sheetFormatPr baseColWidth="10" defaultRowHeight="12.75"/>
  <cols>
    <col min="1" max="1" width="29.5703125" style="4" customWidth="1"/>
    <col min="2" max="2" width="6.7109375" style="4" customWidth="1"/>
    <col min="3" max="3" width="7.28515625" style="4" customWidth="1"/>
    <col min="4" max="4" width="3.28515625" style="4" customWidth="1"/>
    <col min="5" max="6" width="6.42578125" style="4" customWidth="1"/>
    <col min="7" max="7" width="3.28515625" style="4" customWidth="1"/>
    <col min="8" max="8" width="6.5703125" style="106" customWidth="1"/>
    <col min="9" max="9" width="7.28515625" style="257" customWidth="1"/>
    <col min="10" max="10" width="3.28515625" style="4" customWidth="1"/>
    <col min="11" max="11" width="6" style="325" customWidth="1"/>
    <col min="12" max="12" width="7.140625" style="257" customWidth="1"/>
    <col min="13" max="13" width="3.28515625" style="4" customWidth="1"/>
    <col min="14" max="14" width="6.28515625" style="4" customWidth="1"/>
    <col min="15" max="15" width="7.28515625" style="4" customWidth="1"/>
    <col min="16" max="16" width="3.28515625" style="4" customWidth="1"/>
    <col min="17" max="17" width="6.28515625" style="4" customWidth="1"/>
    <col min="18" max="18" width="7.28515625" style="4" customWidth="1"/>
    <col min="19" max="19" width="2.85546875" style="4" customWidth="1"/>
    <col min="20" max="20" width="8" style="455" customWidth="1"/>
    <col min="21" max="22" width="7.28515625" style="455" customWidth="1"/>
    <col min="23" max="16384" width="11.42578125" style="434"/>
  </cols>
  <sheetData>
    <row r="1" spans="1:23">
      <c r="A1" s="4" t="s">
        <v>755</v>
      </c>
    </row>
    <row r="2" spans="1:23">
      <c r="A2" s="4" t="s">
        <v>1130</v>
      </c>
      <c r="H2" s="479"/>
      <c r="K2" s="480"/>
      <c r="N2" s="481"/>
      <c r="Q2" s="481"/>
      <c r="T2" s="481"/>
    </row>
    <row r="3" spans="1:23" ht="6.75" customHeight="1">
      <c r="H3" s="479"/>
      <c r="K3" s="480"/>
      <c r="N3" s="481"/>
      <c r="Q3" s="481"/>
      <c r="T3" s="481"/>
    </row>
    <row r="4" spans="1:23">
      <c r="A4" s="4" t="s">
        <v>1131</v>
      </c>
    </row>
    <row r="5" spans="1:23" ht="13.5" thickBot="1">
      <c r="E5" s="482"/>
      <c r="F5" s="483"/>
      <c r="G5" s="483"/>
      <c r="H5" s="78"/>
      <c r="I5" s="4"/>
      <c r="J5" s="78"/>
      <c r="K5" s="78"/>
      <c r="L5" s="78"/>
      <c r="M5" s="78"/>
      <c r="N5" s="78"/>
      <c r="O5" s="78"/>
      <c r="P5" s="78"/>
      <c r="R5" s="455"/>
      <c r="S5" s="78"/>
      <c r="T5" s="4"/>
    </row>
    <row r="6" spans="1:23">
      <c r="A6" s="463"/>
      <c r="B6" s="463"/>
      <c r="C6" s="463"/>
      <c r="D6" s="463"/>
      <c r="E6" s="484"/>
      <c r="F6" s="485"/>
      <c r="G6" s="485"/>
      <c r="H6" s="463"/>
      <c r="I6" s="463"/>
      <c r="J6" s="463"/>
      <c r="K6" s="463"/>
      <c r="L6" s="463"/>
      <c r="M6" s="463"/>
      <c r="N6" s="463"/>
      <c r="O6" s="463"/>
      <c r="P6" s="463"/>
      <c r="Q6" s="486"/>
      <c r="R6" s="486"/>
      <c r="S6" s="463"/>
      <c r="T6" s="486"/>
      <c r="U6" s="486"/>
    </row>
    <row r="7" spans="1:23" ht="14.25">
      <c r="A7" s="4" t="s">
        <v>4</v>
      </c>
      <c r="B7" s="1282" t="s">
        <v>1132</v>
      </c>
      <c r="C7" s="1282"/>
      <c r="E7" s="1282" t="s">
        <v>1133</v>
      </c>
      <c r="F7" s="1282"/>
      <c r="G7" s="487"/>
      <c r="H7" s="1282" t="s">
        <v>1134</v>
      </c>
      <c r="I7" s="1282"/>
      <c r="J7" s="97"/>
      <c r="K7" s="1281" t="s">
        <v>1135</v>
      </c>
      <c r="L7" s="1281"/>
      <c r="M7" s="97"/>
      <c r="N7" s="1281" t="s">
        <v>1136</v>
      </c>
      <c r="O7" s="1281"/>
      <c r="P7" s="97"/>
      <c r="Q7" s="1297" t="s">
        <v>1137</v>
      </c>
      <c r="R7" s="1297"/>
      <c r="S7" s="97"/>
      <c r="T7" s="1297" t="s">
        <v>1138</v>
      </c>
      <c r="U7" s="1297"/>
    </row>
    <row r="8" spans="1:23">
      <c r="A8" s="97" t="s">
        <v>1139</v>
      </c>
      <c r="B8" s="488" t="s">
        <v>1140</v>
      </c>
      <c r="C8" s="489" t="s">
        <v>324</v>
      </c>
      <c r="D8" s="97"/>
      <c r="E8" s="488" t="s">
        <v>1140</v>
      </c>
      <c r="F8" s="489" t="s">
        <v>324</v>
      </c>
      <c r="G8" s="490"/>
      <c r="H8" s="491" t="s">
        <v>1140</v>
      </c>
      <c r="I8" s="492" t="s">
        <v>324</v>
      </c>
      <c r="J8" s="115"/>
      <c r="K8" s="491" t="s">
        <v>1140</v>
      </c>
      <c r="L8" s="492" t="s">
        <v>324</v>
      </c>
      <c r="M8" s="115"/>
      <c r="N8" s="491" t="s">
        <v>1140</v>
      </c>
      <c r="O8" s="492" t="s">
        <v>324</v>
      </c>
      <c r="P8" s="115"/>
      <c r="Q8" s="491" t="s">
        <v>1140</v>
      </c>
      <c r="R8" s="492" t="s">
        <v>324</v>
      </c>
      <c r="S8" s="115"/>
      <c r="T8" s="491" t="s">
        <v>1140</v>
      </c>
      <c r="U8" s="492" t="s">
        <v>324</v>
      </c>
    </row>
    <row r="9" spans="1:23" ht="13.5" thickBot="1">
      <c r="A9" s="165"/>
      <c r="B9" s="165"/>
      <c r="C9" s="165"/>
      <c r="D9" s="165"/>
      <c r="E9" s="493"/>
      <c r="F9" s="494"/>
      <c r="G9" s="494"/>
      <c r="H9" s="495"/>
      <c r="I9" s="495"/>
      <c r="J9" s="495"/>
      <c r="K9" s="495"/>
      <c r="L9" s="495"/>
      <c r="M9" s="495"/>
      <c r="N9" s="495"/>
      <c r="O9" s="495"/>
      <c r="P9" s="495"/>
      <c r="Q9" s="495"/>
      <c r="R9" s="495"/>
      <c r="S9" s="495"/>
      <c r="T9" s="495"/>
      <c r="U9" s="496"/>
    </row>
    <row r="10" spans="1:23" ht="8.25" customHeight="1">
      <c r="E10" s="497"/>
      <c r="F10" s="498"/>
      <c r="G10" s="499"/>
      <c r="H10" s="9"/>
      <c r="I10" s="9"/>
      <c r="J10" s="9"/>
      <c r="K10" s="9"/>
      <c r="L10" s="9"/>
      <c r="M10" s="9"/>
      <c r="N10" s="9"/>
      <c r="O10" s="9"/>
      <c r="P10" s="9"/>
      <c r="Q10" s="9"/>
      <c r="R10" s="9"/>
      <c r="S10" s="9"/>
      <c r="T10" s="9"/>
    </row>
    <row r="11" spans="1:23">
      <c r="A11" s="9" t="s">
        <v>325</v>
      </c>
      <c r="B11" s="500">
        <f>SUM(B13+B183)</f>
        <v>1924</v>
      </c>
      <c r="C11" s="257">
        <f>SUM(C13+C183)</f>
        <v>100</v>
      </c>
      <c r="D11" s="9"/>
      <c r="E11" s="500">
        <f>SUM(E13+E183)</f>
        <v>578</v>
      </c>
      <c r="F11" s="257">
        <f>SUM(F13+F183)</f>
        <v>100</v>
      </c>
      <c r="G11" s="257"/>
      <c r="H11" s="500">
        <f>SUM(H13+H183)</f>
        <v>2</v>
      </c>
      <c r="I11" s="257">
        <f>SUM(I13+I183)</f>
        <v>100</v>
      </c>
      <c r="K11" s="500">
        <f>SUM(K13+K183)</f>
        <v>28</v>
      </c>
      <c r="L11" s="257">
        <f>SUM(L13+L183)</f>
        <v>100</v>
      </c>
      <c r="N11" s="500">
        <f>SUM(N13+N183)</f>
        <v>519</v>
      </c>
      <c r="O11" s="257">
        <f>SUM(O13+O183)</f>
        <v>100</v>
      </c>
      <c r="Q11" s="500">
        <f>SUM(Q13+Q183)</f>
        <v>636</v>
      </c>
      <c r="R11" s="257">
        <f>SUM(R13+R183)</f>
        <v>100</v>
      </c>
      <c r="T11" s="500">
        <f>SUM(T13+T183)</f>
        <v>21</v>
      </c>
      <c r="U11" s="257">
        <f>SUM(U13+U183)</f>
        <v>99.999999999999986</v>
      </c>
      <c r="W11" s="456"/>
    </row>
    <row r="12" spans="1:23" ht="8.25" customHeight="1">
      <c r="B12" s="500"/>
      <c r="C12" s="257"/>
      <c r="E12" s="106"/>
      <c r="F12" s="257"/>
      <c r="G12" s="257"/>
      <c r="K12" s="106"/>
      <c r="N12" s="106"/>
      <c r="O12" s="257" t="str">
        <f>IF(A12&lt;&gt;0,N12/$N$11*100,"")</f>
        <v/>
      </c>
      <c r="Q12" s="106"/>
      <c r="R12" s="257"/>
      <c r="T12" s="106"/>
      <c r="U12" s="257" t="str">
        <f t="shared" ref="U12:U37" si="0">IF(A12&lt;&gt;0,T12/$T$11*100,"")</f>
        <v/>
      </c>
    </row>
    <row r="13" spans="1:23">
      <c r="A13" s="9" t="s">
        <v>326</v>
      </c>
      <c r="B13" s="500">
        <f>SUM(B14+B115+B180)</f>
        <v>1801</v>
      </c>
      <c r="C13" s="257">
        <f>IF($A13&lt;&gt;0,B13/B$11*100,"")</f>
        <v>93.607068607068612</v>
      </c>
      <c r="D13" s="9"/>
      <c r="E13" s="325">
        <f>SUM(E14+E115+E180)</f>
        <v>552</v>
      </c>
      <c r="F13" s="257">
        <f>IF($A13&lt;&gt;0,E13/E$11*100,"")</f>
        <v>95.501730103806224</v>
      </c>
      <c r="G13" s="257"/>
      <c r="H13" s="106">
        <f>SUM(H14+H115+H180)</f>
        <v>1</v>
      </c>
      <c r="I13" s="257">
        <f>IF($A13&lt;&gt;0,H13/H$11*100,"")</f>
        <v>50</v>
      </c>
      <c r="K13" s="106">
        <f>SUM(K14+K115+K180)</f>
        <v>27</v>
      </c>
      <c r="L13" s="257">
        <f>IF($A13&lt;&gt;0,K13/K$11*100,"")</f>
        <v>96.428571428571431</v>
      </c>
      <c r="N13" s="106">
        <f>SUM(N14+N115+N180)</f>
        <v>481</v>
      </c>
      <c r="O13" s="257">
        <f>IF(A13&lt;&gt;0,N13/$N$11*100,"")</f>
        <v>92.678227360308284</v>
      </c>
      <c r="Q13" s="106">
        <f>SUM(Q14+Q115+Q180)</f>
        <v>608</v>
      </c>
      <c r="R13" s="257">
        <f>IF($A13&lt;&gt;0,Q13/Q$11*100,"")</f>
        <v>95.59748427672956</v>
      </c>
      <c r="T13" s="325">
        <f>SUM(T14+T115+T180)</f>
        <v>20</v>
      </c>
      <c r="U13" s="257">
        <f t="shared" si="0"/>
        <v>95.238095238095227</v>
      </c>
    </row>
    <row r="14" spans="1:23" s="455" customFormat="1">
      <c r="A14" s="9" t="s">
        <v>1141</v>
      </c>
      <c r="B14" s="500">
        <f>SUM(B16+B28+B36+B64+B78+B92+B100+B101+B102)</f>
        <v>434</v>
      </c>
      <c r="C14" s="257">
        <f>IF($A14&lt;&gt;0,B14/B$11*100,"")</f>
        <v>22.55717255717256</v>
      </c>
      <c r="D14" s="9"/>
      <c r="E14" s="500">
        <f>SUM(E16+E28+E36+E64+E78+E92+E100+E101+E102)</f>
        <v>137</v>
      </c>
      <c r="F14" s="257">
        <f>IF($A14&lt;&gt;0,E14/E$11*100,"")</f>
        <v>23.702422145328718</v>
      </c>
      <c r="G14" s="257"/>
      <c r="H14" s="500">
        <f>SUM(H16+H28+H36+H64+H78+H92+H100+H101+H102)</f>
        <v>0</v>
      </c>
      <c r="I14" s="257">
        <f>IF($A14&lt;&gt;0,H14/H$11*100,"")</f>
        <v>0</v>
      </c>
      <c r="J14" s="4"/>
      <c r="K14" s="500">
        <f>SUM(K16+K28+K36+K64+K78+K92+K100+K101+K102)</f>
        <v>5</v>
      </c>
      <c r="L14" s="257">
        <f>IF($A14&lt;&gt;0,K14/K$11*100,"")</f>
        <v>17.857142857142858</v>
      </c>
      <c r="M14" s="4"/>
      <c r="N14" s="500">
        <f>SUM(N16+N28+N36+N64+N78+N92+N100+N101+N102)</f>
        <v>130</v>
      </c>
      <c r="O14" s="257">
        <f>IF(A14&lt;&gt;0,N14/$N$11*100,"")</f>
        <v>25.048169556840076</v>
      </c>
      <c r="P14" s="4"/>
      <c r="Q14" s="500">
        <f>SUM(Q16+Q28+Q36+Q64+Q78+Q92+Q100+Q101+Q102)</f>
        <v>141</v>
      </c>
      <c r="R14" s="257">
        <f>IF($A14&lt;&gt;0,Q14/Q$11*100,"")</f>
        <v>22.169811320754718</v>
      </c>
      <c r="S14" s="4"/>
      <c r="T14" s="500">
        <f>SUM(T16+T28+T36+T64+T78+T92+T100+T101+T102)</f>
        <v>6</v>
      </c>
      <c r="U14" s="257">
        <f t="shared" si="0"/>
        <v>28.571428571428569</v>
      </c>
    </row>
    <row r="15" spans="1:23" s="455" customFormat="1" ht="8.25" customHeight="1">
      <c r="A15" s="4"/>
      <c r="B15" s="500"/>
      <c r="C15" s="257" t="str">
        <f t="shared" ref="C15:C76" si="1">IF($A15&lt;&gt;0,B15/B$11*100,"")</f>
        <v/>
      </c>
      <c r="D15" s="4"/>
      <c r="E15" s="106"/>
      <c r="F15" s="257" t="str">
        <f>IF($A15&lt;&gt;0,E15/E$11*100,"")</f>
        <v/>
      </c>
      <c r="G15" s="257"/>
      <c r="H15" s="4"/>
      <c r="I15" s="257" t="str">
        <f t="shared" ref="I15:I76" si="2">IF($A15&lt;&gt;0,H15/H$11*100,"")</f>
        <v/>
      </c>
      <c r="J15" s="4"/>
      <c r="K15" s="4"/>
      <c r="L15" s="257" t="str">
        <f t="shared" ref="L15:L76" si="3">IF($A15&lt;&gt;0,K15/K$11*100,"")</f>
        <v/>
      </c>
      <c r="M15" s="4"/>
      <c r="N15" s="4"/>
      <c r="O15" s="257" t="str">
        <f t="shared" ref="O15:O76" si="4">IF(A15&lt;&gt;0,N15/$N$11*100,"")</f>
        <v/>
      </c>
      <c r="P15" s="4"/>
      <c r="R15" s="257" t="str">
        <f t="shared" ref="R15:R76" si="5">IF($A15&lt;&gt;0,Q15/Q$11*100,"")</f>
        <v/>
      </c>
      <c r="S15" s="4"/>
      <c r="U15" s="257" t="str">
        <f t="shared" si="0"/>
        <v/>
      </c>
    </row>
    <row r="16" spans="1:23" s="455" customFormat="1">
      <c r="A16" s="9" t="s">
        <v>327</v>
      </c>
      <c r="B16" s="500">
        <f>SUM(B17+B23)</f>
        <v>42</v>
      </c>
      <c r="C16" s="257">
        <f t="shared" si="1"/>
        <v>2.182952182952183</v>
      </c>
      <c r="D16" s="9"/>
      <c r="E16" s="106">
        <f>SUM(E17+E23)</f>
        <v>20</v>
      </c>
      <c r="F16" s="257">
        <f>IF($A16&lt;&gt;0,E16/E$11*100,"")</f>
        <v>3.4602076124567476</v>
      </c>
      <c r="G16" s="257"/>
      <c r="H16" s="4">
        <f>SUM(H17+H23)</f>
        <v>0</v>
      </c>
      <c r="I16" s="257">
        <f t="shared" si="2"/>
        <v>0</v>
      </c>
      <c r="J16" s="4"/>
      <c r="K16" s="4">
        <f>SUM(K17+K23)</f>
        <v>2</v>
      </c>
      <c r="L16" s="257">
        <f t="shared" si="3"/>
        <v>7.1428571428571423</v>
      </c>
      <c r="M16" s="4"/>
      <c r="N16" s="4">
        <f>SUM(N17+N23)</f>
        <v>16</v>
      </c>
      <c r="O16" s="257">
        <f t="shared" si="4"/>
        <v>3.0828516377649327</v>
      </c>
      <c r="P16" s="4"/>
      <c r="Q16" s="4">
        <f>SUM(Q17+Q23)</f>
        <v>13</v>
      </c>
      <c r="R16" s="257">
        <f t="shared" si="5"/>
        <v>2.0440251572327042</v>
      </c>
      <c r="S16" s="4"/>
      <c r="T16" s="4">
        <f>SUM(T17+T23)</f>
        <v>1</v>
      </c>
      <c r="U16" s="257">
        <f t="shared" si="0"/>
        <v>4.7619047619047619</v>
      </c>
    </row>
    <row r="17" spans="1:21" s="455" customFormat="1">
      <c r="A17" s="4" t="s">
        <v>20</v>
      </c>
      <c r="B17" s="500">
        <f>SUM(B18:B21)</f>
        <v>10</v>
      </c>
      <c r="C17" s="257">
        <f t="shared" si="1"/>
        <v>0.51975051975051978</v>
      </c>
      <c r="D17" s="4"/>
      <c r="E17" s="106">
        <f>SUM(E18:E21)</f>
        <v>5</v>
      </c>
      <c r="F17" s="257">
        <f t="shared" ref="F17:F76" si="6">IF($A17&lt;&gt;0,E17/E$11*100,"")</f>
        <v>0.86505190311418689</v>
      </c>
      <c r="G17" s="257"/>
      <c r="H17" s="106">
        <f>SUM(H18:H21)</f>
        <v>0</v>
      </c>
      <c r="I17" s="257">
        <f t="shared" si="2"/>
        <v>0</v>
      </c>
      <c r="J17" s="4"/>
      <c r="K17" s="106">
        <f>SUM(K18:K21)</f>
        <v>1</v>
      </c>
      <c r="L17" s="257">
        <f t="shared" si="3"/>
        <v>3.5714285714285712</v>
      </c>
      <c r="M17" s="4"/>
      <c r="N17" s="106">
        <f>SUM(N18:N21)</f>
        <v>2</v>
      </c>
      <c r="O17" s="257">
        <f t="shared" si="4"/>
        <v>0.38535645472061658</v>
      </c>
      <c r="P17" s="4"/>
      <c r="Q17" s="106">
        <f>SUM(Q18:Q21)</f>
        <v>3</v>
      </c>
      <c r="R17" s="257">
        <f t="shared" si="5"/>
        <v>0.47169811320754718</v>
      </c>
      <c r="S17" s="4"/>
      <c r="T17" s="106">
        <f>SUM(T18:T21)</f>
        <v>0</v>
      </c>
      <c r="U17" s="257">
        <f t="shared" si="0"/>
        <v>0</v>
      </c>
    </row>
    <row r="18" spans="1:21" s="455" customFormat="1">
      <c r="A18" s="4" t="s">
        <v>1142</v>
      </c>
      <c r="B18" s="453">
        <v>9</v>
      </c>
      <c r="C18" s="257">
        <f t="shared" si="1"/>
        <v>0.4677754677754678</v>
      </c>
      <c r="D18" s="453"/>
      <c r="E18" s="453">
        <v>5</v>
      </c>
      <c r="F18" s="257">
        <f t="shared" si="6"/>
        <v>0.86505190311418689</v>
      </c>
      <c r="G18" s="453"/>
      <c r="H18" s="453">
        <v>0</v>
      </c>
      <c r="I18" s="257">
        <f t="shared" si="2"/>
        <v>0</v>
      </c>
      <c r="J18" s="453"/>
      <c r="K18" s="453">
        <v>0</v>
      </c>
      <c r="L18" s="257">
        <f t="shared" si="3"/>
        <v>0</v>
      </c>
      <c r="M18" s="453"/>
      <c r="N18" s="453">
        <v>1</v>
      </c>
      <c r="O18" s="257">
        <f t="shared" si="4"/>
        <v>0.19267822736030829</v>
      </c>
      <c r="P18" s="453"/>
      <c r="Q18" s="453">
        <v>3</v>
      </c>
      <c r="R18" s="257">
        <f t="shared" si="5"/>
        <v>0.47169811320754718</v>
      </c>
      <c r="S18" s="453"/>
      <c r="T18" s="453">
        <v>0</v>
      </c>
      <c r="U18" s="257">
        <f t="shared" si="0"/>
        <v>0</v>
      </c>
    </row>
    <row r="19" spans="1:21" s="455" customFormat="1">
      <c r="A19" s="4" t="s">
        <v>22</v>
      </c>
      <c r="B19" s="453"/>
      <c r="C19" s="257">
        <f t="shared" si="1"/>
        <v>0</v>
      </c>
      <c r="D19" s="453"/>
      <c r="E19" s="453"/>
      <c r="F19" s="257">
        <f t="shared" si="6"/>
        <v>0</v>
      </c>
      <c r="G19" s="453"/>
      <c r="H19" s="453"/>
      <c r="I19" s="257">
        <f t="shared" si="2"/>
        <v>0</v>
      </c>
      <c r="J19" s="453"/>
      <c r="K19" s="453"/>
      <c r="L19" s="257">
        <f t="shared" si="3"/>
        <v>0</v>
      </c>
      <c r="M19" s="453"/>
      <c r="N19" s="453"/>
      <c r="O19" s="257">
        <f t="shared" si="4"/>
        <v>0</v>
      </c>
      <c r="P19" s="453"/>
      <c r="Q19" s="453"/>
      <c r="R19" s="257">
        <f t="shared" si="5"/>
        <v>0</v>
      </c>
      <c r="S19" s="453"/>
      <c r="T19" s="453"/>
      <c r="U19" s="257">
        <f t="shared" si="0"/>
        <v>0</v>
      </c>
    </row>
    <row r="20" spans="1:21" s="455" customFormat="1">
      <c r="A20" s="4" t="s">
        <v>21</v>
      </c>
      <c r="B20" s="453">
        <v>1</v>
      </c>
      <c r="C20" s="257">
        <f t="shared" si="1"/>
        <v>5.1975051975051978E-2</v>
      </c>
      <c r="D20" s="453"/>
      <c r="E20" s="453">
        <v>0</v>
      </c>
      <c r="F20" s="257">
        <f t="shared" si="6"/>
        <v>0</v>
      </c>
      <c r="G20" s="453"/>
      <c r="H20" s="453">
        <v>0</v>
      </c>
      <c r="I20" s="257">
        <f t="shared" si="2"/>
        <v>0</v>
      </c>
      <c r="J20" s="453"/>
      <c r="K20" s="453">
        <v>1</v>
      </c>
      <c r="L20" s="257">
        <f t="shared" si="3"/>
        <v>3.5714285714285712</v>
      </c>
      <c r="M20" s="453"/>
      <c r="N20" s="453">
        <v>1</v>
      </c>
      <c r="O20" s="257">
        <f t="shared" si="4"/>
        <v>0.19267822736030829</v>
      </c>
      <c r="P20" s="453"/>
      <c r="Q20" s="453">
        <v>0</v>
      </c>
      <c r="R20" s="257">
        <f t="shared" si="5"/>
        <v>0</v>
      </c>
      <c r="S20" s="453"/>
      <c r="T20" s="453">
        <v>0</v>
      </c>
      <c r="U20" s="257">
        <f t="shared" si="0"/>
        <v>0</v>
      </c>
    </row>
    <row r="21" spans="1:21" s="455" customFormat="1">
      <c r="A21" s="4" t="s">
        <v>23</v>
      </c>
      <c r="B21" s="97"/>
      <c r="C21" s="257">
        <f t="shared" si="1"/>
        <v>0</v>
      </c>
      <c r="D21" s="97"/>
      <c r="E21" s="97"/>
      <c r="F21" s="257">
        <f t="shared" si="6"/>
        <v>0</v>
      </c>
      <c r="G21" s="97"/>
      <c r="H21" s="97"/>
      <c r="I21" s="257">
        <f t="shared" si="2"/>
        <v>0</v>
      </c>
      <c r="J21" s="97"/>
      <c r="K21" s="97"/>
      <c r="L21" s="257">
        <f t="shared" si="3"/>
        <v>0</v>
      </c>
      <c r="M21" s="97"/>
      <c r="N21" s="97"/>
      <c r="O21" s="257">
        <f t="shared" si="4"/>
        <v>0</v>
      </c>
      <c r="P21" s="97"/>
      <c r="Q21" s="97"/>
      <c r="R21" s="257">
        <f t="shared" si="5"/>
        <v>0</v>
      </c>
      <c r="S21" s="97"/>
      <c r="T21" s="97"/>
      <c r="U21" s="257">
        <f t="shared" si="0"/>
        <v>0</v>
      </c>
    </row>
    <row r="22" spans="1:21" s="455" customFormat="1" ht="8.25" customHeight="1">
      <c r="A22" s="4"/>
      <c r="B22" s="500"/>
      <c r="C22" s="257" t="str">
        <f t="shared" si="1"/>
        <v/>
      </c>
      <c r="D22" s="4"/>
      <c r="E22" s="106"/>
      <c r="F22" s="257" t="str">
        <f t="shared" si="6"/>
        <v/>
      </c>
      <c r="G22" s="257"/>
      <c r="H22" s="4"/>
      <c r="I22" s="257" t="str">
        <f t="shared" si="2"/>
        <v/>
      </c>
      <c r="J22" s="4"/>
      <c r="K22" s="4"/>
      <c r="L22" s="257" t="str">
        <f t="shared" si="3"/>
        <v/>
      </c>
      <c r="M22" s="4"/>
      <c r="N22" s="4"/>
      <c r="O22" s="257" t="str">
        <f t="shared" si="4"/>
        <v/>
      </c>
      <c r="P22" s="4"/>
      <c r="Q22" s="4"/>
      <c r="R22" s="257" t="str">
        <f t="shared" si="5"/>
        <v/>
      </c>
      <c r="S22" s="4"/>
      <c r="T22" s="106"/>
      <c r="U22" s="257" t="str">
        <f t="shared" si="0"/>
        <v/>
      </c>
    </row>
    <row r="23" spans="1:21" s="455" customFormat="1">
      <c r="A23" s="4" t="s">
        <v>24</v>
      </c>
      <c r="B23" s="500">
        <f>SUM(B24:B26)</f>
        <v>32</v>
      </c>
      <c r="C23" s="257">
        <f t="shared" si="1"/>
        <v>1.6632016632016633</v>
      </c>
      <c r="D23" s="4"/>
      <c r="E23" s="325">
        <f>SUM(E24:E26)</f>
        <v>15</v>
      </c>
      <c r="F23" s="257">
        <f t="shared" si="6"/>
        <v>2.5951557093425603</v>
      </c>
      <c r="G23" s="257"/>
      <c r="H23" s="325">
        <f>SUM(H24:H26)</f>
        <v>0</v>
      </c>
      <c r="I23" s="257">
        <f t="shared" si="2"/>
        <v>0</v>
      </c>
      <c r="J23" s="4"/>
      <c r="K23" s="325">
        <f>SUM(K24:K26)</f>
        <v>1</v>
      </c>
      <c r="L23" s="257">
        <f t="shared" si="3"/>
        <v>3.5714285714285712</v>
      </c>
      <c r="M23" s="4"/>
      <c r="N23" s="325">
        <f>SUM(N24:N26)</f>
        <v>14</v>
      </c>
      <c r="O23" s="257">
        <f t="shared" si="4"/>
        <v>2.6974951830443161</v>
      </c>
      <c r="P23" s="4"/>
      <c r="Q23" s="325">
        <f>SUM(Q24:Q26)</f>
        <v>10</v>
      </c>
      <c r="R23" s="257">
        <f t="shared" si="5"/>
        <v>1.5723270440251573</v>
      </c>
      <c r="S23" s="4"/>
      <c r="T23" s="106">
        <f>SUM(T24:T26)</f>
        <v>1</v>
      </c>
      <c r="U23" s="257">
        <f t="shared" si="0"/>
        <v>4.7619047619047619</v>
      </c>
    </row>
    <row r="24" spans="1:21" s="455" customFormat="1">
      <c r="A24" s="4" t="s">
        <v>25</v>
      </c>
      <c r="B24" s="453">
        <v>17</v>
      </c>
      <c r="C24" s="257">
        <f t="shared" si="1"/>
        <v>0.88357588357588357</v>
      </c>
      <c r="D24" s="453"/>
      <c r="E24" s="453">
        <v>8</v>
      </c>
      <c r="F24" s="257">
        <f t="shared" si="6"/>
        <v>1.3840830449826991</v>
      </c>
      <c r="G24" s="453"/>
      <c r="H24" s="453">
        <v>0</v>
      </c>
      <c r="I24" s="257">
        <f t="shared" si="2"/>
        <v>0</v>
      </c>
      <c r="J24" s="453"/>
      <c r="K24" s="453">
        <v>1</v>
      </c>
      <c r="L24" s="257">
        <f t="shared" si="3"/>
        <v>3.5714285714285712</v>
      </c>
      <c r="M24" s="453"/>
      <c r="N24" s="453">
        <v>7</v>
      </c>
      <c r="O24" s="257">
        <f t="shared" si="4"/>
        <v>1.3487475915221581</v>
      </c>
      <c r="P24" s="453"/>
      <c r="Q24" s="453">
        <v>5</v>
      </c>
      <c r="R24" s="257">
        <f t="shared" si="5"/>
        <v>0.78616352201257866</v>
      </c>
      <c r="S24" s="453"/>
      <c r="T24" s="453">
        <v>0</v>
      </c>
      <c r="U24" s="257">
        <f t="shared" si="0"/>
        <v>0</v>
      </c>
    </row>
    <row r="25" spans="1:21" s="455" customFormat="1">
      <c r="A25" s="4" t="s">
        <v>26</v>
      </c>
      <c r="B25" s="453"/>
      <c r="C25" s="257">
        <f t="shared" si="1"/>
        <v>0</v>
      </c>
      <c r="D25" s="453"/>
      <c r="E25" s="453"/>
      <c r="F25" s="257">
        <f t="shared" si="6"/>
        <v>0</v>
      </c>
      <c r="G25" s="453"/>
      <c r="H25" s="453"/>
      <c r="I25" s="257">
        <f t="shared" si="2"/>
        <v>0</v>
      </c>
      <c r="J25" s="453"/>
      <c r="K25" s="453"/>
      <c r="L25" s="257">
        <f t="shared" si="3"/>
        <v>0</v>
      </c>
      <c r="M25" s="453"/>
      <c r="N25" s="453"/>
      <c r="O25" s="257">
        <f t="shared" si="4"/>
        <v>0</v>
      </c>
      <c r="P25" s="453"/>
      <c r="Q25" s="453"/>
      <c r="R25" s="257">
        <f t="shared" si="5"/>
        <v>0</v>
      </c>
      <c r="S25" s="453"/>
      <c r="T25" s="453"/>
      <c r="U25" s="257">
        <f t="shared" si="0"/>
        <v>0</v>
      </c>
    </row>
    <row r="26" spans="1:21" s="455" customFormat="1">
      <c r="A26" s="4" t="s">
        <v>27</v>
      </c>
      <c r="B26" s="453">
        <v>15</v>
      </c>
      <c r="C26" s="257">
        <f t="shared" si="1"/>
        <v>0.77962577962577972</v>
      </c>
      <c r="D26" s="453"/>
      <c r="E26" s="453">
        <v>7</v>
      </c>
      <c r="F26" s="257">
        <f t="shared" si="6"/>
        <v>1.2110726643598615</v>
      </c>
      <c r="G26" s="453"/>
      <c r="H26" s="453">
        <v>0</v>
      </c>
      <c r="I26" s="257">
        <f t="shared" si="2"/>
        <v>0</v>
      </c>
      <c r="J26" s="453"/>
      <c r="K26" s="453">
        <v>0</v>
      </c>
      <c r="L26" s="257">
        <f t="shared" si="3"/>
        <v>0</v>
      </c>
      <c r="M26" s="453"/>
      <c r="N26" s="453">
        <v>7</v>
      </c>
      <c r="O26" s="257">
        <f t="shared" si="4"/>
        <v>1.3487475915221581</v>
      </c>
      <c r="P26" s="453"/>
      <c r="Q26" s="453">
        <v>5</v>
      </c>
      <c r="R26" s="257">
        <f t="shared" si="5"/>
        <v>0.78616352201257866</v>
      </c>
      <c r="S26" s="453"/>
      <c r="T26" s="453">
        <v>1</v>
      </c>
      <c r="U26" s="257">
        <f t="shared" si="0"/>
        <v>4.7619047619047619</v>
      </c>
    </row>
    <row r="27" spans="1:21" s="455" customFormat="1" ht="8.25" customHeight="1">
      <c r="A27" s="4"/>
      <c r="B27" s="500"/>
      <c r="C27" s="257" t="str">
        <f t="shared" si="1"/>
        <v/>
      </c>
      <c r="D27" s="4"/>
      <c r="E27" s="106"/>
      <c r="F27" s="257" t="str">
        <f t="shared" si="6"/>
        <v/>
      </c>
      <c r="G27" s="257"/>
      <c r="H27" s="4"/>
      <c r="I27" s="257" t="str">
        <f t="shared" si="2"/>
        <v/>
      </c>
      <c r="J27" s="4"/>
      <c r="K27" s="4"/>
      <c r="L27" s="257" t="str">
        <f t="shared" si="3"/>
        <v/>
      </c>
      <c r="M27" s="4"/>
      <c r="N27" s="4"/>
      <c r="O27" s="257" t="str">
        <f t="shared" si="4"/>
        <v/>
      </c>
      <c r="P27" s="4"/>
      <c r="R27" s="257" t="str">
        <f t="shared" si="5"/>
        <v/>
      </c>
      <c r="S27" s="4"/>
      <c r="T27" s="106"/>
      <c r="U27" s="257" t="str">
        <f t="shared" si="0"/>
        <v/>
      </c>
    </row>
    <row r="28" spans="1:21" s="455" customFormat="1">
      <c r="A28" s="9" t="s">
        <v>375</v>
      </c>
      <c r="B28" s="500">
        <f>SUM(B29)</f>
        <v>92</v>
      </c>
      <c r="C28" s="257">
        <f t="shared" si="1"/>
        <v>4.7817047817047822</v>
      </c>
      <c r="D28" s="9"/>
      <c r="E28" s="106">
        <f>SUM(E29)</f>
        <v>19</v>
      </c>
      <c r="F28" s="257">
        <f t="shared" si="6"/>
        <v>3.2871972318339098</v>
      </c>
      <c r="G28" s="257"/>
      <c r="H28" s="4">
        <f>SUM(H29)</f>
        <v>0</v>
      </c>
      <c r="I28" s="257">
        <f t="shared" si="2"/>
        <v>0</v>
      </c>
      <c r="J28" s="4"/>
      <c r="K28" s="501">
        <f>SUM(K29)</f>
        <v>0</v>
      </c>
      <c r="L28" s="257">
        <f t="shared" si="3"/>
        <v>0</v>
      </c>
      <c r="M28" s="4"/>
      <c r="N28" s="4">
        <f>SUM(N29)</f>
        <v>19</v>
      </c>
      <c r="O28" s="257">
        <f t="shared" si="4"/>
        <v>3.6608863198458574</v>
      </c>
      <c r="P28" s="4"/>
      <c r="Q28" s="4">
        <f>SUM(Q29)</f>
        <v>31</v>
      </c>
      <c r="R28" s="257">
        <f t="shared" si="5"/>
        <v>4.8742138364779874</v>
      </c>
      <c r="S28" s="4"/>
      <c r="T28" s="4">
        <f>SUM(T29)</f>
        <v>0</v>
      </c>
      <c r="U28" s="257">
        <f t="shared" si="0"/>
        <v>0</v>
      </c>
    </row>
    <row r="29" spans="1:21" s="455" customFormat="1">
      <c r="A29" s="4" t="s">
        <v>29</v>
      </c>
      <c r="B29" s="500">
        <f>SUM(B30:B34)</f>
        <v>92</v>
      </c>
      <c r="C29" s="257">
        <f t="shared" si="1"/>
        <v>4.7817047817047822</v>
      </c>
      <c r="D29" s="4"/>
      <c r="E29" s="106">
        <f>SUM(E30:E34)</f>
        <v>19</v>
      </c>
      <c r="F29" s="257">
        <f t="shared" si="6"/>
        <v>3.2871972318339098</v>
      </c>
      <c r="G29" s="257"/>
      <c r="H29" s="4">
        <f>SUM(H30:H34)</f>
        <v>0</v>
      </c>
      <c r="I29" s="257">
        <f t="shared" si="2"/>
        <v>0</v>
      </c>
      <c r="J29" s="4"/>
      <c r="K29" s="4">
        <f>SUM(K30:K34)</f>
        <v>0</v>
      </c>
      <c r="L29" s="257">
        <f t="shared" si="3"/>
        <v>0</v>
      </c>
      <c r="M29" s="4"/>
      <c r="N29" s="4">
        <f>SUM(N30:N34)</f>
        <v>19</v>
      </c>
      <c r="O29" s="257">
        <f t="shared" si="4"/>
        <v>3.6608863198458574</v>
      </c>
      <c r="P29" s="4"/>
      <c r="Q29" s="4">
        <f>SUM(Q30:Q34)</f>
        <v>31</v>
      </c>
      <c r="R29" s="257">
        <f t="shared" si="5"/>
        <v>4.8742138364779874</v>
      </c>
      <c r="S29" s="4"/>
      <c r="T29" s="106">
        <f>SUM(T30:T34)</f>
        <v>0</v>
      </c>
      <c r="U29" s="257">
        <f t="shared" si="0"/>
        <v>0</v>
      </c>
    </row>
    <row r="30" spans="1:21" s="455" customFormat="1">
      <c r="A30" s="4" t="s">
        <v>30</v>
      </c>
      <c r="B30" s="453">
        <v>44</v>
      </c>
      <c r="C30" s="257">
        <f t="shared" si="1"/>
        <v>2.2869022869022873</v>
      </c>
      <c r="D30" s="453"/>
      <c r="E30" s="453">
        <v>11</v>
      </c>
      <c r="F30" s="257">
        <f t="shared" si="6"/>
        <v>1.9031141868512111</v>
      </c>
      <c r="G30" s="453"/>
      <c r="H30" s="453">
        <v>0</v>
      </c>
      <c r="I30" s="257">
        <f t="shared" si="2"/>
        <v>0</v>
      </c>
      <c r="J30" s="453"/>
      <c r="K30" s="453">
        <v>0</v>
      </c>
      <c r="L30" s="257">
        <f t="shared" si="3"/>
        <v>0</v>
      </c>
      <c r="M30" s="453"/>
      <c r="N30" s="453">
        <v>7</v>
      </c>
      <c r="O30" s="257">
        <f t="shared" si="4"/>
        <v>1.3487475915221581</v>
      </c>
      <c r="P30" s="453"/>
      <c r="Q30" s="453">
        <v>10</v>
      </c>
      <c r="R30" s="257">
        <f t="shared" si="5"/>
        <v>1.5723270440251573</v>
      </c>
      <c r="S30" s="453"/>
      <c r="T30" s="453">
        <v>0</v>
      </c>
      <c r="U30" s="257">
        <f t="shared" si="0"/>
        <v>0</v>
      </c>
    </row>
    <row r="31" spans="1:21" s="455" customFormat="1">
      <c r="A31" s="4" t="s">
        <v>31</v>
      </c>
      <c r="B31" s="453">
        <v>10</v>
      </c>
      <c r="C31" s="257">
        <f t="shared" si="1"/>
        <v>0.51975051975051978</v>
      </c>
      <c r="D31" s="453"/>
      <c r="E31" s="453">
        <v>0</v>
      </c>
      <c r="F31" s="257">
        <f t="shared" si="6"/>
        <v>0</v>
      </c>
      <c r="G31" s="453"/>
      <c r="H31" s="453">
        <v>0</v>
      </c>
      <c r="I31" s="257">
        <f t="shared" si="2"/>
        <v>0</v>
      </c>
      <c r="J31" s="453"/>
      <c r="K31" s="453">
        <v>0</v>
      </c>
      <c r="L31" s="257">
        <f t="shared" si="3"/>
        <v>0</v>
      </c>
      <c r="M31" s="453"/>
      <c r="N31" s="453">
        <v>1</v>
      </c>
      <c r="O31" s="257">
        <f t="shared" si="4"/>
        <v>0.19267822736030829</v>
      </c>
      <c r="P31" s="453"/>
      <c r="Q31" s="453">
        <v>6</v>
      </c>
      <c r="R31" s="257">
        <f t="shared" si="5"/>
        <v>0.94339622641509435</v>
      </c>
      <c r="S31" s="453"/>
      <c r="T31" s="453">
        <v>0</v>
      </c>
      <c r="U31" s="257">
        <f t="shared" si="0"/>
        <v>0</v>
      </c>
    </row>
    <row r="32" spans="1:21" s="455" customFormat="1">
      <c r="A32" s="4" t="s">
        <v>32</v>
      </c>
      <c r="B32" s="453">
        <v>15</v>
      </c>
      <c r="C32" s="257">
        <f t="shared" si="1"/>
        <v>0.77962577962577972</v>
      </c>
      <c r="D32" s="453"/>
      <c r="E32" s="453">
        <v>2</v>
      </c>
      <c r="F32" s="257">
        <f t="shared" si="6"/>
        <v>0.34602076124567477</v>
      </c>
      <c r="G32" s="453"/>
      <c r="H32" s="453">
        <v>0</v>
      </c>
      <c r="I32" s="257">
        <f t="shared" si="2"/>
        <v>0</v>
      </c>
      <c r="J32" s="453"/>
      <c r="K32" s="453">
        <v>0</v>
      </c>
      <c r="L32" s="257">
        <f t="shared" si="3"/>
        <v>0</v>
      </c>
      <c r="M32" s="453"/>
      <c r="N32" s="453">
        <v>2</v>
      </c>
      <c r="O32" s="257">
        <f t="shared" si="4"/>
        <v>0.38535645472061658</v>
      </c>
      <c r="P32" s="453"/>
      <c r="Q32" s="453">
        <v>5</v>
      </c>
      <c r="R32" s="257">
        <f t="shared" si="5"/>
        <v>0.78616352201257866</v>
      </c>
      <c r="S32" s="453"/>
      <c r="T32" s="453">
        <v>0</v>
      </c>
      <c r="U32" s="257">
        <f t="shared" si="0"/>
        <v>0</v>
      </c>
    </row>
    <row r="33" spans="1:21" s="455" customFormat="1">
      <c r="A33" s="4" t="s">
        <v>33</v>
      </c>
      <c r="B33" s="453">
        <v>2</v>
      </c>
      <c r="C33" s="257">
        <f t="shared" si="1"/>
        <v>0.10395010395010396</v>
      </c>
      <c r="D33" s="453"/>
      <c r="E33" s="453">
        <v>1</v>
      </c>
      <c r="F33" s="257">
        <f t="shared" si="6"/>
        <v>0.17301038062283738</v>
      </c>
      <c r="G33" s="453"/>
      <c r="H33" s="453">
        <v>0</v>
      </c>
      <c r="I33" s="257">
        <f t="shared" si="2"/>
        <v>0</v>
      </c>
      <c r="J33" s="453"/>
      <c r="K33" s="453">
        <v>0</v>
      </c>
      <c r="L33" s="257">
        <f t="shared" si="3"/>
        <v>0</v>
      </c>
      <c r="M33" s="453"/>
      <c r="N33" s="453">
        <v>1</v>
      </c>
      <c r="O33" s="257">
        <f t="shared" si="4"/>
        <v>0.19267822736030829</v>
      </c>
      <c r="P33" s="453"/>
      <c r="Q33" s="453">
        <v>1</v>
      </c>
      <c r="R33" s="257">
        <f t="shared" si="5"/>
        <v>0.15723270440251574</v>
      </c>
      <c r="S33" s="453"/>
      <c r="T33" s="453">
        <v>0</v>
      </c>
      <c r="U33" s="257">
        <f t="shared" si="0"/>
        <v>0</v>
      </c>
    </row>
    <row r="34" spans="1:21" s="455" customFormat="1">
      <c r="A34" s="4" t="s">
        <v>34</v>
      </c>
      <c r="B34" s="453">
        <v>21</v>
      </c>
      <c r="C34" s="257">
        <f t="shared" si="1"/>
        <v>1.0914760914760915</v>
      </c>
      <c r="D34" s="453"/>
      <c r="E34" s="453">
        <v>5</v>
      </c>
      <c r="F34" s="257">
        <f t="shared" si="6"/>
        <v>0.86505190311418689</v>
      </c>
      <c r="G34" s="453"/>
      <c r="H34" s="453">
        <v>0</v>
      </c>
      <c r="I34" s="257">
        <f t="shared" si="2"/>
        <v>0</v>
      </c>
      <c r="J34" s="453"/>
      <c r="K34" s="453">
        <v>0</v>
      </c>
      <c r="L34" s="257">
        <f t="shared" si="3"/>
        <v>0</v>
      </c>
      <c r="M34" s="453"/>
      <c r="N34" s="453">
        <v>8</v>
      </c>
      <c r="O34" s="257">
        <f t="shared" si="4"/>
        <v>1.5414258188824663</v>
      </c>
      <c r="P34" s="453"/>
      <c r="Q34" s="453">
        <v>9</v>
      </c>
      <c r="R34" s="257">
        <f t="shared" si="5"/>
        <v>1.4150943396226416</v>
      </c>
      <c r="S34" s="453"/>
      <c r="T34" s="453">
        <v>0</v>
      </c>
      <c r="U34" s="257">
        <f t="shared" si="0"/>
        <v>0</v>
      </c>
    </row>
    <row r="35" spans="1:21" s="455" customFormat="1" ht="8.25" customHeight="1">
      <c r="A35" s="4"/>
      <c r="B35" s="500"/>
      <c r="C35" s="257" t="str">
        <f t="shared" si="1"/>
        <v/>
      </c>
      <c r="D35" s="4"/>
      <c r="E35" s="106"/>
      <c r="F35" s="257" t="str">
        <f t="shared" si="6"/>
        <v/>
      </c>
      <c r="G35" s="257"/>
      <c r="H35" s="4"/>
      <c r="I35" s="257" t="str">
        <f t="shared" si="2"/>
        <v/>
      </c>
      <c r="J35" s="4"/>
      <c r="K35" s="4"/>
      <c r="L35" s="257" t="str">
        <f t="shared" si="3"/>
        <v/>
      </c>
      <c r="M35" s="4"/>
      <c r="N35" s="4"/>
      <c r="O35" s="257" t="str">
        <f t="shared" si="4"/>
        <v/>
      </c>
      <c r="P35" s="4"/>
      <c r="R35" s="257" t="str">
        <f t="shared" si="5"/>
        <v/>
      </c>
      <c r="S35" s="4"/>
      <c r="T35" s="106"/>
      <c r="U35" s="257" t="str">
        <f t="shared" si="0"/>
        <v/>
      </c>
    </row>
    <row r="36" spans="1:21" s="455" customFormat="1">
      <c r="A36" s="9" t="s">
        <v>329</v>
      </c>
      <c r="B36" s="500">
        <f>SUM(B37+B43+B45+B56)</f>
        <v>82</v>
      </c>
      <c r="C36" s="257">
        <f t="shared" si="1"/>
        <v>4.2619542619542621</v>
      </c>
      <c r="D36" s="9"/>
      <c r="E36" s="106">
        <f>SUM(E37+E43+E45+E56)</f>
        <v>27</v>
      </c>
      <c r="F36" s="257">
        <f t="shared" si="6"/>
        <v>4.6712802768166091</v>
      </c>
      <c r="G36" s="257"/>
      <c r="H36" s="106">
        <f>SUM(H37+H43+H45+H56)</f>
        <v>0</v>
      </c>
      <c r="I36" s="257">
        <f t="shared" si="2"/>
        <v>0</v>
      </c>
      <c r="J36" s="4"/>
      <c r="K36" s="106">
        <f>SUM(K37+K43+K45+K56)</f>
        <v>2</v>
      </c>
      <c r="L36" s="257">
        <f t="shared" si="3"/>
        <v>7.1428571428571423</v>
      </c>
      <c r="M36" s="4"/>
      <c r="N36" s="106">
        <f>SUM(N37+N43+N45+N56)</f>
        <v>40</v>
      </c>
      <c r="O36" s="257">
        <f t="shared" si="4"/>
        <v>7.7071290944123305</v>
      </c>
      <c r="P36" s="4"/>
      <c r="Q36" s="106">
        <f>SUM(Q37+Q43+Q45+Q56)</f>
        <v>24</v>
      </c>
      <c r="R36" s="257">
        <f t="shared" si="5"/>
        <v>3.7735849056603774</v>
      </c>
      <c r="S36" s="4"/>
      <c r="T36" s="106">
        <f>SUM(T37+T43+T45+T56)</f>
        <v>4</v>
      </c>
      <c r="U36" s="257">
        <f t="shared" si="0"/>
        <v>19.047619047619047</v>
      </c>
    </row>
    <row r="37" spans="1:21" s="455" customFormat="1">
      <c r="A37" s="4" t="s">
        <v>36</v>
      </c>
      <c r="B37" s="500">
        <f>SUM(B39:B42)</f>
        <v>22</v>
      </c>
      <c r="C37" s="257">
        <f t="shared" si="1"/>
        <v>1.1434511434511436</v>
      </c>
      <c r="D37" s="4"/>
      <c r="E37" s="106">
        <f>SUM(E39:E42)</f>
        <v>11</v>
      </c>
      <c r="F37" s="257">
        <f t="shared" si="6"/>
        <v>1.9031141868512111</v>
      </c>
      <c r="G37" s="257"/>
      <c r="H37" s="4">
        <f>SUM(H39:H42)</f>
        <v>0</v>
      </c>
      <c r="I37" s="257">
        <f t="shared" si="2"/>
        <v>0</v>
      </c>
      <c r="J37" s="4"/>
      <c r="K37" s="4">
        <f>SUM(K39:K42)</f>
        <v>2</v>
      </c>
      <c r="L37" s="257">
        <f t="shared" si="3"/>
        <v>7.1428571428571423</v>
      </c>
      <c r="M37" s="4"/>
      <c r="N37" s="4">
        <f>SUM(N39:N42)</f>
        <v>9</v>
      </c>
      <c r="O37" s="257">
        <f t="shared" si="4"/>
        <v>1.7341040462427744</v>
      </c>
      <c r="P37" s="4"/>
      <c r="Q37" s="4">
        <f>SUM(Q39:Q42)</f>
        <v>7</v>
      </c>
      <c r="R37" s="257">
        <f t="shared" si="5"/>
        <v>1.10062893081761</v>
      </c>
      <c r="S37" s="4"/>
      <c r="T37" s="106">
        <f>SUM(T39:T42)</f>
        <v>0</v>
      </c>
      <c r="U37" s="257">
        <f t="shared" si="0"/>
        <v>0</v>
      </c>
    </row>
    <row r="38" spans="1:21" s="455" customFormat="1">
      <c r="A38" s="4" t="s">
        <v>1143</v>
      </c>
      <c r="B38" s="500"/>
      <c r="C38" s="257">
        <f t="shared" si="1"/>
        <v>0</v>
      </c>
      <c r="D38" s="4"/>
      <c r="E38" s="106"/>
      <c r="F38" s="257">
        <f t="shared" si="6"/>
        <v>0</v>
      </c>
      <c r="G38" s="257"/>
      <c r="H38" s="4"/>
      <c r="I38" s="257">
        <f t="shared" si="2"/>
        <v>0</v>
      </c>
      <c r="J38" s="4"/>
      <c r="K38" s="4"/>
      <c r="L38" s="257">
        <f t="shared" si="3"/>
        <v>0</v>
      </c>
      <c r="M38" s="4"/>
      <c r="N38" s="4"/>
      <c r="O38" s="257">
        <f t="shared" si="4"/>
        <v>0</v>
      </c>
      <c r="P38" s="4"/>
      <c r="Q38" s="4"/>
      <c r="R38" s="257">
        <f t="shared" si="5"/>
        <v>0</v>
      </c>
      <c r="S38" s="4"/>
      <c r="T38" s="106"/>
      <c r="U38" s="257"/>
    </row>
    <row r="39" spans="1:21" s="455" customFormat="1">
      <c r="A39" s="4" t="s">
        <v>37</v>
      </c>
      <c r="B39" s="453">
        <v>3</v>
      </c>
      <c r="C39" s="257">
        <f t="shared" si="1"/>
        <v>0.15592515592515593</v>
      </c>
      <c r="D39" s="453"/>
      <c r="E39" s="453">
        <v>2</v>
      </c>
      <c r="F39" s="257">
        <f t="shared" si="6"/>
        <v>0.34602076124567477</v>
      </c>
      <c r="G39" s="453"/>
      <c r="H39" s="453">
        <v>0</v>
      </c>
      <c r="I39" s="257">
        <f t="shared" si="2"/>
        <v>0</v>
      </c>
      <c r="J39" s="453"/>
      <c r="K39" s="453">
        <v>0</v>
      </c>
      <c r="L39" s="257">
        <f t="shared" si="3"/>
        <v>0</v>
      </c>
      <c r="M39" s="453"/>
      <c r="N39" s="453">
        <v>2</v>
      </c>
      <c r="O39" s="257">
        <f t="shared" si="4"/>
        <v>0.38535645472061658</v>
      </c>
      <c r="P39" s="453"/>
      <c r="Q39" s="453">
        <v>1</v>
      </c>
      <c r="R39" s="257">
        <f t="shared" si="5"/>
        <v>0.15723270440251574</v>
      </c>
      <c r="S39" s="453"/>
      <c r="T39" s="453">
        <v>0</v>
      </c>
      <c r="U39" s="257">
        <f t="shared" ref="U39:U76" si="7">IF(A39&lt;&gt;0,T39/$T$11*100,"")</f>
        <v>0</v>
      </c>
    </row>
    <row r="40" spans="1:21" s="455" customFormat="1">
      <c r="A40" s="4" t="s">
        <v>38</v>
      </c>
      <c r="B40" s="453">
        <v>8</v>
      </c>
      <c r="C40" s="257">
        <f t="shared" si="1"/>
        <v>0.41580041580041582</v>
      </c>
      <c r="D40" s="453"/>
      <c r="E40" s="453">
        <v>4</v>
      </c>
      <c r="F40" s="257">
        <f t="shared" si="6"/>
        <v>0.69204152249134954</v>
      </c>
      <c r="G40" s="453"/>
      <c r="H40" s="453">
        <v>0</v>
      </c>
      <c r="I40" s="257">
        <f t="shared" si="2"/>
        <v>0</v>
      </c>
      <c r="J40" s="453"/>
      <c r="K40" s="453">
        <v>2</v>
      </c>
      <c r="L40" s="257">
        <f t="shared" si="3"/>
        <v>7.1428571428571423</v>
      </c>
      <c r="M40" s="453"/>
      <c r="N40" s="453">
        <v>3</v>
      </c>
      <c r="O40" s="257">
        <f t="shared" si="4"/>
        <v>0.57803468208092479</v>
      </c>
      <c r="P40" s="453"/>
      <c r="Q40" s="453">
        <v>2</v>
      </c>
      <c r="R40" s="257">
        <f t="shared" si="5"/>
        <v>0.31446540880503149</v>
      </c>
      <c r="S40" s="453"/>
      <c r="T40" s="453">
        <v>0</v>
      </c>
      <c r="U40" s="257">
        <f t="shared" si="7"/>
        <v>0</v>
      </c>
    </row>
    <row r="41" spans="1:21" s="455" customFormat="1">
      <c r="A41" s="4" t="s">
        <v>1041</v>
      </c>
      <c r="B41" s="453">
        <v>10</v>
      </c>
      <c r="C41" s="257">
        <f t="shared" si="1"/>
        <v>0.51975051975051978</v>
      </c>
      <c r="D41" s="453"/>
      <c r="E41" s="453">
        <v>5</v>
      </c>
      <c r="F41" s="257">
        <f t="shared" si="6"/>
        <v>0.86505190311418689</v>
      </c>
      <c r="G41" s="453"/>
      <c r="H41" s="453">
        <v>0</v>
      </c>
      <c r="I41" s="257">
        <f t="shared" si="2"/>
        <v>0</v>
      </c>
      <c r="J41" s="453"/>
      <c r="K41" s="453">
        <v>0</v>
      </c>
      <c r="L41" s="257">
        <f t="shared" si="3"/>
        <v>0</v>
      </c>
      <c r="M41" s="453"/>
      <c r="N41" s="453">
        <v>3</v>
      </c>
      <c r="O41" s="257">
        <f t="shared" si="4"/>
        <v>0.57803468208092479</v>
      </c>
      <c r="P41" s="453"/>
      <c r="Q41" s="453">
        <v>3</v>
      </c>
      <c r="R41" s="257">
        <f t="shared" si="5"/>
        <v>0.47169811320754718</v>
      </c>
      <c r="S41" s="453"/>
      <c r="T41" s="453">
        <v>0</v>
      </c>
      <c r="U41" s="257">
        <f t="shared" si="7"/>
        <v>0</v>
      </c>
    </row>
    <row r="42" spans="1:21" s="455" customFormat="1">
      <c r="A42" s="4" t="s">
        <v>40</v>
      </c>
      <c r="B42" s="453">
        <v>1</v>
      </c>
      <c r="C42" s="257">
        <f t="shared" si="1"/>
        <v>5.1975051975051978E-2</v>
      </c>
      <c r="D42" s="453"/>
      <c r="E42" s="453">
        <v>0</v>
      </c>
      <c r="F42" s="257">
        <f t="shared" si="6"/>
        <v>0</v>
      </c>
      <c r="G42" s="453"/>
      <c r="H42" s="453">
        <v>0</v>
      </c>
      <c r="I42" s="257">
        <f t="shared" si="2"/>
        <v>0</v>
      </c>
      <c r="J42" s="453"/>
      <c r="K42" s="453">
        <v>0</v>
      </c>
      <c r="L42" s="257">
        <f t="shared" si="3"/>
        <v>0</v>
      </c>
      <c r="M42" s="453"/>
      <c r="N42" s="453">
        <v>1</v>
      </c>
      <c r="O42" s="257">
        <f t="shared" si="4"/>
        <v>0.19267822736030829</v>
      </c>
      <c r="P42" s="453"/>
      <c r="Q42" s="453">
        <v>1</v>
      </c>
      <c r="R42" s="257">
        <f t="shared" si="5"/>
        <v>0.15723270440251574</v>
      </c>
      <c r="S42" s="453"/>
      <c r="T42" s="453">
        <v>0</v>
      </c>
      <c r="U42" s="257">
        <f t="shared" si="7"/>
        <v>0</v>
      </c>
    </row>
    <row r="43" spans="1:21" s="455" customFormat="1">
      <c r="A43" s="4" t="s">
        <v>50</v>
      </c>
      <c r="B43" s="500"/>
      <c r="C43" s="257">
        <f t="shared" si="1"/>
        <v>0</v>
      </c>
      <c r="D43" s="4"/>
      <c r="E43" s="106"/>
      <c r="F43" s="257">
        <f t="shared" si="6"/>
        <v>0</v>
      </c>
      <c r="G43" s="257"/>
      <c r="H43" s="4"/>
      <c r="I43" s="257">
        <f t="shared" si="2"/>
        <v>0</v>
      </c>
      <c r="J43" s="4"/>
      <c r="K43" s="4"/>
      <c r="L43" s="257">
        <f t="shared" si="3"/>
        <v>0</v>
      </c>
      <c r="M43" s="4"/>
      <c r="N43" s="4"/>
      <c r="O43" s="257">
        <f t="shared" si="4"/>
        <v>0</v>
      </c>
      <c r="P43" s="4"/>
      <c r="R43" s="257">
        <f t="shared" si="5"/>
        <v>0</v>
      </c>
      <c r="S43" s="4"/>
      <c r="T43" s="106"/>
      <c r="U43" s="257">
        <f t="shared" si="7"/>
        <v>0</v>
      </c>
    </row>
    <row r="44" spans="1:21" s="455" customFormat="1" ht="8.25" customHeight="1">
      <c r="A44" s="4"/>
      <c r="B44" s="500"/>
      <c r="C44" s="257" t="str">
        <f t="shared" si="1"/>
        <v/>
      </c>
      <c r="D44" s="4"/>
      <c r="E44" s="106"/>
      <c r="F44" s="257" t="str">
        <f t="shared" si="6"/>
        <v/>
      </c>
      <c r="G44" s="257"/>
      <c r="H44" s="4"/>
      <c r="I44" s="257" t="str">
        <f t="shared" si="2"/>
        <v/>
      </c>
      <c r="J44" s="4"/>
      <c r="K44" s="4"/>
      <c r="L44" s="257" t="str">
        <f t="shared" si="3"/>
        <v/>
      </c>
      <c r="M44" s="4"/>
      <c r="N44" s="4"/>
      <c r="O44" s="257" t="str">
        <f t="shared" si="4"/>
        <v/>
      </c>
      <c r="P44" s="4"/>
      <c r="R44" s="257" t="str">
        <f t="shared" si="5"/>
        <v/>
      </c>
      <c r="S44" s="4"/>
      <c r="T44" s="106"/>
      <c r="U44" s="257" t="str">
        <f t="shared" si="7"/>
        <v/>
      </c>
    </row>
    <row r="45" spans="1:21" s="455" customFormat="1">
      <c r="A45" s="4" t="s">
        <v>41</v>
      </c>
      <c r="B45" s="500">
        <f>SUM(B46:B54)</f>
        <v>45</v>
      </c>
      <c r="C45" s="257">
        <f t="shared" si="1"/>
        <v>2.3388773388773392</v>
      </c>
      <c r="D45" s="4"/>
      <c r="E45" s="106">
        <f>SUM(E46:E54)</f>
        <v>12</v>
      </c>
      <c r="F45" s="257">
        <f t="shared" si="6"/>
        <v>2.0761245674740483</v>
      </c>
      <c r="G45" s="257"/>
      <c r="H45" s="4">
        <f>SUM(H46:H54)</f>
        <v>0</v>
      </c>
      <c r="I45" s="257">
        <f t="shared" si="2"/>
        <v>0</v>
      </c>
      <c r="J45" s="4"/>
      <c r="K45" s="501">
        <f>SUM(K46:K54)</f>
        <v>0</v>
      </c>
      <c r="L45" s="257">
        <f t="shared" si="3"/>
        <v>0</v>
      </c>
      <c r="M45" s="4"/>
      <c r="N45" s="4">
        <f>SUM(N46:N54)</f>
        <v>26</v>
      </c>
      <c r="O45" s="257">
        <f t="shared" si="4"/>
        <v>5.0096339113680148</v>
      </c>
      <c r="P45" s="4"/>
      <c r="Q45" s="4">
        <f>SUM(Q46:Q54)</f>
        <v>13</v>
      </c>
      <c r="R45" s="257">
        <f t="shared" si="5"/>
        <v>2.0440251572327042</v>
      </c>
      <c r="S45" s="4"/>
      <c r="T45" s="106">
        <f>SUM(T46:T54)</f>
        <v>3</v>
      </c>
      <c r="U45" s="257">
        <f t="shared" si="7"/>
        <v>14.285714285714285</v>
      </c>
    </row>
    <row r="46" spans="1:21" s="455" customFormat="1">
      <c r="A46" s="4" t="s">
        <v>1144</v>
      </c>
      <c r="B46" s="453">
        <v>3</v>
      </c>
      <c r="C46" s="257">
        <f t="shared" si="1"/>
        <v>0.15592515592515593</v>
      </c>
      <c r="D46" s="453"/>
      <c r="E46" s="453">
        <v>1</v>
      </c>
      <c r="F46" s="257">
        <f t="shared" si="6"/>
        <v>0.17301038062283738</v>
      </c>
      <c r="G46" s="453"/>
      <c r="H46" s="453">
        <v>0</v>
      </c>
      <c r="I46" s="257">
        <f t="shared" si="2"/>
        <v>0</v>
      </c>
      <c r="J46" s="453"/>
      <c r="K46" s="453">
        <v>0</v>
      </c>
      <c r="L46" s="257">
        <f t="shared" si="3"/>
        <v>0</v>
      </c>
      <c r="M46" s="453"/>
      <c r="N46" s="453">
        <v>1</v>
      </c>
      <c r="O46" s="257">
        <f t="shared" si="4"/>
        <v>0.19267822736030829</v>
      </c>
      <c r="P46" s="453"/>
      <c r="Q46" s="453">
        <v>2</v>
      </c>
      <c r="R46" s="257">
        <f t="shared" si="5"/>
        <v>0.31446540880503149</v>
      </c>
      <c r="S46" s="453"/>
      <c r="T46" s="453">
        <v>0</v>
      </c>
      <c r="U46" s="257">
        <f t="shared" si="7"/>
        <v>0</v>
      </c>
    </row>
    <row r="47" spans="1:21" s="455" customFormat="1">
      <c r="A47" s="4" t="s">
        <v>49</v>
      </c>
      <c r="B47" s="453">
        <v>4</v>
      </c>
      <c r="C47" s="257">
        <f t="shared" si="1"/>
        <v>0.20790020790020791</v>
      </c>
      <c r="D47" s="453"/>
      <c r="E47" s="453">
        <v>1</v>
      </c>
      <c r="F47" s="257">
        <f t="shared" si="6"/>
        <v>0.17301038062283738</v>
      </c>
      <c r="G47" s="453"/>
      <c r="H47" s="453">
        <v>0</v>
      </c>
      <c r="I47" s="257">
        <f t="shared" si="2"/>
        <v>0</v>
      </c>
      <c r="J47" s="453"/>
      <c r="K47" s="453">
        <v>0</v>
      </c>
      <c r="L47" s="257">
        <f t="shared" si="3"/>
        <v>0</v>
      </c>
      <c r="M47" s="453"/>
      <c r="N47" s="453">
        <v>10</v>
      </c>
      <c r="O47" s="257">
        <f t="shared" si="4"/>
        <v>1.9267822736030826</v>
      </c>
      <c r="P47" s="453"/>
      <c r="Q47" s="453">
        <v>2</v>
      </c>
      <c r="R47" s="257">
        <f t="shared" si="5"/>
        <v>0.31446540880503149</v>
      </c>
      <c r="S47" s="453"/>
      <c r="T47" s="453">
        <v>0</v>
      </c>
      <c r="U47" s="257">
        <f t="shared" si="7"/>
        <v>0</v>
      </c>
    </row>
    <row r="48" spans="1:21" s="455" customFormat="1">
      <c r="A48" s="4" t="s">
        <v>42</v>
      </c>
      <c r="B48" s="453">
        <v>9</v>
      </c>
      <c r="C48" s="257">
        <f t="shared" si="1"/>
        <v>0.4677754677754678</v>
      </c>
      <c r="D48" s="453"/>
      <c r="E48" s="453">
        <v>4</v>
      </c>
      <c r="F48" s="257">
        <f t="shared" si="6"/>
        <v>0.69204152249134954</v>
      </c>
      <c r="G48" s="453"/>
      <c r="H48" s="453">
        <v>0</v>
      </c>
      <c r="I48" s="257">
        <f t="shared" si="2"/>
        <v>0</v>
      </c>
      <c r="J48" s="453"/>
      <c r="K48" s="453">
        <v>0</v>
      </c>
      <c r="L48" s="257">
        <f t="shared" si="3"/>
        <v>0</v>
      </c>
      <c r="M48" s="453"/>
      <c r="N48" s="453">
        <v>4</v>
      </c>
      <c r="O48" s="257">
        <f t="shared" si="4"/>
        <v>0.77071290944123316</v>
      </c>
      <c r="P48" s="453"/>
      <c r="Q48" s="453">
        <v>2</v>
      </c>
      <c r="R48" s="257">
        <f t="shared" si="5"/>
        <v>0.31446540880503149</v>
      </c>
      <c r="S48" s="453"/>
      <c r="T48" s="453">
        <v>2</v>
      </c>
      <c r="U48" s="257">
        <f t="shared" si="7"/>
        <v>9.5238095238095237</v>
      </c>
    </row>
    <row r="49" spans="1:21" s="455" customFormat="1">
      <c r="A49" s="4" t="s">
        <v>43</v>
      </c>
      <c r="B49" s="453"/>
      <c r="C49" s="257">
        <f t="shared" si="1"/>
        <v>0</v>
      </c>
      <c r="D49" s="453"/>
      <c r="E49" s="453"/>
      <c r="F49" s="257">
        <f t="shared" si="6"/>
        <v>0</v>
      </c>
      <c r="G49" s="453"/>
      <c r="H49" s="453"/>
      <c r="I49" s="257">
        <f t="shared" si="2"/>
        <v>0</v>
      </c>
      <c r="J49" s="453"/>
      <c r="K49" s="453"/>
      <c r="L49" s="257">
        <f t="shared" si="3"/>
        <v>0</v>
      </c>
      <c r="M49" s="453"/>
      <c r="N49" s="453"/>
      <c r="O49" s="257">
        <f t="shared" si="4"/>
        <v>0</v>
      </c>
      <c r="P49" s="453"/>
      <c r="Q49" s="453"/>
      <c r="R49" s="257">
        <f t="shared" si="5"/>
        <v>0</v>
      </c>
      <c r="S49" s="453"/>
      <c r="T49" s="453"/>
      <c r="U49" s="257">
        <f t="shared" si="7"/>
        <v>0</v>
      </c>
    </row>
    <row r="50" spans="1:21" s="455" customFormat="1">
      <c r="A50" s="4" t="s">
        <v>44</v>
      </c>
      <c r="B50" s="453">
        <v>1</v>
      </c>
      <c r="C50" s="257">
        <f t="shared" si="1"/>
        <v>5.1975051975051978E-2</v>
      </c>
      <c r="D50" s="453"/>
      <c r="E50" s="453">
        <v>0</v>
      </c>
      <c r="F50" s="257">
        <f t="shared" si="6"/>
        <v>0</v>
      </c>
      <c r="G50" s="453"/>
      <c r="H50" s="453">
        <v>0</v>
      </c>
      <c r="I50" s="257">
        <f t="shared" si="2"/>
        <v>0</v>
      </c>
      <c r="J50" s="453"/>
      <c r="K50" s="453">
        <v>0</v>
      </c>
      <c r="L50" s="257">
        <f t="shared" si="3"/>
        <v>0</v>
      </c>
      <c r="M50" s="453"/>
      <c r="N50" s="453">
        <v>1</v>
      </c>
      <c r="O50" s="257">
        <f t="shared" si="4"/>
        <v>0.19267822736030829</v>
      </c>
      <c r="P50" s="453"/>
      <c r="Q50" s="453">
        <v>0</v>
      </c>
      <c r="R50" s="257">
        <f t="shared" si="5"/>
        <v>0</v>
      </c>
      <c r="S50" s="453"/>
      <c r="T50" s="453">
        <v>0</v>
      </c>
      <c r="U50" s="257">
        <f t="shared" si="7"/>
        <v>0</v>
      </c>
    </row>
    <row r="51" spans="1:21" s="455" customFormat="1">
      <c r="A51" s="4" t="s">
        <v>439</v>
      </c>
      <c r="B51" s="453"/>
      <c r="C51" s="257">
        <f t="shared" si="1"/>
        <v>0</v>
      </c>
      <c r="D51" s="453"/>
      <c r="E51" s="453"/>
      <c r="F51" s="257">
        <f t="shared" si="6"/>
        <v>0</v>
      </c>
      <c r="G51" s="453"/>
      <c r="H51" s="453"/>
      <c r="I51" s="257">
        <f t="shared" si="2"/>
        <v>0</v>
      </c>
      <c r="J51" s="453"/>
      <c r="K51" s="453"/>
      <c r="L51" s="257">
        <f t="shared" si="3"/>
        <v>0</v>
      </c>
      <c r="M51" s="453"/>
      <c r="N51" s="453"/>
      <c r="O51" s="257">
        <f t="shared" si="4"/>
        <v>0</v>
      </c>
      <c r="P51" s="453"/>
      <c r="Q51" s="453"/>
      <c r="R51" s="257">
        <f t="shared" si="5"/>
        <v>0</v>
      </c>
      <c r="S51" s="453"/>
      <c r="T51" s="453"/>
      <c r="U51" s="257">
        <f t="shared" si="7"/>
        <v>0</v>
      </c>
    </row>
    <row r="52" spans="1:21" s="455" customFormat="1">
      <c r="A52" s="4" t="s">
        <v>48</v>
      </c>
      <c r="B52" s="453">
        <v>17</v>
      </c>
      <c r="C52" s="257">
        <f t="shared" si="1"/>
        <v>0.88357588357588357</v>
      </c>
      <c r="D52" s="453"/>
      <c r="E52" s="453">
        <v>3</v>
      </c>
      <c r="F52" s="257">
        <f t="shared" si="6"/>
        <v>0.51903114186851207</v>
      </c>
      <c r="G52" s="453"/>
      <c r="H52" s="453">
        <v>0</v>
      </c>
      <c r="I52" s="257">
        <f t="shared" si="2"/>
        <v>0</v>
      </c>
      <c r="J52" s="453"/>
      <c r="K52" s="453">
        <v>0</v>
      </c>
      <c r="L52" s="257">
        <f t="shared" si="3"/>
        <v>0</v>
      </c>
      <c r="M52" s="453"/>
      <c r="N52" s="453">
        <v>5</v>
      </c>
      <c r="O52" s="257">
        <f t="shared" si="4"/>
        <v>0.96339113680154131</v>
      </c>
      <c r="P52" s="453"/>
      <c r="Q52" s="453">
        <v>7</v>
      </c>
      <c r="R52" s="257">
        <f t="shared" si="5"/>
        <v>1.10062893081761</v>
      </c>
      <c r="S52" s="453"/>
      <c r="T52" s="453">
        <v>0</v>
      </c>
      <c r="U52" s="257">
        <f t="shared" si="7"/>
        <v>0</v>
      </c>
    </row>
    <row r="53" spans="1:21" s="455" customFormat="1">
      <c r="A53" s="4" t="s">
        <v>47</v>
      </c>
      <c r="B53" s="453">
        <v>5</v>
      </c>
      <c r="C53" s="257">
        <f t="shared" si="1"/>
        <v>0.25987525987525989</v>
      </c>
      <c r="D53" s="453"/>
      <c r="E53" s="453">
        <v>2</v>
      </c>
      <c r="F53" s="257">
        <f t="shared" si="6"/>
        <v>0.34602076124567477</v>
      </c>
      <c r="G53" s="453"/>
      <c r="H53" s="453">
        <v>0</v>
      </c>
      <c r="I53" s="257">
        <f t="shared" si="2"/>
        <v>0</v>
      </c>
      <c r="J53" s="453"/>
      <c r="K53" s="453">
        <v>0</v>
      </c>
      <c r="L53" s="257">
        <f t="shared" si="3"/>
        <v>0</v>
      </c>
      <c r="M53" s="453"/>
      <c r="N53" s="453">
        <v>3</v>
      </c>
      <c r="O53" s="257">
        <f t="shared" si="4"/>
        <v>0.57803468208092479</v>
      </c>
      <c r="P53" s="453"/>
      <c r="Q53" s="453">
        <v>0</v>
      </c>
      <c r="R53" s="257">
        <f t="shared" si="5"/>
        <v>0</v>
      </c>
      <c r="S53" s="453"/>
      <c r="T53" s="453">
        <v>0</v>
      </c>
      <c r="U53" s="257">
        <f t="shared" si="7"/>
        <v>0</v>
      </c>
    </row>
    <row r="54" spans="1:21" s="455" customFormat="1">
      <c r="A54" s="4" t="s">
        <v>46</v>
      </c>
      <c r="B54" s="453">
        <v>6</v>
      </c>
      <c r="C54" s="257">
        <f t="shared" si="1"/>
        <v>0.31185031185031187</v>
      </c>
      <c r="D54" s="453"/>
      <c r="E54" s="453">
        <v>1</v>
      </c>
      <c r="F54" s="257">
        <f t="shared" si="6"/>
        <v>0.17301038062283738</v>
      </c>
      <c r="G54" s="453"/>
      <c r="H54" s="453">
        <v>0</v>
      </c>
      <c r="I54" s="257">
        <f t="shared" si="2"/>
        <v>0</v>
      </c>
      <c r="J54" s="453"/>
      <c r="K54" s="453">
        <v>0</v>
      </c>
      <c r="L54" s="257">
        <f t="shared" si="3"/>
        <v>0</v>
      </c>
      <c r="M54" s="453"/>
      <c r="N54" s="453">
        <v>2</v>
      </c>
      <c r="O54" s="257">
        <f t="shared" si="4"/>
        <v>0.38535645472061658</v>
      </c>
      <c r="P54" s="453"/>
      <c r="Q54" s="453">
        <v>0</v>
      </c>
      <c r="R54" s="257">
        <f t="shared" si="5"/>
        <v>0</v>
      </c>
      <c r="S54" s="453"/>
      <c r="T54" s="453">
        <v>1</v>
      </c>
      <c r="U54" s="257">
        <f t="shared" si="7"/>
        <v>4.7619047619047619</v>
      </c>
    </row>
    <row r="55" spans="1:21" s="455" customFormat="1" ht="8.25" customHeight="1">
      <c r="A55" s="4"/>
      <c r="B55" s="500"/>
      <c r="C55" s="257" t="str">
        <f t="shared" si="1"/>
        <v/>
      </c>
      <c r="D55" s="4"/>
      <c r="E55" s="106"/>
      <c r="F55" s="257" t="str">
        <f t="shared" si="6"/>
        <v/>
      </c>
      <c r="G55" s="257"/>
      <c r="H55" s="4"/>
      <c r="I55" s="257" t="str">
        <f t="shared" si="2"/>
        <v/>
      </c>
      <c r="J55" s="4"/>
      <c r="K55" s="4"/>
      <c r="L55" s="257" t="str">
        <f t="shared" si="3"/>
        <v/>
      </c>
      <c r="M55" s="4"/>
      <c r="N55" s="4"/>
      <c r="O55" s="257" t="str">
        <f t="shared" si="4"/>
        <v/>
      </c>
      <c r="P55" s="4"/>
      <c r="R55" s="257" t="str">
        <f t="shared" si="5"/>
        <v/>
      </c>
      <c r="S55" s="4"/>
      <c r="T55" s="106"/>
      <c r="U55" s="257" t="str">
        <f t="shared" si="7"/>
        <v/>
      </c>
    </row>
    <row r="56" spans="1:21" s="455" customFormat="1">
      <c r="A56" s="4" t="s">
        <v>51</v>
      </c>
      <c r="B56" s="500">
        <f>SUM(B57:B62)</f>
        <v>15</v>
      </c>
      <c r="C56" s="257">
        <f t="shared" si="1"/>
        <v>0.77962577962577972</v>
      </c>
      <c r="D56" s="4"/>
      <c r="E56" s="106">
        <f>SUM(E57:E62)</f>
        <v>4</v>
      </c>
      <c r="F56" s="257">
        <f t="shared" si="6"/>
        <v>0.69204152249134954</v>
      </c>
      <c r="G56" s="257"/>
      <c r="H56" s="501">
        <f>SUM(H57:H62)</f>
        <v>0</v>
      </c>
      <c r="I56" s="257">
        <f t="shared" si="2"/>
        <v>0</v>
      </c>
      <c r="J56" s="4"/>
      <c r="K56" s="501">
        <f>SUM(K57:K62)</f>
        <v>0</v>
      </c>
      <c r="L56" s="257">
        <f t="shared" si="3"/>
        <v>0</v>
      </c>
      <c r="M56" s="4"/>
      <c r="N56" s="4">
        <f>SUM(N57:N62)</f>
        <v>5</v>
      </c>
      <c r="O56" s="257">
        <f t="shared" si="4"/>
        <v>0.96339113680154131</v>
      </c>
      <c r="P56" s="4"/>
      <c r="Q56" s="501">
        <f>SUM(Q57:Q62)</f>
        <v>4</v>
      </c>
      <c r="R56" s="257">
        <f t="shared" si="5"/>
        <v>0.62893081761006298</v>
      </c>
      <c r="S56" s="4"/>
      <c r="T56" s="106">
        <f>SUM(T57:T62)</f>
        <v>1</v>
      </c>
      <c r="U56" s="257">
        <f t="shared" si="7"/>
        <v>4.7619047619047619</v>
      </c>
    </row>
    <row r="57" spans="1:21" s="455" customFormat="1">
      <c r="A57" s="4" t="s">
        <v>1145</v>
      </c>
      <c r="B57" s="453">
        <v>1</v>
      </c>
      <c r="C57" s="257">
        <f t="shared" si="1"/>
        <v>5.1975051975051978E-2</v>
      </c>
      <c r="D57" s="453"/>
      <c r="E57" s="453">
        <v>0</v>
      </c>
      <c r="F57" s="257">
        <f t="shared" si="6"/>
        <v>0</v>
      </c>
      <c r="G57" s="453"/>
      <c r="H57" s="453">
        <v>0</v>
      </c>
      <c r="I57" s="257">
        <f t="shared" si="2"/>
        <v>0</v>
      </c>
      <c r="J57" s="453"/>
      <c r="K57" s="453">
        <v>0</v>
      </c>
      <c r="L57" s="257">
        <f t="shared" si="3"/>
        <v>0</v>
      </c>
      <c r="M57" s="453"/>
      <c r="N57" s="453">
        <v>0</v>
      </c>
      <c r="O57" s="257">
        <f t="shared" si="4"/>
        <v>0</v>
      </c>
      <c r="P57" s="453"/>
      <c r="Q57" s="453">
        <v>1</v>
      </c>
      <c r="R57" s="257">
        <f t="shared" si="5"/>
        <v>0.15723270440251574</v>
      </c>
      <c r="S57" s="453"/>
      <c r="T57" s="453">
        <v>0</v>
      </c>
      <c r="U57" s="257">
        <f t="shared" si="7"/>
        <v>0</v>
      </c>
    </row>
    <row r="58" spans="1:21" s="455" customFormat="1">
      <c r="A58" s="4" t="s">
        <v>52</v>
      </c>
      <c r="B58" s="453">
        <v>1</v>
      </c>
      <c r="C58" s="257">
        <f t="shared" si="1"/>
        <v>5.1975051975051978E-2</v>
      </c>
      <c r="D58" s="453"/>
      <c r="E58" s="453">
        <v>0</v>
      </c>
      <c r="F58" s="257">
        <f t="shared" si="6"/>
        <v>0</v>
      </c>
      <c r="G58" s="453"/>
      <c r="H58" s="453">
        <v>0</v>
      </c>
      <c r="I58" s="257">
        <f t="shared" si="2"/>
        <v>0</v>
      </c>
      <c r="J58" s="453"/>
      <c r="K58" s="453">
        <v>0</v>
      </c>
      <c r="L58" s="257">
        <f t="shared" si="3"/>
        <v>0</v>
      </c>
      <c r="M58" s="453"/>
      <c r="N58" s="453">
        <v>0</v>
      </c>
      <c r="O58" s="257">
        <f t="shared" si="4"/>
        <v>0</v>
      </c>
      <c r="P58" s="453"/>
      <c r="Q58" s="453">
        <v>1</v>
      </c>
      <c r="R58" s="257">
        <f t="shared" si="5"/>
        <v>0.15723270440251574</v>
      </c>
      <c r="S58" s="453"/>
      <c r="T58" s="453">
        <v>0</v>
      </c>
      <c r="U58" s="257">
        <f t="shared" si="7"/>
        <v>0</v>
      </c>
    </row>
    <row r="59" spans="1:21" s="455" customFormat="1">
      <c r="A59" s="4" t="s">
        <v>53</v>
      </c>
      <c r="B59" s="453">
        <v>7</v>
      </c>
      <c r="C59" s="257">
        <f t="shared" si="1"/>
        <v>0.36382536382536385</v>
      </c>
      <c r="D59" s="453"/>
      <c r="E59" s="453">
        <v>2</v>
      </c>
      <c r="F59" s="257">
        <f t="shared" si="6"/>
        <v>0.34602076124567477</v>
      </c>
      <c r="G59" s="453"/>
      <c r="H59" s="453">
        <v>0</v>
      </c>
      <c r="I59" s="257">
        <f t="shared" si="2"/>
        <v>0</v>
      </c>
      <c r="J59" s="453"/>
      <c r="K59" s="453">
        <v>0</v>
      </c>
      <c r="L59" s="257">
        <f t="shared" si="3"/>
        <v>0</v>
      </c>
      <c r="M59" s="453"/>
      <c r="N59" s="453">
        <v>3</v>
      </c>
      <c r="O59" s="257">
        <f t="shared" si="4"/>
        <v>0.57803468208092479</v>
      </c>
      <c r="P59" s="453"/>
      <c r="Q59" s="453">
        <v>0</v>
      </c>
      <c r="R59" s="257">
        <f t="shared" si="5"/>
        <v>0</v>
      </c>
      <c r="S59" s="453"/>
      <c r="T59" s="453">
        <v>0</v>
      </c>
      <c r="U59" s="257">
        <f t="shared" si="7"/>
        <v>0</v>
      </c>
    </row>
    <row r="60" spans="1:21" s="455" customFormat="1">
      <c r="A60" s="4" t="s">
        <v>1146</v>
      </c>
      <c r="B60" s="453"/>
      <c r="C60" s="257">
        <f t="shared" si="1"/>
        <v>0</v>
      </c>
      <c r="D60" s="453"/>
      <c r="E60" s="453"/>
      <c r="F60" s="257">
        <f t="shared" si="6"/>
        <v>0</v>
      </c>
      <c r="G60" s="453"/>
      <c r="H60" s="453"/>
      <c r="I60" s="257">
        <f t="shared" si="2"/>
        <v>0</v>
      </c>
      <c r="J60" s="453"/>
      <c r="K60" s="453"/>
      <c r="L60" s="257">
        <f t="shared" si="3"/>
        <v>0</v>
      </c>
      <c r="M60" s="453"/>
      <c r="N60" s="453"/>
      <c r="O60" s="257">
        <f t="shared" si="4"/>
        <v>0</v>
      </c>
      <c r="P60" s="453"/>
      <c r="Q60" s="453"/>
      <c r="R60" s="257">
        <f t="shared" si="5"/>
        <v>0</v>
      </c>
      <c r="S60" s="453"/>
      <c r="T60" s="453"/>
      <c r="U60" s="257">
        <f t="shared" si="7"/>
        <v>0</v>
      </c>
    </row>
    <row r="61" spans="1:21" s="455" customFormat="1">
      <c r="A61" s="4" t="s">
        <v>1147</v>
      </c>
      <c r="B61" s="453">
        <v>6</v>
      </c>
      <c r="C61" s="257">
        <f t="shared" si="1"/>
        <v>0.31185031185031187</v>
      </c>
      <c r="D61" s="453"/>
      <c r="E61" s="453">
        <v>2</v>
      </c>
      <c r="F61" s="257">
        <f t="shared" si="6"/>
        <v>0.34602076124567477</v>
      </c>
      <c r="G61" s="453"/>
      <c r="H61" s="453">
        <v>0</v>
      </c>
      <c r="I61" s="257">
        <f t="shared" si="2"/>
        <v>0</v>
      </c>
      <c r="J61" s="453"/>
      <c r="K61" s="453">
        <v>0</v>
      </c>
      <c r="L61" s="257">
        <f t="shared" si="3"/>
        <v>0</v>
      </c>
      <c r="M61" s="453"/>
      <c r="N61" s="453">
        <v>2</v>
      </c>
      <c r="O61" s="257">
        <f t="shared" si="4"/>
        <v>0.38535645472061658</v>
      </c>
      <c r="P61" s="453"/>
      <c r="Q61" s="453">
        <v>2</v>
      </c>
      <c r="R61" s="257">
        <f t="shared" si="5"/>
        <v>0.31446540880503149</v>
      </c>
      <c r="S61" s="453"/>
      <c r="T61" s="453">
        <v>1</v>
      </c>
      <c r="U61" s="257">
        <f t="shared" si="7"/>
        <v>4.7619047619047619</v>
      </c>
    </row>
    <row r="62" spans="1:21" s="455" customFormat="1">
      <c r="A62" s="4" t="s">
        <v>56</v>
      </c>
      <c r="B62" s="4"/>
      <c r="C62" s="257">
        <f t="shared" si="1"/>
        <v>0</v>
      </c>
      <c r="D62" s="4"/>
      <c r="E62" s="4"/>
      <c r="F62" s="257">
        <f t="shared" si="6"/>
        <v>0</v>
      </c>
      <c r="G62" s="4"/>
      <c r="H62" s="4"/>
      <c r="I62" s="257">
        <f t="shared" si="2"/>
        <v>0</v>
      </c>
      <c r="J62" s="4"/>
      <c r="K62" s="4"/>
      <c r="L62" s="257">
        <f t="shared" si="3"/>
        <v>0</v>
      </c>
      <c r="M62" s="4"/>
      <c r="N62" s="4"/>
      <c r="O62" s="257">
        <f t="shared" si="4"/>
        <v>0</v>
      </c>
      <c r="P62" s="4"/>
      <c r="Q62" s="4"/>
      <c r="R62" s="257">
        <f t="shared" si="5"/>
        <v>0</v>
      </c>
      <c r="S62" s="4"/>
      <c r="T62" s="4"/>
      <c r="U62" s="257">
        <f t="shared" si="7"/>
        <v>0</v>
      </c>
    </row>
    <row r="63" spans="1:21" s="455" customFormat="1" ht="8.25" customHeight="1">
      <c r="A63" s="4"/>
      <c r="B63" s="500"/>
      <c r="C63" s="257" t="str">
        <f t="shared" si="1"/>
        <v/>
      </c>
      <c r="D63" s="4"/>
      <c r="E63" s="106"/>
      <c r="F63" s="257" t="str">
        <f t="shared" si="6"/>
        <v/>
      </c>
      <c r="G63" s="257"/>
      <c r="H63" s="4"/>
      <c r="I63" s="257" t="str">
        <f t="shared" si="2"/>
        <v/>
      </c>
      <c r="J63" s="4"/>
      <c r="K63" s="4"/>
      <c r="L63" s="257" t="str">
        <f t="shared" si="3"/>
        <v/>
      </c>
      <c r="M63" s="4"/>
      <c r="N63" s="4"/>
      <c r="O63" s="257" t="str">
        <f t="shared" si="4"/>
        <v/>
      </c>
      <c r="P63" s="4"/>
      <c r="R63" s="257" t="str">
        <f t="shared" si="5"/>
        <v/>
      </c>
      <c r="S63" s="4"/>
      <c r="T63" s="106"/>
      <c r="U63" s="257" t="str">
        <f t="shared" si="7"/>
        <v/>
      </c>
    </row>
    <row r="64" spans="1:21" s="455" customFormat="1">
      <c r="A64" s="9" t="s">
        <v>333</v>
      </c>
      <c r="B64" s="500">
        <f>SUM(B66+B74+B76)</f>
        <v>98</v>
      </c>
      <c r="C64" s="257">
        <f t="shared" si="1"/>
        <v>5.0935550935550937</v>
      </c>
      <c r="D64" s="9"/>
      <c r="E64" s="106">
        <f>SUM(E66+E74+E76)</f>
        <v>34</v>
      </c>
      <c r="F64" s="257">
        <f t="shared" si="6"/>
        <v>5.8823529411764701</v>
      </c>
      <c r="G64" s="257"/>
      <c r="H64" s="106">
        <f>SUM(H66+H74+H76)</f>
        <v>0</v>
      </c>
      <c r="I64" s="257">
        <f t="shared" si="2"/>
        <v>0</v>
      </c>
      <c r="J64" s="4"/>
      <c r="K64" s="106">
        <f>SUM(K66+K74+K76)</f>
        <v>1</v>
      </c>
      <c r="L64" s="257">
        <f t="shared" si="3"/>
        <v>3.5714285714285712</v>
      </c>
      <c r="M64" s="4"/>
      <c r="N64" s="106">
        <f>SUM(N66+N74+N76)</f>
        <v>20</v>
      </c>
      <c r="O64" s="257">
        <f t="shared" si="4"/>
        <v>3.8535645472061653</v>
      </c>
      <c r="P64" s="4"/>
      <c r="Q64" s="106">
        <f>SUM(Q66+Q74+Q76)</f>
        <v>34</v>
      </c>
      <c r="R64" s="257">
        <f t="shared" si="5"/>
        <v>5.3459119496855347</v>
      </c>
      <c r="S64" s="4"/>
      <c r="T64" s="106">
        <f>SUM(T66+T74+T76)</f>
        <v>0</v>
      </c>
      <c r="U64" s="257">
        <f t="shared" si="7"/>
        <v>0</v>
      </c>
    </row>
    <row r="65" spans="1:21" s="455" customFormat="1" ht="8.25" customHeight="1">
      <c r="A65" s="4"/>
      <c r="B65" s="500"/>
      <c r="C65" s="257" t="str">
        <f t="shared" si="1"/>
        <v/>
      </c>
      <c r="D65" s="4"/>
      <c r="E65" s="106"/>
      <c r="F65" s="257" t="str">
        <f t="shared" si="6"/>
        <v/>
      </c>
      <c r="G65" s="257"/>
      <c r="H65" s="4"/>
      <c r="I65" s="257" t="str">
        <f t="shared" si="2"/>
        <v/>
      </c>
      <c r="J65" s="4"/>
      <c r="K65" s="4"/>
      <c r="L65" s="257" t="str">
        <f t="shared" si="3"/>
        <v/>
      </c>
      <c r="M65" s="4"/>
      <c r="N65" s="4"/>
      <c r="O65" s="257" t="str">
        <f t="shared" si="4"/>
        <v/>
      </c>
      <c r="P65" s="4"/>
      <c r="R65" s="257" t="str">
        <f t="shared" si="5"/>
        <v/>
      </c>
      <c r="S65" s="4"/>
      <c r="T65" s="106"/>
      <c r="U65" s="257" t="str">
        <f t="shared" si="7"/>
        <v/>
      </c>
    </row>
    <row r="66" spans="1:21" s="455" customFormat="1">
      <c r="A66" s="4" t="s">
        <v>60</v>
      </c>
      <c r="B66" s="500">
        <f>SUM(B67:B72)</f>
        <v>60</v>
      </c>
      <c r="C66" s="257">
        <f t="shared" si="1"/>
        <v>3.1185031185031189</v>
      </c>
      <c r="D66" s="4"/>
      <c r="E66" s="106">
        <f>SUM(E67:E72)</f>
        <v>20</v>
      </c>
      <c r="F66" s="257">
        <f t="shared" si="6"/>
        <v>3.4602076124567476</v>
      </c>
      <c r="G66" s="257"/>
      <c r="H66" s="4">
        <f>SUM(H67:H72)</f>
        <v>0</v>
      </c>
      <c r="I66" s="257">
        <f t="shared" si="2"/>
        <v>0</v>
      </c>
      <c r="J66" s="4"/>
      <c r="K66" s="4">
        <f>SUM(K67:K72)</f>
        <v>1</v>
      </c>
      <c r="L66" s="257">
        <f t="shared" si="3"/>
        <v>3.5714285714285712</v>
      </c>
      <c r="M66" s="4"/>
      <c r="N66" s="4">
        <f>SUM(N67:N72)</f>
        <v>8</v>
      </c>
      <c r="O66" s="257">
        <f t="shared" si="4"/>
        <v>1.5414258188824663</v>
      </c>
      <c r="P66" s="4"/>
      <c r="Q66" s="4">
        <f>SUM(Q67:Q72)</f>
        <v>21</v>
      </c>
      <c r="R66" s="257">
        <f t="shared" si="5"/>
        <v>3.3018867924528301</v>
      </c>
      <c r="S66" s="4"/>
      <c r="T66" s="106">
        <f>SUM(T67:T72)</f>
        <v>0</v>
      </c>
      <c r="U66" s="257">
        <f t="shared" si="7"/>
        <v>0</v>
      </c>
    </row>
    <row r="67" spans="1:21" s="455" customFormat="1">
      <c r="A67" s="4" t="s">
        <v>1148</v>
      </c>
      <c r="B67" s="453"/>
      <c r="C67" s="257">
        <f t="shared" si="1"/>
        <v>0</v>
      </c>
      <c r="D67" s="453"/>
      <c r="E67" s="453"/>
      <c r="F67" s="257">
        <f t="shared" si="6"/>
        <v>0</v>
      </c>
      <c r="G67" s="453"/>
      <c r="H67" s="453"/>
      <c r="I67" s="257">
        <f t="shared" si="2"/>
        <v>0</v>
      </c>
      <c r="J67" s="453"/>
      <c r="K67" s="453"/>
      <c r="L67" s="257">
        <f t="shared" si="3"/>
        <v>0</v>
      </c>
      <c r="M67" s="453"/>
      <c r="N67" s="453"/>
      <c r="O67" s="257">
        <f t="shared" si="4"/>
        <v>0</v>
      </c>
      <c r="P67" s="453"/>
      <c r="Q67" s="453"/>
      <c r="R67" s="257">
        <f t="shared" si="5"/>
        <v>0</v>
      </c>
      <c r="S67" s="453"/>
      <c r="T67" s="453"/>
      <c r="U67" s="257">
        <f t="shared" si="7"/>
        <v>0</v>
      </c>
    </row>
    <row r="68" spans="1:21" s="455" customFormat="1">
      <c r="A68" s="4" t="s">
        <v>61</v>
      </c>
      <c r="B68" s="453">
        <v>18</v>
      </c>
      <c r="C68" s="257">
        <f t="shared" si="1"/>
        <v>0.9355509355509356</v>
      </c>
      <c r="D68" s="453"/>
      <c r="E68" s="453">
        <v>6</v>
      </c>
      <c r="F68" s="257">
        <f t="shared" si="6"/>
        <v>1.0380622837370241</v>
      </c>
      <c r="G68" s="453"/>
      <c r="H68" s="453">
        <v>0</v>
      </c>
      <c r="I68" s="257">
        <f t="shared" si="2"/>
        <v>0</v>
      </c>
      <c r="J68" s="453"/>
      <c r="K68" s="453">
        <v>0</v>
      </c>
      <c r="L68" s="257">
        <f t="shared" si="3"/>
        <v>0</v>
      </c>
      <c r="M68" s="453"/>
      <c r="N68" s="453">
        <v>3</v>
      </c>
      <c r="O68" s="257">
        <f t="shared" si="4"/>
        <v>0.57803468208092479</v>
      </c>
      <c r="P68" s="453"/>
      <c r="Q68" s="453">
        <v>6</v>
      </c>
      <c r="R68" s="257">
        <f t="shared" si="5"/>
        <v>0.94339622641509435</v>
      </c>
      <c r="S68" s="453"/>
      <c r="T68" s="453">
        <v>0</v>
      </c>
      <c r="U68" s="257">
        <f t="shared" si="7"/>
        <v>0</v>
      </c>
    </row>
    <row r="69" spans="1:21" s="455" customFormat="1">
      <c r="A69" s="4" t="s">
        <v>62</v>
      </c>
      <c r="B69" s="453">
        <v>23</v>
      </c>
      <c r="C69" s="257">
        <f t="shared" si="1"/>
        <v>1.1954261954261955</v>
      </c>
      <c r="D69" s="453"/>
      <c r="E69" s="453">
        <v>7</v>
      </c>
      <c r="F69" s="257">
        <f t="shared" si="6"/>
        <v>1.2110726643598615</v>
      </c>
      <c r="G69" s="453"/>
      <c r="H69" s="453">
        <v>0</v>
      </c>
      <c r="I69" s="257">
        <f t="shared" si="2"/>
        <v>0</v>
      </c>
      <c r="J69" s="453"/>
      <c r="K69" s="453">
        <v>0</v>
      </c>
      <c r="L69" s="257">
        <f t="shared" si="3"/>
        <v>0</v>
      </c>
      <c r="M69" s="453"/>
      <c r="N69" s="453">
        <v>2</v>
      </c>
      <c r="O69" s="257">
        <f t="shared" si="4"/>
        <v>0.38535645472061658</v>
      </c>
      <c r="P69" s="453"/>
      <c r="Q69" s="453">
        <v>9</v>
      </c>
      <c r="R69" s="257">
        <f t="shared" si="5"/>
        <v>1.4150943396226416</v>
      </c>
      <c r="S69" s="453"/>
      <c r="T69" s="453">
        <v>0</v>
      </c>
      <c r="U69" s="257">
        <f t="shared" si="7"/>
        <v>0</v>
      </c>
    </row>
    <row r="70" spans="1:21" s="455" customFormat="1">
      <c r="A70" s="4" t="s">
        <v>64</v>
      </c>
      <c r="B70" s="453">
        <v>6</v>
      </c>
      <c r="C70" s="257">
        <f t="shared" si="1"/>
        <v>0.31185031185031187</v>
      </c>
      <c r="D70" s="453"/>
      <c r="E70" s="453">
        <v>2</v>
      </c>
      <c r="F70" s="257">
        <f t="shared" si="6"/>
        <v>0.34602076124567477</v>
      </c>
      <c r="G70" s="453"/>
      <c r="H70" s="453">
        <v>0</v>
      </c>
      <c r="I70" s="257">
        <f t="shared" si="2"/>
        <v>0</v>
      </c>
      <c r="J70" s="453"/>
      <c r="K70" s="453">
        <v>1</v>
      </c>
      <c r="L70" s="257">
        <f t="shared" si="3"/>
        <v>3.5714285714285712</v>
      </c>
      <c r="M70" s="453"/>
      <c r="N70" s="453">
        <v>1</v>
      </c>
      <c r="O70" s="257">
        <f t="shared" si="4"/>
        <v>0.19267822736030829</v>
      </c>
      <c r="P70" s="453"/>
      <c r="Q70" s="453">
        <v>3</v>
      </c>
      <c r="R70" s="257">
        <f t="shared" si="5"/>
        <v>0.47169811320754718</v>
      </c>
      <c r="S70" s="453"/>
      <c r="T70" s="453">
        <v>0</v>
      </c>
      <c r="U70" s="257">
        <f t="shared" si="7"/>
        <v>0</v>
      </c>
    </row>
    <row r="71" spans="1:21" s="455" customFormat="1">
      <c r="A71" s="4" t="s">
        <v>1149</v>
      </c>
      <c r="B71" s="453">
        <v>4</v>
      </c>
      <c r="C71" s="257">
        <f t="shared" si="1"/>
        <v>0.20790020790020791</v>
      </c>
      <c r="D71" s="453"/>
      <c r="E71" s="453">
        <v>1</v>
      </c>
      <c r="F71" s="257">
        <f t="shared" si="6"/>
        <v>0.17301038062283738</v>
      </c>
      <c r="G71" s="453"/>
      <c r="H71" s="453">
        <v>0</v>
      </c>
      <c r="I71" s="257">
        <f t="shared" si="2"/>
        <v>0</v>
      </c>
      <c r="J71" s="453"/>
      <c r="K71" s="453">
        <v>0</v>
      </c>
      <c r="L71" s="257">
        <f t="shared" si="3"/>
        <v>0</v>
      </c>
      <c r="M71" s="453"/>
      <c r="N71" s="453">
        <v>0</v>
      </c>
      <c r="O71" s="257">
        <f t="shared" si="4"/>
        <v>0</v>
      </c>
      <c r="P71" s="453"/>
      <c r="Q71" s="453">
        <v>2</v>
      </c>
      <c r="R71" s="257">
        <f t="shared" si="5"/>
        <v>0.31446540880503149</v>
      </c>
      <c r="S71" s="453"/>
      <c r="T71" s="453">
        <v>0</v>
      </c>
      <c r="U71" s="257">
        <f t="shared" si="7"/>
        <v>0</v>
      </c>
    </row>
    <row r="72" spans="1:21" s="455" customFormat="1">
      <c r="A72" s="4" t="s">
        <v>63</v>
      </c>
      <c r="B72" s="453">
        <v>9</v>
      </c>
      <c r="C72" s="257">
        <f t="shared" si="1"/>
        <v>0.4677754677754678</v>
      </c>
      <c r="D72" s="453"/>
      <c r="E72" s="453">
        <v>4</v>
      </c>
      <c r="F72" s="257">
        <f t="shared" si="6"/>
        <v>0.69204152249134954</v>
      </c>
      <c r="G72" s="453"/>
      <c r="H72" s="453">
        <v>0</v>
      </c>
      <c r="I72" s="257">
        <f t="shared" si="2"/>
        <v>0</v>
      </c>
      <c r="J72" s="453"/>
      <c r="K72" s="453">
        <v>0</v>
      </c>
      <c r="L72" s="257">
        <f t="shared" si="3"/>
        <v>0</v>
      </c>
      <c r="M72" s="453"/>
      <c r="N72" s="453">
        <v>2</v>
      </c>
      <c r="O72" s="257">
        <f t="shared" si="4"/>
        <v>0.38535645472061658</v>
      </c>
      <c r="P72" s="453"/>
      <c r="Q72" s="453">
        <v>1</v>
      </c>
      <c r="R72" s="257">
        <f t="shared" si="5"/>
        <v>0.15723270440251574</v>
      </c>
      <c r="S72" s="453"/>
      <c r="T72" s="453">
        <v>0</v>
      </c>
      <c r="U72" s="257">
        <f t="shared" si="7"/>
        <v>0</v>
      </c>
    </row>
    <row r="73" spans="1:21" s="455" customFormat="1" ht="8.25" customHeight="1">
      <c r="A73" s="4"/>
      <c r="B73" s="453"/>
      <c r="C73" s="257" t="str">
        <f t="shared" si="1"/>
        <v/>
      </c>
      <c r="D73" s="453"/>
      <c r="E73" s="453"/>
      <c r="F73" s="257" t="str">
        <f t="shared" si="6"/>
        <v/>
      </c>
      <c r="G73" s="453"/>
      <c r="H73" s="453"/>
      <c r="I73" s="257" t="str">
        <f t="shared" si="2"/>
        <v/>
      </c>
      <c r="J73" s="453"/>
      <c r="K73" s="453"/>
      <c r="L73" s="257" t="str">
        <f t="shared" si="3"/>
        <v/>
      </c>
      <c r="M73" s="453"/>
      <c r="N73" s="453"/>
      <c r="O73" s="257" t="str">
        <f t="shared" si="4"/>
        <v/>
      </c>
      <c r="P73" s="453"/>
      <c r="Q73" s="453"/>
      <c r="R73" s="257" t="str">
        <f t="shared" si="5"/>
        <v/>
      </c>
      <c r="S73" s="453"/>
      <c r="T73" s="453"/>
      <c r="U73" s="257" t="str">
        <f t="shared" si="7"/>
        <v/>
      </c>
    </row>
    <row r="74" spans="1:21" s="455" customFormat="1">
      <c r="A74" s="4" t="s">
        <v>66</v>
      </c>
      <c r="B74" s="453">
        <v>9</v>
      </c>
      <c r="C74" s="257">
        <f t="shared" si="1"/>
        <v>0.4677754677754678</v>
      </c>
      <c r="D74" s="453"/>
      <c r="E74" s="453">
        <v>3</v>
      </c>
      <c r="F74" s="257">
        <f t="shared" si="6"/>
        <v>0.51903114186851207</v>
      </c>
      <c r="G74" s="453"/>
      <c r="H74" s="453">
        <v>0</v>
      </c>
      <c r="I74" s="257">
        <f t="shared" si="2"/>
        <v>0</v>
      </c>
      <c r="J74" s="453"/>
      <c r="K74" s="453">
        <v>0</v>
      </c>
      <c r="L74" s="257">
        <f t="shared" si="3"/>
        <v>0</v>
      </c>
      <c r="M74" s="453"/>
      <c r="N74" s="453">
        <v>3</v>
      </c>
      <c r="O74" s="257">
        <f t="shared" si="4"/>
        <v>0.57803468208092479</v>
      </c>
      <c r="P74" s="453"/>
      <c r="Q74" s="453">
        <v>5</v>
      </c>
      <c r="R74" s="257">
        <f t="shared" si="5"/>
        <v>0.78616352201257866</v>
      </c>
      <c r="S74" s="453"/>
      <c r="T74" s="453">
        <v>0</v>
      </c>
      <c r="U74" s="257">
        <f t="shared" si="7"/>
        <v>0</v>
      </c>
    </row>
    <row r="75" spans="1:21" s="455" customFormat="1" ht="8.25" customHeight="1">
      <c r="A75" s="4"/>
      <c r="B75" s="453"/>
      <c r="C75" s="257" t="str">
        <f t="shared" si="1"/>
        <v/>
      </c>
      <c r="D75" s="453"/>
      <c r="E75" s="453"/>
      <c r="F75" s="257" t="str">
        <f t="shared" si="6"/>
        <v/>
      </c>
      <c r="G75" s="453"/>
      <c r="H75" s="453"/>
      <c r="I75" s="257" t="str">
        <f t="shared" si="2"/>
        <v/>
      </c>
      <c r="J75" s="453"/>
      <c r="K75" s="453"/>
      <c r="L75" s="257" t="str">
        <f t="shared" si="3"/>
        <v/>
      </c>
      <c r="M75" s="453"/>
      <c r="N75" s="453"/>
      <c r="O75" s="257" t="str">
        <f t="shared" si="4"/>
        <v/>
      </c>
      <c r="P75" s="453"/>
      <c r="Q75" s="453"/>
      <c r="R75" s="257" t="str">
        <f t="shared" si="5"/>
        <v/>
      </c>
      <c r="S75" s="453"/>
      <c r="T75" s="453"/>
      <c r="U75" s="257" t="str">
        <f t="shared" si="7"/>
        <v/>
      </c>
    </row>
    <row r="76" spans="1:21" s="455" customFormat="1">
      <c r="A76" s="4" t="s">
        <v>67</v>
      </c>
      <c r="B76" s="453">
        <v>29</v>
      </c>
      <c r="C76" s="257">
        <f t="shared" si="1"/>
        <v>1.5072765072765073</v>
      </c>
      <c r="D76" s="453"/>
      <c r="E76" s="453">
        <v>11</v>
      </c>
      <c r="F76" s="257">
        <f t="shared" si="6"/>
        <v>1.9031141868512111</v>
      </c>
      <c r="G76" s="453"/>
      <c r="H76" s="453">
        <v>0</v>
      </c>
      <c r="I76" s="257">
        <f t="shared" si="2"/>
        <v>0</v>
      </c>
      <c r="J76" s="453"/>
      <c r="K76" s="453">
        <v>0</v>
      </c>
      <c r="L76" s="257">
        <f t="shared" si="3"/>
        <v>0</v>
      </c>
      <c r="M76" s="453"/>
      <c r="N76" s="453">
        <v>9</v>
      </c>
      <c r="O76" s="257">
        <f t="shared" si="4"/>
        <v>1.7341040462427744</v>
      </c>
      <c r="P76" s="453"/>
      <c r="Q76" s="453">
        <v>8</v>
      </c>
      <c r="R76" s="257">
        <f t="shared" si="5"/>
        <v>1.257861635220126</v>
      </c>
      <c r="S76" s="453"/>
      <c r="T76" s="453">
        <v>0</v>
      </c>
      <c r="U76" s="257">
        <f t="shared" si="7"/>
        <v>0</v>
      </c>
    </row>
    <row r="77" spans="1:21" s="455" customFormat="1">
      <c r="A77" s="4"/>
      <c r="B77" s="453"/>
      <c r="C77" s="257"/>
      <c r="D77" s="453"/>
      <c r="E77" s="453"/>
      <c r="F77" s="257"/>
      <c r="G77" s="453"/>
      <c r="H77" s="453"/>
      <c r="I77" s="257"/>
      <c r="J77" s="453"/>
      <c r="K77" s="453"/>
      <c r="L77" s="257"/>
      <c r="M77" s="453"/>
      <c r="N77" s="453"/>
      <c r="O77" s="257"/>
      <c r="P77" s="453"/>
      <c r="Q77" s="453"/>
      <c r="R77" s="257"/>
      <c r="S77" s="453"/>
      <c r="T77" s="453"/>
      <c r="U77" s="257"/>
    </row>
    <row r="78" spans="1:21" s="455" customFormat="1">
      <c r="A78" s="9" t="s">
        <v>396</v>
      </c>
      <c r="B78" s="500">
        <f>SUM(B80)</f>
        <v>101</v>
      </c>
      <c r="C78" s="257">
        <f>IF($A78&lt;&gt;0,B78/B$11*100,"")</f>
        <v>5.2494802494802499</v>
      </c>
      <c r="D78" s="9"/>
      <c r="E78" s="106">
        <f>SUM(E80)</f>
        <v>27</v>
      </c>
      <c r="F78" s="257">
        <f>IF($A78&lt;&gt;0,E78/E$11*100,"")</f>
        <v>4.6712802768166091</v>
      </c>
      <c r="G78" s="257"/>
      <c r="H78" s="4">
        <f>SUM(H80)</f>
        <v>0</v>
      </c>
      <c r="I78" s="257">
        <f>IF($A78&lt;&gt;0,H78/H$11*100,"")</f>
        <v>0</v>
      </c>
      <c r="J78" s="4"/>
      <c r="K78" s="4">
        <f>SUM(K80)</f>
        <v>0</v>
      </c>
      <c r="L78" s="257">
        <f>IF($A78&lt;&gt;0,K78/K$11*100,"")</f>
        <v>0</v>
      </c>
      <c r="M78" s="4"/>
      <c r="N78" s="4">
        <f>SUM(N80)</f>
        <v>27</v>
      </c>
      <c r="O78" s="257">
        <f>IF(A78&lt;&gt;0,N78/$N$11*100,"")</f>
        <v>5.202312138728324</v>
      </c>
      <c r="P78" s="4"/>
      <c r="Q78" s="4">
        <f>SUM(Q80)</f>
        <v>32</v>
      </c>
      <c r="R78" s="257">
        <f>IF($A78&lt;&gt;0,Q78/Q$11*100,"")</f>
        <v>5.0314465408805038</v>
      </c>
      <c r="S78" s="4"/>
      <c r="T78" s="4">
        <f>SUM(T80)</f>
        <v>1</v>
      </c>
      <c r="U78" s="257">
        <f t="shared" ref="U78:U90" si="8">IF(A78&lt;&gt;0,T78/$T$11*100,"")</f>
        <v>4.7619047619047619</v>
      </c>
    </row>
    <row r="79" spans="1:21" s="455" customFormat="1">
      <c r="A79" s="4"/>
      <c r="B79" s="500"/>
      <c r="C79" s="257" t="str">
        <f>IF($A79&lt;&gt;0,B79/B$11*100,"")</f>
        <v/>
      </c>
      <c r="D79" s="4"/>
      <c r="E79" s="106"/>
      <c r="F79" s="257" t="str">
        <f t="shared" ref="F79:F90" si="9">IF($A79&lt;&gt;0,E79/E$11*100,"")</f>
        <v/>
      </c>
      <c r="G79" s="257"/>
      <c r="H79" s="4"/>
      <c r="I79" s="257" t="str">
        <f>IF($A79&lt;&gt;0,H79/H$11*100,"")</f>
        <v/>
      </c>
      <c r="J79" s="4"/>
      <c r="K79" s="4"/>
      <c r="L79" s="257" t="str">
        <f>IF($A79&lt;&gt;0,K79/K$11*100,"")</f>
        <v/>
      </c>
      <c r="M79" s="4"/>
      <c r="N79" s="4"/>
      <c r="O79" s="257" t="str">
        <f>IF(A79&lt;&gt;0,N79/$N$11*100,"")</f>
        <v/>
      </c>
      <c r="P79" s="4"/>
      <c r="R79" s="257" t="str">
        <f>IF($A79&lt;&gt;0,Q79/Q$11*100,"")</f>
        <v/>
      </c>
      <c r="S79" s="4"/>
      <c r="U79" s="257" t="str">
        <f t="shared" si="8"/>
        <v/>
      </c>
    </row>
    <row r="80" spans="1:21" s="455" customFormat="1">
      <c r="A80" s="4" t="s">
        <v>75</v>
      </c>
      <c r="B80" s="500">
        <f>SUM(B81:B90)</f>
        <v>101</v>
      </c>
      <c r="C80" s="257">
        <f>IF($A80&lt;&gt;0,B80/B$11*100,"")</f>
        <v>5.2494802494802499</v>
      </c>
      <c r="D80" s="4"/>
      <c r="E80" s="106">
        <f>SUM(E81:E90)</f>
        <v>27</v>
      </c>
      <c r="F80" s="257">
        <f t="shared" si="9"/>
        <v>4.6712802768166091</v>
      </c>
      <c r="G80" s="257"/>
      <c r="H80" s="4">
        <f>SUM(H81:H90)</f>
        <v>0</v>
      </c>
      <c r="I80" s="257">
        <f>IF($A80&lt;&gt;0,H80/H$11*100,"")</f>
        <v>0</v>
      </c>
      <c r="J80" s="4"/>
      <c r="K80" s="4">
        <f>SUM(K81:K90)</f>
        <v>0</v>
      </c>
      <c r="L80" s="257">
        <f>IF($A80&lt;&gt;0,K80/K$11*100,"")</f>
        <v>0</v>
      </c>
      <c r="M80" s="4"/>
      <c r="N80" s="4">
        <f>SUM(N81:N90)</f>
        <v>27</v>
      </c>
      <c r="O80" s="257">
        <f>IF(A80&lt;&gt;0,N80/$N$11*100,"")</f>
        <v>5.202312138728324</v>
      </c>
      <c r="P80" s="4"/>
      <c r="Q80" s="4">
        <f>SUM(Q81:Q90)</f>
        <v>32</v>
      </c>
      <c r="R80" s="257">
        <f>IF($A80&lt;&gt;0,Q80/Q$11*100,"")</f>
        <v>5.0314465408805038</v>
      </c>
      <c r="S80" s="4"/>
      <c r="T80" s="4">
        <f>SUM(T81:T90)</f>
        <v>1</v>
      </c>
      <c r="U80" s="257">
        <f t="shared" si="8"/>
        <v>4.7619047619047619</v>
      </c>
    </row>
    <row r="81" spans="1:21" s="455" customFormat="1">
      <c r="A81" s="4" t="s">
        <v>1151</v>
      </c>
      <c r="B81" s="4"/>
      <c r="C81" s="257">
        <f t="shared" ref="C81:C90" si="10">IF($A81&lt;&gt;0,B81/B$11*100,"")</f>
        <v>0</v>
      </c>
      <c r="D81" s="4"/>
      <c r="E81" s="4"/>
      <c r="F81" s="257">
        <f t="shared" si="9"/>
        <v>0</v>
      </c>
      <c r="G81" s="4"/>
      <c r="H81" s="4"/>
      <c r="I81" s="257">
        <f t="shared" ref="I81:I90" si="11">IF($A81&lt;&gt;0,H81/H$11*100,"")</f>
        <v>0</v>
      </c>
      <c r="J81" s="4"/>
      <c r="K81" s="4"/>
      <c r="L81" s="257">
        <f t="shared" ref="L81:L90" si="12">IF($A81&lt;&gt;0,K81/K$11*100,"")</f>
        <v>0</v>
      </c>
      <c r="M81" s="4"/>
      <c r="N81" s="4"/>
      <c r="O81" s="257">
        <f t="shared" ref="O81:O90" si="13">IF(A81&lt;&gt;0,N81/$N$11*100,"")</f>
        <v>0</v>
      </c>
      <c r="P81" s="4"/>
      <c r="Q81" s="4"/>
      <c r="R81" s="257">
        <f t="shared" ref="R81:R90" si="14">IF($A81&lt;&gt;0,Q81/Q$11*100,"")</f>
        <v>0</v>
      </c>
      <c r="S81" s="4"/>
      <c r="T81" s="4"/>
      <c r="U81" s="257">
        <f t="shared" si="8"/>
        <v>0</v>
      </c>
    </row>
    <row r="82" spans="1:21" s="455" customFormat="1">
      <c r="A82" s="4" t="s">
        <v>76</v>
      </c>
      <c r="B82" s="453">
        <v>44</v>
      </c>
      <c r="C82" s="257">
        <f t="shared" si="10"/>
        <v>2.2869022869022873</v>
      </c>
      <c r="D82" s="453"/>
      <c r="E82" s="453">
        <v>8</v>
      </c>
      <c r="F82" s="257">
        <f t="shared" si="9"/>
        <v>1.3840830449826991</v>
      </c>
      <c r="G82" s="453"/>
      <c r="H82" s="453">
        <v>0</v>
      </c>
      <c r="I82" s="257">
        <f t="shared" si="11"/>
        <v>0</v>
      </c>
      <c r="J82" s="453"/>
      <c r="K82" s="453">
        <v>0</v>
      </c>
      <c r="L82" s="257">
        <f t="shared" si="12"/>
        <v>0</v>
      </c>
      <c r="M82" s="453"/>
      <c r="N82" s="453">
        <v>13</v>
      </c>
      <c r="O82" s="257">
        <f t="shared" si="13"/>
        <v>2.5048169556840074</v>
      </c>
      <c r="P82" s="453"/>
      <c r="Q82" s="453">
        <v>21</v>
      </c>
      <c r="R82" s="257">
        <f t="shared" si="14"/>
        <v>3.3018867924528301</v>
      </c>
      <c r="S82" s="453"/>
      <c r="T82" s="453">
        <v>0</v>
      </c>
      <c r="U82" s="257">
        <f t="shared" si="8"/>
        <v>0</v>
      </c>
    </row>
    <row r="83" spans="1:21" s="455" customFormat="1">
      <c r="A83" s="4" t="s">
        <v>78</v>
      </c>
      <c r="B83" s="453">
        <v>15</v>
      </c>
      <c r="C83" s="257">
        <f t="shared" si="10"/>
        <v>0.77962577962577972</v>
      </c>
      <c r="D83" s="453"/>
      <c r="E83" s="453">
        <v>3</v>
      </c>
      <c r="F83" s="257">
        <f t="shared" si="9"/>
        <v>0.51903114186851207</v>
      </c>
      <c r="G83" s="453"/>
      <c r="H83" s="453">
        <v>0</v>
      </c>
      <c r="I83" s="257">
        <f t="shared" si="11"/>
        <v>0</v>
      </c>
      <c r="J83" s="453"/>
      <c r="K83" s="453">
        <v>0</v>
      </c>
      <c r="L83" s="257">
        <f t="shared" si="12"/>
        <v>0</v>
      </c>
      <c r="M83" s="453"/>
      <c r="N83" s="453">
        <v>5</v>
      </c>
      <c r="O83" s="257">
        <f t="shared" si="13"/>
        <v>0.96339113680154131</v>
      </c>
      <c r="P83" s="453"/>
      <c r="Q83" s="453">
        <v>0</v>
      </c>
      <c r="R83" s="257">
        <f t="shared" si="14"/>
        <v>0</v>
      </c>
      <c r="S83" s="453"/>
      <c r="T83" s="453">
        <v>1</v>
      </c>
      <c r="U83" s="257">
        <f t="shared" si="8"/>
        <v>4.7619047619047619</v>
      </c>
    </row>
    <row r="84" spans="1:21" s="455" customFormat="1">
      <c r="A84" s="4" t="s">
        <v>80</v>
      </c>
      <c r="B84" s="453">
        <v>7</v>
      </c>
      <c r="C84" s="257">
        <f t="shared" si="10"/>
        <v>0.36382536382536385</v>
      </c>
      <c r="D84" s="453"/>
      <c r="E84" s="453">
        <v>4</v>
      </c>
      <c r="F84" s="257">
        <f t="shared" si="9"/>
        <v>0.69204152249134954</v>
      </c>
      <c r="G84" s="453"/>
      <c r="H84" s="453">
        <v>0</v>
      </c>
      <c r="I84" s="257">
        <f t="shared" si="11"/>
        <v>0</v>
      </c>
      <c r="J84" s="453"/>
      <c r="K84" s="453">
        <v>0</v>
      </c>
      <c r="L84" s="257">
        <f t="shared" si="12"/>
        <v>0</v>
      </c>
      <c r="M84" s="453"/>
      <c r="N84" s="453">
        <v>1</v>
      </c>
      <c r="O84" s="257">
        <f t="shared" si="13"/>
        <v>0.19267822736030829</v>
      </c>
      <c r="P84" s="453"/>
      <c r="Q84" s="453">
        <v>1</v>
      </c>
      <c r="R84" s="257">
        <f t="shared" si="14"/>
        <v>0.15723270440251574</v>
      </c>
      <c r="S84" s="453"/>
      <c r="T84" s="453">
        <v>0</v>
      </c>
      <c r="U84" s="257">
        <f t="shared" si="8"/>
        <v>0</v>
      </c>
    </row>
    <row r="85" spans="1:21" s="455" customFormat="1">
      <c r="A85" s="4" t="s">
        <v>79</v>
      </c>
      <c r="B85" s="453">
        <v>1</v>
      </c>
      <c r="C85" s="257">
        <f t="shared" si="10"/>
        <v>5.1975051975051978E-2</v>
      </c>
      <c r="D85" s="453"/>
      <c r="E85" s="453">
        <v>1</v>
      </c>
      <c r="F85" s="257">
        <f t="shared" si="9"/>
        <v>0.17301038062283738</v>
      </c>
      <c r="G85" s="453"/>
      <c r="H85" s="453">
        <v>0</v>
      </c>
      <c r="I85" s="257">
        <f t="shared" si="11"/>
        <v>0</v>
      </c>
      <c r="J85" s="453"/>
      <c r="K85" s="453">
        <v>0</v>
      </c>
      <c r="L85" s="257">
        <f t="shared" si="12"/>
        <v>0</v>
      </c>
      <c r="M85" s="453"/>
      <c r="N85" s="453">
        <v>0</v>
      </c>
      <c r="O85" s="257">
        <f t="shared" si="13"/>
        <v>0</v>
      </c>
      <c r="P85" s="453"/>
      <c r="Q85" s="453">
        <v>0</v>
      </c>
      <c r="R85" s="257">
        <f t="shared" si="14"/>
        <v>0</v>
      </c>
      <c r="S85" s="453"/>
      <c r="T85" s="453">
        <v>0</v>
      </c>
      <c r="U85" s="257">
        <f t="shared" si="8"/>
        <v>0</v>
      </c>
    </row>
    <row r="86" spans="1:21" s="455" customFormat="1">
      <c r="A86" s="4" t="s">
        <v>77</v>
      </c>
      <c r="B86" s="453">
        <v>8</v>
      </c>
      <c r="C86" s="257">
        <f t="shared" si="10"/>
        <v>0.41580041580041582</v>
      </c>
      <c r="D86" s="453"/>
      <c r="E86" s="453">
        <v>1</v>
      </c>
      <c r="F86" s="257">
        <f t="shared" si="9"/>
        <v>0.17301038062283738</v>
      </c>
      <c r="G86" s="453"/>
      <c r="H86" s="453">
        <v>0</v>
      </c>
      <c r="I86" s="257">
        <f t="shared" si="11"/>
        <v>0</v>
      </c>
      <c r="J86" s="453"/>
      <c r="K86" s="453">
        <v>0</v>
      </c>
      <c r="L86" s="257">
        <f t="shared" si="12"/>
        <v>0</v>
      </c>
      <c r="M86" s="453"/>
      <c r="N86" s="453">
        <v>0</v>
      </c>
      <c r="O86" s="257">
        <f t="shared" si="13"/>
        <v>0</v>
      </c>
      <c r="P86" s="453"/>
      <c r="Q86" s="453">
        <v>3</v>
      </c>
      <c r="R86" s="257">
        <f t="shared" si="14"/>
        <v>0.47169811320754718</v>
      </c>
      <c r="S86" s="453"/>
      <c r="T86" s="453">
        <v>0</v>
      </c>
      <c r="U86" s="257">
        <f t="shared" si="8"/>
        <v>0</v>
      </c>
    </row>
    <row r="87" spans="1:21" s="455" customFormat="1">
      <c r="A87" s="4" t="s">
        <v>339</v>
      </c>
      <c r="B87" s="453">
        <v>5</v>
      </c>
      <c r="C87" s="257">
        <f t="shared" si="10"/>
        <v>0.25987525987525989</v>
      </c>
      <c r="D87" s="453"/>
      <c r="E87" s="453">
        <v>1</v>
      </c>
      <c r="F87" s="257">
        <f t="shared" si="9"/>
        <v>0.17301038062283738</v>
      </c>
      <c r="G87" s="453"/>
      <c r="H87" s="453">
        <v>0</v>
      </c>
      <c r="I87" s="257">
        <f t="shared" si="11"/>
        <v>0</v>
      </c>
      <c r="J87" s="453"/>
      <c r="K87" s="453">
        <v>0</v>
      </c>
      <c r="L87" s="257">
        <f t="shared" si="12"/>
        <v>0</v>
      </c>
      <c r="M87" s="453"/>
      <c r="N87" s="453">
        <v>2</v>
      </c>
      <c r="O87" s="257">
        <f t="shared" si="13"/>
        <v>0.38535645472061658</v>
      </c>
      <c r="P87" s="453"/>
      <c r="Q87" s="453">
        <v>0</v>
      </c>
      <c r="R87" s="257">
        <f t="shared" si="14"/>
        <v>0</v>
      </c>
      <c r="S87" s="453"/>
      <c r="T87" s="453">
        <v>0</v>
      </c>
      <c r="U87" s="257">
        <f t="shared" si="8"/>
        <v>0</v>
      </c>
    </row>
    <row r="88" spans="1:21" s="455" customFormat="1">
      <c r="A88" s="4" t="s">
        <v>81</v>
      </c>
      <c r="B88" s="453">
        <v>8</v>
      </c>
      <c r="C88" s="257">
        <f t="shared" si="10"/>
        <v>0.41580041580041582</v>
      </c>
      <c r="D88" s="453"/>
      <c r="E88" s="453">
        <v>2</v>
      </c>
      <c r="F88" s="257">
        <f t="shared" si="9"/>
        <v>0.34602076124567477</v>
      </c>
      <c r="G88" s="453"/>
      <c r="H88" s="453">
        <v>0</v>
      </c>
      <c r="I88" s="257">
        <f t="shared" si="11"/>
        <v>0</v>
      </c>
      <c r="J88" s="453"/>
      <c r="K88" s="453">
        <v>0</v>
      </c>
      <c r="L88" s="257">
        <f t="shared" si="12"/>
        <v>0</v>
      </c>
      <c r="M88" s="453"/>
      <c r="N88" s="453">
        <v>3</v>
      </c>
      <c r="O88" s="257">
        <f t="shared" si="13"/>
        <v>0.57803468208092479</v>
      </c>
      <c r="P88" s="453"/>
      <c r="Q88" s="453">
        <v>3</v>
      </c>
      <c r="R88" s="257">
        <f t="shared" si="14"/>
        <v>0.47169811320754718</v>
      </c>
      <c r="S88" s="453"/>
      <c r="T88" s="453">
        <v>0</v>
      </c>
      <c r="U88" s="257">
        <f t="shared" si="8"/>
        <v>0</v>
      </c>
    </row>
    <row r="89" spans="1:21" s="455" customFormat="1">
      <c r="A89" s="4" t="s">
        <v>1152</v>
      </c>
      <c r="B89" s="453">
        <v>5</v>
      </c>
      <c r="C89" s="257">
        <f t="shared" si="10"/>
        <v>0.25987525987525989</v>
      </c>
      <c r="D89" s="453"/>
      <c r="E89" s="453">
        <v>2</v>
      </c>
      <c r="F89" s="257">
        <f t="shared" si="9"/>
        <v>0.34602076124567477</v>
      </c>
      <c r="G89" s="453"/>
      <c r="H89" s="453">
        <v>0</v>
      </c>
      <c r="I89" s="257">
        <f t="shared" si="11"/>
        <v>0</v>
      </c>
      <c r="J89" s="453"/>
      <c r="K89" s="453">
        <v>0</v>
      </c>
      <c r="L89" s="257">
        <f t="shared" si="12"/>
        <v>0</v>
      </c>
      <c r="M89" s="453"/>
      <c r="N89" s="453">
        <v>2</v>
      </c>
      <c r="O89" s="257">
        <f t="shared" si="13"/>
        <v>0.38535645472061658</v>
      </c>
      <c r="P89" s="453"/>
      <c r="Q89" s="453">
        <v>2</v>
      </c>
      <c r="R89" s="257">
        <f t="shared" si="14"/>
        <v>0.31446540880503149</v>
      </c>
      <c r="S89" s="453"/>
      <c r="T89" s="453">
        <v>0</v>
      </c>
      <c r="U89" s="257">
        <f t="shared" si="8"/>
        <v>0</v>
      </c>
    </row>
    <row r="90" spans="1:21" s="455" customFormat="1">
      <c r="A90" s="4" t="s">
        <v>1153</v>
      </c>
      <c r="B90" s="453">
        <v>8</v>
      </c>
      <c r="C90" s="257">
        <f t="shared" si="10"/>
        <v>0.41580041580041582</v>
      </c>
      <c r="D90" s="453"/>
      <c r="E90" s="453">
        <v>5</v>
      </c>
      <c r="F90" s="257">
        <f t="shared" si="9"/>
        <v>0.86505190311418689</v>
      </c>
      <c r="G90" s="453"/>
      <c r="H90" s="453">
        <v>0</v>
      </c>
      <c r="I90" s="257">
        <f t="shared" si="11"/>
        <v>0</v>
      </c>
      <c r="J90" s="453"/>
      <c r="K90" s="453">
        <v>0</v>
      </c>
      <c r="L90" s="257">
        <f t="shared" si="12"/>
        <v>0</v>
      </c>
      <c r="M90" s="453"/>
      <c r="N90" s="453">
        <v>1</v>
      </c>
      <c r="O90" s="257">
        <f t="shared" si="13"/>
        <v>0.19267822736030829</v>
      </c>
      <c r="P90" s="453"/>
      <c r="Q90" s="453">
        <v>2</v>
      </c>
      <c r="R90" s="257">
        <f t="shared" si="14"/>
        <v>0.31446540880503149</v>
      </c>
      <c r="S90" s="453"/>
      <c r="T90" s="453">
        <v>0</v>
      </c>
      <c r="U90" s="257">
        <f t="shared" si="8"/>
        <v>0</v>
      </c>
    </row>
    <row r="91" spans="1:21" s="455" customFormat="1">
      <c r="A91" s="4"/>
      <c r="B91" s="453"/>
      <c r="C91" s="257"/>
      <c r="D91" s="453"/>
      <c r="E91" s="453"/>
      <c r="F91" s="257"/>
      <c r="G91" s="453"/>
      <c r="H91" s="453"/>
      <c r="I91" s="257"/>
      <c r="J91" s="453"/>
      <c r="K91" s="453"/>
      <c r="L91" s="257"/>
      <c r="M91" s="453"/>
      <c r="N91" s="453"/>
      <c r="O91" s="257"/>
      <c r="P91" s="453"/>
      <c r="Q91" s="453"/>
      <c r="R91" s="257"/>
      <c r="S91" s="453"/>
      <c r="T91" s="453"/>
      <c r="U91" s="257"/>
    </row>
    <row r="92" spans="1:21" s="455" customFormat="1">
      <c r="A92" s="9" t="s">
        <v>336</v>
      </c>
      <c r="B92" s="500">
        <f t="shared" ref="B92" si="15">SUM(B94)</f>
        <v>0</v>
      </c>
      <c r="C92" s="257">
        <f t="shared" ref="C92:C102" si="16">IF($A92&lt;&gt;0,B92/B$11*100,"")</f>
        <v>0</v>
      </c>
      <c r="D92" s="9"/>
      <c r="E92" s="325">
        <f t="shared" ref="E92" si="17">SUM(E94)</f>
        <v>0</v>
      </c>
      <c r="F92" s="257">
        <f t="shared" ref="F92:F102" si="18">IF($A92&lt;&gt;0,E92/E$11*100,"")</f>
        <v>0</v>
      </c>
      <c r="G92" s="325"/>
      <c r="H92" s="325">
        <f t="shared" ref="H92" si="19">SUM(H94)</f>
        <v>0</v>
      </c>
      <c r="I92" s="257">
        <f t="shared" ref="I92:I102" si="20">IF($A92&lt;&gt;0,H92/H$11*100,"")</f>
        <v>0</v>
      </c>
      <c r="J92" s="325"/>
      <c r="K92" s="325">
        <f t="shared" ref="K92" si="21">SUM(K94)</f>
        <v>0</v>
      </c>
      <c r="L92" s="257">
        <f t="shared" ref="L92:L102" si="22">IF($A92&lt;&gt;0,K92/K$11*100,"")</f>
        <v>0</v>
      </c>
      <c r="M92" s="325"/>
      <c r="N92" s="325">
        <f t="shared" ref="N92" si="23">SUM(N94)</f>
        <v>0</v>
      </c>
      <c r="O92" s="257">
        <f t="shared" ref="O92:O102" si="24">IF(A92&lt;&gt;0,N92/$N$11*100,"")</f>
        <v>0</v>
      </c>
      <c r="P92" s="325"/>
      <c r="Q92" s="325">
        <f t="shared" ref="Q92" si="25">SUM(Q94)</f>
        <v>0</v>
      </c>
      <c r="R92" s="257">
        <f t="shared" ref="R92:R102" si="26">IF($A92&lt;&gt;0,Q92/Q$11*100,"")</f>
        <v>0</v>
      </c>
      <c r="S92" s="325"/>
      <c r="T92" s="325"/>
      <c r="U92" s="257">
        <f t="shared" ref="U92:U102" si="27">IF(A92&lt;&gt;0,T92/$T$11*100,"")</f>
        <v>0</v>
      </c>
    </row>
    <row r="93" spans="1:21" s="455" customFormat="1">
      <c r="A93" s="4"/>
      <c r="B93" s="500"/>
      <c r="C93" s="257" t="str">
        <f t="shared" si="16"/>
        <v/>
      </c>
      <c r="D93" s="4"/>
      <c r="E93" s="106"/>
      <c r="F93" s="257" t="str">
        <f t="shared" si="18"/>
        <v/>
      </c>
      <c r="G93" s="257"/>
      <c r="H93" s="4"/>
      <c r="I93" s="257" t="str">
        <f t="shared" si="20"/>
        <v/>
      </c>
      <c r="J93" s="4"/>
      <c r="K93" s="4"/>
      <c r="L93" s="257" t="str">
        <f t="shared" si="22"/>
        <v/>
      </c>
      <c r="M93" s="4"/>
      <c r="N93" s="4"/>
      <c r="O93" s="257" t="str">
        <f t="shared" si="24"/>
        <v/>
      </c>
      <c r="P93" s="4"/>
      <c r="R93" s="257" t="str">
        <f t="shared" si="26"/>
        <v/>
      </c>
      <c r="S93" s="4"/>
      <c r="U93" s="257" t="str">
        <f t="shared" si="27"/>
        <v/>
      </c>
    </row>
    <row r="94" spans="1:21" s="455" customFormat="1">
      <c r="A94" s="4" t="s">
        <v>337</v>
      </c>
      <c r="B94" s="500">
        <f t="shared" ref="B94" si="28">SUM(B95:B98)</f>
        <v>0</v>
      </c>
      <c r="C94" s="257">
        <f t="shared" si="16"/>
        <v>0</v>
      </c>
      <c r="D94" s="4"/>
      <c r="E94" s="325">
        <f t="shared" ref="E94" si="29">SUM(E95:E98)</f>
        <v>0</v>
      </c>
      <c r="F94" s="257">
        <f t="shared" si="18"/>
        <v>0</v>
      </c>
      <c r="G94" s="325"/>
      <c r="H94" s="325">
        <f t="shared" ref="H94" si="30">SUM(H95:H98)</f>
        <v>0</v>
      </c>
      <c r="I94" s="257">
        <f t="shared" si="20"/>
        <v>0</v>
      </c>
      <c r="J94" s="325"/>
      <c r="K94" s="325">
        <f t="shared" ref="K94" si="31">SUM(K95:K98)</f>
        <v>0</v>
      </c>
      <c r="L94" s="257">
        <f t="shared" si="22"/>
        <v>0</v>
      </c>
      <c r="M94" s="325"/>
      <c r="N94" s="325">
        <f t="shared" ref="N94" si="32">SUM(N95:N98)</f>
        <v>0</v>
      </c>
      <c r="O94" s="257">
        <f t="shared" si="24"/>
        <v>0</v>
      </c>
      <c r="P94" s="325"/>
      <c r="Q94" s="325">
        <f t="shared" ref="Q94" si="33">SUM(Q95:Q98)</f>
        <v>0</v>
      </c>
      <c r="R94" s="257">
        <f t="shared" si="26"/>
        <v>0</v>
      </c>
      <c r="S94" s="325"/>
      <c r="T94" s="325"/>
      <c r="U94" s="257">
        <f t="shared" si="27"/>
        <v>0</v>
      </c>
    </row>
    <row r="95" spans="1:21" s="455" customFormat="1">
      <c r="A95" s="4" t="s">
        <v>1154</v>
      </c>
      <c r="B95" s="4"/>
      <c r="C95" s="257">
        <f t="shared" si="16"/>
        <v>0</v>
      </c>
      <c r="D95" s="4"/>
      <c r="E95" s="4"/>
      <c r="F95" s="257">
        <f t="shared" si="18"/>
        <v>0</v>
      </c>
      <c r="G95" s="4"/>
      <c r="H95" s="4"/>
      <c r="I95" s="257">
        <f t="shared" si="20"/>
        <v>0</v>
      </c>
      <c r="J95" s="4"/>
      <c r="K95" s="4"/>
      <c r="L95" s="257">
        <f t="shared" si="22"/>
        <v>0</v>
      </c>
      <c r="M95" s="4"/>
      <c r="N95" s="4"/>
      <c r="O95" s="257">
        <f t="shared" si="24"/>
        <v>0</v>
      </c>
      <c r="P95" s="4"/>
      <c r="Q95" s="4"/>
      <c r="R95" s="257">
        <f t="shared" si="26"/>
        <v>0</v>
      </c>
      <c r="S95" s="4"/>
      <c r="T95" s="4"/>
      <c r="U95" s="257">
        <f t="shared" si="27"/>
        <v>0</v>
      </c>
    </row>
    <row r="96" spans="1:21" s="455" customFormat="1">
      <c r="A96" s="4" t="s">
        <v>1155</v>
      </c>
      <c r="B96" s="508"/>
      <c r="C96" s="257">
        <f t="shared" si="16"/>
        <v>0</v>
      </c>
      <c r="D96" s="4"/>
      <c r="F96" s="257">
        <f t="shared" si="18"/>
        <v>0</v>
      </c>
      <c r="I96" s="257">
        <f t="shared" si="20"/>
        <v>0</v>
      </c>
      <c r="L96" s="257">
        <f t="shared" si="22"/>
        <v>0</v>
      </c>
      <c r="O96" s="257">
        <f t="shared" si="24"/>
        <v>0</v>
      </c>
      <c r="R96" s="257">
        <f t="shared" si="26"/>
        <v>0</v>
      </c>
      <c r="U96" s="257">
        <f t="shared" si="27"/>
        <v>0</v>
      </c>
    </row>
    <row r="97" spans="1:21" s="455" customFormat="1">
      <c r="A97" s="4" t="s">
        <v>1156</v>
      </c>
      <c r="B97" s="508"/>
      <c r="C97" s="257">
        <f t="shared" si="16"/>
        <v>0</v>
      </c>
      <c r="D97" s="4"/>
      <c r="F97" s="257">
        <f t="shared" si="18"/>
        <v>0</v>
      </c>
      <c r="I97" s="257">
        <f t="shared" si="20"/>
        <v>0</v>
      </c>
      <c r="L97" s="257">
        <f t="shared" si="22"/>
        <v>0</v>
      </c>
      <c r="O97" s="257">
        <f t="shared" si="24"/>
        <v>0</v>
      </c>
      <c r="R97" s="257">
        <f t="shared" si="26"/>
        <v>0</v>
      </c>
      <c r="U97" s="257">
        <f t="shared" si="27"/>
        <v>0</v>
      </c>
    </row>
    <row r="98" spans="1:21" s="455" customFormat="1">
      <c r="A98" s="4" t="s">
        <v>70</v>
      </c>
      <c r="B98" s="508"/>
      <c r="C98" s="257">
        <f t="shared" si="16"/>
        <v>0</v>
      </c>
      <c r="D98" s="4"/>
      <c r="F98" s="257">
        <f t="shared" si="18"/>
        <v>0</v>
      </c>
      <c r="I98" s="257">
        <f t="shared" si="20"/>
        <v>0</v>
      </c>
      <c r="L98" s="257">
        <f t="shared" si="22"/>
        <v>0</v>
      </c>
      <c r="O98" s="257">
        <f t="shared" si="24"/>
        <v>0</v>
      </c>
      <c r="R98" s="257">
        <f t="shared" si="26"/>
        <v>0</v>
      </c>
      <c r="U98" s="257">
        <f t="shared" si="27"/>
        <v>0</v>
      </c>
    </row>
    <row r="99" spans="1:21" s="455" customFormat="1">
      <c r="A99" s="4"/>
      <c r="B99" s="508"/>
      <c r="C99" s="257" t="str">
        <f t="shared" si="16"/>
        <v/>
      </c>
      <c r="D99" s="4"/>
      <c r="F99" s="257" t="str">
        <f t="shared" si="18"/>
        <v/>
      </c>
      <c r="I99" s="257" t="str">
        <f t="shared" si="20"/>
        <v/>
      </c>
      <c r="L99" s="257" t="str">
        <f t="shared" si="22"/>
        <v/>
      </c>
      <c r="O99" s="257" t="str">
        <f t="shared" si="24"/>
        <v/>
      </c>
      <c r="R99" s="257" t="str">
        <f t="shared" si="26"/>
        <v/>
      </c>
      <c r="U99" s="257" t="str">
        <f t="shared" si="27"/>
        <v/>
      </c>
    </row>
    <row r="100" spans="1:21" s="455" customFormat="1">
      <c r="A100" s="4" t="s">
        <v>1157</v>
      </c>
      <c r="B100" s="453">
        <v>13</v>
      </c>
      <c r="C100" s="257">
        <f t="shared" si="16"/>
        <v>0.67567567567567566</v>
      </c>
      <c r="D100" s="453"/>
      <c r="E100" s="453">
        <v>7</v>
      </c>
      <c r="F100" s="257">
        <f t="shared" si="18"/>
        <v>1.2110726643598615</v>
      </c>
      <c r="G100" s="453"/>
      <c r="H100" s="453">
        <v>0</v>
      </c>
      <c r="I100" s="257">
        <f t="shared" si="20"/>
        <v>0</v>
      </c>
      <c r="J100" s="453"/>
      <c r="K100" s="453">
        <v>0</v>
      </c>
      <c r="L100" s="257">
        <f t="shared" si="22"/>
        <v>0</v>
      </c>
      <c r="M100" s="453"/>
      <c r="N100" s="453">
        <v>5</v>
      </c>
      <c r="O100" s="257">
        <f t="shared" si="24"/>
        <v>0.96339113680154131</v>
      </c>
      <c r="P100" s="453"/>
      <c r="Q100" s="453">
        <v>5</v>
      </c>
      <c r="R100" s="257">
        <f t="shared" si="26"/>
        <v>0.78616352201257866</v>
      </c>
      <c r="S100" s="453"/>
      <c r="T100" s="453">
        <v>0</v>
      </c>
      <c r="U100" s="257">
        <f t="shared" si="27"/>
        <v>0</v>
      </c>
    </row>
    <row r="101" spans="1:21" s="455" customFormat="1">
      <c r="A101" s="4" t="s">
        <v>340</v>
      </c>
      <c r="B101" s="453">
        <v>6</v>
      </c>
      <c r="C101" s="257">
        <f t="shared" si="16"/>
        <v>0.31185031185031187</v>
      </c>
      <c r="D101" s="453"/>
      <c r="E101" s="453">
        <v>3</v>
      </c>
      <c r="F101" s="257">
        <f t="shared" si="18"/>
        <v>0.51903114186851207</v>
      </c>
      <c r="G101" s="453"/>
      <c r="H101" s="453">
        <v>0</v>
      </c>
      <c r="I101" s="257">
        <f t="shared" si="20"/>
        <v>0</v>
      </c>
      <c r="J101" s="453"/>
      <c r="K101" s="453">
        <v>0</v>
      </c>
      <c r="L101" s="257">
        <f t="shared" si="22"/>
        <v>0</v>
      </c>
      <c r="M101" s="453"/>
      <c r="N101" s="453">
        <v>3</v>
      </c>
      <c r="O101" s="257">
        <f t="shared" si="24"/>
        <v>0.57803468208092479</v>
      </c>
      <c r="P101" s="453"/>
      <c r="Q101" s="453">
        <v>2</v>
      </c>
      <c r="R101" s="257">
        <f t="shared" si="26"/>
        <v>0.31446540880503149</v>
      </c>
      <c r="S101" s="453"/>
      <c r="T101" s="453">
        <v>0</v>
      </c>
      <c r="U101" s="257">
        <f t="shared" si="27"/>
        <v>0</v>
      </c>
    </row>
    <row r="102" spans="1:21" s="455" customFormat="1">
      <c r="A102" s="4" t="s">
        <v>15</v>
      </c>
      <c r="B102" s="509"/>
      <c r="C102" s="257">
        <f t="shared" si="16"/>
        <v>0</v>
      </c>
      <c r="D102" s="4"/>
      <c r="E102" s="510"/>
      <c r="F102" s="257">
        <f t="shared" si="18"/>
        <v>0</v>
      </c>
      <c r="G102" s="510"/>
      <c r="H102" s="510"/>
      <c r="I102" s="257">
        <f t="shared" si="20"/>
        <v>0</v>
      </c>
      <c r="J102" s="510"/>
      <c r="K102" s="510"/>
      <c r="L102" s="257">
        <f t="shared" si="22"/>
        <v>0</v>
      </c>
      <c r="M102" s="510"/>
      <c r="N102" s="510"/>
      <c r="O102" s="257">
        <f t="shared" si="24"/>
        <v>0</v>
      </c>
      <c r="P102" s="510"/>
      <c r="Q102" s="510"/>
      <c r="R102" s="257">
        <f t="shared" si="26"/>
        <v>0</v>
      </c>
      <c r="S102" s="510"/>
      <c r="T102" s="510"/>
      <c r="U102" s="257">
        <f t="shared" si="27"/>
        <v>0</v>
      </c>
    </row>
    <row r="103" spans="1:21" s="455" customFormat="1">
      <c r="A103" s="4"/>
      <c r="B103" s="453"/>
      <c r="C103" s="257"/>
      <c r="D103" s="453"/>
      <c r="E103" s="453"/>
      <c r="F103" s="257"/>
      <c r="G103" s="453"/>
      <c r="H103" s="453"/>
      <c r="I103" s="257"/>
      <c r="J103" s="453"/>
      <c r="K103" s="453"/>
      <c r="L103" s="257"/>
      <c r="M103" s="453"/>
      <c r="N103" s="453"/>
      <c r="O103" s="257"/>
      <c r="P103" s="453"/>
      <c r="Q103" s="453"/>
      <c r="R103" s="257"/>
      <c r="S103" s="453"/>
      <c r="T103" s="453"/>
      <c r="U103" s="257"/>
    </row>
    <row r="104" spans="1:21" s="455" customFormat="1">
      <c r="A104" s="4"/>
      <c r="B104" s="453"/>
      <c r="C104" s="257"/>
      <c r="D104" s="453"/>
      <c r="E104" s="453"/>
      <c r="F104" s="257"/>
      <c r="G104" s="453"/>
      <c r="H104" s="453"/>
      <c r="I104" s="257"/>
      <c r="J104" s="453"/>
      <c r="K104" s="453"/>
      <c r="L104" s="257"/>
      <c r="M104" s="453"/>
      <c r="N104" s="453"/>
      <c r="O104" s="257"/>
      <c r="P104" s="453"/>
      <c r="Q104" s="453"/>
      <c r="R104" s="257"/>
      <c r="S104" s="453"/>
      <c r="T104" s="453"/>
      <c r="U104" s="257"/>
    </row>
    <row r="105" spans="1:21" s="455" customFormat="1">
      <c r="A105" s="4"/>
      <c r="B105" s="453"/>
      <c r="C105" s="257"/>
      <c r="D105" s="453"/>
      <c r="E105" s="453"/>
      <c r="F105" s="257"/>
      <c r="G105" s="453"/>
      <c r="H105" s="453"/>
      <c r="I105" s="257"/>
      <c r="J105" s="453"/>
      <c r="K105" s="453"/>
      <c r="L105" s="257"/>
      <c r="M105" s="453"/>
      <c r="N105" s="453"/>
      <c r="O105" s="257"/>
      <c r="P105" s="453"/>
      <c r="Q105" s="453"/>
      <c r="R105" s="257"/>
      <c r="S105" s="453"/>
      <c r="T105" s="453"/>
      <c r="U105" s="257"/>
    </row>
    <row r="106" spans="1:21" s="455" customFormat="1">
      <c r="A106" s="4"/>
      <c r="B106" s="453"/>
      <c r="C106" s="257"/>
      <c r="D106" s="453"/>
      <c r="E106" s="453"/>
      <c r="F106" s="257"/>
      <c r="G106" s="453"/>
      <c r="H106" s="453"/>
      <c r="I106" s="257"/>
      <c r="J106" s="453"/>
      <c r="K106" s="453"/>
      <c r="L106" s="257"/>
      <c r="M106" s="453"/>
      <c r="N106" s="453"/>
      <c r="O106" s="257"/>
      <c r="P106" s="453"/>
      <c r="Q106" s="453"/>
      <c r="R106" s="257"/>
      <c r="S106" s="453"/>
      <c r="T106" s="453"/>
      <c r="U106" s="257"/>
    </row>
    <row r="107" spans="1:21" s="455" customFormat="1" ht="13.5" thickBot="1">
      <c r="A107" s="165"/>
      <c r="B107" s="502"/>
      <c r="C107" s="165"/>
      <c r="D107" s="165"/>
      <c r="E107" s="163"/>
      <c r="F107" s="163"/>
      <c r="G107" s="163"/>
      <c r="H107" s="163"/>
      <c r="I107" s="163"/>
      <c r="J107" s="163"/>
      <c r="K107" s="163"/>
      <c r="L107" s="163"/>
      <c r="M107" s="163"/>
      <c r="N107" s="163"/>
      <c r="O107" s="163"/>
      <c r="P107" s="165"/>
      <c r="Q107" s="503"/>
      <c r="R107" s="504"/>
      <c r="S107" s="165"/>
      <c r="T107" s="503"/>
      <c r="U107" s="503"/>
    </row>
    <row r="108" spans="1:21" s="455" customFormat="1" ht="13.5" thickBot="1">
      <c r="A108" s="4"/>
      <c r="B108" s="505"/>
      <c r="C108" s="4"/>
      <c r="D108" s="4"/>
      <c r="E108" s="482"/>
      <c r="F108" s="482"/>
      <c r="G108" s="482"/>
      <c r="H108" s="78"/>
      <c r="I108" s="78"/>
      <c r="J108" s="78"/>
      <c r="K108" s="78"/>
      <c r="L108" s="78"/>
      <c r="M108" s="78"/>
      <c r="N108" s="78"/>
      <c r="O108" s="78"/>
      <c r="P108" s="78"/>
      <c r="S108" s="78"/>
    </row>
    <row r="109" spans="1:21" s="455" customFormat="1">
      <c r="A109" s="463"/>
      <c r="B109" s="506"/>
      <c r="C109" s="463"/>
      <c r="D109" s="463"/>
      <c r="E109" s="484"/>
      <c r="F109" s="484"/>
      <c r="G109" s="484"/>
      <c r="H109" s="463"/>
      <c r="I109" s="463"/>
      <c r="J109" s="463"/>
      <c r="K109" s="463"/>
      <c r="L109" s="463"/>
      <c r="M109" s="463"/>
      <c r="N109" s="463"/>
      <c r="O109" s="463"/>
      <c r="P109" s="463"/>
      <c r="Q109" s="486"/>
      <c r="R109" s="486"/>
      <c r="S109" s="463"/>
      <c r="T109" s="486"/>
      <c r="U109" s="486"/>
    </row>
    <row r="110" spans="1:21" s="455" customFormat="1" ht="14.25">
      <c r="A110" s="4" t="s">
        <v>4</v>
      </c>
      <c r="B110" s="1282" t="s">
        <v>1132</v>
      </c>
      <c r="C110" s="1282"/>
      <c r="D110" s="4"/>
      <c r="E110" s="1282" t="s">
        <v>1133</v>
      </c>
      <c r="F110" s="1282"/>
      <c r="G110" s="487"/>
      <c r="H110" s="1282" t="s">
        <v>1134</v>
      </c>
      <c r="I110" s="1282"/>
      <c r="J110" s="97"/>
      <c r="K110" s="1281" t="s">
        <v>1135</v>
      </c>
      <c r="L110" s="1281"/>
      <c r="M110" s="97"/>
      <c r="N110" s="1281" t="s">
        <v>1136</v>
      </c>
      <c r="O110" s="1281"/>
      <c r="P110" s="97"/>
      <c r="Q110" s="1297" t="s">
        <v>1137</v>
      </c>
      <c r="R110" s="1297"/>
      <c r="S110" s="97"/>
      <c r="T110" s="1297" t="s">
        <v>1138</v>
      </c>
      <c r="U110" s="1297"/>
    </row>
    <row r="111" spans="1:21" s="455" customFormat="1">
      <c r="A111" s="97" t="s">
        <v>1150</v>
      </c>
      <c r="B111" s="488" t="s">
        <v>1140</v>
      </c>
      <c r="C111" s="489" t="s">
        <v>324</v>
      </c>
      <c r="D111" s="97"/>
      <c r="E111" s="488" t="s">
        <v>1140</v>
      </c>
      <c r="F111" s="489" t="s">
        <v>324</v>
      </c>
      <c r="G111" s="490"/>
      <c r="H111" s="491" t="s">
        <v>1140</v>
      </c>
      <c r="I111" s="492" t="s">
        <v>324</v>
      </c>
      <c r="J111" s="115"/>
      <c r="K111" s="491" t="s">
        <v>1140</v>
      </c>
      <c r="L111" s="492" t="s">
        <v>324</v>
      </c>
      <c r="M111" s="115"/>
      <c r="N111" s="491" t="s">
        <v>1140</v>
      </c>
      <c r="O111" s="492" t="s">
        <v>324</v>
      </c>
      <c r="P111" s="115"/>
      <c r="Q111" s="491" t="s">
        <v>1140</v>
      </c>
      <c r="R111" s="492" t="s">
        <v>324</v>
      </c>
      <c r="S111" s="115"/>
      <c r="T111" s="491" t="s">
        <v>1140</v>
      </c>
      <c r="U111" s="492" t="s">
        <v>324</v>
      </c>
    </row>
    <row r="112" spans="1:21" s="455" customFormat="1" ht="13.5" thickBot="1">
      <c r="A112" s="165"/>
      <c r="B112" s="502"/>
      <c r="C112" s="165"/>
      <c r="D112" s="165"/>
      <c r="E112" s="507"/>
      <c r="F112" s="507"/>
      <c r="G112" s="507"/>
      <c r="H112" s="507"/>
      <c r="I112" s="507"/>
      <c r="J112" s="507"/>
      <c r="K112" s="507"/>
      <c r="L112" s="507"/>
      <c r="M112" s="507"/>
      <c r="N112" s="507"/>
      <c r="O112" s="507"/>
      <c r="P112" s="507"/>
      <c r="Q112" s="507"/>
      <c r="R112" s="507"/>
      <c r="S112" s="495"/>
      <c r="T112" s="496"/>
      <c r="U112" s="496"/>
    </row>
    <row r="113" spans="1:21" s="455" customFormat="1">
      <c r="A113" s="4"/>
      <c r="B113" s="505"/>
      <c r="C113" s="4"/>
      <c r="D113" s="4"/>
      <c r="E113" s="4"/>
      <c r="F113" s="4"/>
      <c r="G113" s="4"/>
      <c r="H113" s="4"/>
      <c r="I113" s="4"/>
      <c r="J113" s="4"/>
      <c r="K113" s="4"/>
      <c r="L113" s="4"/>
      <c r="M113" s="4"/>
      <c r="N113" s="4"/>
      <c r="O113" s="4"/>
      <c r="P113" s="4"/>
      <c r="Q113" s="4"/>
      <c r="R113" s="4"/>
      <c r="S113" s="4"/>
    </row>
    <row r="114" spans="1:21" s="455" customFormat="1">
      <c r="A114" s="4"/>
      <c r="B114" s="509"/>
      <c r="C114" s="257"/>
      <c r="D114" s="4"/>
      <c r="E114" s="510"/>
      <c r="F114" s="257"/>
      <c r="G114" s="510"/>
      <c r="H114" s="510"/>
      <c r="I114" s="257"/>
      <c r="J114" s="510"/>
      <c r="K114" s="510"/>
      <c r="L114" s="257"/>
      <c r="M114" s="510"/>
      <c r="N114" s="510"/>
      <c r="O114" s="257"/>
      <c r="P114" s="510"/>
      <c r="Q114" s="510"/>
      <c r="R114" s="257"/>
      <c r="S114" s="510"/>
      <c r="T114" s="510"/>
      <c r="U114" s="257"/>
    </row>
    <row r="115" spans="1:21" s="455" customFormat="1">
      <c r="A115" s="9" t="s">
        <v>1158</v>
      </c>
      <c r="B115" s="500">
        <f>SUM(B117+B124+B177)</f>
        <v>1344</v>
      </c>
      <c r="C115" s="257">
        <f t="shared" ref="C115:C153" si="34">IF($A115&lt;&gt;0,B115/B$11*100,"")</f>
        <v>69.854469854469855</v>
      </c>
      <c r="D115" s="9"/>
      <c r="E115" s="106">
        <f>SUM(E117+E124+E177)</f>
        <v>414</v>
      </c>
      <c r="F115" s="257">
        <f t="shared" ref="F115:F153" si="35">IF($A115&lt;&gt;0,E115/E$11*100,"")</f>
        <v>71.626297577854672</v>
      </c>
      <c r="G115" s="257"/>
      <c r="H115" s="106">
        <f>SUM(H117+H124+H177)</f>
        <v>1</v>
      </c>
      <c r="I115" s="257">
        <f t="shared" ref="I115:I153" si="36">IF($A115&lt;&gt;0,H115/H$11*100,"")</f>
        <v>50</v>
      </c>
      <c r="J115" s="4"/>
      <c r="K115" s="106">
        <f>SUM(K117+K124+K177)</f>
        <v>21</v>
      </c>
      <c r="L115" s="257">
        <f t="shared" ref="L115:L153" si="37">IF($A115&lt;&gt;0,K115/K$11*100,"")</f>
        <v>75</v>
      </c>
      <c r="M115" s="4"/>
      <c r="N115" s="106">
        <f>SUM(N117+N124+N177)</f>
        <v>349</v>
      </c>
      <c r="O115" s="257">
        <f t="shared" ref="O115:O153" si="38">IF(A115&lt;&gt;0,N115/$N$11*100,"")</f>
        <v>67.244701348747597</v>
      </c>
      <c r="P115" s="4"/>
      <c r="Q115" s="106">
        <f>SUM(Q117+Q124+Q177)</f>
        <v>446</v>
      </c>
      <c r="R115" s="257">
        <f t="shared" ref="R115:R153" si="39">IF($A115&lt;&gt;0,Q115/Q$11*100,"")</f>
        <v>70.125786163522008</v>
      </c>
      <c r="S115" s="4"/>
      <c r="T115" s="106">
        <f>SUM(T117+T124+T177)</f>
        <v>14</v>
      </c>
      <c r="U115" s="257">
        <f t="shared" ref="U115:U152" si="40">IF(A115&lt;&gt;0,T115/$T$11*100,"")</f>
        <v>66.666666666666657</v>
      </c>
    </row>
    <row r="116" spans="1:21" s="455" customFormat="1" ht="7.5" customHeight="1">
      <c r="A116" s="4"/>
      <c r="B116" s="500"/>
      <c r="C116" s="257" t="str">
        <f t="shared" si="34"/>
        <v/>
      </c>
      <c r="D116" s="4"/>
      <c r="E116" s="106"/>
      <c r="F116" s="257" t="str">
        <f t="shared" si="35"/>
        <v/>
      </c>
      <c r="G116" s="257"/>
      <c r="H116" s="4"/>
      <c r="I116" s="257" t="str">
        <f t="shared" si="36"/>
        <v/>
      </c>
      <c r="J116" s="4"/>
      <c r="K116" s="4"/>
      <c r="L116" s="257" t="str">
        <f t="shared" si="37"/>
        <v/>
      </c>
      <c r="M116" s="4"/>
      <c r="N116" s="4"/>
      <c r="O116" s="257" t="str">
        <f t="shared" si="38"/>
        <v/>
      </c>
      <c r="P116" s="4"/>
      <c r="R116" s="257" t="str">
        <f t="shared" si="39"/>
        <v/>
      </c>
      <c r="S116" s="4"/>
      <c r="U116" s="257" t="str">
        <f t="shared" si="40"/>
        <v/>
      </c>
    </row>
    <row r="117" spans="1:21" s="455" customFormat="1">
      <c r="A117" s="4" t="s">
        <v>1159</v>
      </c>
      <c r="B117" s="500">
        <f>SUM(B118:B122)</f>
        <v>72</v>
      </c>
      <c r="C117" s="257">
        <f t="shared" si="34"/>
        <v>3.7422037422037424</v>
      </c>
      <c r="D117" s="4"/>
      <c r="E117" s="106">
        <f>SUM(E118:E122)</f>
        <v>9</v>
      </c>
      <c r="F117" s="257">
        <f t="shared" si="35"/>
        <v>1.5570934256055362</v>
      </c>
      <c r="G117" s="257"/>
      <c r="H117" s="4">
        <f>SUM(H118:H122)</f>
        <v>0</v>
      </c>
      <c r="I117" s="257">
        <f t="shared" si="36"/>
        <v>0</v>
      </c>
      <c r="J117" s="4"/>
      <c r="K117" s="4">
        <f>SUM(K118:K122)</f>
        <v>0</v>
      </c>
      <c r="L117" s="257">
        <f t="shared" si="37"/>
        <v>0</v>
      </c>
      <c r="M117" s="4"/>
      <c r="N117" s="4">
        <f>SUM(N118:N122)</f>
        <v>17</v>
      </c>
      <c r="O117" s="257">
        <f t="shared" si="38"/>
        <v>3.2755298651252409</v>
      </c>
      <c r="P117" s="4"/>
      <c r="Q117" s="4">
        <f>SUM(Q118:Q122)</f>
        <v>25</v>
      </c>
      <c r="R117" s="257">
        <f t="shared" si="39"/>
        <v>3.9308176100628929</v>
      </c>
      <c r="S117" s="4"/>
      <c r="T117" s="4">
        <f>SUM(T118:T122)</f>
        <v>0</v>
      </c>
      <c r="U117" s="257">
        <f t="shared" si="40"/>
        <v>0</v>
      </c>
    </row>
    <row r="118" spans="1:21" s="455" customFormat="1">
      <c r="A118" s="4" t="s">
        <v>1160</v>
      </c>
      <c r="B118" s="453">
        <v>41</v>
      </c>
      <c r="C118" s="257">
        <f t="shared" si="34"/>
        <v>2.130977130977131</v>
      </c>
      <c r="D118" s="453"/>
      <c r="E118" s="453">
        <v>6</v>
      </c>
      <c r="F118" s="257">
        <f t="shared" si="35"/>
        <v>1.0380622837370241</v>
      </c>
      <c r="G118" s="453"/>
      <c r="H118" s="453">
        <v>0</v>
      </c>
      <c r="I118" s="257">
        <f t="shared" si="36"/>
        <v>0</v>
      </c>
      <c r="J118" s="453"/>
      <c r="K118" s="453">
        <v>0</v>
      </c>
      <c r="L118" s="257">
        <f t="shared" si="37"/>
        <v>0</v>
      </c>
      <c r="M118" s="453"/>
      <c r="N118" s="453">
        <v>6</v>
      </c>
      <c r="O118" s="257">
        <f t="shared" si="38"/>
        <v>1.1560693641618496</v>
      </c>
      <c r="P118" s="453"/>
      <c r="Q118" s="453">
        <v>14</v>
      </c>
      <c r="R118" s="257">
        <f t="shared" si="39"/>
        <v>2.2012578616352201</v>
      </c>
      <c r="S118" s="453"/>
      <c r="T118" s="453">
        <v>0</v>
      </c>
      <c r="U118" s="257">
        <f t="shared" si="40"/>
        <v>0</v>
      </c>
    </row>
    <row r="119" spans="1:21" s="455" customFormat="1">
      <c r="A119" s="4" t="s">
        <v>1161</v>
      </c>
      <c r="B119" s="453">
        <v>13</v>
      </c>
      <c r="C119" s="257">
        <f t="shared" si="34"/>
        <v>0.67567567567567566</v>
      </c>
      <c r="D119" s="453"/>
      <c r="E119" s="453">
        <v>1</v>
      </c>
      <c r="F119" s="257">
        <f t="shared" si="35"/>
        <v>0.17301038062283738</v>
      </c>
      <c r="G119" s="453"/>
      <c r="H119" s="453">
        <v>0</v>
      </c>
      <c r="I119" s="257">
        <f t="shared" si="36"/>
        <v>0</v>
      </c>
      <c r="J119" s="453"/>
      <c r="K119" s="453">
        <v>0</v>
      </c>
      <c r="L119" s="257">
        <f t="shared" si="37"/>
        <v>0</v>
      </c>
      <c r="M119" s="453"/>
      <c r="N119" s="453">
        <v>3</v>
      </c>
      <c r="O119" s="257">
        <f t="shared" si="38"/>
        <v>0.57803468208092479</v>
      </c>
      <c r="P119" s="453"/>
      <c r="Q119" s="453">
        <v>7</v>
      </c>
      <c r="R119" s="257">
        <f t="shared" si="39"/>
        <v>1.10062893081761</v>
      </c>
      <c r="S119" s="453"/>
      <c r="T119" s="453">
        <v>0</v>
      </c>
      <c r="U119" s="257">
        <f t="shared" si="40"/>
        <v>0</v>
      </c>
    </row>
    <row r="120" spans="1:21" s="455" customFormat="1">
      <c r="A120" s="4" t="s">
        <v>1162</v>
      </c>
      <c r="B120" s="453">
        <v>5</v>
      </c>
      <c r="C120" s="257">
        <f t="shared" si="34"/>
        <v>0.25987525987525989</v>
      </c>
      <c r="D120" s="453"/>
      <c r="E120" s="453">
        <v>2</v>
      </c>
      <c r="F120" s="257">
        <f t="shared" si="35"/>
        <v>0.34602076124567477</v>
      </c>
      <c r="G120" s="453"/>
      <c r="H120" s="453">
        <v>0</v>
      </c>
      <c r="I120" s="257">
        <f t="shared" si="36"/>
        <v>0</v>
      </c>
      <c r="J120" s="453"/>
      <c r="K120" s="453">
        <v>0</v>
      </c>
      <c r="L120" s="257">
        <f t="shared" si="37"/>
        <v>0</v>
      </c>
      <c r="M120" s="453"/>
      <c r="N120" s="453">
        <v>3</v>
      </c>
      <c r="O120" s="257">
        <f t="shared" si="38"/>
        <v>0.57803468208092479</v>
      </c>
      <c r="P120" s="453"/>
      <c r="Q120" s="453">
        <v>2</v>
      </c>
      <c r="R120" s="257">
        <f t="shared" si="39"/>
        <v>0.31446540880503149</v>
      </c>
      <c r="S120" s="453"/>
      <c r="T120" s="453">
        <v>0</v>
      </c>
      <c r="U120" s="257">
        <f t="shared" si="40"/>
        <v>0</v>
      </c>
    </row>
    <row r="121" spans="1:21" s="455" customFormat="1">
      <c r="A121" s="4" t="s">
        <v>491</v>
      </c>
      <c r="B121" s="453">
        <v>12</v>
      </c>
      <c r="C121" s="257">
        <f t="shared" si="34"/>
        <v>0.62370062370062374</v>
      </c>
      <c r="D121" s="453"/>
      <c r="E121" s="453">
        <v>0</v>
      </c>
      <c r="F121" s="257">
        <f t="shared" si="35"/>
        <v>0</v>
      </c>
      <c r="G121" s="453"/>
      <c r="H121" s="453">
        <v>0</v>
      </c>
      <c r="I121" s="257">
        <f t="shared" si="36"/>
        <v>0</v>
      </c>
      <c r="J121" s="453"/>
      <c r="K121" s="453">
        <v>0</v>
      </c>
      <c r="L121" s="257">
        <f t="shared" si="37"/>
        <v>0</v>
      </c>
      <c r="M121" s="453"/>
      <c r="N121" s="453">
        <v>5</v>
      </c>
      <c r="O121" s="257">
        <f t="shared" si="38"/>
        <v>0.96339113680154131</v>
      </c>
      <c r="P121" s="453"/>
      <c r="Q121" s="453">
        <v>1</v>
      </c>
      <c r="R121" s="257">
        <f t="shared" si="39"/>
        <v>0.15723270440251574</v>
      </c>
      <c r="S121" s="453"/>
      <c r="T121" s="453">
        <v>0</v>
      </c>
      <c r="U121" s="257">
        <f t="shared" si="40"/>
        <v>0</v>
      </c>
    </row>
    <row r="122" spans="1:21" s="455" customFormat="1">
      <c r="A122" s="4" t="s">
        <v>1163</v>
      </c>
      <c r="B122" s="453">
        <v>1</v>
      </c>
      <c r="C122" s="257">
        <f t="shared" si="34"/>
        <v>5.1975051975051978E-2</v>
      </c>
      <c r="D122" s="453"/>
      <c r="E122" s="453">
        <v>0</v>
      </c>
      <c r="F122" s="257">
        <f t="shared" si="35"/>
        <v>0</v>
      </c>
      <c r="G122" s="453"/>
      <c r="H122" s="453">
        <v>0</v>
      </c>
      <c r="I122" s="257">
        <f t="shared" si="36"/>
        <v>0</v>
      </c>
      <c r="J122" s="453"/>
      <c r="K122" s="453">
        <v>0</v>
      </c>
      <c r="L122" s="257">
        <f t="shared" si="37"/>
        <v>0</v>
      </c>
      <c r="M122" s="453"/>
      <c r="N122" s="453">
        <v>0</v>
      </c>
      <c r="O122" s="257">
        <f t="shared" si="38"/>
        <v>0</v>
      </c>
      <c r="P122" s="453"/>
      <c r="Q122" s="453">
        <v>1</v>
      </c>
      <c r="R122" s="257">
        <f t="shared" si="39"/>
        <v>0.15723270440251574</v>
      </c>
      <c r="S122" s="453"/>
      <c r="T122" s="453">
        <v>0</v>
      </c>
      <c r="U122" s="257">
        <f t="shared" si="40"/>
        <v>0</v>
      </c>
    </row>
    <row r="123" spans="1:21" s="455" customFormat="1" ht="7.5" customHeight="1">
      <c r="A123" s="4"/>
      <c r="B123" s="500"/>
      <c r="C123" s="257" t="str">
        <f t="shared" si="34"/>
        <v/>
      </c>
      <c r="D123" s="4"/>
      <c r="E123" s="106"/>
      <c r="F123" s="257" t="str">
        <f t="shared" si="35"/>
        <v/>
      </c>
      <c r="G123" s="257"/>
      <c r="H123" s="4"/>
      <c r="I123" s="257" t="str">
        <f t="shared" si="36"/>
        <v/>
      </c>
      <c r="J123" s="4"/>
      <c r="K123" s="4"/>
      <c r="L123" s="257" t="str">
        <f t="shared" si="37"/>
        <v/>
      </c>
      <c r="M123" s="4"/>
      <c r="N123" s="4"/>
      <c r="O123" s="257" t="str">
        <f t="shared" si="38"/>
        <v/>
      </c>
      <c r="P123" s="4"/>
      <c r="R123" s="257" t="str">
        <f t="shared" si="39"/>
        <v/>
      </c>
      <c r="S123" s="4"/>
      <c r="U123" s="257" t="str">
        <f t="shared" si="40"/>
        <v/>
      </c>
    </row>
    <row r="124" spans="1:21" s="455" customFormat="1">
      <c r="A124" s="4" t="s">
        <v>1164</v>
      </c>
      <c r="B124" s="500">
        <f>SUM(B125:B175)</f>
        <v>1272</v>
      </c>
      <c r="C124" s="257">
        <f t="shared" si="34"/>
        <v>66.112266112266113</v>
      </c>
      <c r="D124" s="4"/>
      <c r="E124" s="106">
        <f>SUM(E125:E175)</f>
        <v>405</v>
      </c>
      <c r="F124" s="257">
        <f t="shared" si="35"/>
        <v>70.069204152249128</v>
      </c>
      <c r="G124" s="257"/>
      <c r="H124" s="4">
        <f>SUM(H125:H175)</f>
        <v>1</v>
      </c>
      <c r="I124" s="257">
        <f t="shared" si="36"/>
        <v>50</v>
      </c>
      <c r="J124" s="4"/>
      <c r="K124" s="4">
        <f>SUM(K125:K175)</f>
        <v>21</v>
      </c>
      <c r="L124" s="257">
        <f t="shared" si="37"/>
        <v>75</v>
      </c>
      <c r="M124" s="4"/>
      <c r="N124" s="4">
        <f>SUM(N125:N175)</f>
        <v>332</v>
      </c>
      <c r="O124" s="257">
        <f t="shared" si="38"/>
        <v>63.969171483622354</v>
      </c>
      <c r="P124" s="4"/>
      <c r="Q124" s="4">
        <f>SUM(Q125:Q175)</f>
        <v>421</v>
      </c>
      <c r="R124" s="257">
        <f t="shared" si="39"/>
        <v>66.19496855345912</v>
      </c>
      <c r="S124" s="4"/>
      <c r="T124" s="4">
        <f>SUM(T125:T175)</f>
        <v>14</v>
      </c>
      <c r="U124" s="257">
        <f t="shared" si="40"/>
        <v>66.666666666666657</v>
      </c>
    </row>
    <row r="125" spans="1:21" s="455" customFormat="1">
      <c r="A125" s="4" t="s">
        <v>2201</v>
      </c>
      <c r="B125" s="453">
        <v>15</v>
      </c>
      <c r="C125" s="257">
        <f t="shared" si="34"/>
        <v>0.77962577962577972</v>
      </c>
      <c r="D125" s="453"/>
      <c r="E125" s="453">
        <v>9</v>
      </c>
      <c r="F125" s="257">
        <f t="shared" si="35"/>
        <v>1.5570934256055362</v>
      </c>
      <c r="G125" s="453"/>
      <c r="H125" s="453">
        <v>0</v>
      </c>
      <c r="I125" s="257">
        <f t="shared" si="36"/>
        <v>0</v>
      </c>
      <c r="J125" s="453"/>
      <c r="K125" s="453">
        <v>3</v>
      </c>
      <c r="L125" s="257">
        <f t="shared" si="37"/>
        <v>10.714285714285714</v>
      </c>
      <c r="M125" s="453"/>
      <c r="N125" s="453">
        <v>5</v>
      </c>
      <c r="O125" s="257">
        <f t="shared" si="38"/>
        <v>0.96339113680154131</v>
      </c>
      <c r="P125" s="453"/>
      <c r="Q125" s="453">
        <v>4</v>
      </c>
      <c r="R125" s="257">
        <f t="shared" si="39"/>
        <v>0.62893081761006298</v>
      </c>
      <c r="S125" s="453"/>
      <c r="T125" s="453">
        <v>0</v>
      </c>
      <c r="U125" s="257">
        <f t="shared" si="40"/>
        <v>0</v>
      </c>
    </row>
    <row r="126" spans="1:21" s="455" customFormat="1">
      <c r="A126" s="4" t="s">
        <v>1166</v>
      </c>
      <c r="B126" s="453">
        <v>28</v>
      </c>
      <c r="C126" s="257">
        <f t="shared" si="34"/>
        <v>1.4553014553014554</v>
      </c>
      <c r="D126" s="453"/>
      <c r="E126" s="453">
        <v>7</v>
      </c>
      <c r="F126" s="257">
        <f t="shared" si="35"/>
        <v>1.2110726643598615</v>
      </c>
      <c r="G126" s="453"/>
      <c r="H126" s="453">
        <v>0</v>
      </c>
      <c r="I126" s="257">
        <f t="shared" si="36"/>
        <v>0</v>
      </c>
      <c r="J126" s="453"/>
      <c r="K126" s="453">
        <v>0</v>
      </c>
      <c r="L126" s="257">
        <f t="shared" si="37"/>
        <v>0</v>
      </c>
      <c r="M126" s="453"/>
      <c r="N126" s="453">
        <v>5</v>
      </c>
      <c r="O126" s="257">
        <f t="shared" si="38"/>
        <v>0.96339113680154131</v>
      </c>
      <c r="P126" s="453"/>
      <c r="Q126" s="453">
        <v>15</v>
      </c>
      <c r="R126" s="257">
        <f t="shared" si="39"/>
        <v>2.358490566037736</v>
      </c>
      <c r="S126" s="453"/>
      <c r="T126" s="453">
        <v>0</v>
      </c>
      <c r="U126" s="257">
        <f t="shared" si="40"/>
        <v>0</v>
      </c>
    </row>
    <row r="127" spans="1:21" s="455" customFormat="1">
      <c r="A127" s="4" t="s">
        <v>1167</v>
      </c>
      <c r="B127" s="453"/>
      <c r="C127" s="257">
        <f t="shared" si="34"/>
        <v>0</v>
      </c>
      <c r="D127" s="453"/>
      <c r="E127" s="453"/>
      <c r="F127" s="257">
        <f t="shared" si="35"/>
        <v>0</v>
      </c>
      <c r="G127" s="453"/>
      <c r="H127" s="453"/>
      <c r="I127" s="257">
        <f t="shared" si="36"/>
        <v>0</v>
      </c>
      <c r="J127" s="453"/>
      <c r="K127" s="453"/>
      <c r="L127" s="257">
        <f t="shared" si="37"/>
        <v>0</v>
      </c>
      <c r="M127" s="453"/>
      <c r="N127" s="453"/>
      <c r="O127" s="257">
        <f t="shared" si="38"/>
        <v>0</v>
      </c>
      <c r="P127" s="453"/>
      <c r="Q127" s="453"/>
      <c r="R127" s="257">
        <f t="shared" si="39"/>
        <v>0</v>
      </c>
      <c r="S127" s="453"/>
      <c r="T127" s="453"/>
      <c r="U127" s="257">
        <f t="shared" si="40"/>
        <v>0</v>
      </c>
    </row>
    <row r="128" spans="1:21" s="455" customFormat="1">
      <c r="A128" s="4" t="s">
        <v>1168</v>
      </c>
      <c r="B128" s="453"/>
      <c r="C128" s="257">
        <f t="shared" si="34"/>
        <v>0</v>
      </c>
      <c r="D128" s="453"/>
      <c r="E128" s="453"/>
      <c r="F128" s="257">
        <f t="shared" si="35"/>
        <v>0</v>
      </c>
      <c r="G128" s="453"/>
      <c r="H128" s="453"/>
      <c r="I128" s="257">
        <f t="shared" si="36"/>
        <v>0</v>
      </c>
      <c r="J128" s="453"/>
      <c r="K128" s="453"/>
      <c r="L128" s="257">
        <f t="shared" si="37"/>
        <v>0</v>
      </c>
      <c r="M128" s="453"/>
      <c r="N128" s="453"/>
      <c r="O128" s="257">
        <f t="shared" si="38"/>
        <v>0</v>
      </c>
      <c r="P128" s="453"/>
      <c r="Q128" s="453"/>
      <c r="R128" s="257">
        <f t="shared" si="39"/>
        <v>0</v>
      </c>
      <c r="S128" s="453"/>
      <c r="T128" s="453"/>
      <c r="U128" s="257">
        <f t="shared" si="40"/>
        <v>0</v>
      </c>
    </row>
    <row r="129" spans="1:21" s="455" customFormat="1">
      <c r="A129" s="4" t="s">
        <v>1169</v>
      </c>
      <c r="B129" s="453">
        <v>44</v>
      </c>
      <c r="C129" s="257">
        <f t="shared" si="34"/>
        <v>2.2869022869022873</v>
      </c>
      <c r="D129" s="453"/>
      <c r="E129" s="453">
        <v>9</v>
      </c>
      <c r="F129" s="257">
        <f t="shared" si="35"/>
        <v>1.5570934256055362</v>
      </c>
      <c r="G129" s="453"/>
      <c r="H129" s="453">
        <v>0</v>
      </c>
      <c r="I129" s="257">
        <f t="shared" si="36"/>
        <v>0</v>
      </c>
      <c r="J129" s="453"/>
      <c r="K129" s="453">
        <v>0</v>
      </c>
      <c r="L129" s="257">
        <f t="shared" si="37"/>
        <v>0</v>
      </c>
      <c r="M129" s="453"/>
      <c r="N129" s="453">
        <v>7</v>
      </c>
      <c r="O129" s="257">
        <f t="shared" si="38"/>
        <v>1.3487475915221581</v>
      </c>
      <c r="P129" s="453"/>
      <c r="Q129" s="453">
        <v>16</v>
      </c>
      <c r="R129" s="257">
        <f t="shared" si="39"/>
        <v>2.5157232704402519</v>
      </c>
      <c r="S129" s="453"/>
      <c r="T129" s="453">
        <v>0</v>
      </c>
      <c r="U129" s="257">
        <f t="shared" si="40"/>
        <v>0</v>
      </c>
    </row>
    <row r="130" spans="1:21" s="455" customFormat="1">
      <c r="A130" s="4" t="s">
        <v>1170</v>
      </c>
      <c r="B130" s="453">
        <v>11</v>
      </c>
      <c r="C130" s="257">
        <f t="shared" si="34"/>
        <v>0.57172557172557181</v>
      </c>
      <c r="D130" s="453"/>
      <c r="E130" s="453">
        <v>6</v>
      </c>
      <c r="F130" s="257">
        <f t="shared" si="35"/>
        <v>1.0380622837370241</v>
      </c>
      <c r="G130" s="453"/>
      <c r="H130" s="453">
        <v>0</v>
      </c>
      <c r="I130" s="257">
        <f t="shared" si="36"/>
        <v>0</v>
      </c>
      <c r="J130" s="453"/>
      <c r="K130" s="453">
        <v>0</v>
      </c>
      <c r="L130" s="257">
        <f t="shared" si="37"/>
        <v>0</v>
      </c>
      <c r="M130" s="453"/>
      <c r="N130" s="453">
        <v>0</v>
      </c>
      <c r="O130" s="257">
        <f t="shared" si="38"/>
        <v>0</v>
      </c>
      <c r="P130" s="453"/>
      <c r="Q130" s="453">
        <v>1</v>
      </c>
      <c r="R130" s="257">
        <f t="shared" si="39"/>
        <v>0.15723270440251574</v>
      </c>
      <c r="S130" s="453"/>
      <c r="T130" s="453">
        <v>1</v>
      </c>
      <c r="U130" s="257">
        <f t="shared" si="40"/>
        <v>4.7619047619047619</v>
      </c>
    </row>
    <row r="131" spans="1:21" s="455" customFormat="1">
      <c r="A131" s="4" t="s">
        <v>1171</v>
      </c>
      <c r="B131" s="453">
        <v>60</v>
      </c>
      <c r="C131" s="257">
        <f t="shared" si="34"/>
        <v>3.1185031185031189</v>
      </c>
      <c r="D131" s="453"/>
      <c r="E131" s="453">
        <v>16</v>
      </c>
      <c r="F131" s="257">
        <f t="shared" si="35"/>
        <v>2.7681660899653981</v>
      </c>
      <c r="G131" s="453"/>
      <c r="H131" s="453">
        <v>0</v>
      </c>
      <c r="I131" s="257">
        <f t="shared" si="36"/>
        <v>0</v>
      </c>
      <c r="J131" s="453"/>
      <c r="K131" s="453">
        <v>1</v>
      </c>
      <c r="L131" s="257">
        <f t="shared" si="37"/>
        <v>3.5714285714285712</v>
      </c>
      <c r="M131" s="453"/>
      <c r="N131" s="453">
        <v>12</v>
      </c>
      <c r="O131" s="257">
        <f t="shared" si="38"/>
        <v>2.3121387283236992</v>
      </c>
      <c r="P131" s="453"/>
      <c r="Q131" s="453">
        <v>23</v>
      </c>
      <c r="R131" s="257">
        <f t="shared" si="39"/>
        <v>3.6163522012578615</v>
      </c>
      <c r="S131" s="453"/>
      <c r="T131" s="453">
        <v>0</v>
      </c>
      <c r="U131" s="257">
        <f t="shared" si="40"/>
        <v>0</v>
      </c>
    </row>
    <row r="132" spans="1:21" s="455" customFormat="1">
      <c r="A132" s="4" t="s">
        <v>1172</v>
      </c>
      <c r="B132" s="453">
        <v>20</v>
      </c>
      <c r="C132" s="257">
        <f t="shared" si="34"/>
        <v>1.0395010395010396</v>
      </c>
      <c r="D132" s="453"/>
      <c r="E132" s="453">
        <v>5</v>
      </c>
      <c r="F132" s="257">
        <f t="shared" si="35"/>
        <v>0.86505190311418689</v>
      </c>
      <c r="G132" s="453"/>
      <c r="H132" s="453">
        <v>0</v>
      </c>
      <c r="I132" s="257">
        <f t="shared" si="36"/>
        <v>0</v>
      </c>
      <c r="J132" s="453"/>
      <c r="K132" s="453">
        <v>0</v>
      </c>
      <c r="L132" s="257">
        <f t="shared" si="37"/>
        <v>0</v>
      </c>
      <c r="M132" s="453"/>
      <c r="N132" s="453">
        <v>5</v>
      </c>
      <c r="O132" s="257">
        <f t="shared" si="38"/>
        <v>0.96339113680154131</v>
      </c>
      <c r="P132" s="453"/>
      <c r="Q132" s="453">
        <v>11</v>
      </c>
      <c r="R132" s="257">
        <f t="shared" si="39"/>
        <v>1.729559748427673</v>
      </c>
      <c r="S132" s="453"/>
      <c r="T132" s="453">
        <v>0</v>
      </c>
      <c r="U132" s="257">
        <f t="shared" si="40"/>
        <v>0</v>
      </c>
    </row>
    <row r="133" spans="1:21" s="455" customFormat="1">
      <c r="A133" s="4" t="s">
        <v>1173</v>
      </c>
      <c r="B133" s="453">
        <v>24</v>
      </c>
      <c r="C133" s="257">
        <f t="shared" si="34"/>
        <v>1.2474012474012475</v>
      </c>
      <c r="D133" s="453"/>
      <c r="E133" s="453">
        <v>7</v>
      </c>
      <c r="F133" s="257">
        <f t="shared" si="35"/>
        <v>1.2110726643598615</v>
      </c>
      <c r="G133" s="453"/>
      <c r="H133" s="453">
        <v>0</v>
      </c>
      <c r="I133" s="257">
        <f t="shared" si="36"/>
        <v>0</v>
      </c>
      <c r="J133" s="453"/>
      <c r="K133" s="453">
        <v>1</v>
      </c>
      <c r="L133" s="257">
        <f t="shared" si="37"/>
        <v>3.5714285714285712</v>
      </c>
      <c r="M133" s="453"/>
      <c r="N133" s="453">
        <v>6</v>
      </c>
      <c r="O133" s="257">
        <f t="shared" si="38"/>
        <v>1.1560693641618496</v>
      </c>
      <c r="P133" s="453"/>
      <c r="Q133" s="453">
        <v>8</v>
      </c>
      <c r="R133" s="257">
        <f t="shared" si="39"/>
        <v>1.257861635220126</v>
      </c>
      <c r="S133" s="453"/>
      <c r="T133" s="453">
        <v>0</v>
      </c>
      <c r="U133" s="257">
        <f t="shared" si="40"/>
        <v>0</v>
      </c>
    </row>
    <row r="134" spans="1:21" s="455" customFormat="1">
      <c r="A134" s="4" t="s">
        <v>1174</v>
      </c>
      <c r="B134" s="453">
        <v>25</v>
      </c>
      <c r="C134" s="257">
        <f t="shared" si="34"/>
        <v>1.2993762993762994</v>
      </c>
      <c r="D134" s="453"/>
      <c r="E134" s="453">
        <v>9</v>
      </c>
      <c r="F134" s="257">
        <f t="shared" si="35"/>
        <v>1.5570934256055362</v>
      </c>
      <c r="G134" s="453"/>
      <c r="H134" s="453">
        <v>0</v>
      </c>
      <c r="I134" s="257">
        <f t="shared" si="36"/>
        <v>0</v>
      </c>
      <c r="J134" s="453"/>
      <c r="K134" s="453">
        <v>0</v>
      </c>
      <c r="L134" s="257">
        <f t="shared" si="37"/>
        <v>0</v>
      </c>
      <c r="M134" s="453"/>
      <c r="N134" s="453">
        <v>3</v>
      </c>
      <c r="O134" s="257">
        <f t="shared" si="38"/>
        <v>0.57803468208092479</v>
      </c>
      <c r="P134" s="453"/>
      <c r="Q134" s="453">
        <v>9</v>
      </c>
      <c r="R134" s="257">
        <f t="shared" si="39"/>
        <v>1.4150943396226416</v>
      </c>
      <c r="S134" s="453"/>
      <c r="T134" s="453">
        <v>0</v>
      </c>
      <c r="U134" s="257">
        <f t="shared" si="40"/>
        <v>0</v>
      </c>
    </row>
    <row r="135" spans="1:21" s="455" customFormat="1">
      <c r="A135" s="4" t="s">
        <v>1175</v>
      </c>
      <c r="B135" s="453">
        <v>12</v>
      </c>
      <c r="C135" s="257">
        <f t="shared" si="34"/>
        <v>0.62370062370062374</v>
      </c>
      <c r="D135" s="453"/>
      <c r="E135" s="453">
        <v>11</v>
      </c>
      <c r="F135" s="257">
        <f t="shared" si="35"/>
        <v>1.9031141868512111</v>
      </c>
      <c r="G135" s="453"/>
      <c r="H135" s="453">
        <v>0</v>
      </c>
      <c r="I135" s="257">
        <f t="shared" si="36"/>
        <v>0</v>
      </c>
      <c r="J135" s="453"/>
      <c r="K135" s="453">
        <v>1</v>
      </c>
      <c r="L135" s="257">
        <f t="shared" si="37"/>
        <v>3.5714285714285712</v>
      </c>
      <c r="M135" s="453"/>
      <c r="N135" s="453">
        <v>2</v>
      </c>
      <c r="O135" s="257">
        <f t="shared" si="38"/>
        <v>0.38535645472061658</v>
      </c>
      <c r="P135" s="453"/>
      <c r="Q135" s="453">
        <v>0</v>
      </c>
      <c r="R135" s="257">
        <f t="shared" si="39"/>
        <v>0</v>
      </c>
      <c r="S135" s="453"/>
      <c r="T135" s="453">
        <v>0</v>
      </c>
      <c r="U135" s="257">
        <f t="shared" si="40"/>
        <v>0</v>
      </c>
    </row>
    <row r="136" spans="1:21" s="455" customFormat="1">
      <c r="A136" s="4" t="s">
        <v>1176</v>
      </c>
      <c r="B136" s="453">
        <v>38</v>
      </c>
      <c r="C136" s="257">
        <f t="shared" si="34"/>
        <v>1.9750519750519753</v>
      </c>
      <c r="D136" s="453"/>
      <c r="E136" s="453">
        <v>21</v>
      </c>
      <c r="F136" s="257">
        <f t="shared" si="35"/>
        <v>3.6332179930795849</v>
      </c>
      <c r="G136" s="453"/>
      <c r="H136" s="453">
        <v>0</v>
      </c>
      <c r="I136" s="257">
        <f t="shared" si="36"/>
        <v>0</v>
      </c>
      <c r="J136" s="453"/>
      <c r="K136" s="453">
        <v>3</v>
      </c>
      <c r="L136" s="257">
        <f t="shared" si="37"/>
        <v>10.714285714285714</v>
      </c>
      <c r="M136" s="453"/>
      <c r="N136" s="453">
        <v>13</v>
      </c>
      <c r="O136" s="257">
        <f t="shared" si="38"/>
        <v>2.5048169556840074</v>
      </c>
      <c r="P136" s="453"/>
      <c r="Q136" s="453">
        <v>7</v>
      </c>
      <c r="R136" s="257">
        <f t="shared" si="39"/>
        <v>1.10062893081761</v>
      </c>
      <c r="S136" s="453"/>
      <c r="T136" s="453">
        <v>2</v>
      </c>
      <c r="U136" s="257">
        <f t="shared" si="40"/>
        <v>9.5238095238095237</v>
      </c>
    </row>
    <row r="137" spans="1:21" s="455" customFormat="1">
      <c r="A137" s="4" t="s">
        <v>1177</v>
      </c>
      <c r="B137" s="453">
        <v>25</v>
      </c>
      <c r="C137" s="257">
        <f t="shared" si="34"/>
        <v>1.2993762993762994</v>
      </c>
      <c r="D137" s="453"/>
      <c r="E137" s="453">
        <v>5</v>
      </c>
      <c r="F137" s="257">
        <f t="shared" si="35"/>
        <v>0.86505190311418689</v>
      </c>
      <c r="G137" s="453"/>
      <c r="H137" s="453">
        <v>0</v>
      </c>
      <c r="I137" s="257">
        <f t="shared" si="36"/>
        <v>0</v>
      </c>
      <c r="J137" s="453"/>
      <c r="K137" s="453">
        <v>1</v>
      </c>
      <c r="L137" s="257">
        <f t="shared" si="37"/>
        <v>3.5714285714285712</v>
      </c>
      <c r="M137" s="453"/>
      <c r="N137" s="453">
        <v>8</v>
      </c>
      <c r="O137" s="257">
        <f t="shared" si="38"/>
        <v>1.5414258188824663</v>
      </c>
      <c r="P137" s="453"/>
      <c r="Q137" s="453">
        <v>10</v>
      </c>
      <c r="R137" s="257">
        <f t="shared" si="39"/>
        <v>1.5723270440251573</v>
      </c>
      <c r="S137" s="453"/>
      <c r="T137" s="453">
        <v>0</v>
      </c>
      <c r="U137" s="257">
        <f t="shared" si="40"/>
        <v>0</v>
      </c>
    </row>
    <row r="138" spans="1:21" s="455" customFormat="1">
      <c r="A138" s="4" t="s">
        <v>1178</v>
      </c>
      <c r="B138" s="453">
        <v>20</v>
      </c>
      <c r="C138" s="257">
        <f t="shared" si="34"/>
        <v>1.0395010395010396</v>
      </c>
      <c r="D138" s="453"/>
      <c r="E138" s="453">
        <v>9</v>
      </c>
      <c r="F138" s="257">
        <f t="shared" si="35"/>
        <v>1.5570934256055362</v>
      </c>
      <c r="G138" s="453"/>
      <c r="H138" s="453">
        <v>0</v>
      </c>
      <c r="I138" s="257">
        <f t="shared" si="36"/>
        <v>0</v>
      </c>
      <c r="J138" s="453"/>
      <c r="K138" s="453">
        <v>0</v>
      </c>
      <c r="L138" s="257">
        <f t="shared" si="37"/>
        <v>0</v>
      </c>
      <c r="M138" s="453"/>
      <c r="N138" s="453">
        <v>5</v>
      </c>
      <c r="O138" s="257">
        <f t="shared" si="38"/>
        <v>0.96339113680154131</v>
      </c>
      <c r="P138" s="453"/>
      <c r="Q138" s="453">
        <v>2</v>
      </c>
      <c r="R138" s="257">
        <f t="shared" si="39"/>
        <v>0.31446540880503149</v>
      </c>
      <c r="S138" s="453"/>
      <c r="T138" s="453">
        <v>0</v>
      </c>
      <c r="U138" s="257">
        <f t="shared" si="40"/>
        <v>0</v>
      </c>
    </row>
    <row r="139" spans="1:21" s="455" customFormat="1">
      <c r="A139" s="4" t="s">
        <v>1179</v>
      </c>
      <c r="B139" s="453">
        <v>4</v>
      </c>
      <c r="C139" s="257">
        <f t="shared" si="34"/>
        <v>0.20790020790020791</v>
      </c>
      <c r="D139" s="453"/>
      <c r="E139" s="453">
        <v>3</v>
      </c>
      <c r="F139" s="257">
        <f t="shared" si="35"/>
        <v>0.51903114186851207</v>
      </c>
      <c r="G139" s="453"/>
      <c r="H139" s="453">
        <v>0</v>
      </c>
      <c r="I139" s="257">
        <f t="shared" si="36"/>
        <v>0</v>
      </c>
      <c r="J139" s="453"/>
      <c r="K139" s="453">
        <v>0</v>
      </c>
      <c r="L139" s="257">
        <f t="shared" si="37"/>
        <v>0</v>
      </c>
      <c r="M139" s="453"/>
      <c r="N139" s="453">
        <v>0</v>
      </c>
      <c r="O139" s="257">
        <f t="shared" si="38"/>
        <v>0</v>
      </c>
      <c r="P139" s="453"/>
      <c r="Q139" s="453">
        <v>1</v>
      </c>
      <c r="R139" s="257">
        <f t="shared" si="39"/>
        <v>0.15723270440251574</v>
      </c>
      <c r="S139" s="453"/>
      <c r="T139" s="453">
        <v>0</v>
      </c>
      <c r="U139" s="257">
        <f t="shared" si="40"/>
        <v>0</v>
      </c>
    </row>
    <row r="140" spans="1:21" s="455" customFormat="1">
      <c r="A140" s="4" t="s">
        <v>1180</v>
      </c>
      <c r="B140" s="453">
        <v>22</v>
      </c>
      <c r="C140" s="257">
        <f t="shared" si="34"/>
        <v>1.1434511434511436</v>
      </c>
      <c r="D140" s="453"/>
      <c r="E140" s="453">
        <v>8</v>
      </c>
      <c r="F140" s="257">
        <f t="shared" si="35"/>
        <v>1.3840830449826991</v>
      </c>
      <c r="G140" s="453"/>
      <c r="H140" s="453">
        <v>0</v>
      </c>
      <c r="I140" s="257">
        <f t="shared" si="36"/>
        <v>0</v>
      </c>
      <c r="J140" s="453"/>
      <c r="K140" s="453">
        <v>0</v>
      </c>
      <c r="L140" s="257">
        <f t="shared" si="37"/>
        <v>0</v>
      </c>
      <c r="M140" s="453"/>
      <c r="N140" s="453">
        <v>9</v>
      </c>
      <c r="O140" s="257">
        <f t="shared" si="38"/>
        <v>1.7341040462427744</v>
      </c>
      <c r="P140" s="453"/>
      <c r="Q140" s="453">
        <v>8</v>
      </c>
      <c r="R140" s="257">
        <f t="shared" si="39"/>
        <v>1.257861635220126</v>
      </c>
      <c r="S140" s="453"/>
      <c r="T140" s="453">
        <v>0</v>
      </c>
      <c r="U140" s="257">
        <f t="shared" si="40"/>
        <v>0</v>
      </c>
    </row>
    <row r="141" spans="1:21" s="455" customFormat="1">
      <c r="A141" s="4" t="s">
        <v>1181</v>
      </c>
      <c r="B141" s="453">
        <v>14</v>
      </c>
      <c r="C141" s="257">
        <f t="shared" si="34"/>
        <v>0.72765072765072769</v>
      </c>
      <c r="D141" s="453"/>
      <c r="E141" s="453">
        <v>9</v>
      </c>
      <c r="F141" s="257">
        <f t="shared" si="35"/>
        <v>1.5570934256055362</v>
      </c>
      <c r="G141" s="453"/>
      <c r="H141" s="453">
        <v>0</v>
      </c>
      <c r="I141" s="257">
        <f t="shared" si="36"/>
        <v>0</v>
      </c>
      <c r="J141" s="453"/>
      <c r="K141" s="453">
        <v>1</v>
      </c>
      <c r="L141" s="257">
        <f t="shared" si="37"/>
        <v>3.5714285714285712</v>
      </c>
      <c r="M141" s="453"/>
      <c r="N141" s="453">
        <v>4</v>
      </c>
      <c r="O141" s="257">
        <f t="shared" si="38"/>
        <v>0.77071290944123316</v>
      </c>
      <c r="P141" s="453"/>
      <c r="Q141" s="453">
        <v>5</v>
      </c>
      <c r="R141" s="257">
        <f t="shared" si="39"/>
        <v>0.78616352201257866</v>
      </c>
      <c r="S141" s="453"/>
      <c r="T141" s="453">
        <v>0</v>
      </c>
      <c r="U141" s="257">
        <f t="shared" si="40"/>
        <v>0</v>
      </c>
    </row>
    <row r="142" spans="1:21" s="455" customFormat="1">
      <c r="A142" s="4" t="s">
        <v>1182</v>
      </c>
      <c r="B142" s="453">
        <v>37</v>
      </c>
      <c r="C142" s="257">
        <f t="shared" si="34"/>
        <v>1.9230769230769231</v>
      </c>
      <c r="D142" s="453"/>
      <c r="E142" s="453">
        <v>9</v>
      </c>
      <c r="F142" s="257">
        <f t="shared" si="35"/>
        <v>1.5570934256055362</v>
      </c>
      <c r="G142" s="453"/>
      <c r="H142" s="453">
        <v>1</v>
      </c>
      <c r="I142" s="257">
        <f t="shared" si="36"/>
        <v>50</v>
      </c>
      <c r="J142" s="453"/>
      <c r="K142" s="453">
        <v>2</v>
      </c>
      <c r="L142" s="257">
        <f t="shared" si="37"/>
        <v>7.1428571428571423</v>
      </c>
      <c r="M142" s="453"/>
      <c r="N142" s="453">
        <v>13</v>
      </c>
      <c r="O142" s="257">
        <f t="shared" si="38"/>
        <v>2.5048169556840074</v>
      </c>
      <c r="P142" s="453"/>
      <c r="Q142" s="453">
        <v>13</v>
      </c>
      <c r="R142" s="257">
        <f t="shared" si="39"/>
        <v>2.0440251572327042</v>
      </c>
      <c r="S142" s="453"/>
      <c r="T142" s="453">
        <v>0</v>
      </c>
      <c r="U142" s="257">
        <f t="shared" si="40"/>
        <v>0</v>
      </c>
    </row>
    <row r="143" spans="1:21" s="455" customFormat="1">
      <c r="A143" s="4" t="s">
        <v>1183</v>
      </c>
      <c r="B143" s="453">
        <v>56</v>
      </c>
      <c r="C143" s="257">
        <f t="shared" si="34"/>
        <v>2.9106029106029108</v>
      </c>
      <c r="D143" s="453"/>
      <c r="E143" s="453">
        <v>27</v>
      </c>
      <c r="F143" s="257">
        <f t="shared" si="35"/>
        <v>4.6712802768166091</v>
      </c>
      <c r="G143" s="453"/>
      <c r="H143" s="453">
        <v>0</v>
      </c>
      <c r="I143" s="257">
        <f t="shared" si="36"/>
        <v>0</v>
      </c>
      <c r="J143" s="453"/>
      <c r="K143" s="453">
        <v>0</v>
      </c>
      <c r="L143" s="257">
        <f t="shared" si="37"/>
        <v>0</v>
      </c>
      <c r="M143" s="453"/>
      <c r="N143" s="453">
        <v>15</v>
      </c>
      <c r="O143" s="257">
        <f t="shared" si="38"/>
        <v>2.8901734104046244</v>
      </c>
      <c r="P143" s="453"/>
      <c r="Q143" s="453">
        <v>4</v>
      </c>
      <c r="R143" s="257">
        <f t="shared" si="39"/>
        <v>0.62893081761006298</v>
      </c>
      <c r="S143" s="453"/>
      <c r="T143" s="453">
        <v>3</v>
      </c>
      <c r="U143" s="257">
        <f t="shared" si="40"/>
        <v>14.285714285714285</v>
      </c>
    </row>
    <row r="144" spans="1:21" s="455" customFormat="1">
      <c r="A144" s="4" t="s">
        <v>1184</v>
      </c>
      <c r="B144" s="453">
        <v>14</v>
      </c>
      <c r="C144" s="257">
        <f t="shared" si="34"/>
        <v>0.72765072765072769</v>
      </c>
      <c r="D144" s="453"/>
      <c r="E144" s="453">
        <v>7</v>
      </c>
      <c r="F144" s="257">
        <f t="shared" si="35"/>
        <v>1.2110726643598615</v>
      </c>
      <c r="G144" s="453"/>
      <c r="H144" s="453">
        <v>0</v>
      </c>
      <c r="I144" s="257">
        <f t="shared" si="36"/>
        <v>0</v>
      </c>
      <c r="J144" s="453"/>
      <c r="K144" s="453">
        <v>0</v>
      </c>
      <c r="L144" s="257">
        <f t="shared" si="37"/>
        <v>0</v>
      </c>
      <c r="M144" s="453"/>
      <c r="N144" s="453">
        <v>8</v>
      </c>
      <c r="O144" s="257">
        <f t="shared" si="38"/>
        <v>1.5414258188824663</v>
      </c>
      <c r="P144" s="453"/>
      <c r="Q144" s="453">
        <v>5</v>
      </c>
      <c r="R144" s="257">
        <f t="shared" si="39"/>
        <v>0.78616352201257866</v>
      </c>
      <c r="S144" s="453"/>
      <c r="T144" s="453">
        <v>0</v>
      </c>
      <c r="U144" s="257">
        <f t="shared" si="40"/>
        <v>0</v>
      </c>
    </row>
    <row r="145" spans="1:21" s="455" customFormat="1">
      <c r="A145" s="4" t="s">
        <v>1185</v>
      </c>
      <c r="B145" s="453">
        <v>19</v>
      </c>
      <c r="C145" s="257">
        <f t="shared" si="34"/>
        <v>0.98752598752598764</v>
      </c>
      <c r="D145" s="453"/>
      <c r="E145" s="453">
        <v>4</v>
      </c>
      <c r="F145" s="257">
        <f t="shared" si="35"/>
        <v>0.69204152249134954</v>
      </c>
      <c r="G145" s="453"/>
      <c r="H145" s="453">
        <v>0</v>
      </c>
      <c r="I145" s="257">
        <f t="shared" si="36"/>
        <v>0</v>
      </c>
      <c r="J145" s="453"/>
      <c r="K145" s="453">
        <v>0</v>
      </c>
      <c r="L145" s="257">
        <f t="shared" si="37"/>
        <v>0</v>
      </c>
      <c r="M145" s="453"/>
      <c r="N145" s="453">
        <v>4</v>
      </c>
      <c r="O145" s="257">
        <f t="shared" si="38"/>
        <v>0.77071290944123316</v>
      </c>
      <c r="P145" s="453"/>
      <c r="Q145" s="453">
        <v>9</v>
      </c>
      <c r="R145" s="257">
        <f t="shared" si="39"/>
        <v>1.4150943396226416</v>
      </c>
      <c r="S145" s="453"/>
      <c r="T145" s="453">
        <v>0</v>
      </c>
      <c r="U145" s="257">
        <f t="shared" si="40"/>
        <v>0</v>
      </c>
    </row>
    <row r="146" spans="1:21" s="455" customFormat="1">
      <c r="A146" s="4" t="s">
        <v>1186</v>
      </c>
      <c r="B146" s="453">
        <v>22</v>
      </c>
      <c r="C146" s="257">
        <f t="shared" si="34"/>
        <v>1.1434511434511436</v>
      </c>
      <c r="D146" s="453"/>
      <c r="E146" s="453">
        <v>3</v>
      </c>
      <c r="F146" s="257">
        <f t="shared" si="35"/>
        <v>0.51903114186851207</v>
      </c>
      <c r="G146" s="453"/>
      <c r="H146" s="453">
        <v>0</v>
      </c>
      <c r="I146" s="257">
        <f t="shared" si="36"/>
        <v>0</v>
      </c>
      <c r="J146" s="453"/>
      <c r="K146" s="453">
        <v>1</v>
      </c>
      <c r="L146" s="257">
        <f t="shared" si="37"/>
        <v>3.5714285714285712</v>
      </c>
      <c r="M146" s="453"/>
      <c r="N146" s="453">
        <v>0</v>
      </c>
      <c r="O146" s="257">
        <f t="shared" si="38"/>
        <v>0</v>
      </c>
      <c r="P146" s="453"/>
      <c r="Q146" s="453">
        <v>13</v>
      </c>
      <c r="R146" s="257">
        <f t="shared" si="39"/>
        <v>2.0440251572327042</v>
      </c>
      <c r="S146" s="453"/>
      <c r="T146" s="453">
        <v>0</v>
      </c>
      <c r="U146" s="257">
        <f t="shared" si="40"/>
        <v>0</v>
      </c>
    </row>
    <row r="147" spans="1:21" s="455" customFormat="1">
      <c r="A147" s="4" t="s">
        <v>1187</v>
      </c>
      <c r="B147" s="453">
        <v>35</v>
      </c>
      <c r="C147" s="257">
        <f t="shared" si="34"/>
        <v>1.8191268191268193</v>
      </c>
      <c r="D147" s="453"/>
      <c r="E147" s="453">
        <v>16</v>
      </c>
      <c r="F147" s="257">
        <f t="shared" si="35"/>
        <v>2.7681660899653981</v>
      </c>
      <c r="G147" s="453"/>
      <c r="H147" s="453">
        <v>0</v>
      </c>
      <c r="I147" s="257">
        <f t="shared" si="36"/>
        <v>0</v>
      </c>
      <c r="J147" s="453"/>
      <c r="K147" s="453">
        <v>1</v>
      </c>
      <c r="L147" s="257">
        <f t="shared" si="37"/>
        <v>3.5714285714285712</v>
      </c>
      <c r="M147" s="453"/>
      <c r="N147" s="453">
        <v>23</v>
      </c>
      <c r="O147" s="257">
        <f t="shared" si="38"/>
        <v>4.4315992292870909</v>
      </c>
      <c r="P147" s="453"/>
      <c r="Q147" s="453">
        <v>14</v>
      </c>
      <c r="R147" s="257">
        <f t="shared" si="39"/>
        <v>2.2012578616352201</v>
      </c>
      <c r="S147" s="453"/>
      <c r="T147" s="453">
        <v>0</v>
      </c>
      <c r="U147" s="257">
        <f t="shared" si="40"/>
        <v>0</v>
      </c>
    </row>
    <row r="148" spans="1:21" s="455" customFormat="1">
      <c r="A148" s="4" t="s">
        <v>1188</v>
      </c>
      <c r="B148" s="453">
        <v>11</v>
      </c>
      <c r="C148" s="257">
        <f t="shared" si="34"/>
        <v>0.57172557172557181</v>
      </c>
      <c r="D148" s="453"/>
      <c r="E148" s="453">
        <v>3</v>
      </c>
      <c r="F148" s="257">
        <f t="shared" si="35"/>
        <v>0.51903114186851207</v>
      </c>
      <c r="G148" s="453"/>
      <c r="H148" s="453">
        <v>0</v>
      </c>
      <c r="I148" s="257">
        <f t="shared" si="36"/>
        <v>0</v>
      </c>
      <c r="J148" s="453"/>
      <c r="K148" s="453">
        <v>0</v>
      </c>
      <c r="L148" s="257">
        <f t="shared" si="37"/>
        <v>0</v>
      </c>
      <c r="M148" s="453"/>
      <c r="N148" s="453">
        <v>8</v>
      </c>
      <c r="O148" s="257">
        <f t="shared" si="38"/>
        <v>1.5414258188824663</v>
      </c>
      <c r="P148" s="453"/>
      <c r="Q148" s="453">
        <v>1</v>
      </c>
      <c r="R148" s="257">
        <f t="shared" si="39"/>
        <v>0.15723270440251574</v>
      </c>
      <c r="S148" s="453"/>
      <c r="T148" s="453">
        <v>0</v>
      </c>
      <c r="U148" s="257">
        <f t="shared" si="40"/>
        <v>0</v>
      </c>
    </row>
    <row r="149" spans="1:21" s="455" customFormat="1">
      <c r="A149" s="4" t="s">
        <v>1189</v>
      </c>
      <c r="B149" s="453">
        <v>29</v>
      </c>
      <c r="C149" s="257">
        <f t="shared" si="34"/>
        <v>1.5072765072765073</v>
      </c>
      <c r="D149" s="453"/>
      <c r="E149" s="453">
        <v>7</v>
      </c>
      <c r="F149" s="257">
        <f t="shared" si="35"/>
        <v>1.2110726643598615</v>
      </c>
      <c r="G149" s="453"/>
      <c r="H149" s="453">
        <v>0</v>
      </c>
      <c r="I149" s="257">
        <f t="shared" si="36"/>
        <v>0</v>
      </c>
      <c r="J149" s="453"/>
      <c r="K149" s="453">
        <v>0</v>
      </c>
      <c r="L149" s="257">
        <f t="shared" si="37"/>
        <v>0</v>
      </c>
      <c r="M149" s="453"/>
      <c r="N149" s="453">
        <v>2</v>
      </c>
      <c r="O149" s="257">
        <f t="shared" si="38"/>
        <v>0.38535645472061658</v>
      </c>
      <c r="P149" s="453"/>
      <c r="Q149" s="453">
        <v>10</v>
      </c>
      <c r="R149" s="257">
        <f t="shared" si="39"/>
        <v>1.5723270440251573</v>
      </c>
      <c r="S149" s="453"/>
      <c r="T149" s="453">
        <v>0</v>
      </c>
      <c r="U149" s="257">
        <f t="shared" si="40"/>
        <v>0</v>
      </c>
    </row>
    <row r="150" spans="1:21" s="455" customFormat="1">
      <c r="A150" s="4" t="s">
        <v>1190</v>
      </c>
      <c r="B150" s="453">
        <v>62</v>
      </c>
      <c r="C150" s="257">
        <f t="shared" si="34"/>
        <v>3.2224532224532227</v>
      </c>
      <c r="D150" s="453"/>
      <c r="E150" s="453">
        <v>20</v>
      </c>
      <c r="F150" s="257">
        <f t="shared" si="35"/>
        <v>3.4602076124567476</v>
      </c>
      <c r="G150" s="453"/>
      <c r="H150" s="453">
        <v>0</v>
      </c>
      <c r="I150" s="257">
        <f t="shared" si="36"/>
        <v>0</v>
      </c>
      <c r="J150" s="453"/>
      <c r="K150" s="453">
        <v>0</v>
      </c>
      <c r="L150" s="257">
        <f t="shared" si="37"/>
        <v>0</v>
      </c>
      <c r="M150" s="453"/>
      <c r="N150" s="453">
        <v>3</v>
      </c>
      <c r="O150" s="257">
        <f t="shared" si="38"/>
        <v>0.57803468208092479</v>
      </c>
      <c r="P150" s="453"/>
      <c r="Q150" s="453">
        <v>27</v>
      </c>
      <c r="R150" s="257">
        <f t="shared" si="39"/>
        <v>4.2452830188679247</v>
      </c>
      <c r="S150" s="453"/>
      <c r="T150" s="453">
        <v>0</v>
      </c>
      <c r="U150" s="257">
        <f t="shared" si="40"/>
        <v>0</v>
      </c>
    </row>
    <row r="151" spans="1:21" s="455" customFormat="1">
      <c r="A151" s="4" t="s">
        <v>1191</v>
      </c>
      <c r="B151" s="453">
        <v>38</v>
      </c>
      <c r="C151" s="257">
        <f t="shared" si="34"/>
        <v>1.9750519750519753</v>
      </c>
      <c r="D151" s="453"/>
      <c r="E151" s="453">
        <v>14</v>
      </c>
      <c r="F151" s="257">
        <f t="shared" si="35"/>
        <v>2.422145328719723</v>
      </c>
      <c r="G151" s="453"/>
      <c r="H151" s="453">
        <v>0</v>
      </c>
      <c r="I151" s="257">
        <f t="shared" si="36"/>
        <v>0</v>
      </c>
      <c r="J151" s="453"/>
      <c r="K151" s="453">
        <v>0</v>
      </c>
      <c r="L151" s="257">
        <f t="shared" si="37"/>
        <v>0</v>
      </c>
      <c r="M151" s="453"/>
      <c r="N151" s="453">
        <v>9</v>
      </c>
      <c r="O151" s="257">
        <f t="shared" si="38"/>
        <v>1.7341040462427744</v>
      </c>
      <c r="P151" s="453"/>
      <c r="Q151" s="453">
        <v>9</v>
      </c>
      <c r="R151" s="257">
        <f t="shared" si="39"/>
        <v>1.4150943396226416</v>
      </c>
      <c r="S151" s="453"/>
      <c r="T151" s="453">
        <v>0</v>
      </c>
      <c r="U151" s="257">
        <f t="shared" si="40"/>
        <v>0</v>
      </c>
    </row>
    <row r="152" spans="1:21" s="455" customFormat="1">
      <c r="A152" s="4" t="s">
        <v>1192</v>
      </c>
      <c r="B152" s="453">
        <v>11</v>
      </c>
      <c r="C152" s="257">
        <f t="shared" si="34"/>
        <v>0.57172557172557181</v>
      </c>
      <c r="D152" s="453"/>
      <c r="E152" s="453">
        <v>2</v>
      </c>
      <c r="F152" s="257">
        <f t="shared" si="35"/>
        <v>0.34602076124567477</v>
      </c>
      <c r="G152" s="453"/>
      <c r="H152" s="453">
        <v>0</v>
      </c>
      <c r="I152" s="257">
        <f t="shared" si="36"/>
        <v>0</v>
      </c>
      <c r="J152" s="453"/>
      <c r="K152" s="453">
        <v>0</v>
      </c>
      <c r="L152" s="257">
        <f t="shared" si="37"/>
        <v>0</v>
      </c>
      <c r="M152" s="453"/>
      <c r="N152" s="453">
        <v>1</v>
      </c>
      <c r="O152" s="257">
        <f t="shared" si="38"/>
        <v>0.19267822736030829</v>
      </c>
      <c r="P152" s="453"/>
      <c r="Q152" s="453">
        <v>6</v>
      </c>
      <c r="R152" s="257">
        <f t="shared" si="39"/>
        <v>0.94339622641509435</v>
      </c>
      <c r="S152" s="453"/>
      <c r="T152" s="453">
        <v>0</v>
      </c>
      <c r="U152" s="257">
        <f t="shared" si="40"/>
        <v>0</v>
      </c>
    </row>
    <row r="153" spans="1:21" s="455" customFormat="1">
      <c r="A153" s="4" t="s">
        <v>1193</v>
      </c>
      <c r="B153" s="453">
        <v>12</v>
      </c>
      <c r="C153" s="257">
        <f t="shared" si="34"/>
        <v>0.62370062370062374</v>
      </c>
      <c r="D153" s="453"/>
      <c r="E153" s="453">
        <v>3</v>
      </c>
      <c r="F153" s="257">
        <f t="shared" si="35"/>
        <v>0.51903114186851207</v>
      </c>
      <c r="G153" s="453"/>
      <c r="H153" s="453">
        <v>0</v>
      </c>
      <c r="I153" s="257">
        <f t="shared" si="36"/>
        <v>0</v>
      </c>
      <c r="J153" s="453"/>
      <c r="K153" s="453">
        <v>0</v>
      </c>
      <c r="L153" s="257">
        <f t="shared" si="37"/>
        <v>0</v>
      </c>
      <c r="M153" s="453"/>
      <c r="N153" s="453">
        <v>5</v>
      </c>
      <c r="O153" s="257">
        <f t="shared" si="38"/>
        <v>0.96339113680154131</v>
      </c>
      <c r="P153" s="453"/>
      <c r="Q153" s="453">
        <v>5</v>
      </c>
      <c r="R153" s="257">
        <f t="shared" si="39"/>
        <v>0.78616352201257866</v>
      </c>
      <c r="S153" s="453"/>
      <c r="T153" s="453">
        <v>0</v>
      </c>
      <c r="U153" s="257">
        <f t="shared" ref="U153" si="41">IF(A153&lt;&gt;0,T153/$T$11*100,"")</f>
        <v>0</v>
      </c>
    </row>
    <row r="154" spans="1:21" s="455" customFormat="1">
      <c r="A154" s="4" t="s">
        <v>1194</v>
      </c>
      <c r="B154" s="453">
        <v>23</v>
      </c>
      <c r="C154" s="257">
        <f t="shared" ref="C154:C188" si="42">IF($A154&lt;&gt;0,B154/B$11*100,"")</f>
        <v>1.1954261954261955</v>
      </c>
      <c r="D154" s="453"/>
      <c r="E154" s="453">
        <v>5</v>
      </c>
      <c r="F154" s="257">
        <f t="shared" ref="F154:F188" si="43">IF($A154&lt;&gt;0,E154/E$11*100,"")</f>
        <v>0.86505190311418689</v>
      </c>
      <c r="G154" s="453"/>
      <c r="H154" s="453">
        <v>0</v>
      </c>
      <c r="I154" s="257">
        <f t="shared" ref="I154:I188" si="44">IF($A154&lt;&gt;0,H154/H$11*100,"")</f>
        <v>0</v>
      </c>
      <c r="J154" s="453"/>
      <c r="K154" s="453">
        <v>0</v>
      </c>
      <c r="L154" s="257">
        <f t="shared" ref="L154:L188" si="45">IF($A154&lt;&gt;0,K154/K$11*100,"")</f>
        <v>0</v>
      </c>
      <c r="M154" s="453"/>
      <c r="N154" s="453">
        <v>11</v>
      </c>
      <c r="O154" s="257">
        <f t="shared" ref="O154:O188" si="46">IF(A154&lt;&gt;0,N154/$N$11*100,"")</f>
        <v>2.1194605009633909</v>
      </c>
      <c r="P154" s="453"/>
      <c r="Q154" s="453">
        <v>6</v>
      </c>
      <c r="R154" s="257">
        <f t="shared" ref="R154:R188" si="47">IF($A154&lt;&gt;0,Q154/Q$11*100,"")</f>
        <v>0.94339622641509435</v>
      </c>
      <c r="S154" s="453"/>
      <c r="T154" s="453">
        <v>0</v>
      </c>
      <c r="U154" s="257">
        <f t="shared" ref="U154:U188" si="48">IF(A154&lt;&gt;0,T154/$T$11*100,"")</f>
        <v>0</v>
      </c>
    </row>
    <row r="155" spans="1:21" s="455" customFormat="1">
      <c r="A155" s="4" t="s">
        <v>1195</v>
      </c>
      <c r="B155" s="453">
        <v>48</v>
      </c>
      <c r="C155" s="257">
        <f t="shared" si="42"/>
        <v>2.4948024948024949</v>
      </c>
      <c r="D155" s="453"/>
      <c r="E155" s="453">
        <v>7</v>
      </c>
      <c r="F155" s="257">
        <f t="shared" si="43"/>
        <v>1.2110726643598615</v>
      </c>
      <c r="G155" s="453"/>
      <c r="H155" s="453">
        <v>0</v>
      </c>
      <c r="I155" s="257">
        <f t="shared" si="44"/>
        <v>0</v>
      </c>
      <c r="J155" s="453"/>
      <c r="K155" s="453">
        <v>0</v>
      </c>
      <c r="L155" s="257">
        <f t="shared" si="45"/>
        <v>0</v>
      </c>
      <c r="M155" s="453"/>
      <c r="N155" s="453">
        <v>9</v>
      </c>
      <c r="O155" s="257">
        <f t="shared" si="46"/>
        <v>1.7341040462427744</v>
      </c>
      <c r="P155" s="453"/>
      <c r="Q155" s="453">
        <v>20</v>
      </c>
      <c r="R155" s="257">
        <f t="shared" si="47"/>
        <v>3.1446540880503147</v>
      </c>
      <c r="S155" s="453"/>
      <c r="T155" s="453">
        <v>0</v>
      </c>
      <c r="U155" s="257">
        <f t="shared" si="48"/>
        <v>0</v>
      </c>
    </row>
    <row r="156" spans="1:21" s="455" customFormat="1">
      <c r="A156" s="4" t="s">
        <v>1196</v>
      </c>
      <c r="B156" s="453">
        <v>16</v>
      </c>
      <c r="C156" s="257">
        <f t="shared" si="42"/>
        <v>0.83160083160083165</v>
      </c>
      <c r="D156" s="453"/>
      <c r="E156" s="453">
        <v>5</v>
      </c>
      <c r="F156" s="257">
        <f t="shared" si="43"/>
        <v>0.86505190311418689</v>
      </c>
      <c r="G156" s="453"/>
      <c r="H156" s="453">
        <v>0</v>
      </c>
      <c r="I156" s="257">
        <f t="shared" si="44"/>
        <v>0</v>
      </c>
      <c r="J156" s="453"/>
      <c r="K156" s="453">
        <v>0</v>
      </c>
      <c r="L156" s="257">
        <f t="shared" si="45"/>
        <v>0</v>
      </c>
      <c r="M156" s="453"/>
      <c r="N156" s="453">
        <v>4</v>
      </c>
      <c r="O156" s="257">
        <f t="shared" si="46"/>
        <v>0.77071290944123316</v>
      </c>
      <c r="P156" s="453"/>
      <c r="Q156" s="453">
        <v>6</v>
      </c>
      <c r="R156" s="257">
        <f t="shared" si="47"/>
        <v>0.94339622641509435</v>
      </c>
      <c r="S156" s="453"/>
      <c r="T156" s="453">
        <v>0</v>
      </c>
      <c r="U156" s="257">
        <f t="shared" si="48"/>
        <v>0</v>
      </c>
    </row>
    <row r="157" spans="1:21" s="455" customFormat="1">
      <c r="A157" s="4" t="s">
        <v>1197</v>
      </c>
      <c r="B157" s="453">
        <v>14</v>
      </c>
      <c r="C157" s="257">
        <f t="shared" si="42"/>
        <v>0.72765072765072769</v>
      </c>
      <c r="D157" s="453"/>
      <c r="E157" s="453">
        <v>3</v>
      </c>
      <c r="F157" s="257">
        <f t="shared" si="43"/>
        <v>0.51903114186851207</v>
      </c>
      <c r="G157" s="453"/>
      <c r="H157" s="453">
        <v>0</v>
      </c>
      <c r="I157" s="257">
        <f t="shared" si="44"/>
        <v>0</v>
      </c>
      <c r="J157" s="453"/>
      <c r="K157" s="453">
        <v>0</v>
      </c>
      <c r="L157" s="257">
        <f t="shared" si="45"/>
        <v>0</v>
      </c>
      <c r="M157" s="453"/>
      <c r="N157" s="453">
        <v>3</v>
      </c>
      <c r="O157" s="257">
        <f t="shared" si="46"/>
        <v>0.57803468208092479</v>
      </c>
      <c r="P157" s="453"/>
      <c r="Q157" s="453">
        <v>4</v>
      </c>
      <c r="R157" s="257">
        <f t="shared" si="47"/>
        <v>0.62893081761006298</v>
      </c>
      <c r="S157" s="453"/>
      <c r="T157" s="453">
        <v>0</v>
      </c>
      <c r="U157" s="257">
        <f t="shared" si="48"/>
        <v>0</v>
      </c>
    </row>
    <row r="158" spans="1:21" s="455" customFormat="1">
      <c r="A158" s="512" t="s">
        <v>1198</v>
      </c>
      <c r="B158" s="453">
        <v>9</v>
      </c>
      <c r="C158" s="257">
        <f t="shared" si="42"/>
        <v>0.4677754677754678</v>
      </c>
      <c r="D158" s="453"/>
      <c r="E158" s="453">
        <v>1</v>
      </c>
      <c r="F158" s="257">
        <f t="shared" si="43"/>
        <v>0.17301038062283738</v>
      </c>
      <c r="G158" s="453"/>
      <c r="H158" s="453">
        <v>0</v>
      </c>
      <c r="I158" s="257">
        <f t="shared" si="44"/>
        <v>0</v>
      </c>
      <c r="J158" s="453"/>
      <c r="K158" s="453">
        <v>0</v>
      </c>
      <c r="L158" s="257">
        <f t="shared" si="45"/>
        <v>0</v>
      </c>
      <c r="M158" s="453"/>
      <c r="N158" s="453">
        <v>1</v>
      </c>
      <c r="O158" s="257">
        <f t="shared" si="46"/>
        <v>0.19267822736030829</v>
      </c>
      <c r="P158" s="453"/>
      <c r="Q158" s="453">
        <v>4</v>
      </c>
      <c r="R158" s="257">
        <f t="shared" si="47"/>
        <v>0.62893081761006298</v>
      </c>
      <c r="S158" s="453"/>
      <c r="T158" s="453">
        <v>0</v>
      </c>
      <c r="U158" s="257">
        <f t="shared" si="48"/>
        <v>0</v>
      </c>
    </row>
    <row r="159" spans="1:21" s="455" customFormat="1">
      <c r="A159" s="512" t="s">
        <v>1199</v>
      </c>
      <c r="B159" s="453">
        <v>14</v>
      </c>
      <c r="C159" s="257">
        <f t="shared" si="42"/>
        <v>0.72765072765072769</v>
      </c>
      <c r="D159" s="453"/>
      <c r="E159" s="453">
        <v>4</v>
      </c>
      <c r="F159" s="257">
        <f t="shared" si="43"/>
        <v>0.69204152249134954</v>
      </c>
      <c r="G159" s="453"/>
      <c r="H159" s="453">
        <v>0</v>
      </c>
      <c r="I159" s="257">
        <f t="shared" si="44"/>
        <v>0</v>
      </c>
      <c r="J159" s="453"/>
      <c r="K159" s="453">
        <v>0</v>
      </c>
      <c r="L159" s="257">
        <f t="shared" si="45"/>
        <v>0</v>
      </c>
      <c r="M159" s="453"/>
      <c r="N159" s="453">
        <v>3</v>
      </c>
      <c r="O159" s="257">
        <f t="shared" si="46"/>
        <v>0.57803468208092479</v>
      </c>
      <c r="P159" s="453"/>
      <c r="Q159" s="453">
        <v>4</v>
      </c>
      <c r="R159" s="257">
        <f t="shared" si="47"/>
        <v>0.62893081761006298</v>
      </c>
      <c r="S159" s="453"/>
      <c r="T159" s="453">
        <v>0</v>
      </c>
      <c r="U159" s="257">
        <f t="shared" si="48"/>
        <v>0</v>
      </c>
    </row>
    <row r="160" spans="1:21" s="455" customFormat="1">
      <c r="A160" s="4" t="s">
        <v>1200</v>
      </c>
      <c r="B160" s="453">
        <v>32</v>
      </c>
      <c r="C160" s="257">
        <f t="shared" si="42"/>
        <v>1.6632016632016633</v>
      </c>
      <c r="D160" s="453"/>
      <c r="E160" s="453">
        <v>7</v>
      </c>
      <c r="F160" s="257">
        <f t="shared" si="43"/>
        <v>1.2110726643598615</v>
      </c>
      <c r="G160" s="453"/>
      <c r="H160" s="453">
        <v>0</v>
      </c>
      <c r="I160" s="257">
        <f t="shared" si="44"/>
        <v>0</v>
      </c>
      <c r="J160" s="453"/>
      <c r="K160" s="453">
        <v>0</v>
      </c>
      <c r="L160" s="257">
        <f t="shared" si="45"/>
        <v>0</v>
      </c>
      <c r="M160" s="453"/>
      <c r="N160" s="453">
        <v>3</v>
      </c>
      <c r="O160" s="257">
        <f t="shared" si="46"/>
        <v>0.57803468208092479</v>
      </c>
      <c r="P160" s="453"/>
      <c r="Q160" s="453">
        <v>9</v>
      </c>
      <c r="R160" s="257">
        <f t="shared" si="47"/>
        <v>1.4150943396226416</v>
      </c>
      <c r="S160" s="453"/>
      <c r="T160" s="453">
        <v>2</v>
      </c>
      <c r="U160" s="257">
        <f t="shared" si="48"/>
        <v>9.5238095238095237</v>
      </c>
    </row>
    <row r="161" spans="1:21" s="455" customFormat="1">
      <c r="A161" s="4" t="s">
        <v>1201</v>
      </c>
      <c r="B161" s="453">
        <v>33</v>
      </c>
      <c r="C161" s="257">
        <f t="shared" si="42"/>
        <v>1.7151767151767152</v>
      </c>
      <c r="D161" s="453"/>
      <c r="E161" s="453">
        <v>12</v>
      </c>
      <c r="F161" s="257">
        <f t="shared" si="43"/>
        <v>2.0761245674740483</v>
      </c>
      <c r="G161" s="453"/>
      <c r="H161" s="453">
        <v>0</v>
      </c>
      <c r="I161" s="257">
        <f t="shared" si="44"/>
        <v>0</v>
      </c>
      <c r="J161" s="453"/>
      <c r="K161" s="453">
        <v>0</v>
      </c>
      <c r="L161" s="257">
        <f t="shared" si="45"/>
        <v>0</v>
      </c>
      <c r="M161" s="453"/>
      <c r="N161" s="453">
        <v>7</v>
      </c>
      <c r="O161" s="257">
        <f t="shared" si="46"/>
        <v>1.3487475915221581</v>
      </c>
      <c r="P161" s="453"/>
      <c r="Q161" s="453">
        <v>8</v>
      </c>
      <c r="R161" s="257">
        <f t="shared" si="47"/>
        <v>1.257861635220126</v>
      </c>
      <c r="S161" s="453"/>
      <c r="T161" s="453">
        <v>0</v>
      </c>
      <c r="U161" s="257">
        <f t="shared" si="48"/>
        <v>0</v>
      </c>
    </row>
    <row r="162" spans="1:21" s="455" customFormat="1">
      <c r="A162" s="4" t="s">
        <v>1202</v>
      </c>
      <c r="B162" s="453">
        <v>18</v>
      </c>
      <c r="C162" s="257">
        <f t="shared" si="42"/>
        <v>0.9355509355509356</v>
      </c>
      <c r="D162" s="453"/>
      <c r="E162" s="453">
        <v>6</v>
      </c>
      <c r="F162" s="257">
        <f t="shared" si="43"/>
        <v>1.0380622837370241</v>
      </c>
      <c r="G162" s="453"/>
      <c r="H162" s="453">
        <v>0</v>
      </c>
      <c r="I162" s="257">
        <f t="shared" si="44"/>
        <v>0</v>
      </c>
      <c r="J162" s="453"/>
      <c r="K162" s="453">
        <v>1</v>
      </c>
      <c r="L162" s="257">
        <f t="shared" si="45"/>
        <v>3.5714285714285712</v>
      </c>
      <c r="M162" s="453"/>
      <c r="N162" s="453">
        <v>4</v>
      </c>
      <c r="O162" s="257">
        <f t="shared" si="46"/>
        <v>0.77071290944123316</v>
      </c>
      <c r="P162" s="453"/>
      <c r="Q162" s="453">
        <v>3</v>
      </c>
      <c r="R162" s="257">
        <f t="shared" si="47"/>
        <v>0.47169811320754718</v>
      </c>
      <c r="S162" s="453"/>
      <c r="T162" s="453">
        <v>0</v>
      </c>
      <c r="U162" s="257">
        <f t="shared" si="48"/>
        <v>0</v>
      </c>
    </row>
    <row r="163" spans="1:21" s="455" customFormat="1">
      <c r="A163" s="4" t="s">
        <v>1203</v>
      </c>
      <c r="B163" s="453">
        <v>26</v>
      </c>
      <c r="C163" s="257">
        <f t="shared" si="42"/>
        <v>1.3513513513513513</v>
      </c>
      <c r="D163" s="453"/>
      <c r="E163" s="453">
        <v>6</v>
      </c>
      <c r="F163" s="257">
        <f t="shared" si="43"/>
        <v>1.0380622837370241</v>
      </c>
      <c r="G163" s="453"/>
      <c r="H163" s="453">
        <v>0</v>
      </c>
      <c r="I163" s="257">
        <f t="shared" si="44"/>
        <v>0</v>
      </c>
      <c r="J163" s="453"/>
      <c r="K163" s="453">
        <v>0</v>
      </c>
      <c r="L163" s="257">
        <f t="shared" si="45"/>
        <v>0</v>
      </c>
      <c r="M163" s="453"/>
      <c r="N163" s="453">
        <v>9</v>
      </c>
      <c r="O163" s="257">
        <f t="shared" si="46"/>
        <v>1.7341040462427744</v>
      </c>
      <c r="P163" s="453"/>
      <c r="Q163" s="453">
        <v>14</v>
      </c>
      <c r="R163" s="257">
        <f t="shared" si="47"/>
        <v>2.2012578616352201</v>
      </c>
      <c r="S163" s="453"/>
      <c r="T163" s="453">
        <v>0</v>
      </c>
      <c r="U163" s="257">
        <f t="shared" si="48"/>
        <v>0</v>
      </c>
    </row>
    <row r="164" spans="1:21" s="455" customFormat="1">
      <c r="A164" s="4" t="s">
        <v>1204</v>
      </c>
      <c r="B164" s="453">
        <v>35</v>
      </c>
      <c r="C164" s="257">
        <f t="shared" si="42"/>
        <v>1.8191268191268193</v>
      </c>
      <c r="D164" s="453"/>
      <c r="E164" s="453">
        <v>9</v>
      </c>
      <c r="F164" s="257">
        <f t="shared" si="43"/>
        <v>1.5570934256055362</v>
      </c>
      <c r="G164" s="453"/>
      <c r="H164" s="453">
        <v>0</v>
      </c>
      <c r="I164" s="257">
        <f t="shared" si="44"/>
        <v>0</v>
      </c>
      <c r="J164" s="453"/>
      <c r="K164" s="453">
        <v>0</v>
      </c>
      <c r="L164" s="257">
        <f t="shared" si="45"/>
        <v>0</v>
      </c>
      <c r="M164" s="453"/>
      <c r="N164" s="453">
        <v>3</v>
      </c>
      <c r="O164" s="257">
        <f t="shared" si="46"/>
        <v>0.57803468208092479</v>
      </c>
      <c r="P164" s="453"/>
      <c r="Q164" s="453">
        <v>13</v>
      </c>
      <c r="R164" s="257">
        <f t="shared" si="47"/>
        <v>2.0440251572327042</v>
      </c>
      <c r="S164" s="453"/>
      <c r="T164" s="453">
        <v>2</v>
      </c>
      <c r="U164" s="257">
        <f t="shared" si="48"/>
        <v>9.5238095238095237</v>
      </c>
    </row>
    <row r="165" spans="1:21" s="455" customFormat="1">
      <c r="A165" s="4" t="s">
        <v>1205</v>
      </c>
      <c r="B165" s="453">
        <v>39</v>
      </c>
      <c r="C165" s="257">
        <f t="shared" si="42"/>
        <v>2.0270270270270272</v>
      </c>
      <c r="D165" s="453"/>
      <c r="E165" s="453">
        <v>13</v>
      </c>
      <c r="F165" s="257">
        <f t="shared" si="43"/>
        <v>2.2491349480968861</v>
      </c>
      <c r="G165" s="453"/>
      <c r="H165" s="453">
        <v>0</v>
      </c>
      <c r="I165" s="257">
        <f t="shared" si="44"/>
        <v>0</v>
      </c>
      <c r="J165" s="453"/>
      <c r="K165" s="453">
        <v>1</v>
      </c>
      <c r="L165" s="257">
        <f t="shared" si="45"/>
        <v>3.5714285714285712</v>
      </c>
      <c r="M165" s="453"/>
      <c r="N165" s="453">
        <v>16</v>
      </c>
      <c r="O165" s="257">
        <f t="shared" si="46"/>
        <v>3.0828516377649327</v>
      </c>
      <c r="P165" s="453"/>
      <c r="Q165" s="453">
        <v>11</v>
      </c>
      <c r="R165" s="257">
        <f t="shared" si="47"/>
        <v>1.729559748427673</v>
      </c>
      <c r="S165" s="453"/>
      <c r="T165" s="453">
        <v>0</v>
      </c>
      <c r="U165" s="257">
        <f t="shared" si="48"/>
        <v>0</v>
      </c>
    </row>
    <row r="166" spans="1:21" s="455" customFormat="1">
      <c r="A166" s="4" t="s">
        <v>1206</v>
      </c>
      <c r="B166" s="453">
        <v>33</v>
      </c>
      <c r="C166" s="257">
        <f t="shared" si="42"/>
        <v>1.7151767151767152</v>
      </c>
      <c r="D166" s="453"/>
      <c r="E166" s="453">
        <v>15</v>
      </c>
      <c r="F166" s="257">
        <f t="shared" si="43"/>
        <v>2.5951557093425603</v>
      </c>
      <c r="G166" s="453"/>
      <c r="H166" s="453">
        <v>0</v>
      </c>
      <c r="I166" s="257">
        <f t="shared" si="44"/>
        <v>0</v>
      </c>
      <c r="J166" s="453"/>
      <c r="K166" s="453">
        <v>1</v>
      </c>
      <c r="L166" s="257">
        <f t="shared" si="45"/>
        <v>3.5714285714285712</v>
      </c>
      <c r="M166" s="453"/>
      <c r="N166" s="453">
        <v>13</v>
      </c>
      <c r="O166" s="257">
        <f t="shared" si="46"/>
        <v>2.5048169556840074</v>
      </c>
      <c r="P166" s="453"/>
      <c r="Q166" s="453">
        <v>14</v>
      </c>
      <c r="R166" s="257">
        <f t="shared" si="47"/>
        <v>2.2012578616352201</v>
      </c>
      <c r="S166" s="453"/>
      <c r="T166" s="453">
        <v>0</v>
      </c>
      <c r="U166" s="257">
        <f t="shared" si="48"/>
        <v>0</v>
      </c>
    </row>
    <row r="167" spans="1:21" s="455" customFormat="1">
      <c r="A167" s="4" t="s">
        <v>1207</v>
      </c>
      <c r="B167" s="453">
        <v>18</v>
      </c>
      <c r="C167" s="257">
        <f t="shared" si="42"/>
        <v>0.9355509355509356</v>
      </c>
      <c r="D167" s="453"/>
      <c r="E167" s="453">
        <v>3</v>
      </c>
      <c r="F167" s="257">
        <f t="shared" si="43"/>
        <v>0.51903114186851207</v>
      </c>
      <c r="G167" s="453"/>
      <c r="H167" s="453">
        <v>0</v>
      </c>
      <c r="I167" s="257">
        <f t="shared" si="44"/>
        <v>0</v>
      </c>
      <c r="J167" s="453"/>
      <c r="K167" s="453">
        <v>0</v>
      </c>
      <c r="L167" s="257">
        <f t="shared" si="45"/>
        <v>0</v>
      </c>
      <c r="M167" s="453"/>
      <c r="N167" s="453">
        <v>3</v>
      </c>
      <c r="O167" s="257">
        <f t="shared" si="46"/>
        <v>0.57803468208092479</v>
      </c>
      <c r="P167" s="453"/>
      <c r="Q167" s="453">
        <v>8</v>
      </c>
      <c r="R167" s="257">
        <f t="shared" si="47"/>
        <v>1.257861635220126</v>
      </c>
      <c r="S167" s="453"/>
      <c r="T167" s="453">
        <v>0</v>
      </c>
      <c r="U167" s="257">
        <f t="shared" si="48"/>
        <v>0</v>
      </c>
    </row>
    <row r="168" spans="1:21" s="455" customFormat="1">
      <c r="A168" s="4" t="s">
        <v>1208</v>
      </c>
      <c r="B168" s="453">
        <v>65</v>
      </c>
      <c r="C168" s="257">
        <f t="shared" si="42"/>
        <v>3.3783783783783785</v>
      </c>
      <c r="D168" s="453"/>
      <c r="E168" s="453">
        <v>22</v>
      </c>
      <c r="F168" s="257">
        <f t="shared" si="43"/>
        <v>3.8062283737024223</v>
      </c>
      <c r="G168" s="453"/>
      <c r="H168" s="453">
        <v>0</v>
      </c>
      <c r="I168" s="257">
        <f t="shared" si="44"/>
        <v>0</v>
      </c>
      <c r="J168" s="453"/>
      <c r="K168" s="453">
        <v>2</v>
      </c>
      <c r="L168" s="257">
        <f t="shared" si="45"/>
        <v>7.1428571428571423</v>
      </c>
      <c r="M168" s="453"/>
      <c r="N168" s="453">
        <v>25</v>
      </c>
      <c r="O168" s="257">
        <f t="shared" si="46"/>
        <v>4.8169556840077075</v>
      </c>
      <c r="P168" s="453"/>
      <c r="Q168" s="453">
        <v>14</v>
      </c>
      <c r="R168" s="257">
        <f t="shared" si="47"/>
        <v>2.2012578616352201</v>
      </c>
      <c r="S168" s="453"/>
      <c r="T168" s="453">
        <v>1</v>
      </c>
      <c r="U168" s="257">
        <f t="shared" si="48"/>
        <v>4.7619047619047619</v>
      </c>
    </row>
    <row r="169" spans="1:21" s="455" customFormat="1">
      <c r="A169" s="4" t="s">
        <v>1209</v>
      </c>
      <c r="B169" s="453">
        <v>43</v>
      </c>
      <c r="C169" s="257">
        <f t="shared" si="42"/>
        <v>2.2349272349272349</v>
      </c>
      <c r="D169" s="453"/>
      <c r="E169" s="453">
        <v>9</v>
      </c>
      <c r="F169" s="257">
        <f t="shared" si="43"/>
        <v>1.5570934256055362</v>
      </c>
      <c r="G169" s="453"/>
      <c r="H169" s="453">
        <v>0</v>
      </c>
      <c r="I169" s="257">
        <f t="shared" si="44"/>
        <v>0</v>
      </c>
      <c r="J169" s="453"/>
      <c r="K169" s="453">
        <v>0</v>
      </c>
      <c r="L169" s="257">
        <f t="shared" si="45"/>
        <v>0</v>
      </c>
      <c r="M169" s="453"/>
      <c r="N169" s="453">
        <v>14</v>
      </c>
      <c r="O169" s="257">
        <f t="shared" si="46"/>
        <v>2.6974951830443161</v>
      </c>
      <c r="P169" s="453"/>
      <c r="Q169" s="453">
        <v>14</v>
      </c>
      <c r="R169" s="257">
        <f t="shared" si="47"/>
        <v>2.2012578616352201</v>
      </c>
      <c r="S169" s="453"/>
      <c r="T169" s="453">
        <v>0</v>
      </c>
      <c r="U169" s="257">
        <f t="shared" si="48"/>
        <v>0</v>
      </c>
    </row>
    <row r="170" spans="1:21" s="455" customFormat="1">
      <c r="A170" s="4" t="s">
        <v>1210</v>
      </c>
      <c r="B170" s="453">
        <v>38</v>
      </c>
      <c r="C170" s="257">
        <f t="shared" si="42"/>
        <v>1.9750519750519753</v>
      </c>
      <c r="D170" s="453"/>
      <c r="E170" s="453">
        <v>7</v>
      </c>
      <c r="F170" s="257">
        <f t="shared" si="43"/>
        <v>1.2110726643598615</v>
      </c>
      <c r="G170" s="453"/>
      <c r="H170" s="453">
        <v>0</v>
      </c>
      <c r="I170" s="257">
        <f t="shared" si="44"/>
        <v>0</v>
      </c>
      <c r="J170" s="453"/>
      <c r="K170" s="453">
        <v>1</v>
      </c>
      <c r="L170" s="257">
        <f t="shared" si="45"/>
        <v>3.5714285714285712</v>
      </c>
      <c r="M170" s="453"/>
      <c r="N170" s="453">
        <v>7</v>
      </c>
      <c r="O170" s="257">
        <f t="shared" si="46"/>
        <v>1.3487475915221581</v>
      </c>
      <c r="P170" s="453"/>
      <c r="Q170" s="453">
        <v>16</v>
      </c>
      <c r="R170" s="257">
        <f t="shared" si="47"/>
        <v>2.5157232704402519</v>
      </c>
      <c r="S170" s="453"/>
      <c r="T170" s="453">
        <v>2</v>
      </c>
      <c r="U170" s="257">
        <f t="shared" si="48"/>
        <v>9.5238095238095237</v>
      </c>
    </row>
    <row r="171" spans="1:21" s="455" customFormat="1">
      <c r="A171" s="4" t="s">
        <v>2202</v>
      </c>
      <c r="B171" s="453">
        <v>19</v>
      </c>
      <c r="C171" s="257">
        <f t="shared" si="42"/>
        <v>0.98752598752598764</v>
      </c>
      <c r="D171" s="453"/>
      <c r="E171" s="453">
        <v>4</v>
      </c>
      <c r="F171" s="257">
        <f t="shared" si="43"/>
        <v>0.69204152249134954</v>
      </c>
      <c r="G171" s="453"/>
      <c r="H171" s="453">
        <v>0</v>
      </c>
      <c r="I171" s="257">
        <f t="shared" si="44"/>
        <v>0</v>
      </c>
      <c r="J171" s="453"/>
      <c r="K171" s="453">
        <v>0</v>
      </c>
      <c r="L171" s="257">
        <f t="shared" si="45"/>
        <v>0</v>
      </c>
      <c r="M171" s="453"/>
      <c r="N171" s="453">
        <v>6</v>
      </c>
      <c r="O171" s="257">
        <f t="shared" si="46"/>
        <v>1.1560693641618496</v>
      </c>
      <c r="P171" s="453"/>
      <c r="Q171" s="453">
        <v>8</v>
      </c>
      <c r="R171" s="257">
        <f t="shared" si="47"/>
        <v>1.257861635220126</v>
      </c>
      <c r="S171" s="453"/>
      <c r="T171" s="453">
        <v>0</v>
      </c>
      <c r="U171" s="257">
        <f t="shared" si="48"/>
        <v>0</v>
      </c>
    </row>
    <row r="172" spans="1:21" s="455" customFormat="1">
      <c r="A172" s="4" t="s">
        <v>2203</v>
      </c>
      <c r="B172" s="453">
        <v>24</v>
      </c>
      <c r="C172" s="257">
        <f t="shared" si="42"/>
        <v>1.2474012474012475</v>
      </c>
      <c r="D172" s="453"/>
      <c r="E172" s="453">
        <v>9</v>
      </c>
      <c r="F172" s="257">
        <f t="shared" si="43"/>
        <v>1.5570934256055362</v>
      </c>
      <c r="G172" s="453"/>
      <c r="H172" s="453">
        <v>0</v>
      </c>
      <c r="I172" s="257">
        <f t="shared" si="44"/>
        <v>0</v>
      </c>
      <c r="J172" s="453"/>
      <c r="K172" s="453">
        <v>0</v>
      </c>
      <c r="L172" s="257">
        <f t="shared" si="45"/>
        <v>0</v>
      </c>
      <c r="M172" s="453"/>
      <c r="N172" s="453">
        <v>8</v>
      </c>
      <c r="O172" s="257">
        <f t="shared" si="46"/>
        <v>1.5414258188824663</v>
      </c>
      <c r="P172" s="453"/>
      <c r="Q172" s="453">
        <v>5</v>
      </c>
      <c r="R172" s="257">
        <f t="shared" si="47"/>
        <v>0.78616352201257866</v>
      </c>
      <c r="S172" s="453"/>
      <c r="T172" s="453">
        <v>1</v>
      </c>
      <c r="U172" s="257">
        <f t="shared" si="48"/>
        <v>4.7619047619047619</v>
      </c>
    </row>
    <row r="173" spans="1:21" s="455" customFormat="1">
      <c r="A173" s="4" t="s">
        <v>1213</v>
      </c>
      <c r="B173" s="453">
        <v>15</v>
      </c>
      <c r="C173" s="257">
        <f t="shared" si="42"/>
        <v>0.77962577962577972</v>
      </c>
      <c r="D173" s="453"/>
      <c r="E173" s="453">
        <v>8</v>
      </c>
      <c r="F173" s="257">
        <f t="shared" si="43"/>
        <v>1.3840830449826991</v>
      </c>
      <c r="G173" s="453"/>
      <c r="H173" s="453">
        <v>0</v>
      </c>
      <c r="I173" s="257">
        <f t="shared" si="44"/>
        <v>0</v>
      </c>
      <c r="J173" s="453"/>
      <c r="K173" s="453">
        <v>0</v>
      </c>
      <c r="L173" s="257">
        <f t="shared" si="45"/>
        <v>0</v>
      </c>
      <c r="M173" s="453"/>
      <c r="N173" s="453">
        <v>7</v>
      </c>
      <c r="O173" s="257">
        <f t="shared" si="46"/>
        <v>1.3487475915221581</v>
      </c>
      <c r="P173" s="453"/>
      <c r="Q173" s="453">
        <v>4</v>
      </c>
      <c r="R173" s="257">
        <f t="shared" si="47"/>
        <v>0.62893081761006298</v>
      </c>
      <c r="S173" s="453"/>
      <c r="T173" s="453">
        <v>0</v>
      </c>
      <c r="U173" s="257">
        <f t="shared" si="48"/>
        <v>0</v>
      </c>
    </row>
    <row r="174" spans="1:21" s="455" customFormat="1">
      <c r="A174" s="4" t="s">
        <v>1214</v>
      </c>
      <c r="B174" s="453">
        <v>2</v>
      </c>
      <c r="C174" s="257">
        <f t="shared" si="42"/>
        <v>0.10395010395010396</v>
      </c>
      <c r="D174" s="453"/>
      <c r="E174" s="453">
        <v>1</v>
      </c>
      <c r="F174" s="257">
        <f t="shared" si="43"/>
        <v>0.17301038062283738</v>
      </c>
      <c r="G174" s="453"/>
      <c r="H174" s="453">
        <v>0</v>
      </c>
      <c r="I174" s="257">
        <f t="shared" si="44"/>
        <v>0</v>
      </c>
      <c r="J174" s="453"/>
      <c r="K174" s="453">
        <v>0</v>
      </c>
      <c r="L174" s="257">
        <f t="shared" si="45"/>
        <v>0</v>
      </c>
      <c r="M174" s="453"/>
      <c r="N174" s="453">
        <v>0</v>
      </c>
      <c r="O174" s="257">
        <f t="shared" si="46"/>
        <v>0</v>
      </c>
      <c r="P174" s="453"/>
      <c r="Q174" s="453">
        <v>0</v>
      </c>
      <c r="R174" s="257">
        <f t="shared" si="47"/>
        <v>0</v>
      </c>
      <c r="S174" s="453"/>
      <c r="T174" s="453">
        <v>0</v>
      </c>
      <c r="U174" s="257">
        <f t="shared" si="48"/>
        <v>0</v>
      </c>
    </row>
    <row r="175" spans="1:21" s="455" customFormat="1">
      <c r="A175" s="4" t="s">
        <v>2204</v>
      </c>
      <c r="B175" s="453">
        <v>0</v>
      </c>
      <c r="C175" s="257">
        <f t="shared" si="42"/>
        <v>0</v>
      </c>
      <c r="D175" s="453"/>
      <c r="E175" s="453">
        <v>0</v>
      </c>
      <c r="F175" s="257">
        <f t="shared" si="43"/>
        <v>0</v>
      </c>
      <c r="G175" s="453"/>
      <c r="H175" s="453">
        <v>0</v>
      </c>
      <c r="I175" s="257">
        <f t="shared" si="44"/>
        <v>0</v>
      </c>
      <c r="J175" s="453"/>
      <c r="K175" s="453">
        <v>0</v>
      </c>
      <c r="L175" s="257">
        <f t="shared" si="45"/>
        <v>0</v>
      </c>
      <c r="M175" s="453"/>
      <c r="N175" s="453">
        <v>1</v>
      </c>
      <c r="O175" s="257">
        <f t="shared" si="46"/>
        <v>0.19267822736030829</v>
      </c>
      <c r="P175" s="453"/>
      <c r="Q175" s="453">
        <v>0</v>
      </c>
      <c r="R175" s="257">
        <f t="shared" si="47"/>
        <v>0</v>
      </c>
      <c r="S175" s="453"/>
      <c r="T175" s="453">
        <v>0</v>
      </c>
      <c r="U175" s="257">
        <f t="shared" si="48"/>
        <v>0</v>
      </c>
    </row>
    <row r="176" spans="1:21" s="455" customFormat="1" ht="7.5" customHeight="1">
      <c r="A176" s="4"/>
      <c r="B176" s="505"/>
      <c r="C176" s="257" t="str">
        <f t="shared" si="42"/>
        <v/>
      </c>
      <c r="D176" s="4"/>
      <c r="E176" s="106"/>
      <c r="F176" s="257" t="str">
        <f t="shared" si="43"/>
        <v/>
      </c>
      <c r="G176" s="257"/>
      <c r="H176" s="4"/>
      <c r="I176" s="257" t="str">
        <f t="shared" si="44"/>
        <v/>
      </c>
      <c r="J176" s="4"/>
      <c r="K176" s="4"/>
      <c r="L176" s="257" t="str">
        <f t="shared" si="45"/>
        <v/>
      </c>
      <c r="M176" s="4"/>
      <c r="N176" s="4"/>
      <c r="O176" s="257" t="str">
        <f t="shared" si="46"/>
        <v/>
      </c>
      <c r="P176" s="4"/>
      <c r="R176" s="257" t="str">
        <f t="shared" si="47"/>
        <v/>
      </c>
      <c r="S176" s="4"/>
      <c r="U176" s="257" t="str">
        <f t="shared" si="48"/>
        <v/>
      </c>
    </row>
    <row r="177" spans="1:21" s="455" customFormat="1" hidden="1">
      <c r="A177" s="4" t="s">
        <v>1215</v>
      </c>
      <c r="B177" s="505"/>
      <c r="C177" s="257">
        <f t="shared" si="42"/>
        <v>0</v>
      </c>
      <c r="D177" s="4"/>
      <c r="E177" s="106">
        <f>SUM(E178:E178)</f>
        <v>0</v>
      </c>
      <c r="F177" s="257">
        <f t="shared" si="43"/>
        <v>0</v>
      </c>
      <c r="G177" s="257"/>
      <c r="H177" s="106">
        <f>SUM(H178:H178)</f>
        <v>0</v>
      </c>
      <c r="I177" s="257">
        <f t="shared" si="44"/>
        <v>0</v>
      </c>
      <c r="J177" s="4"/>
      <c r="K177" s="106">
        <f>SUM(K178:K178)</f>
        <v>0</v>
      </c>
      <c r="L177" s="257">
        <f t="shared" si="45"/>
        <v>0</v>
      </c>
      <c r="M177" s="4"/>
      <c r="N177" s="106">
        <f>SUM(N178:N178)</f>
        <v>0</v>
      </c>
      <c r="O177" s="257">
        <f t="shared" si="46"/>
        <v>0</v>
      </c>
      <c r="P177" s="4"/>
      <c r="Q177" s="106">
        <f>SUM(Q178:Q178)</f>
        <v>0</v>
      </c>
      <c r="R177" s="257">
        <f t="shared" si="47"/>
        <v>0</v>
      </c>
      <c r="S177" s="4"/>
      <c r="T177" s="106">
        <f>SUM(T178:T178)</f>
        <v>0</v>
      </c>
      <c r="U177" s="257">
        <f t="shared" si="48"/>
        <v>0</v>
      </c>
    </row>
    <row r="178" spans="1:21" s="455" customFormat="1" hidden="1">
      <c r="A178" s="4" t="s">
        <v>1216</v>
      </c>
      <c r="B178" s="505"/>
      <c r="C178" s="257">
        <f t="shared" si="42"/>
        <v>0</v>
      </c>
      <c r="D178" s="4"/>
      <c r="E178" s="106"/>
      <c r="F178" s="257">
        <f t="shared" si="43"/>
        <v>0</v>
      </c>
      <c r="G178" s="257"/>
      <c r="H178" s="4"/>
      <c r="I178" s="257">
        <f t="shared" si="44"/>
        <v>0</v>
      </c>
      <c r="J178" s="4"/>
      <c r="K178" s="4"/>
      <c r="L178" s="257">
        <f t="shared" si="45"/>
        <v>0</v>
      </c>
      <c r="M178" s="4"/>
      <c r="N178" s="4"/>
      <c r="O178" s="257">
        <f t="shared" si="46"/>
        <v>0</v>
      </c>
      <c r="P178" s="4"/>
      <c r="R178" s="257">
        <f t="shared" si="47"/>
        <v>0</v>
      </c>
      <c r="S178" s="4"/>
      <c r="U178" s="257">
        <f t="shared" si="48"/>
        <v>0</v>
      </c>
    </row>
    <row r="179" spans="1:21" s="455" customFormat="1" ht="7.5" hidden="1" customHeight="1">
      <c r="A179" s="4"/>
      <c r="B179" s="505"/>
      <c r="C179" s="257" t="str">
        <f t="shared" si="42"/>
        <v/>
      </c>
      <c r="D179" s="4"/>
      <c r="E179" s="106"/>
      <c r="F179" s="257" t="str">
        <f t="shared" si="43"/>
        <v/>
      </c>
      <c r="G179" s="257"/>
      <c r="H179" s="4"/>
      <c r="I179" s="257" t="str">
        <f t="shared" si="44"/>
        <v/>
      </c>
      <c r="J179" s="4"/>
      <c r="K179" s="4"/>
      <c r="L179" s="257" t="str">
        <f t="shared" si="45"/>
        <v/>
      </c>
      <c r="M179" s="4"/>
      <c r="N179" s="4"/>
      <c r="O179" s="257" t="str">
        <f t="shared" si="46"/>
        <v/>
      </c>
      <c r="P179" s="4"/>
      <c r="R179" s="257" t="str">
        <f t="shared" si="47"/>
        <v/>
      </c>
      <c r="S179" s="4"/>
      <c r="U179" s="257" t="str">
        <f t="shared" si="48"/>
        <v/>
      </c>
    </row>
    <row r="180" spans="1:21" s="455" customFormat="1">
      <c r="A180" s="9" t="s">
        <v>1217</v>
      </c>
      <c r="B180" s="500">
        <f>SUM(B181:B181)</f>
        <v>23</v>
      </c>
      <c r="C180" s="257">
        <f t="shared" si="42"/>
        <v>1.1954261954261955</v>
      </c>
      <c r="D180" s="9"/>
      <c r="E180" s="325">
        <f>SUM(E181:E181)</f>
        <v>1</v>
      </c>
      <c r="F180" s="257">
        <f t="shared" si="43"/>
        <v>0.17301038062283738</v>
      </c>
      <c r="G180" s="257"/>
      <c r="H180" s="325">
        <f>SUM(H181:H181)</f>
        <v>0</v>
      </c>
      <c r="I180" s="257">
        <f t="shared" si="44"/>
        <v>0</v>
      </c>
      <c r="J180" s="4"/>
      <c r="K180" s="325">
        <f>SUM(K181:K181)</f>
        <v>1</v>
      </c>
      <c r="L180" s="257">
        <f t="shared" si="45"/>
        <v>3.5714285714285712</v>
      </c>
      <c r="M180" s="4"/>
      <c r="N180" s="325">
        <f>SUM(N181:N181)</f>
        <v>2</v>
      </c>
      <c r="O180" s="257">
        <f t="shared" si="46"/>
        <v>0.38535645472061658</v>
      </c>
      <c r="P180" s="4"/>
      <c r="Q180" s="325">
        <f>SUM(Q181:Q181)</f>
        <v>21</v>
      </c>
      <c r="R180" s="257">
        <f t="shared" si="47"/>
        <v>3.3018867924528301</v>
      </c>
      <c r="S180" s="4"/>
      <c r="T180" s="325">
        <f>SUM(T181:T181)</f>
        <v>0</v>
      </c>
      <c r="U180" s="257">
        <f t="shared" si="48"/>
        <v>0</v>
      </c>
    </row>
    <row r="181" spans="1:21" s="455" customFormat="1">
      <c r="A181" s="97" t="s">
        <v>1218</v>
      </c>
      <c r="B181" s="453">
        <v>23</v>
      </c>
      <c r="C181" s="257">
        <f t="shared" si="42"/>
        <v>1.1954261954261955</v>
      </c>
      <c r="D181" s="453"/>
      <c r="E181" s="453">
        <v>1</v>
      </c>
      <c r="F181" s="257">
        <f t="shared" si="43"/>
        <v>0.17301038062283738</v>
      </c>
      <c r="G181" s="453"/>
      <c r="H181" s="453">
        <v>0</v>
      </c>
      <c r="I181" s="257">
        <f t="shared" si="44"/>
        <v>0</v>
      </c>
      <c r="J181" s="453"/>
      <c r="K181" s="453">
        <v>1</v>
      </c>
      <c r="L181" s="257">
        <f t="shared" si="45"/>
        <v>3.5714285714285712</v>
      </c>
      <c r="M181" s="453"/>
      <c r="N181" s="453">
        <v>2</v>
      </c>
      <c r="O181" s="257">
        <f t="shared" si="46"/>
        <v>0.38535645472061658</v>
      </c>
      <c r="P181" s="453"/>
      <c r="Q181" s="453">
        <v>21</v>
      </c>
      <c r="R181" s="257">
        <f t="shared" si="47"/>
        <v>3.3018867924528301</v>
      </c>
      <c r="S181" s="453"/>
      <c r="T181" s="453">
        <v>0</v>
      </c>
      <c r="U181" s="257">
        <f t="shared" si="48"/>
        <v>0</v>
      </c>
    </row>
    <row r="182" spans="1:21" s="455" customFormat="1" ht="7.5" customHeight="1">
      <c r="A182" s="97" t="s">
        <v>1219</v>
      </c>
      <c r="B182" s="500"/>
      <c r="C182" s="257">
        <f t="shared" si="42"/>
        <v>0</v>
      </c>
      <c r="D182" s="97"/>
      <c r="E182" s="106"/>
      <c r="F182" s="257">
        <f t="shared" si="43"/>
        <v>0</v>
      </c>
      <c r="G182" s="257"/>
      <c r="H182" s="4"/>
      <c r="I182" s="257">
        <f t="shared" si="44"/>
        <v>0</v>
      </c>
      <c r="J182" s="4"/>
      <c r="K182" s="4"/>
      <c r="L182" s="257">
        <f t="shared" si="45"/>
        <v>0</v>
      </c>
      <c r="M182" s="4"/>
      <c r="N182" s="4"/>
      <c r="O182" s="257">
        <f t="shared" si="46"/>
        <v>0</v>
      </c>
      <c r="P182" s="4"/>
      <c r="R182" s="257">
        <f t="shared" si="47"/>
        <v>0</v>
      </c>
      <c r="S182" s="4"/>
      <c r="U182" s="257">
        <f t="shared" si="48"/>
        <v>0</v>
      </c>
    </row>
    <row r="183" spans="1:21" s="455" customFormat="1">
      <c r="A183" s="9" t="s">
        <v>942</v>
      </c>
      <c r="B183" s="500">
        <f>SUM(B184:B188)</f>
        <v>123</v>
      </c>
      <c r="C183" s="257">
        <f t="shared" si="42"/>
        <v>6.3929313929313931</v>
      </c>
      <c r="D183" s="9"/>
      <c r="E183" s="106">
        <f>SUM(E184:E188)</f>
        <v>26</v>
      </c>
      <c r="F183" s="257">
        <f t="shared" si="43"/>
        <v>4.4982698961937722</v>
      </c>
      <c r="G183" s="257"/>
      <c r="H183" s="4">
        <f>SUM(H184:H188)</f>
        <v>1</v>
      </c>
      <c r="I183" s="257">
        <f t="shared" si="44"/>
        <v>50</v>
      </c>
      <c r="J183" s="257"/>
      <c r="K183" s="4">
        <f>SUM(K184:K188)</f>
        <v>1</v>
      </c>
      <c r="L183" s="257">
        <f t="shared" si="45"/>
        <v>3.5714285714285712</v>
      </c>
      <c r="M183" s="257"/>
      <c r="N183" s="4">
        <f>SUM(N184:N188)</f>
        <v>38</v>
      </c>
      <c r="O183" s="257">
        <f t="shared" si="46"/>
        <v>7.3217726396917149</v>
      </c>
      <c r="P183" s="257"/>
      <c r="Q183" s="4">
        <f>SUM(Q184:Q188)</f>
        <v>28</v>
      </c>
      <c r="R183" s="257">
        <f t="shared" si="47"/>
        <v>4.4025157232704402</v>
      </c>
      <c r="S183" s="257"/>
      <c r="T183" s="4">
        <f>SUM(T184:T188)</f>
        <v>1</v>
      </c>
      <c r="U183" s="257">
        <f t="shared" si="48"/>
        <v>4.7619047619047619</v>
      </c>
    </row>
    <row r="184" spans="1:21" s="455" customFormat="1">
      <c r="A184" s="4" t="s">
        <v>347</v>
      </c>
      <c r="B184" s="453">
        <v>54</v>
      </c>
      <c r="C184" s="257">
        <f t="shared" si="42"/>
        <v>2.8066528066528069</v>
      </c>
      <c r="D184" s="453"/>
      <c r="E184" s="453">
        <v>13</v>
      </c>
      <c r="F184" s="257">
        <f t="shared" si="43"/>
        <v>2.2491349480968861</v>
      </c>
      <c r="G184" s="453"/>
      <c r="H184" s="453">
        <v>0</v>
      </c>
      <c r="I184" s="257">
        <f t="shared" si="44"/>
        <v>0</v>
      </c>
      <c r="J184" s="453"/>
      <c r="K184" s="453">
        <v>0</v>
      </c>
      <c r="L184" s="257">
        <f t="shared" si="45"/>
        <v>0</v>
      </c>
      <c r="M184" s="453"/>
      <c r="N184" s="453">
        <v>10</v>
      </c>
      <c r="O184" s="257">
        <f t="shared" si="46"/>
        <v>1.9267822736030826</v>
      </c>
      <c r="P184" s="453"/>
      <c r="Q184" s="453">
        <v>10</v>
      </c>
      <c r="R184" s="257">
        <f t="shared" si="47"/>
        <v>1.5723270440251573</v>
      </c>
      <c r="S184" s="453"/>
      <c r="T184" s="453">
        <v>0</v>
      </c>
      <c r="U184" s="257">
        <f t="shared" si="48"/>
        <v>0</v>
      </c>
    </row>
    <row r="185" spans="1:21" s="455" customFormat="1">
      <c r="A185" s="4" t="s">
        <v>348</v>
      </c>
      <c r="B185" s="453">
        <v>16</v>
      </c>
      <c r="C185" s="257">
        <f t="shared" si="42"/>
        <v>0.83160083160083165</v>
      </c>
      <c r="D185" s="453"/>
      <c r="E185" s="453">
        <v>1</v>
      </c>
      <c r="F185" s="257">
        <f t="shared" si="43"/>
        <v>0.17301038062283738</v>
      </c>
      <c r="G185" s="453"/>
      <c r="H185" s="453">
        <v>0</v>
      </c>
      <c r="I185" s="257">
        <f t="shared" si="44"/>
        <v>0</v>
      </c>
      <c r="J185" s="453"/>
      <c r="K185" s="453">
        <v>0</v>
      </c>
      <c r="L185" s="257">
        <f t="shared" si="45"/>
        <v>0</v>
      </c>
      <c r="M185" s="453"/>
      <c r="N185" s="453">
        <v>6</v>
      </c>
      <c r="O185" s="257">
        <f t="shared" si="46"/>
        <v>1.1560693641618496</v>
      </c>
      <c r="P185" s="453"/>
      <c r="Q185" s="453">
        <v>4</v>
      </c>
      <c r="R185" s="257">
        <f t="shared" si="47"/>
        <v>0.62893081761006298</v>
      </c>
      <c r="S185" s="453"/>
      <c r="T185" s="453">
        <v>1</v>
      </c>
      <c r="U185" s="257">
        <f t="shared" si="48"/>
        <v>4.7619047619047619</v>
      </c>
    </row>
    <row r="186" spans="1:21" s="455" customFormat="1">
      <c r="A186" s="4" t="s">
        <v>349</v>
      </c>
      <c r="B186" s="453">
        <v>24</v>
      </c>
      <c r="C186" s="257">
        <f t="shared" si="42"/>
        <v>1.2474012474012475</v>
      </c>
      <c r="D186" s="453"/>
      <c r="E186" s="453">
        <v>8</v>
      </c>
      <c r="F186" s="257">
        <f t="shared" si="43"/>
        <v>1.3840830449826991</v>
      </c>
      <c r="G186" s="453"/>
      <c r="H186" s="453">
        <v>0</v>
      </c>
      <c r="I186" s="257">
        <f t="shared" si="44"/>
        <v>0</v>
      </c>
      <c r="J186" s="453"/>
      <c r="K186" s="453">
        <v>0</v>
      </c>
      <c r="L186" s="257">
        <f t="shared" si="45"/>
        <v>0</v>
      </c>
      <c r="M186" s="453"/>
      <c r="N186" s="453">
        <v>11</v>
      </c>
      <c r="O186" s="257">
        <f t="shared" si="46"/>
        <v>2.1194605009633909</v>
      </c>
      <c r="P186" s="453"/>
      <c r="Q186" s="453">
        <v>10</v>
      </c>
      <c r="R186" s="257">
        <f t="shared" si="47"/>
        <v>1.5723270440251573</v>
      </c>
      <c r="S186" s="453"/>
      <c r="T186" s="453">
        <v>0</v>
      </c>
      <c r="U186" s="257">
        <f t="shared" si="48"/>
        <v>0</v>
      </c>
    </row>
    <row r="187" spans="1:21" s="455" customFormat="1">
      <c r="A187" s="4" t="s">
        <v>378</v>
      </c>
      <c r="B187" s="453">
        <v>8</v>
      </c>
      <c r="C187" s="257">
        <f t="shared" si="42"/>
        <v>0.41580041580041582</v>
      </c>
      <c r="D187" s="453"/>
      <c r="E187" s="453">
        <v>2</v>
      </c>
      <c r="F187" s="257">
        <f t="shared" si="43"/>
        <v>0.34602076124567477</v>
      </c>
      <c r="G187" s="453"/>
      <c r="H187" s="453">
        <v>0</v>
      </c>
      <c r="I187" s="257">
        <f t="shared" si="44"/>
        <v>0</v>
      </c>
      <c r="J187" s="453"/>
      <c r="K187" s="453">
        <v>0</v>
      </c>
      <c r="L187" s="257">
        <f t="shared" si="45"/>
        <v>0</v>
      </c>
      <c r="M187" s="453"/>
      <c r="N187" s="453">
        <v>5</v>
      </c>
      <c r="O187" s="257">
        <f t="shared" si="46"/>
        <v>0.96339113680154131</v>
      </c>
      <c r="P187" s="453"/>
      <c r="Q187" s="453">
        <v>3</v>
      </c>
      <c r="R187" s="257">
        <f t="shared" si="47"/>
        <v>0.47169811320754718</v>
      </c>
      <c r="S187" s="453"/>
      <c r="T187" s="453">
        <v>0</v>
      </c>
      <c r="U187" s="257">
        <f t="shared" si="48"/>
        <v>0</v>
      </c>
    </row>
    <row r="188" spans="1:21" s="455" customFormat="1">
      <c r="A188" s="4" t="s">
        <v>808</v>
      </c>
      <c r="B188" s="453">
        <v>21</v>
      </c>
      <c r="C188" s="257">
        <f t="shared" si="42"/>
        <v>1.0914760914760915</v>
      </c>
      <c r="D188" s="453"/>
      <c r="E188" s="453">
        <v>2</v>
      </c>
      <c r="F188" s="257">
        <f t="shared" si="43"/>
        <v>0.34602076124567477</v>
      </c>
      <c r="G188" s="453"/>
      <c r="H188" s="453">
        <v>1</v>
      </c>
      <c r="I188" s="257">
        <f t="shared" si="44"/>
        <v>50</v>
      </c>
      <c r="J188" s="453"/>
      <c r="K188" s="453">
        <v>1</v>
      </c>
      <c r="L188" s="257">
        <f t="shared" si="45"/>
        <v>3.5714285714285712</v>
      </c>
      <c r="M188" s="453"/>
      <c r="N188" s="453">
        <v>6</v>
      </c>
      <c r="O188" s="257">
        <f t="shared" si="46"/>
        <v>1.1560693641618496</v>
      </c>
      <c r="P188" s="453"/>
      <c r="Q188" s="453">
        <v>1</v>
      </c>
      <c r="R188" s="257">
        <f t="shared" si="47"/>
        <v>0.15723270440251574</v>
      </c>
      <c r="S188" s="453"/>
      <c r="T188" s="453">
        <v>0</v>
      </c>
      <c r="U188" s="257">
        <f t="shared" si="48"/>
        <v>0</v>
      </c>
    </row>
    <row r="189" spans="1:21" s="455" customFormat="1" ht="13.5" thickBot="1">
      <c r="A189" s="4"/>
      <c r="B189" s="4"/>
      <c r="C189" s="4"/>
      <c r="D189" s="4"/>
      <c r="E189" s="4"/>
      <c r="F189" s="4"/>
      <c r="G189" s="4"/>
      <c r="H189" s="4"/>
      <c r="I189" s="4"/>
      <c r="J189" s="4"/>
      <c r="K189" s="4"/>
      <c r="L189" s="4"/>
      <c r="M189" s="4"/>
      <c r="N189" s="4"/>
      <c r="O189" s="4"/>
      <c r="P189" s="4"/>
      <c r="Q189" s="503"/>
      <c r="R189" s="503"/>
      <c r="S189" s="4"/>
      <c r="T189" s="503"/>
      <c r="U189" s="503"/>
    </row>
    <row r="190" spans="1:21" s="455" customFormat="1">
      <c r="A190" s="463"/>
      <c r="B190" s="463"/>
      <c r="C190" s="463"/>
      <c r="D190" s="463"/>
      <c r="E190" s="463"/>
      <c r="F190" s="463"/>
      <c r="G190" s="463"/>
      <c r="H190" s="463"/>
      <c r="I190" s="463"/>
      <c r="J190" s="463"/>
      <c r="K190" s="463"/>
      <c r="L190" s="463"/>
      <c r="M190" s="463"/>
      <c r="N190" s="463"/>
      <c r="O190" s="463"/>
      <c r="P190" s="463"/>
      <c r="S190" s="463"/>
    </row>
    <row r="191" spans="1:21" s="455" customFormat="1" ht="14.25">
      <c r="A191" s="97" t="s">
        <v>1220</v>
      </c>
      <c r="B191" s="97"/>
      <c r="C191" s="97"/>
      <c r="D191" s="97"/>
      <c r="E191" s="97"/>
      <c r="F191" s="97"/>
      <c r="G191" s="97"/>
      <c r="H191" s="97"/>
      <c r="I191" s="97"/>
      <c r="J191" s="97"/>
      <c r="K191" s="97"/>
      <c r="L191" s="97"/>
      <c r="M191" s="97"/>
      <c r="N191" s="97"/>
      <c r="O191" s="97"/>
      <c r="P191" s="97"/>
      <c r="S191" s="97"/>
    </row>
    <row r="192" spans="1:21" s="455" customFormat="1" ht="14.25">
      <c r="A192" s="22" t="s">
        <v>1221</v>
      </c>
      <c r="B192" s="22"/>
      <c r="C192" s="22"/>
      <c r="D192" s="22"/>
      <c r="E192" s="97"/>
      <c r="F192" s="97"/>
      <c r="G192" s="97"/>
      <c r="H192" s="97"/>
      <c r="I192" s="97"/>
      <c r="J192" s="97"/>
      <c r="K192" s="97"/>
      <c r="L192" s="97"/>
      <c r="M192" s="97"/>
      <c r="N192" s="97"/>
      <c r="O192" s="97"/>
      <c r="P192" s="97"/>
      <c r="S192" s="97"/>
    </row>
    <row r="193" spans="1:19" s="455" customFormat="1" ht="14.25">
      <c r="A193" s="22" t="s">
        <v>1222</v>
      </c>
      <c r="B193" s="22"/>
      <c r="C193" s="22"/>
      <c r="D193" s="22"/>
      <c r="E193" s="97"/>
      <c r="F193" s="97"/>
      <c r="G193" s="97"/>
      <c r="H193" s="97"/>
      <c r="I193" s="97"/>
      <c r="J193" s="97"/>
      <c r="K193" s="97"/>
      <c r="L193" s="97"/>
      <c r="M193" s="97"/>
      <c r="N193" s="97"/>
      <c r="O193" s="97"/>
      <c r="P193" s="97"/>
      <c r="S193" s="97"/>
    </row>
    <row r="194" spans="1:19" s="455" customFormat="1" ht="14.25">
      <c r="A194" s="22" t="s">
        <v>1223</v>
      </c>
      <c r="B194" s="22"/>
      <c r="C194" s="22"/>
      <c r="D194" s="22"/>
      <c r="E194" s="97"/>
      <c r="F194" s="97"/>
      <c r="G194" s="97"/>
      <c r="H194" s="97"/>
      <c r="I194" s="97"/>
      <c r="J194" s="97"/>
      <c r="K194" s="97"/>
      <c r="L194" s="97"/>
      <c r="M194" s="97"/>
      <c r="N194" s="97"/>
      <c r="O194" s="97"/>
      <c r="P194" s="97"/>
      <c r="S194" s="97"/>
    </row>
    <row r="195" spans="1:19" s="455" customFormat="1" ht="14.25">
      <c r="A195" s="22" t="s">
        <v>1224</v>
      </c>
      <c r="B195" s="22"/>
      <c r="C195" s="22"/>
      <c r="D195" s="22"/>
      <c r="E195" s="97"/>
      <c r="F195" s="97"/>
      <c r="G195" s="97"/>
      <c r="H195" s="97"/>
      <c r="I195" s="97"/>
      <c r="J195" s="97"/>
      <c r="K195" s="97"/>
      <c r="L195" s="97"/>
      <c r="M195" s="97"/>
      <c r="N195" s="97"/>
      <c r="O195" s="97"/>
      <c r="P195" s="97"/>
      <c r="S195" s="97"/>
    </row>
    <row r="196" spans="1:19" s="455" customFormat="1">
      <c r="A196" s="4" t="s">
        <v>1225</v>
      </c>
      <c r="B196" s="4"/>
      <c r="C196" s="4"/>
      <c r="D196" s="4"/>
      <c r="E196" s="97"/>
      <c r="F196" s="97"/>
      <c r="G196" s="97"/>
      <c r="H196" s="107"/>
      <c r="I196" s="413"/>
      <c r="J196" s="97"/>
      <c r="K196" s="513"/>
      <c r="L196" s="413"/>
      <c r="M196" s="97"/>
      <c r="N196" s="97"/>
      <c r="O196" s="97"/>
      <c r="P196" s="97"/>
      <c r="Q196" s="97"/>
      <c r="R196" s="97"/>
      <c r="S196" s="97"/>
    </row>
    <row r="197" spans="1:19" s="455" customFormat="1" ht="14.25">
      <c r="A197" s="22" t="s">
        <v>1226</v>
      </c>
      <c r="B197" s="22"/>
      <c r="C197" s="22"/>
      <c r="D197" s="22"/>
      <c r="E197" s="97"/>
      <c r="F197" s="97"/>
      <c r="G197" s="97"/>
      <c r="H197" s="107"/>
      <c r="I197" s="413"/>
      <c r="J197" s="97"/>
      <c r="K197" s="513"/>
      <c r="L197" s="413"/>
      <c r="M197" s="97"/>
      <c r="N197" s="97"/>
      <c r="O197" s="97"/>
      <c r="P197" s="97"/>
      <c r="Q197" s="97"/>
      <c r="R197" s="97"/>
      <c r="S197" s="97"/>
    </row>
    <row r="198" spans="1:19" s="455" customFormat="1" ht="14.25">
      <c r="A198" s="22" t="s">
        <v>1227</v>
      </c>
      <c r="B198" s="22"/>
      <c r="C198" s="22"/>
      <c r="D198" s="22"/>
      <c r="E198" s="22"/>
      <c r="F198" s="22"/>
      <c r="G198" s="22"/>
      <c r="H198" s="106"/>
      <c r="I198" s="257"/>
      <c r="J198" s="4"/>
      <c r="K198" s="325"/>
      <c r="L198" s="257"/>
      <c r="M198" s="4"/>
      <c r="N198" s="4"/>
      <c r="O198" s="4"/>
      <c r="P198" s="4"/>
      <c r="Q198" s="4"/>
      <c r="R198" s="4"/>
      <c r="S198" s="4"/>
    </row>
    <row r="199" spans="1:19" s="455" customFormat="1" ht="14.25">
      <c r="A199" s="4"/>
      <c r="B199" s="4"/>
      <c r="C199" s="4"/>
      <c r="D199" s="4"/>
      <c r="E199" s="22"/>
      <c r="F199" s="22"/>
      <c r="G199" s="22"/>
      <c r="H199" s="106"/>
      <c r="I199" s="257"/>
      <c r="J199" s="4"/>
      <c r="K199" s="325"/>
      <c r="L199" s="257"/>
      <c r="M199" s="4"/>
      <c r="N199" s="4"/>
      <c r="O199" s="4"/>
      <c r="P199" s="4"/>
      <c r="Q199" s="4"/>
      <c r="R199" s="4"/>
      <c r="S199" s="4"/>
    </row>
    <row r="200" spans="1:19" s="455" customFormat="1">
      <c r="A200" s="4" t="s">
        <v>1228</v>
      </c>
      <c r="B200" s="4"/>
      <c r="C200" s="4"/>
      <c r="D200" s="4"/>
      <c r="E200" s="4"/>
      <c r="F200" s="4"/>
      <c r="G200" s="4"/>
      <c r="H200" s="106"/>
      <c r="I200" s="257"/>
      <c r="J200" s="4"/>
      <c r="K200" s="325"/>
      <c r="L200" s="257"/>
      <c r="M200" s="4"/>
      <c r="N200" s="4"/>
      <c r="O200" s="4"/>
      <c r="P200" s="4"/>
      <c r="Q200" s="4"/>
      <c r="R200" s="4"/>
      <c r="S200" s="4"/>
    </row>
    <row r="201" spans="1:19">
      <c r="A201" s="4" t="s">
        <v>365</v>
      </c>
    </row>
    <row r="203" spans="1:19" ht="14.25">
      <c r="A203" s="22"/>
      <c r="B203" s="22"/>
      <c r="C203" s="22"/>
      <c r="D203" s="22"/>
      <c r="E203" s="22"/>
      <c r="F203" s="22"/>
      <c r="G203" s="22"/>
    </row>
  </sheetData>
  <mergeCells count="14">
    <mergeCell ref="T7:U7"/>
    <mergeCell ref="B110:C110"/>
    <mergeCell ref="E110:F110"/>
    <mergeCell ref="H110:I110"/>
    <mergeCell ref="K110:L110"/>
    <mergeCell ref="N110:O110"/>
    <mergeCell ref="Q110:R110"/>
    <mergeCell ref="T110:U110"/>
    <mergeCell ref="B7:C7"/>
    <mergeCell ref="E7:F7"/>
    <mergeCell ref="H7:I7"/>
    <mergeCell ref="K7:L7"/>
    <mergeCell ref="N7:O7"/>
    <mergeCell ref="Q7:R7"/>
  </mergeCells>
  <printOptions horizontalCentered="1" verticalCentered="1"/>
  <pageMargins left="0" right="0" top="0" bottom="0" header="0.31496062992125984" footer="0.31496062992125984"/>
  <pageSetup paperSize="9" scale="65" orientation="portrait" r:id="rId1"/>
  <ignoredErrors>
    <ignoredError sqref="F14" evalError="1"/>
  </ignoredErrors>
  <drawing r:id="rId2"/>
</worksheet>
</file>

<file path=xl/worksheets/sheet66.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J2" sqref="J2"/>
    </sheetView>
  </sheetViews>
  <sheetFormatPr baseColWidth="10" defaultRowHeight="15"/>
  <sheetData>
    <row r="1" spans="2:11" ht="12.75" customHeight="1"/>
    <row r="2" spans="2:11" ht="12.75" customHeight="1">
      <c r="J2" s="429"/>
    </row>
    <row r="3" spans="2:11" ht="12.75" customHeight="1">
      <c r="B3" s="42" t="s">
        <v>1298</v>
      </c>
      <c r="C3" s="42" t="s">
        <v>1299</v>
      </c>
      <c r="D3" s="42" t="s">
        <v>1300</v>
      </c>
      <c r="E3" s="42" t="s">
        <v>1301</v>
      </c>
      <c r="F3" s="42" t="s">
        <v>1302</v>
      </c>
      <c r="H3" s="42"/>
    </row>
    <row r="4" spans="2:11" ht="12.75" customHeight="1">
      <c r="B4" s="548">
        <v>1924</v>
      </c>
      <c r="C4" s="548">
        <v>578</v>
      </c>
      <c r="D4" s="548">
        <v>519</v>
      </c>
      <c r="E4" s="548">
        <v>636</v>
      </c>
      <c r="F4" s="548">
        <v>51</v>
      </c>
      <c r="H4" s="46"/>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67.xml><?xml version="1.0" encoding="utf-8"?>
<worksheet xmlns="http://schemas.openxmlformats.org/spreadsheetml/2006/main" xmlns:r="http://schemas.openxmlformats.org/officeDocument/2006/relationships">
  <dimension ref="A1:N41"/>
  <sheetViews>
    <sheetView workbookViewId="0">
      <selection activeCell="A3" sqref="A3"/>
    </sheetView>
  </sheetViews>
  <sheetFormatPr baseColWidth="10" defaultColWidth="8.85546875" defaultRowHeight="15.75"/>
  <cols>
    <col min="1" max="1" width="29.42578125" style="339" customWidth="1"/>
    <col min="2" max="2" width="2.42578125" customWidth="1"/>
    <col min="3" max="3" width="0" style="24" hidden="1" customWidth="1"/>
    <col min="4" max="4" width="2.42578125" style="24" hidden="1" customWidth="1"/>
    <col min="6" max="6" width="3.140625" customWidth="1"/>
    <col min="8" max="8" width="3.140625" customWidth="1"/>
    <col min="10" max="10" width="3.28515625" customWidth="1"/>
    <col min="12" max="12" width="3.28515625" customWidth="1"/>
    <col min="14" max="14" width="3.28515625" customWidth="1"/>
    <col min="257" max="257" width="27.42578125" customWidth="1"/>
    <col min="258" max="258" width="2.42578125" customWidth="1"/>
    <col min="259" max="260" width="0" hidden="1" customWidth="1"/>
    <col min="262" max="262" width="2.7109375" customWidth="1"/>
    <col min="264" max="264" width="2.85546875" customWidth="1"/>
    <col min="266" max="266" width="3.28515625" customWidth="1"/>
    <col min="268" max="268" width="3.28515625" customWidth="1"/>
    <col min="270" max="270" width="3.28515625" customWidth="1"/>
    <col min="513" max="513" width="27.42578125" customWidth="1"/>
    <col min="514" max="514" width="2.42578125" customWidth="1"/>
    <col min="515" max="516" width="0" hidden="1" customWidth="1"/>
    <col min="518" max="518" width="2.7109375" customWidth="1"/>
    <col min="520" max="520" width="2.85546875" customWidth="1"/>
    <col min="522" max="522" width="3.28515625" customWidth="1"/>
    <col min="524" max="524" width="3.28515625" customWidth="1"/>
    <col min="526" max="526" width="3.28515625" customWidth="1"/>
    <col min="769" max="769" width="27.42578125" customWidth="1"/>
    <col min="770" max="770" width="2.42578125" customWidth="1"/>
    <col min="771" max="772" width="0" hidden="1" customWidth="1"/>
    <col min="774" max="774" width="2.7109375" customWidth="1"/>
    <col min="776" max="776" width="2.85546875" customWidth="1"/>
    <col min="778" max="778" width="3.28515625" customWidth="1"/>
    <col min="780" max="780" width="3.28515625" customWidth="1"/>
    <col min="782" max="782" width="3.28515625" customWidth="1"/>
    <col min="1025" max="1025" width="27.42578125" customWidth="1"/>
    <col min="1026" max="1026" width="2.42578125" customWidth="1"/>
    <col min="1027" max="1028" width="0" hidden="1" customWidth="1"/>
    <col min="1030" max="1030" width="2.7109375" customWidth="1"/>
    <col min="1032" max="1032" width="2.85546875" customWidth="1"/>
    <col min="1034" max="1034" width="3.28515625" customWidth="1"/>
    <col min="1036" max="1036" width="3.28515625" customWidth="1"/>
    <col min="1038" max="1038" width="3.28515625" customWidth="1"/>
    <col min="1281" max="1281" width="27.42578125" customWidth="1"/>
    <col min="1282" max="1282" width="2.42578125" customWidth="1"/>
    <col min="1283" max="1284" width="0" hidden="1" customWidth="1"/>
    <col min="1286" max="1286" width="2.7109375" customWidth="1"/>
    <col min="1288" max="1288" width="2.85546875" customWidth="1"/>
    <col min="1290" max="1290" width="3.28515625" customWidth="1"/>
    <col min="1292" max="1292" width="3.28515625" customWidth="1"/>
    <col min="1294" max="1294" width="3.28515625" customWidth="1"/>
    <col min="1537" max="1537" width="27.42578125" customWidth="1"/>
    <col min="1538" max="1538" width="2.42578125" customWidth="1"/>
    <col min="1539" max="1540" width="0" hidden="1" customWidth="1"/>
    <col min="1542" max="1542" width="2.7109375" customWidth="1"/>
    <col min="1544" max="1544" width="2.85546875" customWidth="1"/>
    <col min="1546" max="1546" width="3.28515625" customWidth="1"/>
    <col min="1548" max="1548" width="3.28515625" customWidth="1"/>
    <col min="1550" max="1550" width="3.28515625" customWidth="1"/>
    <col min="1793" max="1793" width="27.42578125" customWidth="1"/>
    <col min="1794" max="1794" width="2.42578125" customWidth="1"/>
    <col min="1795" max="1796" width="0" hidden="1" customWidth="1"/>
    <col min="1798" max="1798" width="2.7109375" customWidth="1"/>
    <col min="1800" max="1800" width="2.85546875" customWidth="1"/>
    <col min="1802" max="1802" width="3.28515625" customWidth="1"/>
    <col min="1804" max="1804" width="3.28515625" customWidth="1"/>
    <col min="1806" max="1806" width="3.28515625" customWidth="1"/>
    <col min="2049" max="2049" width="27.42578125" customWidth="1"/>
    <col min="2050" max="2050" width="2.42578125" customWidth="1"/>
    <col min="2051" max="2052" width="0" hidden="1" customWidth="1"/>
    <col min="2054" max="2054" width="2.7109375" customWidth="1"/>
    <col min="2056" max="2056" width="2.85546875" customWidth="1"/>
    <col min="2058" max="2058" width="3.28515625" customWidth="1"/>
    <col min="2060" max="2060" width="3.28515625" customWidth="1"/>
    <col min="2062" max="2062" width="3.28515625" customWidth="1"/>
    <col min="2305" max="2305" width="27.42578125" customWidth="1"/>
    <col min="2306" max="2306" width="2.42578125" customWidth="1"/>
    <col min="2307" max="2308" width="0" hidden="1" customWidth="1"/>
    <col min="2310" max="2310" width="2.7109375" customWidth="1"/>
    <col min="2312" max="2312" width="2.85546875" customWidth="1"/>
    <col min="2314" max="2314" width="3.28515625" customWidth="1"/>
    <col min="2316" max="2316" width="3.28515625" customWidth="1"/>
    <col min="2318" max="2318" width="3.28515625" customWidth="1"/>
    <col min="2561" max="2561" width="27.42578125" customWidth="1"/>
    <col min="2562" max="2562" width="2.42578125" customWidth="1"/>
    <col min="2563" max="2564" width="0" hidden="1" customWidth="1"/>
    <col min="2566" max="2566" width="2.7109375" customWidth="1"/>
    <col min="2568" max="2568" width="2.85546875" customWidth="1"/>
    <col min="2570" max="2570" width="3.28515625" customWidth="1"/>
    <col min="2572" max="2572" width="3.28515625" customWidth="1"/>
    <col min="2574" max="2574" width="3.28515625" customWidth="1"/>
    <col min="2817" max="2817" width="27.42578125" customWidth="1"/>
    <col min="2818" max="2818" width="2.42578125" customWidth="1"/>
    <col min="2819" max="2820" width="0" hidden="1" customWidth="1"/>
    <col min="2822" max="2822" width="2.7109375" customWidth="1"/>
    <col min="2824" max="2824" width="2.85546875" customWidth="1"/>
    <col min="2826" max="2826" width="3.28515625" customWidth="1"/>
    <col min="2828" max="2828" width="3.28515625" customWidth="1"/>
    <col min="2830" max="2830" width="3.28515625" customWidth="1"/>
    <col min="3073" max="3073" width="27.42578125" customWidth="1"/>
    <col min="3074" max="3074" width="2.42578125" customWidth="1"/>
    <col min="3075" max="3076" width="0" hidden="1" customWidth="1"/>
    <col min="3078" max="3078" width="2.7109375" customWidth="1"/>
    <col min="3080" max="3080" width="2.85546875" customWidth="1"/>
    <col min="3082" max="3082" width="3.28515625" customWidth="1"/>
    <col min="3084" max="3084" width="3.28515625" customWidth="1"/>
    <col min="3086" max="3086" width="3.28515625" customWidth="1"/>
    <col min="3329" max="3329" width="27.42578125" customWidth="1"/>
    <col min="3330" max="3330" width="2.42578125" customWidth="1"/>
    <col min="3331" max="3332" width="0" hidden="1" customWidth="1"/>
    <col min="3334" max="3334" width="2.7109375" customWidth="1"/>
    <col min="3336" max="3336" width="2.85546875" customWidth="1"/>
    <col min="3338" max="3338" width="3.28515625" customWidth="1"/>
    <col min="3340" max="3340" width="3.28515625" customWidth="1"/>
    <col min="3342" max="3342" width="3.28515625" customWidth="1"/>
    <col min="3585" max="3585" width="27.42578125" customWidth="1"/>
    <col min="3586" max="3586" width="2.42578125" customWidth="1"/>
    <col min="3587" max="3588" width="0" hidden="1" customWidth="1"/>
    <col min="3590" max="3590" width="2.7109375" customWidth="1"/>
    <col min="3592" max="3592" width="2.85546875" customWidth="1"/>
    <col min="3594" max="3594" width="3.28515625" customWidth="1"/>
    <col min="3596" max="3596" width="3.28515625" customWidth="1"/>
    <col min="3598" max="3598" width="3.28515625" customWidth="1"/>
    <col min="3841" max="3841" width="27.42578125" customWidth="1"/>
    <col min="3842" max="3842" width="2.42578125" customWidth="1"/>
    <col min="3843" max="3844" width="0" hidden="1" customWidth="1"/>
    <col min="3846" max="3846" width="2.7109375" customWidth="1"/>
    <col min="3848" max="3848" width="2.85546875" customWidth="1"/>
    <col min="3850" max="3850" width="3.28515625" customWidth="1"/>
    <col min="3852" max="3852" width="3.28515625" customWidth="1"/>
    <col min="3854" max="3854" width="3.28515625" customWidth="1"/>
    <col min="4097" max="4097" width="27.42578125" customWidth="1"/>
    <col min="4098" max="4098" width="2.42578125" customWidth="1"/>
    <col min="4099" max="4100" width="0" hidden="1" customWidth="1"/>
    <col min="4102" max="4102" width="2.7109375" customWidth="1"/>
    <col min="4104" max="4104" width="2.85546875" customWidth="1"/>
    <col min="4106" max="4106" width="3.28515625" customWidth="1"/>
    <col min="4108" max="4108" width="3.28515625" customWidth="1"/>
    <col min="4110" max="4110" width="3.28515625" customWidth="1"/>
    <col min="4353" max="4353" width="27.42578125" customWidth="1"/>
    <col min="4354" max="4354" width="2.42578125" customWidth="1"/>
    <col min="4355" max="4356" width="0" hidden="1" customWidth="1"/>
    <col min="4358" max="4358" width="2.7109375" customWidth="1"/>
    <col min="4360" max="4360" width="2.85546875" customWidth="1"/>
    <col min="4362" max="4362" width="3.28515625" customWidth="1"/>
    <col min="4364" max="4364" width="3.28515625" customWidth="1"/>
    <col min="4366" max="4366" width="3.28515625" customWidth="1"/>
    <col min="4609" max="4609" width="27.42578125" customWidth="1"/>
    <col min="4610" max="4610" width="2.42578125" customWidth="1"/>
    <col min="4611" max="4612" width="0" hidden="1" customWidth="1"/>
    <col min="4614" max="4614" width="2.7109375" customWidth="1"/>
    <col min="4616" max="4616" width="2.85546875" customWidth="1"/>
    <col min="4618" max="4618" width="3.28515625" customWidth="1"/>
    <col min="4620" max="4620" width="3.28515625" customWidth="1"/>
    <col min="4622" max="4622" width="3.28515625" customWidth="1"/>
    <col min="4865" max="4865" width="27.42578125" customWidth="1"/>
    <col min="4866" max="4866" width="2.42578125" customWidth="1"/>
    <col min="4867" max="4868" width="0" hidden="1" customWidth="1"/>
    <col min="4870" max="4870" width="2.7109375" customWidth="1"/>
    <col min="4872" max="4872" width="2.85546875" customWidth="1"/>
    <col min="4874" max="4874" width="3.28515625" customWidth="1"/>
    <col min="4876" max="4876" width="3.28515625" customWidth="1"/>
    <col min="4878" max="4878" width="3.28515625" customWidth="1"/>
    <col min="5121" max="5121" width="27.42578125" customWidth="1"/>
    <col min="5122" max="5122" width="2.42578125" customWidth="1"/>
    <col min="5123" max="5124" width="0" hidden="1" customWidth="1"/>
    <col min="5126" max="5126" width="2.7109375" customWidth="1"/>
    <col min="5128" max="5128" width="2.85546875" customWidth="1"/>
    <col min="5130" max="5130" width="3.28515625" customWidth="1"/>
    <col min="5132" max="5132" width="3.28515625" customWidth="1"/>
    <col min="5134" max="5134" width="3.28515625" customWidth="1"/>
    <col min="5377" max="5377" width="27.42578125" customWidth="1"/>
    <col min="5378" max="5378" width="2.42578125" customWidth="1"/>
    <col min="5379" max="5380" width="0" hidden="1" customWidth="1"/>
    <col min="5382" max="5382" width="2.7109375" customWidth="1"/>
    <col min="5384" max="5384" width="2.85546875" customWidth="1"/>
    <col min="5386" max="5386" width="3.28515625" customWidth="1"/>
    <col min="5388" max="5388" width="3.28515625" customWidth="1"/>
    <col min="5390" max="5390" width="3.28515625" customWidth="1"/>
    <col min="5633" max="5633" width="27.42578125" customWidth="1"/>
    <col min="5634" max="5634" width="2.42578125" customWidth="1"/>
    <col min="5635" max="5636" width="0" hidden="1" customWidth="1"/>
    <col min="5638" max="5638" width="2.7109375" customWidth="1"/>
    <col min="5640" max="5640" width="2.85546875" customWidth="1"/>
    <col min="5642" max="5642" width="3.28515625" customWidth="1"/>
    <col min="5644" max="5644" width="3.28515625" customWidth="1"/>
    <col min="5646" max="5646" width="3.28515625" customWidth="1"/>
    <col min="5889" max="5889" width="27.42578125" customWidth="1"/>
    <col min="5890" max="5890" width="2.42578125" customWidth="1"/>
    <col min="5891" max="5892" width="0" hidden="1" customWidth="1"/>
    <col min="5894" max="5894" width="2.7109375" customWidth="1"/>
    <col min="5896" max="5896" width="2.85546875" customWidth="1"/>
    <col min="5898" max="5898" width="3.28515625" customWidth="1"/>
    <col min="5900" max="5900" width="3.28515625" customWidth="1"/>
    <col min="5902" max="5902" width="3.28515625" customWidth="1"/>
    <col min="6145" max="6145" width="27.42578125" customWidth="1"/>
    <col min="6146" max="6146" width="2.42578125" customWidth="1"/>
    <col min="6147" max="6148" width="0" hidden="1" customWidth="1"/>
    <col min="6150" max="6150" width="2.7109375" customWidth="1"/>
    <col min="6152" max="6152" width="2.85546875" customWidth="1"/>
    <col min="6154" max="6154" width="3.28515625" customWidth="1"/>
    <col min="6156" max="6156" width="3.28515625" customWidth="1"/>
    <col min="6158" max="6158" width="3.28515625" customWidth="1"/>
    <col min="6401" max="6401" width="27.42578125" customWidth="1"/>
    <col min="6402" max="6402" width="2.42578125" customWidth="1"/>
    <col min="6403" max="6404" width="0" hidden="1" customWidth="1"/>
    <col min="6406" max="6406" width="2.7109375" customWidth="1"/>
    <col min="6408" max="6408" width="2.85546875" customWidth="1"/>
    <col min="6410" max="6410" width="3.28515625" customWidth="1"/>
    <col min="6412" max="6412" width="3.28515625" customWidth="1"/>
    <col min="6414" max="6414" width="3.28515625" customWidth="1"/>
    <col min="6657" max="6657" width="27.42578125" customWidth="1"/>
    <col min="6658" max="6658" width="2.42578125" customWidth="1"/>
    <col min="6659" max="6660" width="0" hidden="1" customWidth="1"/>
    <col min="6662" max="6662" width="2.7109375" customWidth="1"/>
    <col min="6664" max="6664" width="2.85546875" customWidth="1"/>
    <col min="6666" max="6666" width="3.28515625" customWidth="1"/>
    <col min="6668" max="6668" width="3.28515625" customWidth="1"/>
    <col min="6670" max="6670" width="3.28515625" customWidth="1"/>
    <col min="6913" max="6913" width="27.42578125" customWidth="1"/>
    <col min="6914" max="6914" width="2.42578125" customWidth="1"/>
    <col min="6915" max="6916" width="0" hidden="1" customWidth="1"/>
    <col min="6918" max="6918" width="2.7109375" customWidth="1"/>
    <col min="6920" max="6920" width="2.85546875" customWidth="1"/>
    <col min="6922" max="6922" width="3.28515625" customWidth="1"/>
    <col min="6924" max="6924" width="3.28515625" customWidth="1"/>
    <col min="6926" max="6926" width="3.28515625" customWidth="1"/>
    <col min="7169" max="7169" width="27.42578125" customWidth="1"/>
    <col min="7170" max="7170" width="2.42578125" customWidth="1"/>
    <col min="7171" max="7172" width="0" hidden="1" customWidth="1"/>
    <col min="7174" max="7174" width="2.7109375" customWidth="1"/>
    <col min="7176" max="7176" width="2.85546875" customWidth="1"/>
    <col min="7178" max="7178" width="3.28515625" customWidth="1"/>
    <col min="7180" max="7180" width="3.28515625" customWidth="1"/>
    <col min="7182" max="7182" width="3.28515625" customWidth="1"/>
    <col min="7425" max="7425" width="27.42578125" customWidth="1"/>
    <col min="7426" max="7426" width="2.42578125" customWidth="1"/>
    <col min="7427" max="7428" width="0" hidden="1" customWidth="1"/>
    <col min="7430" max="7430" width="2.7109375" customWidth="1"/>
    <col min="7432" max="7432" width="2.85546875" customWidth="1"/>
    <col min="7434" max="7434" width="3.28515625" customWidth="1"/>
    <col min="7436" max="7436" width="3.28515625" customWidth="1"/>
    <col min="7438" max="7438" width="3.28515625" customWidth="1"/>
    <col min="7681" max="7681" width="27.42578125" customWidth="1"/>
    <col min="7682" max="7682" width="2.42578125" customWidth="1"/>
    <col min="7683" max="7684" width="0" hidden="1" customWidth="1"/>
    <col min="7686" max="7686" width="2.7109375" customWidth="1"/>
    <col min="7688" max="7688" width="2.85546875" customWidth="1"/>
    <col min="7690" max="7690" width="3.28515625" customWidth="1"/>
    <col min="7692" max="7692" width="3.28515625" customWidth="1"/>
    <col min="7694" max="7694" width="3.28515625" customWidth="1"/>
    <col min="7937" max="7937" width="27.42578125" customWidth="1"/>
    <col min="7938" max="7938" width="2.42578125" customWidth="1"/>
    <col min="7939" max="7940" width="0" hidden="1" customWidth="1"/>
    <col min="7942" max="7942" width="2.7109375" customWidth="1"/>
    <col min="7944" max="7944" width="2.85546875" customWidth="1"/>
    <col min="7946" max="7946" width="3.28515625" customWidth="1"/>
    <col min="7948" max="7948" width="3.28515625" customWidth="1"/>
    <col min="7950" max="7950" width="3.28515625" customWidth="1"/>
    <col min="8193" max="8193" width="27.42578125" customWidth="1"/>
    <col min="8194" max="8194" width="2.42578125" customWidth="1"/>
    <col min="8195" max="8196" width="0" hidden="1" customWidth="1"/>
    <col min="8198" max="8198" width="2.7109375" customWidth="1"/>
    <col min="8200" max="8200" width="2.85546875" customWidth="1"/>
    <col min="8202" max="8202" width="3.28515625" customWidth="1"/>
    <col min="8204" max="8204" width="3.28515625" customWidth="1"/>
    <col min="8206" max="8206" width="3.28515625" customWidth="1"/>
    <col min="8449" max="8449" width="27.42578125" customWidth="1"/>
    <col min="8450" max="8450" width="2.42578125" customWidth="1"/>
    <col min="8451" max="8452" width="0" hidden="1" customWidth="1"/>
    <col min="8454" max="8454" width="2.7109375" customWidth="1"/>
    <col min="8456" max="8456" width="2.85546875" customWidth="1"/>
    <col min="8458" max="8458" width="3.28515625" customWidth="1"/>
    <col min="8460" max="8460" width="3.28515625" customWidth="1"/>
    <col min="8462" max="8462" width="3.28515625" customWidth="1"/>
    <col min="8705" max="8705" width="27.42578125" customWidth="1"/>
    <col min="8706" max="8706" width="2.42578125" customWidth="1"/>
    <col min="8707" max="8708" width="0" hidden="1" customWidth="1"/>
    <col min="8710" max="8710" width="2.7109375" customWidth="1"/>
    <col min="8712" max="8712" width="2.85546875" customWidth="1"/>
    <col min="8714" max="8714" width="3.28515625" customWidth="1"/>
    <col min="8716" max="8716" width="3.28515625" customWidth="1"/>
    <col min="8718" max="8718" width="3.28515625" customWidth="1"/>
    <col min="8961" max="8961" width="27.42578125" customWidth="1"/>
    <col min="8962" max="8962" width="2.42578125" customWidth="1"/>
    <col min="8963" max="8964" width="0" hidden="1" customWidth="1"/>
    <col min="8966" max="8966" width="2.7109375" customWidth="1"/>
    <col min="8968" max="8968" width="2.85546875" customWidth="1"/>
    <col min="8970" max="8970" width="3.28515625" customWidth="1"/>
    <col min="8972" max="8972" width="3.28515625" customWidth="1"/>
    <col min="8974" max="8974" width="3.28515625" customWidth="1"/>
    <col min="9217" max="9217" width="27.42578125" customWidth="1"/>
    <col min="9218" max="9218" width="2.42578125" customWidth="1"/>
    <col min="9219" max="9220" width="0" hidden="1" customWidth="1"/>
    <col min="9222" max="9222" width="2.7109375" customWidth="1"/>
    <col min="9224" max="9224" width="2.85546875" customWidth="1"/>
    <col min="9226" max="9226" width="3.28515625" customWidth="1"/>
    <col min="9228" max="9228" width="3.28515625" customWidth="1"/>
    <col min="9230" max="9230" width="3.28515625" customWidth="1"/>
    <col min="9473" max="9473" width="27.42578125" customWidth="1"/>
    <col min="9474" max="9474" width="2.42578125" customWidth="1"/>
    <col min="9475" max="9476" width="0" hidden="1" customWidth="1"/>
    <col min="9478" max="9478" width="2.7109375" customWidth="1"/>
    <col min="9480" max="9480" width="2.85546875" customWidth="1"/>
    <col min="9482" max="9482" width="3.28515625" customWidth="1"/>
    <col min="9484" max="9484" width="3.28515625" customWidth="1"/>
    <col min="9486" max="9486" width="3.28515625" customWidth="1"/>
    <col min="9729" max="9729" width="27.42578125" customWidth="1"/>
    <col min="9730" max="9730" width="2.42578125" customWidth="1"/>
    <col min="9731" max="9732" width="0" hidden="1" customWidth="1"/>
    <col min="9734" max="9734" width="2.7109375" customWidth="1"/>
    <col min="9736" max="9736" width="2.85546875" customWidth="1"/>
    <col min="9738" max="9738" width="3.28515625" customWidth="1"/>
    <col min="9740" max="9740" width="3.28515625" customWidth="1"/>
    <col min="9742" max="9742" width="3.28515625" customWidth="1"/>
    <col min="9985" max="9985" width="27.42578125" customWidth="1"/>
    <col min="9986" max="9986" width="2.42578125" customWidth="1"/>
    <col min="9987" max="9988" width="0" hidden="1" customWidth="1"/>
    <col min="9990" max="9990" width="2.7109375" customWidth="1"/>
    <col min="9992" max="9992" width="2.85546875" customWidth="1"/>
    <col min="9994" max="9994" width="3.28515625" customWidth="1"/>
    <col min="9996" max="9996" width="3.28515625" customWidth="1"/>
    <col min="9998" max="9998" width="3.28515625" customWidth="1"/>
    <col min="10241" max="10241" width="27.42578125" customWidth="1"/>
    <col min="10242" max="10242" width="2.42578125" customWidth="1"/>
    <col min="10243" max="10244" width="0" hidden="1" customWidth="1"/>
    <col min="10246" max="10246" width="2.7109375" customWidth="1"/>
    <col min="10248" max="10248" width="2.85546875" customWidth="1"/>
    <col min="10250" max="10250" width="3.28515625" customWidth="1"/>
    <col min="10252" max="10252" width="3.28515625" customWidth="1"/>
    <col min="10254" max="10254" width="3.28515625" customWidth="1"/>
    <col min="10497" max="10497" width="27.42578125" customWidth="1"/>
    <col min="10498" max="10498" width="2.42578125" customWidth="1"/>
    <col min="10499" max="10500" width="0" hidden="1" customWidth="1"/>
    <col min="10502" max="10502" width="2.7109375" customWidth="1"/>
    <col min="10504" max="10504" width="2.85546875" customWidth="1"/>
    <col min="10506" max="10506" width="3.28515625" customWidth="1"/>
    <col min="10508" max="10508" width="3.28515625" customWidth="1"/>
    <col min="10510" max="10510" width="3.28515625" customWidth="1"/>
    <col min="10753" max="10753" width="27.42578125" customWidth="1"/>
    <col min="10754" max="10754" width="2.42578125" customWidth="1"/>
    <col min="10755" max="10756" width="0" hidden="1" customWidth="1"/>
    <col min="10758" max="10758" width="2.7109375" customWidth="1"/>
    <col min="10760" max="10760" width="2.85546875" customWidth="1"/>
    <col min="10762" max="10762" width="3.28515625" customWidth="1"/>
    <col min="10764" max="10764" width="3.28515625" customWidth="1"/>
    <col min="10766" max="10766" width="3.28515625" customWidth="1"/>
    <col min="11009" max="11009" width="27.42578125" customWidth="1"/>
    <col min="11010" max="11010" width="2.42578125" customWidth="1"/>
    <col min="11011" max="11012" width="0" hidden="1" customWidth="1"/>
    <col min="11014" max="11014" width="2.7109375" customWidth="1"/>
    <col min="11016" max="11016" width="2.85546875" customWidth="1"/>
    <col min="11018" max="11018" width="3.28515625" customWidth="1"/>
    <col min="11020" max="11020" width="3.28515625" customWidth="1"/>
    <col min="11022" max="11022" width="3.28515625" customWidth="1"/>
    <col min="11265" max="11265" width="27.42578125" customWidth="1"/>
    <col min="11266" max="11266" width="2.42578125" customWidth="1"/>
    <col min="11267" max="11268" width="0" hidden="1" customWidth="1"/>
    <col min="11270" max="11270" width="2.7109375" customWidth="1"/>
    <col min="11272" max="11272" width="2.85546875" customWidth="1"/>
    <col min="11274" max="11274" width="3.28515625" customWidth="1"/>
    <col min="11276" max="11276" width="3.28515625" customWidth="1"/>
    <col min="11278" max="11278" width="3.28515625" customWidth="1"/>
    <col min="11521" max="11521" width="27.42578125" customWidth="1"/>
    <col min="11522" max="11522" width="2.42578125" customWidth="1"/>
    <col min="11523" max="11524" width="0" hidden="1" customWidth="1"/>
    <col min="11526" max="11526" width="2.7109375" customWidth="1"/>
    <col min="11528" max="11528" width="2.85546875" customWidth="1"/>
    <col min="11530" max="11530" width="3.28515625" customWidth="1"/>
    <col min="11532" max="11532" width="3.28515625" customWidth="1"/>
    <col min="11534" max="11534" width="3.28515625" customWidth="1"/>
    <col min="11777" max="11777" width="27.42578125" customWidth="1"/>
    <col min="11778" max="11778" width="2.42578125" customWidth="1"/>
    <col min="11779" max="11780" width="0" hidden="1" customWidth="1"/>
    <col min="11782" max="11782" width="2.7109375" customWidth="1"/>
    <col min="11784" max="11784" width="2.85546875" customWidth="1"/>
    <col min="11786" max="11786" width="3.28515625" customWidth="1"/>
    <col min="11788" max="11788" width="3.28515625" customWidth="1"/>
    <col min="11790" max="11790" width="3.28515625" customWidth="1"/>
    <col min="12033" max="12033" width="27.42578125" customWidth="1"/>
    <col min="12034" max="12034" width="2.42578125" customWidth="1"/>
    <col min="12035" max="12036" width="0" hidden="1" customWidth="1"/>
    <col min="12038" max="12038" width="2.7109375" customWidth="1"/>
    <col min="12040" max="12040" width="2.85546875" customWidth="1"/>
    <col min="12042" max="12042" width="3.28515625" customWidth="1"/>
    <col min="12044" max="12044" width="3.28515625" customWidth="1"/>
    <col min="12046" max="12046" width="3.28515625" customWidth="1"/>
    <col min="12289" max="12289" width="27.42578125" customWidth="1"/>
    <col min="12290" max="12290" width="2.42578125" customWidth="1"/>
    <col min="12291" max="12292" width="0" hidden="1" customWidth="1"/>
    <col min="12294" max="12294" width="2.7109375" customWidth="1"/>
    <col min="12296" max="12296" width="2.85546875" customWidth="1"/>
    <col min="12298" max="12298" width="3.28515625" customWidth="1"/>
    <col min="12300" max="12300" width="3.28515625" customWidth="1"/>
    <col min="12302" max="12302" width="3.28515625" customWidth="1"/>
    <col min="12545" max="12545" width="27.42578125" customWidth="1"/>
    <col min="12546" max="12546" width="2.42578125" customWidth="1"/>
    <col min="12547" max="12548" width="0" hidden="1" customWidth="1"/>
    <col min="12550" max="12550" width="2.7109375" customWidth="1"/>
    <col min="12552" max="12552" width="2.85546875" customWidth="1"/>
    <col min="12554" max="12554" width="3.28515625" customWidth="1"/>
    <col min="12556" max="12556" width="3.28515625" customWidth="1"/>
    <col min="12558" max="12558" width="3.28515625" customWidth="1"/>
    <col min="12801" max="12801" width="27.42578125" customWidth="1"/>
    <col min="12802" max="12802" width="2.42578125" customWidth="1"/>
    <col min="12803" max="12804" width="0" hidden="1" customWidth="1"/>
    <col min="12806" max="12806" width="2.7109375" customWidth="1"/>
    <col min="12808" max="12808" width="2.85546875" customWidth="1"/>
    <col min="12810" max="12810" width="3.28515625" customWidth="1"/>
    <col min="12812" max="12812" width="3.28515625" customWidth="1"/>
    <col min="12814" max="12814" width="3.28515625" customWidth="1"/>
    <col min="13057" max="13057" width="27.42578125" customWidth="1"/>
    <col min="13058" max="13058" width="2.42578125" customWidth="1"/>
    <col min="13059" max="13060" width="0" hidden="1" customWidth="1"/>
    <col min="13062" max="13062" width="2.7109375" customWidth="1"/>
    <col min="13064" max="13064" width="2.85546875" customWidth="1"/>
    <col min="13066" max="13066" width="3.28515625" customWidth="1"/>
    <col min="13068" max="13068" width="3.28515625" customWidth="1"/>
    <col min="13070" max="13070" width="3.28515625" customWidth="1"/>
    <col min="13313" max="13313" width="27.42578125" customWidth="1"/>
    <col min="13314" max="13314" width="2.42578125" customWidth="1"/>
    <col min="13315" max="13316" width="0" hidden="1" customWidth="1"/>
    <col min="13318" max="13318" width="2.7109375" customWidth="1"/>
    <col min="13320" max="13320" width="2.85546875" customWidth="1"/>
    <col min="13322" max="13322" width="3.28515625" customWidth="1"/>
    <col min="13324" max="13324" width="3.28515625" customWidth="1"/>
    <col min="13326" max="13326" width="3.28515625" customWidth="1"/>
    <col min="13569" max="13569" width="27.42578125" customWidth="1"/>
    <col min="13570" max="13570" width="2.42578125" customWidth="1"/>
    <col min="13571" max="13572" width="0" hidden="1" customWidth="1"/>
    <col min="13574" max="13574" width="2.7109375" customWidth="1"/>
    <col min="13576" max="13576" width="2.85546875" customWidth="1"/>
    <col min="13578" max="13578" width="3.28515625" customWidth="1"/>
    <col min="13580" max="13580" width="3.28515625" customWidth="1"/>
    <col min="13582" max="13582" width="3.28515625" customWidth="1"/>
    <col min="13825" max="13825" width="27.42578125" customWidth="1"/>
    <col min="13826" max="13826" width="2.42578125" customWidth="1"/>
    <col min="13827" max="13828" width="0" hidden="1" customWidth="1"/>
    <col min="13830" max="13830" width="2.7109375" customWidth="1"/>
    <col min="13832" max="13832" width="2.85546875" customWidth="1"/>
    <col min="13834" max="13834" width="3.28515625" customWidth="1"/>
    <col min="13836" max="13836" width="3.28515625" customWidth="1"/>
    <col min="13838" max="13838" width="3.28515625" customWidth="1"/>
    <col min="14081" max="14081" width="27.42578125" customWidth="1"/>
    <col min="14082" max="14082" width="2.42578125" customWidth="1"/>
    <col min="14083" max="14084" width="0" hidden="1" customWidth="1"/>
    <col min="14086" max="14086" width="2.7109375" customWidth="1"/>
    <col min="14088" max="14088" width="2.85546875" customWidth="1"/>
    <col min="14090" max="14090" width="3.28515625" customWidth="1"/>
    <col min="14092" max="14092" width="3.28515625" customWidth="1"/>
    <col min="14094" max="14094" width="3.28515625" customWidth="1"/>
    <col min="14337" max="14337" width="27.42578125" customWidth="1"/>
    <col min="14338" max="14338" width="2.42578125" customWidth="1"/>
    <col min="14339" max="14340" width="0" hidden="1" customWidth="1"/>
    <col min="14342" max="14342" width="2.7109375" customWidth="1"/>
    <col min="14344" max="14344" width="2.85546875" customWidth="1"/>
    <col min="14346" max="14346" width="3.28515625" customWidth="1"/>
    <col min="14348" max="14348" width="3.28515625" customWidth="1"/>
    <col min="14350" max="14350" width="3.28515625" customWidth="1"/>
    <col min="14593" max="14593" width="27.42578125" customWidth="1"/>
    <col min="14594" max="14594" width="2.42578125" customWidth="1"/>
    <col min="14595" max="14596" width="0" hidden="1" customWidth="1"/>
    <col min="14598" max="14598" width="2.7109375" customWidth="1"/>
    <col min="14600" max="14600" width="2.85546875" customWidth="1"/>
    <col min="14602" max="14602" width="3.28515625" customWidth="1"/>
    <col min="14604" max="14604" width="3.28515625" customWidth="1"/>
    <col min="14606" max="14606" width="3.28515625" customWidth="1"/>
    <col min="14849" max="14849" width="27.42578125" customWidth="1"/>
    <col min="14850" max="14850" width="2.42578125" customWidth="1"/>
    <col min="14851" max="14852" width="0" hidden="1" customWidth="1"/>
    <col min="14854" max="14854" width="2.7109375" customWidth="1"/>
    <col min="14856" max="14856" width="2.85546875" customWidth="1"/>
    <col min="14858" max="14858" width="3.28515625" customWidth="1"/>
    <col min="14860" max="14860" width="3.28515625" customWidth="1"/>
    <col min="14862" max="14862" width="3.28515625" customWidth="1"/>
    <col min="15105" max="15105" width="27.42578125" customWidth="1"/>
    <col min="15106" max="15106" width="2.42578125" customWidth="1"/>
    <col min="15107" max="15108" width="0" hidden="1" customWidth="1"/>
    <col min="15110" max="15110" width="2.7109375" customWidth="1"/>
    <col min="15112" max="15112" width="2.85546875" customWidth="1"/>
    <col min="15114" max="15114" width="3.28515625" customWidth="1"/>
    <col min="15116" max="15116" width="3.28515625" customWidth="1"/>
    <col min="15118" max="15118" width="3.28515625" customWidth="1"/>
    <col min="15361" max="15361" width="27.42578125" customWidth="1"/>
    <col min="15362" max="15362" width="2.42578125" customWidth="1"/>
    <col min="15363" max="15364" width="0" hidden="1" customWidth="1"/>
    <col min="15366" max="15366" width="2.7109375" customWidth="1"/>
    <col min="15368" max="15368" width="2.85546875" customWidth="1"/>
    <col min="15370" max="15370" width="3.28515625" customWidth="1"/>
    <col min="15372" max="15372" width="3.28515625" customWidth="1"/>
    <col min="15374" max="15374" width="3.28515625" customWidth="1"/>
    <col min="15617" max="15617" width="27.42578125" customWidth="1"/>
    <col min="15618" max="15618" width="2.42578125" customWidth="1"/>
    <col min="15619" max="15620" width="0" hidden="1" customWidth="1"/>
    <col min="15622" max="15622" width="2.7109375" customWidth="1"/>
    <col min="15624" max="15624" width="2.85546875" customWidth="1"/>
    <col min="15626" max="15626" width="3.28515625" customWidth="1"/>
    <col min="15628" max="15628" width="3.28515625" customWidth="1"/>
    <col min="15630" max="15630" width="3.28515625" customWidth="1"/>
    <col min="15873" max="15873" width="27.42578125" customWidth="1"/>
    <col min="15874" max="15874" width="2.42578125" customWidth="1"/>
    <col min="15875" max="15876" width="0" hidden="1" customWidth="1"/>
    <col min="15878" max="15878" width="2.7109375" customWidth="1"/>
    <col min="15880" max="15880" width="2.85546875" customWidth="1"/>
    <col min="15882" max="15882" width="3.28515625" customWidth="1"/>
    <col min="15884" max="15884" width="3.28515625" customWidth="1"/>
    <col min="15886" max="15886" width="3.28515625" customWidth="1"/>
    <col min="16129" max="16129" width="27.42578125" customWidth="1"/>
    <col min="16130" max="16130" width="2.42578125" customWidth="1"/>
    <col min="16131" max="16132" width="0" hidden="1" customWidth="1"/>
    <col min="16134" max="16134" width="2.7109375" customWidth="1"/>
    <col min="16136" max="16136" width="2.85546875" customWidth="1"/>
    <col min="16138" max="16138" width="3.28515625" customWidth="1"/>
    <col min="16140" max="16140" width="3.28515625" customWidth="1"/>
    <col min="16142" max="16142" width="3.28515625" customWidth="1"/>
  </cols>
  <sheetData>
    <row r="1" spans="1:14">
      <c r="A1" s="514" t="s">
        <v>0</v>
      </c>
    </row>
    <row r="2" spans="1:14">
      <c r="A2" s="339" t="s">
        <v>1</v>
      </c>
    </row>
    <row r="4" spans="1:14">
      <c r="A4" s="339" t="s">
        <v>1229</v>
      </c>
    </row>
    <row r="5" spans="1:14" ht="16.5" thickBot="1">
      <c r="B5" s="345"/>
      <c r="E5" s="24"/>
      <c r="F5" s="24"/>
      <c r="G5" s="24"/>
      <c r="H5" s="24"/>
      <c r="I5" s="24"/>
      <c r="J5" s="24"/>
      <c r="K5" s="24"/>
      <c r="L5" s="24"/>
      <c r="M5" s="24"/>
      <c r="N5" s="24"/>
    </row>
    <row r="6" spans="1:14" ht="19.899999999999999" customHeight="1">
      <c r="A6" s="340"/>
      <c r="C6" s="515"/>
      <c r="D6" s="515"/>
      <c r="E6" s="515"/>
      <c r="F6" s="515"/>
      <c r="G6" s="515"/>
      <c r="H6" s="515"/>
      <c r="I6" s="515"/>
      <c r="J6" s="515"/>
      <c r="K6" s="515"/>
      <c r="L6" s="515"/>
      <c r="M6" s="515"/>
      <c r="N6" s="515"/>
    </row>
    <row r="7" spans="1:14" ht="19.899999999999999" customHeight="1">
      <c r="A7" s="349" t="s">
        <v>1495</v>
      </c>
      <c r="B7" s="174"/>
      <c r="C7" s="516" t="s">
        <v>527</v>
      </c>
      <c r="D7" s="69"/>
      <c r="E7" s="516" t="s">
        <v>528</v>
      </c>
      <c r="G7" s="516" t="s">
        <v>529</v>
      </c>
      <c r="I7" s="516" t="s">
        <v>530</v>
      </c>
      <c r="K7" s="516" t="s">
        <v>531</v>
      </c>
      <c r="M7" s="516" t="s">
        <v>685</v>
      </c>
    </row>
    <row r="8" spans="1:14" ht="19.899999999999999" customHeight="1" thickBot="1">
      <c r="A8" s="345"/>
      <c r="B8" s="15"/>
      <c r="C8" s="105"/>
      <c r="D8" s="105"/>
      <c r="E8" s="105"/>
      <c r="G8" s="105"/>
      <c r="I8" s="105"/>
      <c r="K8" s="105"/>
      <c r="M8" s="105"/>
    </row>
    <row r="9" spans="1:14" ht="19.899999999999999" customHeight="1">
      <c r="A9" s="341"/>
      <c r="E9" s="24"/>
      <c r="F9" s="515"/>
      <c r="G9" s="24"/>
      <c r="H9" s="515"/>
      <c r="I9" s="24"/>
      <c r="J9" s="515"/>
      <c r="K9" s="24"/>
      <c r="L9" s="515"/>
      <c r="M9" s="24"/>
      <c r="N9" s="515"/>
    </row>
    <row r="10" spans="1:14" ht="19.899999999999999" customHeight="1">
      <c r="A10" s="339" t="s">
        <v>1230</v>
      </c>
      <c r="B10" s="339"/>
      <c r="C10" s="517">
        <v>1264</v>
      </c>
      <c r="D10" s="518"/>
      <c r="E10" s="517">
        <v>1723</v>
      </c>
      <c r="F10" s="46"/>
      <c r="G10" s="517">
        <v>1802</v>
      </c>
      <c r="I10" s="517">
        <v>1830</v>
      </c>
      <c r="K10" s="517">
        <v>1859</v>
      </c>
      <c r="M10" s="517">
        <v>1924</v>
      </c>
    </row>
    <row r="11" spans="1:14" ht="19.899999999999999" customHeight="1">
      <c r="B11" s="339"/>
      <c r="C11" s="517"/>
      <c r="D11" s="518"/>
      <c r="E11" s="517"/>
      <c r="F11" s="46"/>
      <c r="G11" s="517"/>
      <c r="I11" s="517"/>
      <c r="K11" s="517"/>
      <c r="M11" s="517"/>
    </row>
    <row r="12" spans="1:14" ht="19.899999999999999" customHeight="1">
      <c r="A12" s="339" t="s">
        <v>1231</v>
      </c>
      <c r="B12" s="339"/>
      <c r="C12" s="517">
        <v>545</v>
      </c>
      <c r="D12" s="518"/>
      <c r="E12" s="517">
        <v>500</v>
      </c>
      <c r="F12" s="46"/>
      <c r="G12" s="517">
        <v>527</v>
      </c>
      <c r="I12" s="517">
        <v>580</v>
      </c>
      <c r="K12" s="517">
        <v>546</v>
      </c>
      <c r="M12" s="517">
        <v>578</v>
      </c>
    </row>
    <row r="13" spans="1:14" ht="19.5" customHeight="1">
      <c r="B13" s="339"/>
      <c r="C13" s="517"/>
      <c r="D13" s="518"/>
      <c r="E13" s="517"/>
      <c r="F13" s="46"/>
      <c r="G13" s="517"/>
      <c r="I13" s="517"/>
      <c r="K13" s="517"/>
      <c r="M13" s="517"/>
    </row>
    <row r="14" spans="1:14" ht="19.5" customHeight="1">
      <c r="A14" s="339" t="s">
        <v>1232</v>
      </c>
      <c r="B14" s="339"/>
      <c r="C14" s="517">
        <v>384</v>
      </c>
      <c r="D14" s="518"/>
      <c r="E14" s="517">
        <v>441</v>
      </c>
      <c r="F14" s="46"/>
      <c r="G14" s="517">
        <v>447</v>
      </c>
      <c r="I14" s="517">
        <v>419</v>
      </c>
      <c r="K14" s="517">
        <v>480</v>
      </c>
      <c r="M14" s="517">
        <v>519</v>
      </c>
    </row>
    <row r="15" spans="1:14" ht="19.899999999999999" customHeight="1">
      <c r="B15" s="339"/>
      <c r="C15" s="517"/>
      <c r="D15" s="518"/>
      <c r="E15" s="517"/>
      <c r="F15" s="46"/>
      <c r="G15" s="517"/>
      <c r="I15" s="517"/>
      <c r="K15" s="517"/>
      <c r="M15" s="517"/>
    </row>
    <row r="16" spans="1:14" ht="19.899999999999999" customHeight="1">
      <c r="A16" s="339" t="s">
        <v>1233</v>
      </c>
      <c r="B16" s="339"/>
      <c r="C16" s="517">
        <v>8</v>
      </c>
      <c r="D16" s="518"/>
      <c r="E16" s="517">
        <v>14</v>
      </c>
      <c r="F16" s="46"/>
      <c r="G16" s="517">
        <v>8</v>
      </c>
      <c r="I16" s="517">
        <v>26</v>
      </c>
      <c r="K16" s="517">
        <v>29</v>
      </c>
      <c r="M16" s="517">
        <v>28</v>
      </c>
    </row>
    <row r="17" spans="1:14" ht="19.899999999999999" customHeight="1">
      <c r="B17" s="339"/>
      <c r="C17" s="517"/>
      <c r="D17" s="518"/>
      <c r="E17" s="517"/>
      <c r="F17" s="46"/>
      <c r="G17" s="517"/>
      <c r="I17" s="517"/>
      <c r="K17" s="517"/>
      <c r="M17" s="517"/>
    </row>
    <row r="18" spans="1:14" ht="19.899999999999999" customHeight="1">
      <c r="A18" s="339" t="s">
        <v>1234</v>
      </c>
      <c r="B18" s="339"/>
      <c r="C18" s="517">
        <v>4</v>
      </c>
      <c r="D18" s="518"/>
      <c r="E18" s="517">
        <v>1</v>
      </c>
      <c r="F18" s="46"/>
      <c r="G18" s="517">
        <v>0</v>
      </c>
      <c r="I18" s="517">
        <v>0</v>
      </c>
      <c r="K18" s="517">
        <v>1</v>
      </c>
      <c r="M18" s="517">
        <v>2</v>
      </c>
    </row>
    <row r="19" spans="1:14" ht="19.899999999999999" customHeight="1">
      <c r="B19" s="339"/>
      <c r="C19" s="517"/>
      <c r="D19" s="518"/>
      <c r="E19" s="517"/>
      <c r="F19" s="46"/>
      <c r="G19" s="517"/>
      <c r="I19" s="517"/>
      <c r="K19" s="517"/>
      <c r="M19" s="517"/>
    </row>
    <row r="20" spans="1:14" ht="19.899999999999999" customHeight="1">
      <c r="A20" s="339" t="s">
        <v>1235</v>
      </c>
      <c r="B20" s="339"/>
      <c r="C20" s="517">
        <v>562</v>
      </c>
      <c r="D20" s="518"/>
      <c r="E20" s="517">
        <v>556</v>
      </c>
      <c r="F20" s="46"/>
      <c r="G20" s="517">
        <v>615</v>
      </c>
      <c r="I20" s="517">
        <v>352</v>
      </c>
      <c r="K20" s="517">
        <v>601</v>
      </c>
      <c r="M20" s="517">
        <v>636</v>
      </c>
    </row>
    <row r="21" spans="1:14" ht="19.899999999999999" customHeight="1">
      <c r="B21" s="339"/>
      <c r="C21" s="517"/>
      <c r="D21" s="518"/>
      <c r="E21" s="517"/>
      <c r="F21" s="46"/>
      <c r="G21" s="517"/>
      <c r="I21" s="517"/>
      <c r="K21" s="517"/>
      <c r="M21" s="517"/>
    </row>
    <row r="22" spans="1:14" ht="19.899999999999999" customHeight="1">
      <c r="A22" s="339" t="s">
        <v>1236</v>
      </c>
      <c r="B22" s="339"/>
      <c r="C22" s="517">
        <v>17</v>
      </c>
      <c r="D22" s="518"/>
      <c r="E22" s="517">
        <v>11</v>
      </c>
      <c r="F22" s="46"/>
      <c r="G22" s="517">
        <v>17</v>
      </c>
      <c r="I22" s="517">
        <v>10</v>
      </c>
      <c r="K22" s="517">
        <v>13</v>
      </c>
      <c r="M22" s="517">
        <v>21</v>
      </c>
    </row>
    <row r="23" spans="1:14" ht="19.899999999999999" customHeight="1" thickBot="1">
      <c r="A23"/>
      <c r="B23" s="15"/>
      <c r="C23" s="105"/>
      <c r="D23" s="105"/>
      <c r="E23" s="105"/>
      <c r="G23" s="105"/>
      <c r="I23" s="105"/>
      <c r="K23" s="105"/>
      <c r="M23" s="105"/>
    </row>
    <row r="24" spans="1:14" ht="11.25" customHeight="1">
      <c r="A24" s="340"/>
      <c r="E24" s="24"/>
      <c r="F24" s="515"/>
      <c r="G24" s="24"/>
      <c r="H24" s="515"/>
      <c r="I24" s="24"/>
      <c r="J24" s="515"/>
      <c r="K24" s="24"/>
      <c r="L24" s="515"/>
      <c r="M24" s="24"/>
      <c r="N24" s="515"/>
    </row>
    <row r="25" spans="1:14" s="42" customFormat="1" ht="17.100000000000001" customHeight="1">
      <c r="A25" s="395" t="s">
        <v>1237</v>
      </c>
      <c r="B25" s="519"/>
      <c r="C25" s="39"/>
      <c r="D25" s="39"/>
    </row>
    <row r="26" spans="1:14" s="42" customFormat="1" ht="17.100000000000001" customHeight="1">
      <c r="A26" s="395" t="s">
        <v>1238</v>
      </c>
      <c r="B26" s="208"/>
      <c r="C26" s="39"/>
      <c r="D26" s="39"/>
    </row>
    <row r="27" spans="1:14" s="42" customFormat="1" ht="17.100000000000001" customHeight="1">
      <c r="A27" s="395" t="s">
        <v>1239</v>
      </c>
      <c r="B27" s="208"/>
      <c r="C27" s="39"/>
      <c r="D27" s="39"/>
    </row>
    <row r="28" spans="1:14" s="42" customFormat="1" ht="17.100000000000001" customHeight="1">
      <c r="A28" s="196" t="s">
        <v>1496</v>
      </c>
      <c r="B28" s="208"/>
      <c r="C28" s="39"/>
      <c r="D28" s="39"/>
    </row>
    <row r="29" spans="1:14" s="42" customFormat="1" ht="17.100000000000001" customHeight="1">
      <c r="A29" s="196" t="s">
        <v>1498</v>
      </c>
      <c r="B29" s="208"/>
      <c r="C29" s="39"/>
      <c r="D29" s="39"/>
    </row>
    <row r="30" spans="1:14" s="42" customFormat="1" ht="17.100000000000001" customHeight="1">
      <c r="A30" s="196" t="s">
        <v>1497</v>
      </c>
      <c r="B30" s="208"/>
      <c r="C30" s="39"/>
      <c r="D30" s="39"/>
    </row>
    <row r="31" spans="1:14" s="42" customFormat="1" ht="17.100000000000001" customHeight="1">
      <c r="A31" s="520" t="s">
        <v>1500</v>
      </c>
      <c r="B31" s="208"/>
      <c r="C31" s="39"/>
      <c r="D31" s="39"/>
    </row>
    <row r="32" spans="1:14" s="42" customFormat="1" ht="17.100000000000001" customHeight="1">
      <c r="A32" s="196" t="s">
        <v>1499</v>
      </c>
      <c r="B32" s="208"/>
      <c r="C32" s="39"/>
      <c r="D32" s="39"/>
    </row>
    <row r="33" spans="1:5" s="42" customFormat="1" ht="17.100000000000001" customHeight="1">
      <c r="A33" s="520" t="s">
        <v>1502</v>
      </c>
      <c r="B33" s="208"/>
      <c r="C33" s="39"/>
      <c r="D33" s="39"/>
    </row>
    <row r="34" spans="1:5" s="42" customFormat="1" ht="17.100000000000001" customHeight="1">
      <c r="A34" s="196" t="s">
        <v>1501</v>
      </c>
      <c r="B34" s="196"/>
      <c r="C34" s="78"/>
      <c r="D34" s="78"/>
      <c r="E34" s="4"/>
    </row>
    <row r="35" spans="1:5" s="42" customFormat="1" ht="17.100000000000001" customHeight="1">
      <c r="A35" s="520" t="s">
        <v>1240</v>
      </c>
      <c r="B35" s="208"/>
      <c r="C35" s="39"/>
      <c r="D35" s="39"/>
    </row>
    <row r="36" spans="1:5" s="42" customFormat="1" ht="17.100000000000001" customHeight="1">
      <c r="A36" s="520" t="s">
        <v>1241</v>
      </c>
      <c r="B36" s="208"/>
      <c r="C36" s="39"/>
      <c r="D36" s="39"/>
    </row>
    <row r="37" spans="1:5" s="42" customFormat="1" ht="17.100000000000001" customHeight="1">
      <c r="A37" s="208"/>
      <c r="B37" s="208"/>
      <c r="C37" s="39"/>
      <c r="D37" s="39"/>
    </row>
    <row r="38" spans="1:5" s="42" customFormat="1" ht="17.100000000000001" customHeight="1">
      <c r="A38" s="208" t="s">
        <v>1228</v>
      </c>
      <c r="B38" s="521"/>
      <c r="C38" s="39"/>
      <c r="D38" s="39"/>
    </row>
    <row r="39" spans="1:5" s="42" customFormat="1" ht="17.100000000000001" customHeight="1">
      <c r="A39" s="208" t="s">
        <v>365</v>
      </c>
      <c r="B39" s="521"/>
      <c r="C39" s="39"/>
      <c r="D39" s="39"/>
    </row>
    <row r="40" spans="1:5" s="42" customFormat="1" ht="8.25" customHeight="1">
      <c r="C40" s="39"/>
      <c r="D40" s="39"/>
    </row>
    <row r="41" spans="1:5" ht="17.100000000000001" customHeight="1">
      <c r="A41"/>
    </row>
  </sheetData>
  <printOptions horizontalCentered="1" verticalCentered="1"/>
  <pageMargins left="0" right="0" top="0" bottom="0" header="0.31496062992125984" footer="0.31496062992125984"/>
  <pageSetup paperSize="9" scale="90" orientation="portrait" r:id="rId1"/>
  <ignoredErrors>
    <ignoredError sqref="E7:M7" numberStoredAsText="1"/>
  </ignoredErrors>
  <drawing r:id="rId2"/>
</worksheet>
</file>

<file path=xl/worksheets/sheet68.xml><?xml version="1.0" encoding="utf-8"?>
<worksheet xmlns="http://schemas.openxmlformats.org/spreadsheetml/2006/main" xmlns:r="http://schemas.openxmlformats.org/officeDocument/2006/relationships">
  <dimension ref="A1:M228"/>
  <sheetViews>
    <sheetView workbookViewId="0">
      <selection activeCell="A77" sqref="A77"/>
    </sheetView>
  </sheetViews>
  <sheetFormatPr baseColWidth="10" defaultColWidth="8.85546875" defaultRowHeight="15"/>
  <cols>
    <col min="1" max="1" width="34.5703125" style="42" customWidth="1"/>
    <col min="2" max="2" width="7.5703125" style="106" customWidth="1"/>
    <col min="3" max="3" width="6.5703125" style="1" customWidth="1"/>
    <col min="4" max="4" width="2.28515625" style="42" customWidth="1"/>
    <col min="5" max="5" width="5.85546875" style="106" customWidth="1"/>
    <col min="6" max="6" width="7.42578125" style="257" customWidth="1"/>
    <col min="7" max="7" width="2.28515625" style="4" customWidth="1"/>
    <col min="8" max="8" width="5.85546875" style="325" customWidth="1"/>
    <col min="9" max="9" width="6.42578125" style="257" customWidth="1"/>
    <col min="10" max="10" width="2.28515625" style="4" customWidth="1"/>
    <col min="11" max="11" width="6" style="4" customWidth="1"/>
    <col min="12" max="12" width="7" style="42" customWidth="1"/>
    <col min="13" max="13" width="2.28515625" style="42" customWidth="1"/>
    <col min="257" max="257" width="34.5703125" customWidth="1"/>
    <col min="258" max="259" width="8.85546875" customWidth="1"/>
    <col min="260" max="260" width="2.28515625" customWidth="1"/>
    <col min="261" max="261" width="8.28515625" customWidth="1"/>
    <col min="262" max="262" width="8.85546875" customWidth="1"/>
    <col min="263" max="263" width="2.28515625" customWidth="1"/>
    <col min="264" max="264" width="9" customWidth="1"/>
    <col min="265" max="265" width="10.140625" customWidth="1"/>
    <col min="266" max="266" width="2.28515625" customWidth="1"/>
    <col min="267" max="267" width="8" customWidth="1"/>
    <col min="268" max="268" width="8.7109375" customWidth="1"/>
    <col min="269" max="269" width="2.28515625" customWidth="1"/>
    <col min="513" max="513" width="34.5703125" customWidth="1"/>
    <col min="514" max="515" width="8.85546875" customWidth="1"/>
    <col min="516" max="516" width="2.28515625" customWidth="1"/>
    <col min="517" max="517" width="8.28515625" customWidth="1"/>
    <col min="518" max="518" width="8.85546875" customWidth="1"/>
    <col min="519" max="519" width="2.28515625" customWidth="1"/>
    <col min="520" max="520" width="9" customWidth="1"/>
    <col min="521" max="521" width="10.140625" customWidth="1"/>
    <col min="522" max="522" width="2.28515625" customWidth="1"/>
    <col min="523" max="523" width="8" customWidth="1"/>
    <col min="524" max="524" width="8.7109375" customWidth="1"/>
    <col min="525" max="525" width="2.28515625" customWidth="1"/>
    <col min="769" max="769" width="34.5703125" customWidth="1"/>
    <col min="770" max="771" width="8.85546875" customWidth="1"/>
    <col min="772" max="772" width="2.28515625" customWidth="1"/>
    <col min="773" max="773" width="8.28515625" customWidth="1"/>
    <col min="774" max="774" width="8.85546875" customWidth="1"/>
    <col min="775" max="775" width="2.28515625" customWidth="1"/>
    <col min="776" max="776" width="9" customWidth="1"/>
    <col min="777" max="777" width="10.140625" customWidth="1"/>
    <col min="778" max="778" width="2.28515625" customWidth="1"/>
    <col min="779" max="779" width="8" customWidth="1"/>
    <col min="780" max="780" width="8.7109375" customWidth="1"/>
    <col min="781" max="781" width="2.28515625" customWidth="1"/>
    <col min="1025" max="1025" width="34.5703125" customWidth="1"/>
    <col min="1026" max="1027" width="8.85546875" customWidth="1"/>
    <col min="1028" max="1028" width="2.28515625" customWidth="1"/>
    <col min="1029" max="1029" width="8.28515625" customWidth="1"/>
    <col min="1030" max="1030" width="8.85546875" customWidth="1"/>
    <col min="1031" max="1031" width="2.28515625" customWidth="1"/>
    <col min="1032" max="1032" width="9" customWidth="1"/>
    <col min="1033" max="1033" width="10.140625" customWidth="1"/>
    <col min="1034" max="1034" width="2.28515625" customWidth="1"/>
    <col min="1035" max="1035" width="8" customWidth="1"/>
    <col min="1036" max="1036" width="8.7109375" customWidth="1"/>
    <col min="1037" max="1037" width="2.28515625" customWidth="1"/>
    <col min="1281" max="1281" width="34.5703125" customWidth="1"/>
    <col min="1282" max="1283" width="8.85546875" customWidth="1"/>
    <col min="1284" max="1284" width="2.28515625" customWidth="1"/>
    <col min="1285" max="1285" width="8.28515625" customWidth="1"/>
    <col min="1286" max="1286" width="8.85546875" customWidth="1"/>
    <col min="1287" max="1287" width="2.28515625" customWidth="1"/>
    <col min="1288" max="1288" width="9" customWidth="1"/>
    <col min="1289" max="1289" width="10.140625" customWidth="1"/>
    <col min="1290" max="1290" width="2.28515625" customWidth="1"/>
    <col min="1291" max="1291" width="8" customWidth="1"/>
    <col min="1292" max="1292" width="8.7109375" customWidth="1"/>
    <col min="1293" max="1293" width="2.28515625" customWidth="1"/>
    <col min="1537" max="1537" width="34.5703125" customWidth="1"/>
    <col min="1538" max="1539" width="8.85546875" customWidth="1"/>
    <col min="1540" max="1540" width="2.28515625" customWidth="1"/>
    <col min="1541" max="1541" width="8.28515625" customWidth="1"/>
    <col min="1542" max="1542" width="8.85546875" customWidth="1"/>
    <col min="1543" max="1543" width="2.28515625" customWidth="1"/>
    <col min="1544" max="1544" width="9" customWidth="1"/>
    <col min="1545" max="1545" width="10.140625" customWidth="1"/>
    <col min="1546" max="1546" width="2.28515625" customWidth="1"/>
    <col min="1547" max="1547" width="8" customWidth="1"/>
    <col min="1548" max="1548" width="8.7109375" customWidth="1"/>
    <col min="1549" max="1549" width="2.28515625" customWidth="1"/>
    <col min="1793" max="1793" width="34.5703125" customWidth="1"/>
    <col min="1794" max="1795" width="8.85546875" customWidth="1"/>
    <col min="1796" max="1796" width="2.28515625" customWidth="1"/>
    <col min="1797" max="1797" width="8.28515625" customWidth="1"/>
    <col min="1798" max="1798" width="8.85546875" customWidth="1"/>
    <col min="1799" max="1799" width="2.28515625" customWidth="1"/>
    <col min="1800" max="1800" width="9" customWidth="1"/>
    <col min="1801" max="1801" width="10.140625" customWidth="1"/>
    <col min="1802" max="1802" width="2.28515625" customWidth="1"/>
    <col min="1803" max="1803" width="8" customWidth="1"/>
    <col min="1804" max="1804" width="8.7109375" customWidth="1"/>
    <col min="1805" max="1805" width="2.28515625" customWidth="1"/>
    <col min="2049" max="2049" width="34.5703125" customWidth="1"/>
    <col min="2050" max="2051" width="8.85546875" customWidth="1"/>
    <col min="2052" max="2052" width="2.28515625" customWidth="1"/>
    <col min="2053" max="2053" width="8.28515625" customWidth="1"/>
    <col min="2054" max="2054" width="8.85546875" customWidth="1"/>
    <col min="2055" max="2055" width="2.28515625" customWidth="1"/>
    <col min="2056" max="2056" width="9" customWidth="1"/>
    <col min="2057" max="2057" width="10.140625" customWidth="1"/>
    <col min="2058" max="2058" width="2.28515625" customWidth="1"/>
    <col min="2059" max="2059" width="8" customWidth="1"/>
    <col min="2060" max="2060" width="8.7109375" customWidth="1"/>
    <col min="2061" max="2061" width="2.28515625" customWidth="1"/>
    <col min="2305" max="2305" width="34.5703125" customWidth="1"/>
    <col min="2306" max="2307" width="8.85546875" customWidth="1"/>
    <col min="2308" max="2308" width="2.28515625" customWidth="1"/>
    <col min="2309" max="2309" width="8.28515625" customWidth="1"/>
    <col min="2310" max="2310" width="8.85546875" customWidth="1"/>
    <col min="2311" max="2311" width="2.28515625" customWidth="1"/>
    <col min="2312" max="2312" width="9" customWidth="1"/>
    <col min="2313" max="2313" width="10.140625" customWidth="1"/>
    <col min="2314" max="2314" width="2.28515625" customWidth="1"/>
    <col min="2315" max="2315" width="8" customWidth="1"/>
    <col min="2316" max="2316" width="8.7109375" customWidth="1"/>
    <col min="2317" max="2317" width="2.28515625" customWidth="1"/>
    <col min="2561" max="2561" width="34.5703125" customWidth="1"/>
    <col min="2562" max="2563" width="8.85546875" customWidth="1"/>
    <col min="2564" max="2564" width="2.28515625" customWidth="1"/>
    <col min="2565" max="2565" width="8.28515625" customWidth="1"/>
    <col min="2566" max="2566" width="8.85546875" customWidth="1"/>
    <col min="2567" max="2567" width="2.28515625" customWidth="1"/>
    <col min="2568" max="2568" width="9" customWidth="1"/>
    <col min="2569" max="2569" width="10.140625" customWidth="1"/>
    <col min="2570" max="2570" width="2.28515625" customWidth="1"/>
    <col min="2571" max="2571" width="8" customWidth="1"/>
    <col min="2572" max="2572" width="8.7109375" customWidth="1"/>
    <col min="2573" max="2573" width="2.28515625" customWidth="1"/>
    <col min="2817" max="2817" width="34.5703125" customWidth="1"/>
    <col min="2818" max="2819" width="8.85546875" customWidth="1"/>
    <col min="2820" max="2820" width="2.28515625" customWidth="1"/>
    <col min="2821" max="2821" width="8.28515625" customWidth="1"/>
    <col min="2822" max="2822" width="8.85546875" customWidth="1"/>
    <col min="2823" max="2823" width="2.28515625" customWidth="1"/>
    <col min="2824" max="2824" width="9" customWidth="1"/>
    <col min="2825" max="2825" width="10.140625" customWidth="1"/>
    <col min="2826" max="2826" width="2.28515625" customWidth="1"/>
    <col min="2827" max="2827" width="8" customWidth="1"/>
    <col min="2828" max="2828" width="8.7109375" customWidth="1"/>
    <col min="2829" max="2829" width="2.28515625" customWidth="1"/>
    <col min="3073" max="3073" width="34.5703125" customWidth="1"/>
    <col min="3074" max="3075" width="8.85546875" customWidth="1"/>
    <col min="3076" max="3076" width="2.28515625" customWidth="1"/>
    <col min="3077" max="3077" width="8.28515625" customWidth="1"/>
    <col min="3078" max="3078" width="8.85546875" customWidth="1"/>
    <col min="3079" max="3079" width="2.28515625" customWidth="1"/>
    <col min="3080" max="3080" width="9" customWidth="1"/>
    <col min="3081" max="3081" width="10.140625" customWidth="1"/>
    <col min="3082" max="3082" width="2.28515625" customWidth="1"/>
    <col min="3083" max="3083" width="8" customWidth="1"/>
    <col min="3084" max="3084" width="8.7109375" customWidth="1"/>
    <col min="3085" max="3085" width="2.28515625" customWidth="1"/>
    <col min="3329" max="3329" width="34.5703125" customWidth="1"/>
    <col min="3330" max="3331" width="8.85546875" customWidth="1"/>
    <col min="3332" max="3332" width="2.28515625" customWidth="1"/>
    <col min="3333" max="3333" width="8.28515625" customWidth="1"/>
    <col min="3334" max="3334" width="8.85546875" customWidth="1"/>
    <col min="3335" max="3335" width="2.28515625" customWidth="1"/>
    <col min="3336" max="3336" width="9" customWidth="1"/>
    <col min="3337" max="3337" width="10.140625" customWidth="1"/>
    <col min="3338" max="3338" width="2.28515625" customWidth="1"/>
    <col min="3339" max="3339" width="8" customWidth="1"/>
    <col min="3340" max="3340" width="8.7109375" customWidth="1"/>
    <col min="3341" max="3341" width="2.28515625" customWidth="1"/>
    <col min="3585" max="3585" width="34.5703125" customWidth="1"/>
    <col min="3586" max="3587" width="8.85546875" customWidth="1"/>
    <col min="3588" max="3588" width="2.28515625" customWidth="1"/>
    <col min="3589" max="3589" width="8.28515625" customWidth="1"/>
    <col min="3590" max="3590" width="8.85546875" customWidth="1"/>
    <col min="3591" max="3591" width="2.28515625" customWidth="1"/>
    <col min="3592" max="3592" width="9" customWidth="1"/>
    <col min="3593" max="3593" width="10.140625" customWidth="1"/>
    <col min="3594" max="3594" width="2.28515625" customWidth="1"/>
    <col min="3595" max="3595" width="8" customWidth="1"/>
    <col min="3596" max="3596" width="8.7109375" customWidth="1"/>
    <col min="3597" max="3597" width="2.28515625" customWidth="1"/>
    <col min="3841" max="3841" width="34.5703125" customWidth="1"/>
    <col min="3842" max="3843" width="8.85546875" customWidth="1"/>
    <col min="3844" max="3844" width="2.28515625" customWidth="1"/>
    <col min="3845" max="3845" width="8.28515625" customWidth="1"/>
    <col min="3846" max="3846" width="8.85546875" customWidth="1"/>
    <col min="3847" max="3847" width="2.28515625" customWidth="1"/>
    <col min="3848" max="3848" width="9" customWidth="1"/>
    <col min="3849" max="3849" width="10.140625" customWidth="1"/>
    <col min="3850" max="3850" width="2.28515625" customWidth="1"/>
    <col min="3851" max="3851" width="8" customWidth="1"/>
    <col min="3852" max="3852" width="8.7109375" customWidth="1"/>
    <col min="3853" max="3853" width="2.28515625" customWidth="1"/>
    <col min="4097" max="4097" width="34.5703125" customWidth="1"/>
    <col min="4098" max="4099" width="8.85546875" customWidth="1"/>
    <col min="4100" max="4100" width="2.28515625" customWidth="1"/>
    <col min="4101" max="4101" width="8.28515625" customWidth="1"/>
    <col min="4102" max="4102" width="8.85546875" customWidth="1"/>
    <col min="4103" max="4103" width="2.28515625" customWidth="1"/>
    <col min="4104" max="4104" width="9" customWidth="1"/>
    <col min="4105" max="4105" width="10.140625" customWidth="1"/>
    <col min="4106" max="4106" width="2.28515625" customWidth="1"/>
    <col min="4107" max="4107" width="8" customWidth="1"/>
    <col min="4108" max="4108" width="8.7109375" customWidth="1"/>
    <col min="4109" max="4109" width="2.28515625" customWidth="1"/>
    <col min="4353" max="4353" width="34.5703125" customWidth="1"/>
    <col min="4354" max="4355" width="8.85546875" customWidth="1"/>
    <col min="4356" max="4356" width="2.28515625" customWidth="1"/>
    <col min="4357" max="4357" width="8.28515625" customWidth="1"/>
    <col min="4358" max="4358" width="8.85546875" customWidth="1"/>
    <col min="4359" max="4359" width="2.28515625" customWidth="1"/>
    <col min="4360" max="4360" width="9" customWidth="1"/>
    <col min="4361" max="4361" width="10.140625" customWidth="1"/>
    <col min="4362" max="4362" width="2.28515625" customWidth="1"/>
    <col min="4363" max="4363" width="8" customWidth="1"/>
    <col min="4364" max="4364" width="8.7109375" customWidth="1"/>
    <col min="4365" max="4365" width="2.28515625" customWidth="1"/>
    <col min="4609" max="4609" width="34.5703125" customWidth="1"/>
    <col min="4610" max="4611" width="8.85546875" customWidth="1"/>
    <col min="4612" max="4612" width="2.28515625" customWidth="1"/>
    <col min="4613" max="4613" width="8.28515625" customWidth="1"/>
    <col min="4614" max="4614" width="8.85546875" customWidth="1"/>
    <col min="4615" max="4615" width="2.28515625" customWidth="1"/>
    <col min="4616" max="4616" width="9" customWidth="1"/>
    <col min="4617" max="4617" width="10.140625" customWidth="1"/>
    <col min="4618" max="4618" width="2.28515625" customWidth="1"/>
    <col min="4619" max="4619" width="8" customWidth="1"/>
    <col min="4620" max="4620" width="8.7109375" customWidth="1"/>
    <col min="4621" max="4621" width="2.28515625" customWidth="1"/>
    <col min="4865" max="4865" width="34.5703125" customWidth="1"/>
    <col min="4866" max="4867" width="8.85546875" customWidth="1"/>
    <col min="4868" max="4868" width="2.28515625" customWidth="1"/>
    <col min="4869" max="4869" width="8.28515625" customWidth="1"/>
    <col min="4870" max="4870" width="8.85546875" customWidth="1"/>
    <col min="4871" max="4871" width="2.28515625" customWidth="1"/>
    <col min="4872" max="4872" width="9" customWidth="1"/>
    <col min="4873" max="4873" width="10.140625" customWidth="1"/>
    <col min="4874" max="4874" width="2.28515625" customWidth="1"/>
    <col min="4875" max="4875" width="8" customWidth="1"/>
    <col min="4876" max="4876" width="8.7109375" customWidth="1"/>
    <col min="4877" max="4877" width="2.28515625" customWidth="1"/>
    <col min="5121" max="5121" width="34.5703125" customWidth="1"/>
    <col min="5122" max="5123" width="8.85546875" customWidth="1"/>
    <col min="5124" max="5124" width="2.28515625" customWidth="1"/>
    <col min="5125" max="5125" width="8.28515625" customWidth="1"/>
    <col min="5126" max="5126" width="8.85546875" customWidth="1"/>
    <col min="5127" max="5127" width="2.28515625" customWidth="1"/>
    <col min="5128" max="5128" width="9" customWidth="1"/>
    <col min="5129" max="5129" width="10.140625" customWidth="1"/>
    <col min="5130" max="5130" width="2.28515625" customWidth="1"/>
    <col min="5131" max="5131" width="8" customWidth="1"/>
    <col min="5132" max="5132" width="8.7109375" customWidth="1"/>
    <col min="5133" max="5133" width="2.28515625" customWidth="1"/>
    <col min="5377" max="5377" width="34.5703125" customWidth="1"/>
    <col min="5378" max="5379" width="8.85546875" customWidth="1"/>
    <col min="5380" max="5380" width="2.28515625" customWidth="1"/>
    <col min="5381" max="5381" width="8.28515625" customWidth="1"/>
    <col min="5382" max="5382" width="8.85546875" customWidth="1"/>
    <col min="5383" max="5383" width="2.28515625" customWidth="1"/>
    <col min="5384" max="5384" width="9" customWidth="1"/>
    <col min="5385" max="5385" width="10.140625" customWidth="1"/>
    <col min="5386" max="5386" width="2.28515625" customWidth="1"/>
    <col min="5387" max="5387" width="8" customWidth="1"/>
    <col min="5388" max="5388" width="8.7109375" customWidth="1"/>
    <col min="5389" max="5389" width="2.28515625" customWidth="1"/>
    <col min="5633" max="5633" width="34.5703125" customWidth="1"/>
    <col min="5634" max="5635" width="8.85546875" customWidth="1"/>
    <col min="5636" max="5636" width="2.28515625" customWidth="1"/>
    <col min="5637" max="5637" width="8.28515625" customWidth="1"/>
    <col min="5638" max="5638" width="8.85546875" customWidth="1"/>
    <col min="5639" max="5639" width="2.28515625" customWidth="1"/>
    <col min="5640" max="5640" width="9" customWidth="1"/>
    <col min="5641" max="5641" width="10.140625" customWidth="1"/>
    <col min="5642" max="5642" width="2.28515625" customWidth="1"/>
    <col min="5643" max="5643" width="8" customWidth="1"/>
    <col min="5644" max="5644" width="8.7109375" customWidth="1"/>
    <col min="5645" max="5645" width="2.28515625" customWidth="1"/>
    <col min="5889" max="5889" width="34.5703125" customWidth="1"/>
    <col min="5890" max="5891" width="8.85546875" customWidth="1"/>
    <col min="5892" max="5892" width="2.28515625" customWidth="1"/>
    <col min="5893" max="5893" width="8.28515625" customWidth="1"/>
    <col min="5894" max="5894" width="8.85546875" customWidth="1"/>
    <col min="5895" max="5895" width="2.28515625" customWidth="1"/>
    <col min="5896" max="5896" width="9" customWidth="1"/>
    <col min="5897" max="5897" width="10.140625" customWidth="1"/>
    <col min="5898" max="5898" width="2.28515625" customWidth="1"/>
    <col min="5899" max="5899" width="8" customWidth="1"/>
    <col min="5900" max="5900" width="8.7109375" customWidth="1"/>
    <col min="5901" max="5901" width="2.28515625" customWidth="1"/>
    <col min="6145" max="6145" width="34.5703125" customWidth="1"/>
    <col min="6146" max="6147" width="8.85546875" customWidth="1"/>
    <col min="6148" max="6148" width="2.28515625" customWidth="1"/>
    <col min="6149" max="6149" width="8.28515625" customWidth="1"/>
    <col min="6150" max="6150" width="8.85546875" customWidth="1"/>
    <col min="6151" max="6151" width="2.28515625" customWidth="1"/>
    <col min="6152" max="6152" width="9" customWidth="1"/>
    <col min="6153" max="6153" width="10.140625" customWidth="1"/>
    <col min="6154" max="6154" width="2.28515625" customWidth="1"/>
    <col min="6155" max="6155" width="8" customWidth="1"/>
    <col min="6156" max="6156" width="8.7109375" customWidth="1"/>
    <col min="6157" max="6157" width="2.28515625" customWidth="1"/>
    <col min="6401" max="6401" width="34.5703125" customWidth="1"/>
    <col min="6402" max="6403" width="8.85546875" customWidth="1"/>
    <col min="6404" max="6404" width="2.28515625" customWidth="1"/>
    <col min="6405" max="6405" width="8.28515625" customWidth="1"/>
    <col min="6406" max="6406" width="8.85546875" customWidth="1"/>
    <col min="6407" max="6407" width="2.28515625" customWidth="1"/>
    <col min="6408" max="6408" width="9" customWidth="1"/>
    <col min="6409" max="6409" width="10.140625" customWidth="1"/>
    <col min="6410" max="6410" width="2.28515625" customWidth="1"/>
    <col min="6411" max="6411" width="8" customWidth="1"/>
    <col min="6412" max="6412" width="8.7109375" customWidth="1"/>
    <col min="6413" max="6413" width="2.28515625" customWidth="1"/>
    <col min="6657" max="6657" width="34.5703125" customWidth="1"/>
    <col min="6658" max="6659" width="8.85546875" customWidth="1"/>
    <col min="6660" max="6660" width="2.28515625" customWidth="1"/>
    <col min="6661" max="6661" width="8.28515625" customWidth="1"/>
    <col min="6662" max="6662" width="8.85546875" customWidth="1"/>
    <col min="6663" max="6663" width="2.28515625" customWidth="1"/>
    <col min="6664" max="6664" width="9" customWidth="1"/>
    <col min="6665" max="6665" width="10.140625" customWidth="1"/>
    <col min="6666" max="6666" width="2.28515625" customWidth="1"/>
    <col min="6667" max="6667" width="8" customWidth="1"/>
    <col min="6668" max="6668" width="8.7109375" customWidth="1"/>
    <col min="6669" max="6669" width="2.28515625" customWidth="1"/>
    <col min="6913" max="6913" width="34.5703125" customWidth="1"/>
    <col min="6914" max="6915" width="8.85546875" customWidth="1"/>
    <col min="6916" max="6916" width="2.28515625" customWidth="1"/>
    <col min="6917" max="6917" width="8.28515625" customWidth="1"/>
    <col min="6918" max="6918" width="8.85546875" customWidth="1"/>
    <col min="6919" max="6919" width="2.28515625" customWidth="1"/>
    <col min="6920" max="6920" width="9" customWidth="1"/>
    <col min="6921" max="6921" width="10.140625" customWidth="1"/>
    <col min="6922" max="6922" width="2.28515625" customWidth="1"/>
    <col min="6923" max="6923" width="8" customWidth="1"/>
    <col min="6924" max="6924" width="8.7109375" customWidth="1"/>
    <col min="6925" max="6925" width="2.28515625" customWidth="1"/>
    <col min="7169" max="7169" width="34.5703125" customWidth="1"/>
    <col min="7170" max="7171" width="8.85546875" customWidth="1"/>
    <col min="7172" max="7172" width="2.28515625" customWidth="1"/>
    <col min="7173" max="7173" width="8.28515625" customWidth="1"/>
    <col min="7174" max="7174" width="8.85546875" customWidth="1"/>
    <col min="7175" max="7175" width="2.28515625" customWidth="1"/>
    <col min="7176" max="7176" width="9" customWidth="1"/>
    <col min="7177" max="7177" width="10.140625" customWidth="1"/>
    <col min="7178" max="7178" width="2.28515625" customWidth="1"/>
    <col min="7179" max="7179" width="8" customWidth="1"/>
    <col min="7180" max="7180" width="8.7109375" customWidth="1"/>
    <col min="7181" max="7181" width="2.28515625" customWidth="1"/>
    <col min="7425" max="7425" width="34.5703125" customWidth="1"/>
    <col min="7426" max="7427" width="8.85546875" customWidth="1"/>
    <col min="7428" max="7428" width="2.28515625" customWidth="1"/>
    <col min="7429" max="7429" width="8.28515625" customWidth="1"/>
    <col min="7430" max="7430" width="8.85546875" customWidth="1"/>
    <col min="7431" max="7431" width="2.28515625" customWidth="1"/>
    <col min="7432" max="7432" width="9" customWidth="1"/>
    <col min="7433" max="7433" width="10.140625" customWidth="1"/>
    <col min="7434" max="7434" width="2.28515625" customWidth="1"/>
    <col min="7435" max="7435" width="8" customWidth="1"/>
    <col min="7436" max="7436" width="8.7109375" customWidth="1"/>
    <col min="7437" max="7437" width="2.28515625" customWidth="1"/>
    <col min="7681" max="7681" width="34.5703125" customWidth="1"/>
    <col min="7682" max="7683" width="8.85546875" customWidth="1"/>
    <col min="7684" max="7684" width="2.28515625" customWidth="1"/>
    <col min="7685" max="7685" width="8.28515625" customWidth="1"/>
    <col min="7686" max="7686" width="8.85546875" customWidth="1"/>
    <col min="7687" max="7687" width="2.28515625" customWidth="1"/>
    <col min="7688" max="7688" width="9" customWidth="1"/>
    <col min="7689" max="7689" width="10.140625" customWidth="1"/>
    <col min="7690" max="7690" width="2.28515625" customWidth="1"/>
    <col min="7691" max="7691" width="8" customWidth="1"/>
    <col min="7692" max="7692" width="8.7109375" customWidth="1"/>
    <col min="7693" max="7693" width="2.28515625" customWidth="1"/>
    <col min="7937" max="7937" width="34.5703125" customWidth="1"/>
    <col min="7938" max="7939" width="8.85546875" customWidth="1"/>
    <col min="7940" max="7940" width="2.28515625" customWidth="1"/>
    <col min="7941" max="7941" width="8.28515625" customWidth="1"/>
    <col min="7942" max="7942" width="8.85546875" customWidth="1"/>
    <col min="7943" max="7943" width="2.28515625" customWidth="1"/>
    <col min="7944" max="7944" width="9" customWidth="1"/>
    <col min="7945" max="7945" width="10.140625" customWidth="1"/>
    <col min="7946" max="7946" width="2.28515625" customWidth="1"/>
    <col min="7947" max="7947" width="8" customWidth="1"/>
    <col min="7948" max="7948" width="8.7109375" customWidth="1"/>
    <col min="7949" max="7949" width="2.28515625" customWidth="1"/>
    <col min="8193" max="8193" width="34.5703125" customWidth="1"/>
    <col min="8194" max="8195" width="8.85546875" customWidth="1"/>
    <col min="8196" max="8196" width="2.28515625" customWidth="1"/>
    <col min="8197" max="8197" width="8.28515625" customWidth="1"/>
    <col min="8198" max="8198" width="8.85546875" customWidth="1"/>
    <col min="8199" max="8199" width="2.28515625" customWidth="1"/>
    <col min="8200" max="8200" width="9" customWidth="1"/>
    <col min="8201" max="8201" width="10.140625" customWidth="1"/>
    <col min="8202" max="8202" width="2.28515625" customWidth="1"/>
    <col min="8203" max="8203" width="8" customWidth="1"/>
    <col min="8204" max="8204" width="8.7109375" customWidth="1"/>
    <col min="8205" max="8205" width="2.28515625" customWidth="1"/>
    <col min="8449" max="8449" width="34.5703125" customWidth="1"/>
    <col min="8450" max="8451" width="8.85546875" customWidth="1"/>
    <col min="8452" max="8452" width="2.28515625" customWidth="1"/>
    <col min="8453" max="8453" width="8.28515625" customWidth="1"/>
    <col min="8454" max="8454" width="8.85546875" customWidth="1"/>
    <col min="8455" max="8455" width="2.28515625" customWidth="1"/>
    <col min="8456" max="8456" width="9" customWidth="1"/>
    <col min="8457" max="8457" width="10.140625" customWidth="1"/>
    <col min="8458" max="8458" width="2.28515625" customWidth="1"/>
    <col min="8459" max="8459" width="8" customWidth="1"/>
    <col min="8460" max="8460" width="8.7109375" customWidth="1"/>
    <col min="8461" max="8461" width="2.28515625" customWidth="1"/>
    <col min="8705" max="8705" width="34.5703125" customWidth="1"/>
    <col min="8706" max="8707" width="8.85546875" customWidth="1"/>
    <col min="8708" max="8708" width="2.28515625" customWidth="1"/>
    <col min="8709" max="8709" width="8.28515625" customWidth="1"/>
    <col min="8710" max="8710" width="8.85546875" customWidth="1"/>
    <col min="8711" max="8711" width="2.28515625" customWidth="1"/>
    <col min="8712" max="8712" width="9" customWidth="1"/>
    <col min="8713" max="8713" width="10.140625" customWidth="1"/>
    <col min="8714" max="8714" width="2.28515625" customWidth="1"/>
    <col min="8715" max="8715" width="8" customWidth="1"/>
    <col min="8716" max="8716" width="8.7109375" customWidth="1"/>
    <col min="8717" max="8717" width="2.28515625" customWidth="1"/>
    <col min="8961" max="8961" width="34.5703125" customWidth="1"/>
    <col min="8962" max="8963" width="8.85546875" customWidth="1"/>
    <col min="8964" max="8964" width="2.28515625" customWidth="1"/>
    <col min="8965" max="8965" width="8.28515625" customWidth="1"/>
    <col min="8966" max="8966" width="8.85546875" customWidth="1"/>
    <col min="8967" max="8967" width="2.28515625" customWidth="1"/>
    <col min="8968" max="8968" width="9" customWidth="1"/>
    <col min="8969" max="8969" width="10.140625" customWidth="1"/>
    <col min="8970" max="8970" width="2.28515625" customWidth="1"/>
    <col min="8971" max="8971" width="8" customWidth="1"/>
    <col min="8972" max="8972" width="8.7109375" customWidth="1"/>
    <col min="8973" max="8973" width="2.28515625" customWidth="1"/>
    <col min="9217" max="9217" width="34.5703125" customWidth="1"/>
    <col min="9218" max="9219" width="8.85546875" customWidth="1"/>
    <col min="9220" max="9220" width="2.28515625" customWidth="1"/>
    <col min="9221" max="9221" width="8.28515625" customWidth="1"/>
    <col min="9222" max="9222" width="8.85546875" customWidth="1"/>
    <col min="9223" max="9223" width="2.28515625" customWidth="1"/>
    <col min="9224" max="9224" width="9" customWidth="1"/>
    <col min="9225" max="9225" width="10.140625" customWidth="1"/>
    <col min="9226" max="9226" width="2.28515625" customWidth="1"/>
    <col min="9227" max="9227" width="8" customWidth="1"/>
    <col min="9228" max="9228" width="8.7109375" customWidth="1"/>
    <col min="9229" max="9229" width="2.28515625" customWidth="1"/>
    <col min="9473" max="9473" width="34.5703125" customWidth="1"/>
    <col min="9474" max="9475" width="8.85546875" customWidth="1"/>
    <col min="9476" max="9476" width="2.28515625" customWidth="1"/>
    <col min="9477" max="9477" width="8.28515625" customWidth="1"/>
    <col min="9478" max="9478" width="8.85546875" customWidth="1"/>
    <col min="9479" max="9479" width="2.28515625" customWidth="1"/>
    <col min="9480" max="9480" width="9" customWidth="1"/>
    <col min="9481" max="9481" width="10.140625" customWidth="1"/>
    <col min="9482" max="9482" width="2.28515625" customWidth="1"/>
    <col min="9483" max="9483" width="8" customWidth="1"/>
    <col min="9484" max="9484" width="8.7109375" customWidth="1"/>
    <col min="9485" max="9485" width="2.28515625" customWidth="1"/>
    <col min="9729" max="9729" width="34.5703125" customWidth="1"/>
    <col min="9730" max="9731" width="8.85546875" customWidth="1"/>
    <col min="9732" max="9732" width="2.28515625" customWidth="1"/>
    <col min="9733" max="9733" width="8.28515625" customWidth="1"/>
    <col min="9734" max="9734" width="8.85546875" customWidth="1"/>
    <col min="9735" max="9735" width="2.28515625" customWidth="1"/>
    <col min="9736" max="9736" width="9" customWidth="1"/>
    <col min="9737" max="9737" width="10.140625" customWidth="1"/>
    <col min="9738" max="9738" width="2.28515625" customWidth="1"/>
    <col min="9739" max="9739" width="8" customWidth="1"/>
    <col min="9740" max="9740" width="8.7109375" customWidth="1"/>
    <col min="9741" max="9741" width="2.28515625" customWidth="1"/>
    <col min="9985" max="9985" width="34.5703125" customWidth="1"/>
    <col min="9986" max="9987" width="8.85546875" customWidth="1"/>
    <col min="9988" max="9988" width="2.28515625" customWidth="1"/>
    <col min="9989" max="9989" width="8.28515625" customWidth="1"/>
    <col min="9990" max="9990" width="8.85546875" customWidth="1"/>
    <col min="9991" max="9991" width="2.28515625" customWidth="1"/>
    <col min="9992" max="9992" width="9" customWidth="1"/>
    <col min="9993" max="9993" width="10.140625" customWidth="1"/>
    <col min="9994" max="9994" width="2.28515625" customWidth="1"/>
    <col min="9995" max="9995" width="8" customWidth="1"/>
    <col min="9996" max="9996" width="8.7109375" customWidth="1"/>
    <col min="9997" max="9997" width="2.28515625" customWidth="1"/>
    <col min="10241" max="10241" width="34.5703125" customWidth="1"/>
    <col min="10242" max="10243" width="8.85546875" customWidth="1"/>
    <col min="10244" max="10244" width="2.28515625" customWidth="1"/>
    <col min="10245" max="10245" width="8.28515625" customWidth="1"/>
    <col min="10246" max="10246" width="8.85546875" customWidth="1"/>
    <col min="10247" max="10247" width="2.28515625" customWidth="1"/>
    <col min="10248" max="10248" width="9" customWidth="1"/>
    <col min="10249" max="10249" width="10.140625" customWidth="1"/>
    <col min="10250" max="10250" width="2.28515625" customWidth="1"/>
    <col min="10251" max="10251" width="8" customWidth="1"/>
    <col min="10252" max="10252" width="8.7109375" customWidth="1"/>
    <col min="10253" max="10253" width="2.28515625" customWidth="1"/>
    <col min="10497" max="10497" width="34.5703125" customWidth="1"/>
    <col min="10498" max="10499" width="8.85546875" customWidth="1"/>
    <col min="10500" max="10500" width="2.28515625" customWidth="1"/>
    <col min="10501" max="10501" width="8.28515625" customWidth="1"/>
    <col min="10502" max="10502" width="8.85546875" customWidth="1"/>
    <col min="10503" max="10503" width="2.28515625" customWidth="1"/>
    <col min="10504" max="10504" width="9" customWidth="1"/>
    <col min="10505" max="10505" width="10.140625" customWidth="1"/>
    <col min="10506" max="10506" width="2.28515625" customWidth="1"/>
    <col min="10507" max="10507" width="8" customWidth="1"/>
    <col min="10508" max="10508" width="8.7109375" customWidth="1"/>
    <col min="10509" max="10509" width="2.28515625" customWidth="1"/>
    <col min="10753" max="10753" width="34.5703125" customWidth="1"/>
    <col min="10754" max="10755" width="8.85546875" customWidth="1"/>
    <col min="10756" max="10756" width="2.28515625" customWidth="1"/>
    <col min="10757" max="10757" width="8.28515625" customWidth="1"/>
    <col min="10758" max="10758" width="8.85546875" customWidth="1"/>
    <col min="10759" max="10759" width="2.28515625" customWidth="1"/>
    <col min="10760" max="10760" width="9" customWidth="1"/>
    <col min="10761" max="10761" width="10.140625" customWidth="1"/>
    <col min="10762" max="10762" width="2.28515625" customWidth="1"/>
    <col min="10763" max="10763" width="8" customWidth="1"/>
    <col min="10764" max="10764" width="8.7109375" customWidth="1"/>
    <col min="10765" max="10765" width="2.28515625" customWidth="1"/>
    <col min="11009" max="11009" width="34.5703125" customWidth="1"/>
    <col min="11010" max="11011" width="8.85546875" customWidth="1"/>
    <col min="11012" max="11012" width="2.28515625" customWidth="1"/>
    <col min="11013" max="11013" width="8.28515625" customWidth="1"/>
    <col min="11014" max="11014" width="8.85546875" customWidth="1"/>
    <col min="11015" max="11015" width="2.28515625" customWidth="1"/>
    <col min="11016" max="11016" width="9" customWidth="1"/>
    <col min="11017" max="11017" width="10.140625" customWidth="1"/>
    <col min="11018" max="11018" width="2.28515625" customWidth="1"/>
    <col min="11019" max="11019" width="8" customWidth="1"/>
    <col min="11020" max="11020" width="8.7109375" customWidth="1"/>
    <col min="11021" max="11021" width="2.28515625" customWidth="1"/>
    <col min="11265" max="11265" width="34.5703125" customWidth="1"/>
    <col min="11266" max="11267" width="8.85546875" customWidth="1"/>
    <col min="11268" max="11268" width="2.28515625" customWidth="1"/>
    <col min="11269" max="11269" width="8.28515625" customWidth="1"/>
    <col min="11270" max="11270" width="8.85546875" customWidth="1"/>
    <col min="11271" max="11271" width="2.28515625" customWidth="1"/>
    <col min="11272" max="11272" width="9" customWidth="1"/>
    <col min="11273" max="11273" width="10.140625" customWidth="1"/>
    <col min="11274" max="11274" width="2.28515625" customWidth="1"/>
    <col min="11275" max="11275" width="8" customWidth="1"/>
    <col min="11276" max="11276" width="8.7109375" customWidth="1"/>
    <col min="11277" max="11277" width="2.28515625" customWidth="1"/>
    <col min="11521" max="11521" width="34.5703125" customWidth="1"/>
    <col min="11522" max="11523" width="8.85546875" customWidth="1"/>
    <col min="11524" max="11524" width="2.28515625" customWidth="1"/>
    <col min="11525" max="11525" width="8.28515625" customWidth="1"/>
    <col min="11526" max="11526" width="8.85546875" customWidth="1"/>
    <col min="11527" max="11527" width="2.28515625" customWidth="1"/>
    <col min="11528" max="11528" width="9" customWidth="1"/>
    <col min="11529" max="11529" width="10.140625" customWidth="1"/>
    <col min="11530" max="11530" width="2.28515625" customWidth="1"/>
    <col min="11531" max="11531" width="8" customWidth="1"/>
    <col min="11532" max="11532" width="8.7109375" customWidth="1"/>
    <col min="11533" max="11533" width="2.28515625" customWidth="1"/>
    <col min="11777" max="11777" width="34.5703125" customWidth="1"/>
    <col min="11778" max="11779" width="8.85546875" customWidth="1"/>
    <col min="11780" max="11780" width="2.28515625" customWidth="1"/>
    <col min="11781" max="11781" width="8.28515625" customWidth="1"/>
    <col min="11782" max="11782" width="8.85546875" customWidth="1"/>
    <col min="11783" max="11783" width="2.28515625" customWidth="1"/>
    <col min="11784" max="11784" width="9" customWidth="1"/>
    <col min="11785" max="11785" width="10.140625" customWidth="1"/>
    <col min="11786" max="11786" width="2.28515625" customWidth="1"/>
    <col min="11787" max="11787" width="8" customWidth="1"/>
    <col min="11788" max="11788" width="8.7109375" customWidth="1"/>
    <col min="11789" max="11789" width="2.28515625" customWidth="1"/>
    <col min="12033" max="12033" width="34.5703125" customWidth="1"/>
    <col min="12034" max="12035" width="8.85546875" customWidth="1"/>
    <col min="12036" max="12036" width="2.28515625" customWidth="1"/>
    <col min="12037" max="12037" width="8.28515625" customWidth="1"/>
    <col min="12038" max="12038" width="8.85546875" customWidth="1"/>
    <col min="12039" max="12039" width="2.28515625" customWidth="1"/>
    <col min="12040" max="12040" width="9" customWidth="1"/>
    <col min="12041" max="12041" width="10.140625" customWidth="1"/>
    <col min="12042" max="12042" width="2.28515625" customWidth="1"/>
    <col min="12043" max="12043" width="8" customWidth="1"/>
    <col min="12044" max="12044" width="8.7109375" customWidth="1"/>
    <col min="12045" max="12045" width="2.28515625" customWidth="1"/>
    <col min="12289" max="12289" width="34.5703125" customWidth="1"/>
    <col min="12290" max="12291" width="8.85546875" customWidth="1"/>
    <col min="12292" max="12292" width="2.28515625" customWidth="1"/>
    <col min="12293" max="12293" width="8.28515625" customWidth="1"/>
    <col min="12294" max="12294" width="8.85546875" customWidth="1"/>
    <col min="12295" max="12295" width="2.28515625" customWidth="1"/>
    <col min="12296" max="12296" width="9" customWidth="1"/>
    <col min="12297" max="12297" width="10.140625" customWidth="1"/>
    <col min="12298" max="12298" width="2.28515625" customWidth="1"/>
    <col min="12299" max="12299" width="8" customWidth="1"/>
    <col min="12300" max="12300" width="8.7109375" customWidth="1"/>
    <col min="12301" max="12301" width="2.28515625" customWidth="1"/>
    <col min="12545" max="12545" width="34.5703125" customWidth="1"/>
    <col min="12546" max="12547" width="8.85546875" customWidth="1"/>
    <col min="12548" max="12548" width="2.28515625" customWidth="1"/>
    <col min="12549" max="12549" width="8.28515625" customWidth="1"/>
    <col min="12550" max="12550" width="8.85546875" customWidth="1"/>
    <col min="12551" max="12551" width="2.28515625" customWidth="1"/>
    <col min="12552" max="12552" width="9" customWidth="1"/>
    <col min="12553" max="12553" width="10.140625" customWidth="1"/>
    <col min="12554" max="12554" width="2.28515625" customWidth="1"/>
    <col min="12555" max="12555" width="8" customWidth="1"/>
    <col min="12556" max="12556" width="8.7109375" customWidth="1"/>
    <col min="12557" max="12557" width="2.28515625" customWidth="1"/>
    <col min="12801" max="12801" width="34.5703125" customWidth="1"/>
    <col min="12802" max="12803" width="8.85546875" customWidth="1"/>
    <col min="12804" max="12804" width="2.28515625" customWidth="1"/>
    <col min="12805" max="12805" width="8.28515625" customWidth="1"/>
    <col min="12806" max="12806" width="8.85546875" customWidth="1"/>
    <col min="12807" max="12807" width="2.28515625" customWidth="1"/>
    <col min="12808" max="12808" width="9" customWidth="1"/>
    <col min="12809" max="12809" width="10.140625" customWidth="1"/>
    <col min="12810" max="12810" width="2.28515625" customWidth="1"/>
    <col min="12811" max="12811" width="8" customWidth="1"/>
    <col min="12812" max="12812" width="8.7109375" customWidth="1"/>
    <col min="12813" max="12813" width="2.28515625" customWidth="1"/>
    <col min="13057" max="13057" width="34.5703125" customWidth="1"/>
    <col min="13058" max="13059" width="8.85546875" customWidth="1"/>
    <col min="13060" max="13060" width="2.28515625" customWidth="1"/>
    <col min="13061" max="13061" width="8.28515625" customWidth="1"/>
    <col min="13062" max="13062" width="8.85546875" customWidth="1"/>
    <col min="13063" max="13063" width="2.28515625" customWidth="1"/>
    <col min="13064" max="13064" width="9" customWidth="1"/>
    <col min="13065" max="13065" width="10.140625" customWidth="1"/>
    <col min="13066" max="13066" width="2.28515625" customWidth="1"/>
    <col min="13067" max="13067" width="8" customWidth="1"/>
    <col min="13068" max="13068" width="8.7109375" customWidth="1"/>
    <col min="13069" max="13069" width="2.28515625" customWidth="1"/>
    <col min="13313" max="13313" width="34.5703125" customWidth="1"/>
    <col min="13314" max="13315" width="8.85546875" customWidth="1"/>
    <col min="13316" max="13316" width="2.28515625" customWidth="1"/>
    <col min="13317" max="13317" width="8.28515625" customWidth="1"/>
    <col min="13318" max="13318" width="8.85546875" customWidth="1"/>
    <col min="13319" max="13319" width="2.28515625" customWidth="1"/>
    <col min="13320" max="13320" width="9" customWidth="1"/>
    <col min="13321" max="13321" width="10.140625" customWidth="1"/>
    <col min="13322" max="13322" width="2.28515625" customWidth="1"/>
    <col min="13323" max="13323" width="8" customWidth="1"/>
    <col min="13324" max="13324" width="8.7109375" customWidth="1"/>
    <col min="13325" max="13325" width="2.28515625" customWidth="1"/>
    <col min="13569" max="13569" width="34.5703125" customWidth="1"/>
    <col min="13570" max="13571" width="8.85546875" customWidth="1"/>
    <col min="13572" max="13572" width="2.28515625" customWidth="1"/>
    <col min="13573" max="13573" width="8.28515625" customWidth="1"/>
    <col min="13574" max="13574" width="8.85546875" customWidth="1"/>
    <col min="13575" max="13575" width="2.28515625" customWidth="1"/>
    <col min="13576" max="13576" width="9" customWidth="1"/>
    <col min="13577" max="13577" width="10.140625" customWidth="1"/>
    <col min="13578" max="13578" width="2.28515625" customWidth="1"/>
    <col min="13579" max="13579" width="8" customWidth="1"/>
    <col min="13580" max="13580" width="8.7109375" customWidth="1"/>
    <col min="13581" max="13581" width="2.28515625" customWidth="1"/>
    <col min="13825" max="13825" width="34.5703125" customWidth="1"/>
    <col min="13826" max="13827" width="8.85546875" customWidth="1"/>
    <col min="13828" max="13828" width="2.28515625" customWidth="1"/>
    <col min="13829" max="13829" width="8.28515625" customWidth="1"/>
    <col min="13830" max="13830" width="8.85546875" customWidth="1"/>
    <col min="13831" max="13831" width="2.28515625" customWidth="1"/>
    <col min="13832" max="13832" width="9" customWidth="1"/>
    <col min="13833" max="13833" width="10.140625" customWidth="1"/>
    <col min="13834" max="13834" width="2.28515625" customWidth="1"/>
    <col min="13835" max="13835" width="8" customWidth="1"/>
    <col min="13836" max="13836" width="8.7109375" customWidth="1"/>
    <col min="13837" max="13837" width="2.28515625" customWidth="1"/>
    <col min="14081" max="14081" width="34.5703125" customWidth="1"/>
    <col min="14082" max="14083" width="8.85546875" customWidth="1"/>
    <col min="14084" max="14084" width="2.28515625" customWidth="1"/>
    <col min="14085" max="14085" width="8.28515625" customWidth="1"/>
    <col min="14086" max="14086" width="8.85546875" customWidth="1"/>
    <col min="14087" max="14087" width="2.28515625" customWidth="1"/>
    <col min="14088" max="14088" width="9" customWidth="1"/>
    <col min="14089" max="14089" width="10.140625" customWidth="1"/>
    <col min="14090" max="14090" width="2.28515625" customWidth="1"/>
    <col min="14091" max="14091" width="8" customWidth="1"/>
    <col min="14092" max="14092" width="8.7109375" customWidth="1"/>
    <col min="14093" max="14093" width="2.28515625" customWidth="1"/>
    <col min="14337" max="14337" width="34.5703125" customWidth="1"/>
    <col min="14338" max="14339" width="8.85546875" customWidth="1"/>
    <col min="14340" max="14340" width="2.28515625" customWidth="1"/>
    <col min="14341" max="14341" width="8.28515625" customWidth="1"/>
    <col min="14342" max="14342" width="8.85546875" customWidth="1"/>
    <col min="14343" max="14343" width="2.28515625" customWidth="1"/>
    <col min="14344" max="14344" width="9" customWidth="1"/>
    <col min="14345" max="14345" width="10.140625" customWidth="1"/>
    <col min="14346" max="14346" width="2.28515625" customWidth="1"/>
    <col min="14347" max="14347" width="8" customWidth="1"/>
    <col min="14348" max="14348" width="8.7109375" customWidth="1"/>
    <col min="14349" max="14349" width="2.28515625" customWidth="1"/>
    <col min="14593" max="14593" width="34.5703125" customWidth="1"/>
    <col min="14594" max="14595" width="8.85546875" customWidth="1"/>
    <col min="14596" max="14596" width="2.28515625" customWidth="1"/>
    <col min="14597" max="14597" width="8.28515625" customWidth="1"/>
    <col min="14598" max="14598" width="8.85546875" customWidth="1"/>
    <col min="14599" max="14599" width="2.28515625" customWidth="1"/>
    <col min="14600" max="14600" width="9" customWidth="1"/>
    <col min="14601" max="14601" width="10.140625" customWidth="1"/>
    <col min="14602" max="14602" width="2.28515625" customWidth="1"/>
    <col min="14603" max="14603" width="8" customWidth="1"/>
    <col min="14604" max="14604" width="8.7109375" customWidth="1"/>
    <col min="14605" max="14605" width="2.28515625" customWidth="1"/>
    <col min="14849" max="14849" width="34.5703125" customWidth="1"/>
    <col min="14850" max="14851" width="8.85546875" customWidth="1"/>
    <col min="14852" max="14852" width="2.28515625" customWidth="1"/>
    <col min="14853" max="14853" width="8.28515625" customWidth="1"/>
    <col min="14854" max="14854" width="8.85546875" customWidth="1"/>
    <col min="14855" max="14855" width="2.28515625" customWidth="1"/>
    <col min="14856" max="14856" width="9" customWidth="1"/>
    <col min="14857" max="14857" width="10.140625" customWidth="1"/>
    <col min="14858" max="14858" width="2.28515625" customWidth="1"/>
    <col min="14859" max="14859" width="8" customWidth="1"/>
    <col min="14860" max="14860" width="8.7109375" customWidth="1"/>
    <col min="14861" max="14861" width="2.28515625" customWidth="1"/>
    <col min="15105" max="15105" width="34.5703125" customWidth="1"/>
    <col min="15106" max="15107" width="8.85546875" customWidth="1"/>
    <col min="15108" max="15108" width="2.28515625" customWidth="1"/>
    <col min="15109" max="15109" width="8.28515625" customWidth="1"/>
    <col min="15110" max="15110" width="8.85546875" customWidth="1"/>
    <col min="15111" max="15111" width="2.28515625" customWidth="1"/>
    <col min="15112" max="15112" width="9" customWidth="1"/>
    <col min="15113" max="15113" width="10.140625" customWidth="1"/>
    <col min="15114" max="15114" width="2.28515625" customWidth="1"/>
    <col min="15115" max="15115" width="8" customWidth="1"/>
    <col min="15116" max="15116" width="8.7109375" customWidth="1"/>
    <col min="15117" max="15117" width="2.28515625" customWidth="1"/>
    <col min="15361" max="15361" width="34.5703125" customWidth="1"/>
    <col min="15362" max="15363" width="8.85546875" customWidth="1"/>
    <col min="15364" max="15364" width="2.28515625" customWidth="1"/>
    <col min="15365" max="15365" width="8.28515625" customWidth="1"/>
    <col min="15366" max="15366" width="8.85546875" customWidth="1"/>
    <col min="15367" max="15367" width="2.28515625" customWidth="1"/>
    <col min="15368" max="15368" width="9" customWidth="1"/>
    <col min="15369" max="15369" width="10.140625" customWidth="1"/>
    <col min="15370" max="15370" width="2.28515625" customWidth="1"/>
    <col min="15371" max="15371" width="8" customWidth="1"/>
    <col min="15372" max="15372" width="8.7109375" customWidth="1"/>
    <col min="15373" max="15373" width="2.28515625" customWidth="1"/>
    <col min="15617" max="15617" width="34.5703125" customWidth="1"/>
    <col min="15618" max="15619" width="8.85546875" customWidth="1"/>
    <col min="15620" max="15620" width="2.28515625" customWidth="1"/>
    <col min="15621" max="15621" width="8.28515625" customWidth="1"/>
    <col min="15622" max="15622" width="8.85546875" customWidth="1"/>
    <col min="15623" max="15623" width="2.28515625" customWidth="1"/>
    <col min="15624" max="15624" width="9" customWidth="1"/>
    <col min="15625" max="15625" width="10.140625" customWidth="1"/>
    <col min="15626" max="15626" width="2.28515625" customWidth="1"/>
    <col min="15627" max="15627" width="8" customWidth="1"/>
    <col min="15628" max="15628" width="8.7109375" customWidth="1"/>
    <col min="15629" max="15629" width="2.28515625" customWidth="1"/>
    <col min="15873" max="15873" width="34.5703125" customWidth="1"/>
    <col min="15874" max="15875" width="8.85546875" customWidth="1"/>
    <col min="15876" max="15876" width="2.28515625" customWidth="1"/>
    <col min="15877" max="15877" width="8.28515625" customWidth="1"/>
    <col min="15878" max="15878" width="8.85546875" customWidth="1"/>
    <col min="15879" max="15879" width="2.28515625" customWidth="1"/>
    <col min="15880" max="15880" width="9" customWidth="1"/>
    <col min="15881" max="15881" width="10.140625" customWidth="1"/>
    <col min="15882" max="15882" width="2.28515625" customWidth="1"/>
    <col min="15883" max="15883" width="8" customWidth="1"/>
    <col min="15884" max="15884" width="8.7109375" customWidth="1"/>
    <col min="15885" max="15885" width="2.28515625" customWidth="1"/>
    <col min="16129" max="16129" width="34.5703125" customWidth="1"/>
    <col min="16130" max="16131" width="8.85546875" customWidth="1"/>
    <col min="16132" max="16132" width="2.28515625" customWidth="1"/>
    <col min="16133" max="16133" width="8.28515625" customWidth="1"/>
    <col min="16134" max="16134" width="8.85546875" customWidth="1"/>
    <col min="16135" max="16135" width="2.28515625" customWidth="1"/>
    <col min="16136" max="16136" width="9" customWidth="1"/>
    <col min="16137" max="16137" width="10.140625" customWidth="1"/>
    <col min="16138" max="16138" width="2.28515625" customWidth="1"/>
    <col min="16139" max="16139" width="8" customWidth="1"/>
    <col min="16140" max="16140" width="8.7109375" customWidth="1"/>
    <col min="16141" max="16141" width="2.28515625" customWidth="1"/>
  </cols>
  <sheetData>
    <row r="1" spans="1:13">
      <c r="A1" s="42" t="s">
        <v>755</v>
      </c>
    </row>
    <row r="2" spans="1:13">
      <c r="A2" s="42" t="s">
        <v>1242</v>
      </c>
    </row>
    <row r="3" spans="1:13" ht="6.75" customHeight="1"/>
    <row r="4" spans="1:13">
      <c r="A4" s="42" t="s">
        <v>1243</v>
      </c>
    </row>
    <row r="5" spans="1:13" ht="8.25" customHeight="1" thickBot="1">
      <c r="B5" s="522"/>
      <c r="C5" s="523"/>
      <c r="D5" s="524"/>
      <c r="E5" s="522"/>
      <c r="F5" s="525"/>
      <c r="G5" s="523"/>
      <c r="H5" s="526"/>
      <c r="I5" s="525"/>
      <c r="J5" s="523"/>
      <c r="K5" s="523"/>
      <c r="L5" s="524"/>
      <c r="M5" s="524"/>
    </row>
    <row r="6" spans="1:13" ht="9" customHeight="1">
      <c r="A6" s="237"/>
      <c r="B6" s="484"/>
      <c r="C6" s="463"/>
      <c r="D6" s="237"/>
      <c r="E6" s="484"/>
      <c r="F6" s="485"/>
      <c r="G6" s="463"/>
      <c r="H6" s="527"/>
      <c r="I6" s="485"/>
      <c r="J6" s="463"/>
      <c r="K6" s="463"/>
      <c r="L6" s="237"/>
      <c r="M6" s="237"/>
    </row>
    <row r="7" spans="1:13" ht="12" customHeight="1">
      <c r="A7" s="42" t="s">
        <v>4</v>
      </c>
      <c r="B7" s="1283" t="s">
        <v>1244</v>
      </c>
      <c r="C7" s="1283"/>
      <c r="D7" s="95"/>
      <c r="E7" s="1282" t="s">
        <v>1245</v>
      </c>
      <c r="F7" s="1282"/>
      <c r="G7" s="97"/>
      <c r="H7" s="1298" t="s">
        <v>1246</v>
      </c>
      <c r="I7" s="1298"/>
      <c r="J7" s="97"/>
      <c r="K7" s="1288" t="s">
        <v>1247</v>
      </c>
      <c r="L7" s="1288"/>
      <c r="M7" s="95"/>
    </row>
    <row r="8" spans="1:13" ht="11.1" customHeight="1">
      <c r="A8" s="95" t="s">
        <v>1248</v>
      </c>
      <c r="B8" s="488" t="s">
        <v>1140</v>
      </c>
      <c r="C8" s="492" t="s">
        <v>324</v>
      </c>
      <c r="D8" s="242"/>
      <c r="E8" s="488" t="s">
        <v>1140</v>
      </c>
      <c r="F8" s="489" t="s">
        <v>324</v>
      </c>
      <c r="G8" s="115"/>
      <c r="H8" s="528" t="s">
        <v>1140</v>
      </c>
      <c r="I8" s="489" t="s">
        <v>324</v>
      </c>
      <c r="J8" s="115"/>
      <c r="K8" s="491" t="s">
        <v>1140</v>
      </c>
      <c r="L8" s="272" t="s">
        <v>324</v>
      </c>
      <c r="M8" s="242"/>
    </row>
    <row r="9" spans="1:13" ht="11.1" customHeight="1" thickBot="1">
      <c r="A9" s="249"/>
      <c r="B9" s="507"/>
      <c r="C9" s="495"/>
      <c r="D9" s="529"/>
      <c r="E9" s="507"/>
      <c r="F9" s="494"/>
      <c r="G9" s="495"/>
      <c r="H9" s="530"/>
      <c r="I9" s="494"/>
      <c r="J9" s="495"/>
      <c r="K9" s="511"/>
      <c r="L9" s="529"/>
      <c r="M9" s="529"/>
    </row>
    <row r="10" spans="1:13" ht="8.25" customHeight="1">
      <c r="H10" s="513"/>
      <c r="I10" s="62"/>
    </row>
    <row r="11" spans="1:13" ht="12.95" customHeight="1">
      <c r="A11" s="9" t="s">
        <v>325</v>
      </c>
      <c r="B11" s="500">
        <f>IF(A11&lt;&gt;"",E11+H11+K11,"")</f>
        <v>1436</v>
      </c>
      <c r="C11" s="168">
        <f>IF(B11&lt;&gt;"",F11+I11+L11,"")</f>
        <v>100</v>
      </c>
      <c r="D11" s="4"/>
      <c r="E11" s="500">
        <f>SUM(E13+E185)</f>
        <v>1232</v>
      </c>
      <c r="F11" s="257">
        <f>IF($A11&lt;&gt;"",E11/$B11*100,"")</f>
        <v>85.793871866295262</v>
      </c>
      <c r="H11" s="106">
        <f>SUM(H13+H185)</f>
        <v>179</v>
      </c>
      <c r="I11" s="257">
        <f>IF($A11&lt;&gt;"",H11/$B11*100,"")</f>
        <v>12.465181058495823</v>
      </c>
      <c r="K11" s="106">
        <f>SUM(K13+K185)</f>
        <v>25</v>
      </c>
      <c r="L11" s="257">
        <f>IF($A11&lt;&gt;"",K11/$B11*100,"")</f>
        <v>1.7409470752089138</v>
      </c>
      <c r="M11" s="4"/>
    </row>
    <row r="12" spans="1:13" ht="13.5" customHeight="1">
      <c r="A12" s="4"/>
      <c r="B12" s="500" t="str">
        <f t="shared" ref="B12:B75" si="0">IF(A12&lt;&gt;"",E12+H12+K12,"")</f>
        <v/>
      </c>
      <c r="C12" s="257"/>
      <c r="D12" s="4"/>
      <c r="H12" s="106"/>
      <c r="K12" s="106"/>
      <c r="L12" s="257" t="str">
        <f t="shared" ref="L12:L75" si="1">IF($A12&lt;&gt;"",K12/$B12*100,"")</f>
        <v/>
      </c>
      <c r="M12" s="4"/>
    </row>
    <row r="13" spans="1:13" ht="12.95" customHeight="1">
      <c r="A13" s="9" t="s">
        <v>326</v>
      </c>
      <c r="B13" s="500">
        <f t="shared" si="0"/>
        <v>1336</v>
      </c>
      <c r="C13" s="257">
        <f t="shared" ref="C13:C77" si="2">IF(A13&lt;&gt;0,B13/$B$11*100,"")</f>
        <v>93.036211699164355</v>
      </c>
      <c r="D13" s="4"/>
      <c r="E13" s="325">
        <f>SUM(E15+E101+E179)</f>
        <v>1137</v>
      </c>
      <c r="F13" s="257">
        <f t="shared" ref="F13:F76" si="3">IF($A13&lt;&gt;"",E13/$B13*100,"")</f>
        <v>85.104790419161674</v>
      </c>
      <c r="H13" s="325">
        <f>SUM(H15+H101+H179)</f>
        <v>176</v>
      </c>
      <c r="I13" s="257">
        <f t="shared" ref="I13:I76" si="4">IF($A13&lt;&gt;"",H13/$B13*100,"")</f>
        <v>13.17365269461078</v>
      </c>
      <c r="K13" s="325">
        <f>SUM(K15+K101+K179)</f>
        <v>23</v>
      </c>
      <c r="L13" s="257">
        <f t="shared" si="1"/>
        <v>1.721556886227545</v>
      </c>
      <c r="M13" s="4"/>
    </row>
    <row r="14" spans="1:13" ht="7.5" customHeight="1">
      <c r="A14" s="4"/>
      <c r="B14" s="500" t="str">
        <f t="shared" si="0"/>
        <v/>
      </c>
      <c r="C14" s="257" t="str">
        <f t="shared" si="2"/>
        <v/>
      </c>
      <c r="D14" s="4"/>
      <c r="F14" s="257" t="str">
        <f t="shared" si="3"/>
        <v/>
      </c>
      <c r="I14" s="257" t="str">
        <f t="shared" si="4"/>
        <v/>
      </c>
      <c r="L14" s="257" t="str">
        <f t="shared" si="1"/>
        <v/>
      </c>
      <c r="M14" s="4"/>
    </row>
    <row r="15" spans="1:13" ht="12.95" customHeight="1">
      <c r="A15" s="9" t="s">
        <v>1141</v>
      </c>
      <c r="B15" s="500">
        <f t="shared" si="0"/>
        <v>326</v>
      </c>
      <c r="C15" s="257">
        <f t="shared" si="2"/>
        <v>22.701949860724234</v>
      </c>
      <c r="D15" s="4"/>
      <c r="E15" s="325">
        <f>SUM(E17+E28+E36+E64+E77+E90+E97+E98+E99)</f>
        <v>283</v>
      </c>
      <c r="F15" s="257">
        <f t="shared" si="3"/>
        <v>86.809815950920239</v>
      </c>
      <c r="H15" s="106">
        <f>SUM(H17+H28+H36+H64+H77+H90+H97+H98+H99)</f>
        <v>32</v>
      </c>
      <c r="I15" s="257">
        <f t="shared" si="4"/>
        <v>9.8159509202453989</v>
      </c>
      <c r="K15" s="106">
        <f>SUM(K17+K28+K36+K64+K77+K90+K97+K98+K99)</f>
        <v>11</v>
      </c>
      <c r="L15" s="257">
        <f t="shared" si="1"/>
        <v>3.3742331288343559</v>
      </c>
      <c r="M15" s="4"/>
    </row>
    <row r="16" spans="1:13" ht="7.5" customHeight="1">
      <c r="A16" s="4"/>
      <c r="B16" s="500" t="str">
        <f t="shared" si="0"/>
        <v/>
      </c>
      <c r="C16" s="257" t="str">
        <f t="shared" si="2"/>
        <v/>
      </c>
      <c r="D16" s="4"/>
      <c r="F16" s="257" t="str">
        <f t="shared" si="3"/>
        <v/>
      </c>
      <c r="I16" s="257" t="str">
        <f t="shared" si="4"/>
        <v/>
      </c>
      <c r="L16" s="257" t="str">
        <f t="shared" si="1"/>
        <v/>
      </c>
      <c r="M16" s="4"/>
    </row>
    <row r="17" spans="1:13" ht="12.95" customHeight="1">
      <c r="A17" s="9" t="s">
        <v>327</v>
      </c>
      <c r="B17" s="500">
        <f t="shared" si="0"/>
        <v>31</v>
      </c>
      <c r="C17" s="257">
        <f t="shared" si="2"/>
        <v>2.1587743732590527</v>
      </c>
      <c r="D17" s="4"/>
      <c r="E17" s="106">
        <f>SUM(E18+E24)</f>
        <v>30</v>
      </c>
      <c r="F17" s="257">
        <f t="shared" si="3"/>
        <v>96.774193548387103</v>
      </c>
      <c r="H17" s="325">
        <f>SUM(H18+H24)</f>
        <v>1</v>
      </c>
      <c r="I17" s="257">
        <f t="shared" si="4"/>
        <v>3.225806451612903</v>
      </c>
      <c r="K17" s="4">
        <f>SUM(K18+K24)</f>
        <v>0</v>
      </c>
      <c r="L17" s="257">
        <f t="shared" si="1"/>
        <v>0</v>
      </c>
      <c r="M17" s="4"/>
    </row>
    <row r="18" spans="1:13" ht="12.95" customHeight="1">
      <c r="A18" s="4" t="s">
        <v>20</v>
      </c>
      <c r="B18" s="500">
        <f t="shared" si="0"/>
        <v>6</v>
      </c>
      <c r="C18" s="257">
        <f t="shared" si="2"/>
        <v>0.4178272980501393</v>
      </c>
      <c r="D18" s="4"/>
      <c r="E18" s="106">
        <f>SUM(E19:E22)</f>
        <v>6</v>
      </c>
      <c r="F18" s="257">
        <f t="shared" si="3"/>
        <v>100</v>
      </c>
      <c r="H18" s="106">
        <f>SUM(H19:H22)</f>
        <v>0</v>
      </c>
      <c r="I18" s="257">
        <f t="shared" si="4"/>
        <v>0</v>
      </c>
      <c r="K18" s="106">
        <f>SUM(K19:K22)</f>
        <v>0</v>
      </c>
      <c r="L18" s="257">
        <f t="shared" si="1"/>
        <v>0</v>
      </c>
      <c r="M18" s="4"/>
    </row>
    <row r="19" spans="1:13" ht="12.95" hidden="1" customHeight="1">
      <c r="A19" s="4" t="s">
        <v>1249</v>
      </c>
      <c r="B19" s="500">
        <f t="shared" si="0"/>
        <v>0</v>
      </c>
      <c r="C19" s="257">
        <f t="shared" si="2"/>
        <v>0</v>
      </c>
      <c r="D19" s="4"/>
      <c r="F19" s="257" t="e">
        <f t="shared" si="3"/>
        <v>#DIV/0!</v>
      </c>
      <c r="I19" s="257" t="e">
        <f t="shared" si="4"/>
        <v>#DIV/0!</v>
      </c>
      <c r="L19" s="257" t="e">
        <f t="shared" si="1"/>
        <v>#DIV/0!</v>
      </c>
      <c r="M19" s="4"/>
    </row>
    <row r="20" spans="1:13" ht="12.95" customHeight="1">
      <c r="A20" s="4" t="s">
        <v>22</v>
      </c>
      <c r="B20" s="500">
        <f t="shared" si="0"/>
        <v>5</v>
      </c>
      <c r="C20" s="257">
        <f t="shared" si="2"/>
        <v>0.34818941504178275</v>
      </c>
      <c r="D20" s="4"/>
      <c r="E20" s="453">
        <v>5</v>
      </c>
      <c r="F20" s="257">
        <f t="shared" si="3"/>
        <v>100</v>
      </c>
      <c r="G20" s="453"/>
      <c r="H20" s="453">
        <v>0</v>
      </c>
      <c r="I20" s="257">
        <f t="shared" si="4"/>
        <v>0</v>
      </c>
      <c r="J20" s="453"/>
      <c r="K20" s="453">
        <v>0</v>
      </c>
      <c r="L20" s="257">
        <f t="shared" si="1"/>
        <v>0</v>
      </c>
      <c r="M20" s="4"/>
    </row>
    <row r="21" spans="1:13" ht="12.95" hidden="1" customHeight="1">
      <c r="A21" s="4" t="s">
        <v>21</v>
      </c>
      <c r="B21" s="500">
        <f t="shared" si="0"/>
        <v>0</v>
      </c>
      <c r="C21" s="257">
        <f t="shared" si="2"/>
        <v>0</v>
      </c>
      <c r="D21" s="4"/>
      <c r="E21" s="97"/>
      <c r="F21" s="257" t="e">
        <f t="shared" si="3"/>
        <v>#DIV/0!</v>
      </c>
      <c r="G21" s="97"/>
      <c r="H21" s="97"/>
      <c r="I21" s="257" t="e">
        <f t="shared" si="4"/>
        <v>#DIV/0!</v>
      </c>
      <c r="J21" s="97"/>
      <c r="K21" s="97"/>
      <c r="L21" s="257" t="e">
        <f t="shared" si="1"/>
        <v>#DIV/0!</v>
      </c>
      <c r="M21" s="4"/>
    </row>
    <row r="22" spans="1:13" ht="12.95" customHeight="1">
      <c r="A22" s="4" t="s">
        <v>23</v>
      </c>
      <c r="B22" s="500">
        <f t="shared" si="0"/>
        <v>1</v>
      </c>
      <c r="C22" s="257">
        <f t="shared" si="2"/>
        <v>6.9637883008356549E-2</v>
      </c>
      <c r="D22" s="4"/>
      <c r="E22" s="453">
        <v>1</v>
      </c>
      <c r="F22" s="257">
        <f t="shared" si="3"/>
        <v>100</v>
      </c>
      <c r="G22" s="453"/>
      <c r="H22" s="453">
        <v>0</v>
      </c>
      <c r="I22" s="257">
        <f t="shared" si="4"/>
        <v>0</v>
      </c>
      <c r="J22" s="453"/>
      <c r="K22" s="453">
        <v>0</v>
      </c>
      <c r="L22" s="257">
        <f t="shared" si="1"/>
        <v>0</v>
      </c>
      <c r="M22" s="4"/>
    </row>
    <row r="23" spans="1:13" ht="6.75" customHeight="1">
      <c r="A23" s="4"/>
      <c r="B23" s="500" t="str">
        <f t="shared" si="0"/>
        <v/>
      </c>
      <c r="C23" s="257" t="str">
        <f t="shared" si="2"/>
        <v/>
      </c>
      <c r="D23" s="4"/>
      <c r="F23" s="257" t="str">
        <f t="shared" si="3"/>
        <v/>
      </c>
      <c r="I23" s="257" t="str">
        <f t="shared" si="4"/>
        <v/>
      </c>
      <c r="L23" s="257" t="str">
        <f t="shared" si="1"/>
        <v/>
      </c>
      <c r="M23" s="4"/>
    </row>
    <row r="24" spans="1:13" ht="12.95" customHeight="1">
      <c r="A24" s="4" t="s">
        <v>24</v>
      </c>
      <c r="B24" s="500">
        <f t="shared" si="0"/>
        <v>25</v>
      </c>
      <c r="C24" s="257">
        <f t="shared" si="2"/>
        <v>1.7409470752089138</v>
      </c>
      <c r="D24" s="4"/>
      <c r="E24" s="325">
        <f>SUM(E25:E26)</f>
        <v>24</v>
      </c>
      <c r="F24" s="257">
        <f t="shared" si="3"/>
        <v>96</v>
      </c>
      <c r="H24" s="325">
        <f>SUM(H25:H26)</f>
        <v>1</v>
      </c>
      <c r="I24" s="257">
        <f t="shared" si="4"/>
        <v>4</v>
      </c>
      <c r="K24" s="325">
        <f>SUM(K25:K26)</f>
        <v>0</v>
      </c>
      <c r="L24" s="257">
        <f t="shared" si="1"/>
        <v>0</v>
      </c>
      <c r="M24" s="4"/>
    </row>
    <row r="25" spans="1:13" ht="12.95" customHeight="1">
      <c r="A25" s="4" t="s">
        <v>25</v>
      </c>
      <c r="B25" s="500">
        <f t="shared" si="0"/>
        <v>13</v>
      </c>
      <c r="C25" s="257">
        <f t="shared" si="2"/>
        <v>0.90529247910863508</v>
      </c>
      <c r="D25" s="4"/>
      <c r="E25" s="453">
        <v>13</v>
      </c>
      <c r="F25" s="257">
        <f t="shared" si="3"/>
        <v>100</v>
      </c>
      <c r="G25" s="453"/>
      <c r="H25" s="453">
        <v>0</v>
      </c>
      <c r="I25" s="257">
        <f t="shared" si="4"/>
        <v>0</v>
      </c>
      <c r="J25" s="453"/>
      <c r="K25" s="453">
        <v>0</v>
      </c>
      <c r="L25" s="257">
        <f t="shared" si="1"/>
        <v>0</v>
      </c>
      <c r="M25" s="4"/>
    </row>
    <row r="26" spans="1:13" ht="12.95" customHeight="1">
      <c r="A26" s="4" t="s">
        <v>27</v>
      </c>
      <c r="B26" s="500">
        <f t="shared" si="0"/>
        <v>12</v>
      </c>
      <c r="C26" s="257">
        <f t="shared" si="2"/>
        <v>0.83565459610027859</v>
      </c>
      <c r="D26" s="4"/>
      <c r="E26" s="453">
        <v>11</v>
      </c>
      <c r="F26" s="257">
        <f t="shared" si="3"/>
        <v>91.666666666666657</v>
      </c>
      <c r="G26" s="453"/>
      <c r="H26" s="453">
        <v>1</v>
      </c>
      <c r="I26" s="257">
        <f t="shared" si="4"/>
        <v>8.3333333333333321</v>
      </c>
      <c r="J26" s="453"/>
      <c r="K26" s="453">
        <v>0</v>
      </c>
      <c r="L26" s="257">
        <f t="shared" si="1"/>
        <v>0</v>
      </c>
      <c r="M26" s="4"/>
    </row>
    <row r="27" spans="1:13" ht="7.5" customHeight="1">
      <c r="A27" s="4"/>
      <c r="B27" s="500" t="str">
        <f t="shared" si="0"/>
        <v/>
      </c>
      <c r="C27" s="257" t="str">
        <f t="shared" si="2"/>
        <v/>
      </c>
      <c r="D27" s="4"/>
      <c r="F27" s="257" t="str">
        <f t="shared" si="3"/>
        <v/>
      </c>
      <c r="I27" s="257" t="str">
        <f t="shared" si="4"/>
        <v/>
      </c>
      <c r="L27" s="257" t="str">
        <f t="shared" si="1"/>
        <v/>
      </c>
      <c r="M27" s="4"/>
    </row>
    <row r="28" spans="1:13" ht="12.95" customHeight="1">
      <c r="A28" s="9" t="s">
        <v>375</v>
      </c>
      <c r="B28" s="500">
        <f t="shared" si="0"/>
        <v>75</v>
      </c>
      <c r="C28" s="257">
        <f t="shared" si="2"/>
        <v>5.2228412256267411</v>
      </c>
      <c r="D28" s="4"/>
      <c r="E28" s="4">
        <f>SUM(E29)</f>
        <v>71</v>
      </c>
      <c r="F28" s="257">
        <f t="shared" si="3"/>
        <v>94.666666666666671</v>
      </c>
      <c r="H28" s="501">
        <f>SUM(H29)</f>
        <v>4</v>
      </c>
      <c r="I28" s="257">
        <f t="shared" si="4"/>
        <v>5.3333333333333339</v>
      </c>
      <c r="K28" s="4">
        <f>SUM(K29)</f>
        <v>0</v>
      </c>
      <c r="L28" s="257">
        <f t="shared" si="1"/>
        <v>0</v>
      </c>
      <c r="M28" s="4"/>
    </row>
    <row r="29" spans="1:13" ht="12.95" customHeight="1">
      <c r="A29" s="4" t="s">
        <v>29</v>
      </c>
      <c r="B29" s="500">
        <f t="shared" si="0"/>
        <v>75</v>
      </c>
      <c r="C29" s="257">
        <f t="shared" si="2"/>
        <v>5.2228412256267411</v>
      </c>
      <c r="D29" s="4"/>
      <c r="E29" s="4">
        <f>SUM(E30:E34)</f>
        <v>71</v>
      </c>
      <c r="F29" s="257">
        <f t="shared" si="3"/>
        <v>94.666666666666671</v>
      </c>
      <c r="H29" s="501">
        <f>SUM(H30:H34)</f>
        <v>4</v>
      </c>
      <c r="I29" s="257">
        <f t="shared" si="4"/>
        <v>5.3333333333333339</v>
      </c>
      <c r="K29" s="4">
        <f>SUM(K30:K34)</f>
        <v>0</v>
      </c>
      <c r="L29" s="257">
        <f t="shared" si="1"/>
        <v>0</v>
      </c>
      <c r="M29" s="4"/>
    </row>
    <row r="30" spans="1:13">
      <c r="A30" s="4" t="s">
        <v>30</v>
      </c>
      <c r="B30" s="500">
        <f t="shared" si="0"/>
        <v>40</v>
      </c>
      <c r="C30" s="257">
        <f t="shared" si="2"/>
        <v>2.785515320334262</v>
      </c>
      <c r="D30" s="4"/>
      <c r="E30" s="453">
        <v>38</v>
      </c>
      <c r="F30" s="257">
        <f t="shared" si="3"/>
        <v>95</v>
      </c>
      <c r="G30" s="453"/>
      <c r="H30" s="453">
        <v>2</v>
      </c>
      <c r="I30" s="257">
        <f t="shared" si="4"/>
        <v>5</v>
      </c>
      <c r="J30" s="453"/>
      <c r="K30" s="453">
        <v>0</v>
      </c>
      <c r="L30" s="257">
        <f t="shared" si="1"/>
        <v>0</v>
      </c>
      <c r="M30" s="4"/>
    </row>
    <row r="31" spans="1:13">
      <c r="A31" s="4" t="s">
        <v>31</v>
      </c>
      <c r="B31" s="500">
        <f t="shared" si="0"/>
        <v>8</v>
      </c>
      <c r="C31" s="257">
        <f t="shared" si="2"/>
        <v>0.55710306406685239</v>
      </c>
      <c r="D31" s="4"/>
      <c r="E31" s="453">
        <v>7</v>
      </c>
      <c r="F31" s="257">
        <f t="shared" si="3"/>
        <v>87.5</v>
      </c>
      <c r="G31" s="453"/>
      <c r="H31" s="453">
        <v>1</v>
      </c>
      <c r="I31" s="257">
        <f t="shared" si="4"/>
        <v>12.5</v>
      </c>
      <c r="J31" s="453"/>
      <c r="K31" s="453">
        <v>0</v>
      </c>
      <c r="L31" s="257">
        <f t="shared" si="1"/>
        <v>0</v>
      </c>
      <c r="M31" s="4"/>
    </row>
    <row r="32" spans="1:13">
      <c r="A32" s="4" t="s">
        <v>32</v>
      </c>
      <c r="B32" s="500">
        <f t="shared" si="0"/>
        <v>9</v>
      </c>
      <c r="C32" s="257">
        <f t="shared" si="2"/>
        <v>0.62674094707520889</v>
      </c>
      <c r="D32" s="4"/>
      <c r="E32" s="453">
        <v>9</v>
      </c>
      <c r="F32" s="257">
        <f t="shared" si="3"/>
        <v>100</v>
      </c>
      <c r="G32" s="453"/>
      <c r="H32" s="453">
        <v>0</v>
      </c>
      <c r="I32" s="257">
        <f t="shared" si="4"/>
        <v>0</v>
      </c>
      <c r="J32" s="453"/>
      <c r="K32" s="453">
        <v>0</v>
      </c>
      <c r="L32" s="257">
        <f t="shared" si="1"/>
        <v>0</v>
      </c>
      <c r="M32" s="4"/>
    </row>
    <row r="33" spans="1:13">
      <c r="A33" s="4" t="s">
        <v>33</v>
      </c>
      <c r="B33" s="500">
        <f t="shared" si="0"/>
        <v>1</v>
      </c>
      <c r="C33" s="257">
        <f t="shared" si="2"/>
        <v>6.9637883008356549E-2</v>
      </c>
      <c r="D33" s="4"/>
      <c r="E33" s="453">
        <v>1</v>
      </c>
      <c r="F33" s="257">
        <f t="shared" si="3"/>
        <v>100</v>
      </c>
      <c r="G33" s="453"/>
      <c r="H33" s="453">
        <v>0</v>
      </c>
      <c r="I33" s="257">
        <f t="shared" si="4"/>
        <v>0</v>
      </c>
      <c r="J33" s="453"/>
      <c r="K33" s="453">
        <v>0</v>
      </c>
      <c r="L33" s="257">
        <f t="shared" si="1"/>
        <v>0</v>
      </c>
      <c r="M33" s="4"/>
    </row>
    <row r="34" spans="1:13">
      <c r="A34" s="4" t="s">
        <v>34</v>
      </c>
      <c r="B34" s="500">
        <f t="shared" si="0"/>
        <v>17</v>
      </c>
      <c r="C34" s="257">
        <f t="shared" si="2"/>
        <v>1.1838440111420612</v>
      </c>
      <c r="D34" s="4"/>
      <c r="E34" s="453">
        <v>16</v>
      </c>
      <c r="F34" s="257">
        <f t="shared" si="3"/>
        <v>94.117647058823522</v>
      </c>
      <c r="G34" s="453"/>
      <c r="H34" s="453">
        <v>1</v>
      </c>
      <c r="I34" s="257">
        <f t="shared" si="4"/>
        <v>5.8823529411764701</v>
      </c>
      <c r="J34" s="453"/>
      <c r="K34" s="453">
        <v>0</v>
      </c>
      <c r="L34" s="257">
        <f t="shared" si="1"/>
        <v>0</v>
      </c>
      <c r="M34" s="4"/>
    </row>
    <row r="35" spans="1:13" ht="6" customHeight="1">
      <c r="A35" s="4"/>
      <c r="B35" s="500" t="str">
        <f t="shared" si="0"/>
        <v/>
      </c>
      <c r="C35" s="257" t="str">
        <f t="shared" si="2"/>
        <v/>
      </c>
      <c r="D35" s="4"/>
      <c r="E35" s="4"/>
      <c r="F35" s="257" t="str">
        <f t="shared" si="3"/>
        <v/>
      </c>
      <c r="H35" s="501"/>
      <c r="I35" s="257" t="str">
        <f t="shared" si="4"/>
        <v/>
      </c>
      <c r="L35" s="257" t="str">
        <f t="shared" si="1"/>
        <v/>
      </c>
      <c r="M35" s="4"/>
    </row>
    <row r="36" spans="1:13" ht="12.95" customHeight="1">
      <c r="A36" s="9" t="s">
        <v>329</v>
      </c>
      <c r="B36" s="500">
        <f t="shared" si="0"/>
        <v>55</v>
      </c>
      <c r="C36" s="257">
        <f t="shared" si="2"/>
        <v>3.8300835654596099</v>
      </c>
      <c r="D36" s="4"/>
      <c r="E36" s="4">
        <f>SUM(E37+E43+E56)</f>
        <v>53</v>
      </c>
      <c r="F36" s="257">
        <f t="shared" si="3"/>
        <v>96.36363636363636</v>
      </c>
      <c r="H36" s="4">
        <f>SUM(H37+H43+H56)</f>
        <v>2</v>
      </c>
      <c r="I36" s="257">
        <f t="shared" si="4"/>
        <v>3.6363636363636362</v>
      </c>
      <c r="K36" s="4">
        <f>SUM(K37+K43+K56)</f>
        <v>0</v>
      </c>
      <c r="L36" s="257">
        <f t="shared" si="1"/>
        <v>0</v>
      </c>
      <c r="M36" s="4"/>
    </row>
    <row r="37" spans="1:13" ht="12.95" customHeight="1">
      <c r="A37" s="4" t="s">
        <v>36</v>
      </c>
      <c r="B37" s="500">
        <f t="shared" si="0"/>
        <v>16</v>
      </c>
      <c r="C37" s="257">
        <f t="shared" si="2"/>
        <v>1.1142061281337048</v>
      </c>
      <c r="D37" s="4"/>
      <c r="E37" s="4">
        <f>SUM(E38:E41)</f>
        <v>15</v>
      </c>
      <c r="F37" s="257">
        <f t="shared" si="3"/>
        <v>93.75</v>
      </c>
      <c r="H37" s="4">
        <f>SUM(H38:H41)</f>
        <v>1</v>
      </c>
      <c r="I37" s="257">
        <f t="shared" si="4"/>
        <v>6.25</v>
      </c>
      <c r="K37" s="4">
        <f>SUM(K38:K41)</f>
        <v>0</v>
      </c>
      <c r="L37" s="257">
        <f t="shared" si="1"/>
        <v>0</v>
      </c>
      <c r="M37" s="4"/>
    </row>
    <row r="38" spans="1:13" ht="12.95" customHeight="1">
      <c r="A38" s="4" t="s">
        <v>37</v>
      </c>
      <c r="B38" s="500">
        <f t="shared" si="0"/>
        <v>3</v>
      </c>
      <c r="C38" s="257">
        <f t="shared" si="2"/>
        <v>0.20891364902506965</v>
      </c>
      <c r="D38" s="4"/>
      <c r="E38" s="453">
        <v>3</v>
      </c>
      <c r="F38" s="257">
        <f t="shared" si="3"/>
        <v>100</v>
      </c>
      <c r="G38" s="453"/>
      <c r="H38" s="453">
        <v>0</v>
      </c>
      <c r="I38" s="257">
        <f t="shared" si="4"/>
        <v>0</v>
      </c>
      <c r="J38" s="453"/>
      <c r="K38" s="453">
        <v>0</v>
      </c>
      <c r="L38" s="257">
        <f t="shared" si="1"/>
        <v>0</v>
      </c>
      <c r="M38" s="4"/>
    </row>
    <row r="39" spans="1:13" ht="12.95" customHeight="1">
      <c r="A39" s="4" t="s">
        <v>38</v>
      </c>
      <c r="B39" s="500">
        <f t="shared" si="0"/>
        <v>7</v>
      </c>
      <c r="C39" s="257">
        <f t="shared" si="2"/>
        <v>0.48746518105849584</v>
      </c>
      <c r="D39" s="4"/>
      <c r="E39" s="453">
        <v>6</v>
      </c>
      <c r="F39" s="257">
        <f t="shared" si="3"/>
        <v>85.714285714285708</v>
      </c>
      <c r="G39" s="453"/>
      <c r="H39" s="453">
        <v>1</v>
      </c>
      <c r="I39" s="257">
        <f t="shared" si="4"/>
        <v>14.285714285714285</v>
      </c>
      <c r="J39" s="453"/>
      <c r="K39" s="453">
        <v>0</v>
      </c>
      <c r="L39" s="257">
        <f t="shared" si="1"/>
        <v>0</v>
      </c>
      <c r="M39" s="4"/>
    </row>
    <row r="40" spans="1:13" ht="12.95" customHeight="1">
      <c r="A40" s="4" t="s">
        <v>39</v>
      </c>
      <c r="B40" s="500">
        <f t="shared" si="0"/>
        <v>5</v>
      </c>
      <c r="C40" s="257">
        <f t="shared" si="2"/>
        <v>0.34818941504178275</v>
      </c>
      <c r="D40" s="4"/>
      <c r="E40" s="453">
        <v>5</v>
      </c>
      <c r="F40" s="257">
        <f t="shared" si="3"/>
        <v>100</v>
      </c>
      <c r="G40" s="453"/>
      <c r="H40" s="453">
        <v>0</v>
      </c>
      <c r="I40" s="257">
        <f t="shared" si="4"/>
        <v>0</v>
      </c>
      <c r="J40" s="453"/>
      <c r="K40" s="453">
        <v>0</v>
      </c>
      <c r="L40" s="257">
        <f t="shared" si="1"/>
        <v>0</v>
      </c>
      <c r="M40" s="4"/>
    </row>
    <row r="41" spans="1:13" ht="12.95" customHeight="1">
      <c r="A41" s="4" t="s">
        <v>40</v>
      </c>
      <c r="B41" s="500">
        <f t="shared" si="0"/>
        <v>1</v>
      </c>
      <c r="C41" s="257">
        <f t="shared" si="2"/>
        <v>6.9637883008356549E-2</v>
      </c>
      <c r="D41" s="4"/>
      <c r="E41" s="453">
        <v>1</v>
      </c>
      <c r="F41" s="257">
        <f t="shared" si="3"/>
        <v>100</v>
      </c>
      <c r="G41" s="453"/>
      <c r="H41" s="453">
        <v>0</v>
      </c>
      <c r="I41" s="257">
        <f t="shared" si="4"/>
        <v>0</v>
      </c>
      <c r="J41" s="453"/>
      <c r="K41" s="453">
        <v>0</v>
      </c>
      <c r="L41" s="257">
        <f t="shared" si="1"/>
        <v>0</v>
      </c>
      <c r="M41" s="4"/>
    </row>
    <row r="42" spans="1:13" ht="6.75" customHeight="1">
      <c r="A42" s="4"/>
      <c r="B42" s="500" t="str">
        <f t="shared" si="0"/>
        <v/>
      </c>
      <c r="C42" s="257" t="str">
        <f t="shared" si="2"/>
        <v/>
      </c>
      <c r="D42" s="4"/>
      <c r="E42" s="4"/>
      <c r="F42" s="257" t="str">
        <f t="shared" si="3"/>
        <v/>
      </c>
      <c r="H42" s="501"/>
      <c r="I42" s="257" t="str">
        <f t="shared" si="4"/>
        <v/>
      </c>
      <c r="L42" s="257" t="str">
        <f t="shared" si="1"/>
        <v/>
      </c>
      <c r="M42" s="4"/>
    </row>
    <row r="43" spans="1:13" ht="12.95" customHeight="1">
      <c r="A43" s="4" t="s">
        <v>41</v>
      </c>
      <c r="B43" s="500">
        <f t="shared" si="0"/>
        <v>29</v>
      </c>
      <c r="C43" s="257">
        <f t="shared" si="2"/>
        <v>2.01949860724234</v>
      </c>
      <c r="D43" s="4"/>
      <c r="E43" s="4">
        <f>SUM(E44:E52)</f>
        <v>28</v>
      </c>
      <c r="F43" s="257">
        <f t="shared" si="3"/>
        <v>96.551724137931032</v>
      </c>
      <c r="H43" s="501">
        <f>SUM(H44:H52)</f>
        <v>1</v>
      </c>
      <c r="I43" s="257">
        <f t="shared" si="4"/>
        <v>3.4482758620689653</v>
      </c>
      <c r="K43" s="4">
        <f>SUM(K44:K52)</f>
        <v>0</v>
      </c>
      <c r="L43" s="257">
        <f t="shared" si="1"/>
        <v>0</v>
      </c>
      <c r="M43" s="4"/>
    </row>
    <row r="44" spans="1:13" ht="12.95" hidden="1" customHeight="1">
      <c r="A44" s="4" t="s">
        <v>1144</v>
      </c>
      <c r="B44" s="500">
        <f t="shared" si="0"/>
        <v>0</v>
      </c>
      <c r="C44" s="257">
        <f t="shared" si="2"/>
        <v>0</v>
      </c>
      <c r="D44" s="4"/>
      <c r="E44" s="4"/>
      <c r="F44" s="257" t="e">
        <f t="shared" si="3"/>
        <v>#DIV/0!</v>
      </c>
      <c r="H44" s="501"/>
      <c r="I44" s="257" t="e">
        <f t="shared" si="4"/>
        <v>#DIV/0!</v>
      </c>
      <c r="L44" s="257" t="e">
        <f t="shared" si="1"/>
        <v>#DIV/0!</v>
      </c>
      <c r="M44" s="4"/>
    </row>
    <row r="45" spans="1:13" ht="12.95" customHeight="1">
      <c r="A45" s="4" t="s">
        <v>330</v>
      </c>
      <c r="B45" s="500">
        <f t="shared" si="0"/>
        <v>1</v>
      </c>
      <c r="C45" s="257">
        <f t="shared" si="2"/>
        <v>6.9637883008356549E-2</v>
      </c>
      <c r="D45" s="4"/>
      <c r="E45" s="453">
        <v>1</v>
      </c>
      <c r="F45" s="257">
        <f t="shared" si="3"/>
        <v>100</v>
      </c>
      <c r="G45" s="453"/>
      <c r="H45" s="453">
        <v>0</v>
      </c>
      <c r="I45" s="257">
        <f t="shared" si="4"/>
        <v>0</v>
      </c>
      <c r="J45" s="453"/>
      <c r="K45" s="453">
        <v>0</v>
      </c>
      <c r="L45" s="257">
        <f t="shared" si="1"/>
        <v>0</v>
      </c>
      <c r="M45" s="4"/>
    </row>
    <row r="46" spans="1:13" ht="12.95" customHeight="1">
      <c r="A46" s="4" t="s">
        <v>42</v>
      </c>
      <c r="B46" s="500">
        <f t="shared" si="0"/>
        <v>7</v>
      </c>
      <c r="C46" s="257">
        <f t="shared" si="2"/>
        <v>0.48746518105849584</v>
      </c>
      <c r="D46" s="4"/>
      <c r="E46" s="453">
        <v>7</v>
      </c>
      <c r="F46" s="257">
        <f t="shared" si="3"/>
        <v>100</v>
      </c>
      <c r="G46" s="453"/>
      <c r="H46" s="453">
        <v>0</v>
      </c>
      <c r="I46" s="257">
        <f t="shared" si="4"/>
        <v>0</v>
      </c>
      <c r="J46" s="453"/>
      <c r="K46" s="453">
        <v>0</v>
      </c>
      <c r="L46" s="257">
        <f t="shared" si="1"/>
        <v>0</v>
      </c>
      <c r="M46" s="4"/>
    </row>
    <row r="47" spans="1:13" ht="12.95" hidden="1" customHeight="1">
      <c r="A47" s="4" t="s">
        <v>43</v>
      </c>
      <c r="B47" s="500">
        <f t="shared" si="0"/>
        <v>0</v>
      </c>
      <c r="C47" s="257">
        <f t="shared" si="2"/>
        <v>0</v>
      </c>
      <c r="D47" s="4"/>
      <c r="E47" s="97"/>
      <c r="F47" s="257" t="e">
        <f t="shared" si="3"/>
        <v>#DIV/0!</v>
      </c>
      <c r="G47" s="97"/>
      <c r="H47" s="97"/>
      <c r="I47" s="257" t="e">
        <f t="shared" si="4"/>
        <v>#DIV/0!</v>
      </c>
      <c r="J47" s="97"/>
      <c r="K47" s="97"/>
      <c r="L47" s="257" t="e">
        <f t="shared" si="1"/>
        <v>#DIV/0!</v>
      </c>
      <c r="M47" s="4"/>
    </row>
    <row r="48" spans="1:13" ht="12.95" customHeight="1">
      <c r="A48" s="4" t="s">
        <v>44</v>
      </c>
      <c r="B48" s="500">
        <f t="shared" si="0"/>
        <v>1</v>
      </c>
      <c r="C48" s="257">
        <f t="shared" si="2"/>
        <v>6.9637883008356549E-2</v>
      </c>
      <c r="D48" s="4"/>
      <c r="E48" s="453">
        <v>1</v>
      </c>
      <c r="F48" s="257">
        <f t="shared" si="3"/>
        <v>100</v>
      </c>
      <c r="G48" s="453"/>
      <c r="H48" s="453">
        <v>0</v>
      </c>
      <c r="I48" s="257">
        <f t="shared" si="4"/>
        <v>0</v>
      </c>
      <c r="J48" s="453"/>
      <c r="K48" s="453">
        <v>0</v>
      </c>
      <c r="L48" s="257">
        <f t="shared" si="1"/>
        <v>0</v>
      </c>
      <c r="M48" s="4"/>
    </row>
    <row r="49" spans="1:13" ht="12.95" hidden="1" customHeight="1">
      <c r="A49" s="4" t="s">
        <v>439</v>
      </c>
      <c r="B49" s="500">
        <f t="shared" si="0"/>
        <v>0</v>
      </c>
      <c r="C49" s="257">
        <f t="shared" si="2"/>
        <v>0</v>
      </c>
      <c r="D49" s="4"/>
      <c r="E49" s="97"/>
      <c r="F49" s="257" t="e">
        <f t="shared" si="3"/>
        <v>#DIV/0!</v>
      </c>
      <c r="G49" s="97"/>
      <c r="H49" s="97"/>
      <c r="I49" s="257" t="e">
        <f t="shared" si="4"/>
        <v>#DIV/0!</v>
      </c>
      <c r="J49" s="97"/>
      <c r="K49" s="97"/>
      <c r="L49" s="257" t="e">
        <f t="shared" si="1"/>
        <v>#DIV/0!</v>
      </c>
      <c r="M49" s="4"/>
    </row>
    <row r="50" spans="1:13" ht="12.95" customHeight="1">
      <c r="A50" s="4" t="s">
        <v>48</v>
      </c>
      <c r="B50" s="500">
        <f t="shared" si="0"/>
        <v>12</v>
      </c>
      <c r="C50" s="257">
        <f t="shared" si="2"/>
        <v>0.83565459610027859</v>
      </c>
      <c r="D50" s="4"/>
      <c r="E50" s="453">
        <v>12</v>
      </c>
      <c r="F50" s="257">
        <f t="shared" si="3"/>
        <v>100</v>
      </c>
      <c r="G50" s="453"/>
      <c r="H50" s="453">
        <v>0</v>
      </c>
      <c r="I50" s="257">
        <f t="shared" si="4"/>
        <v>0</v>
      </c>
      <c r="J50" s="453"/>
      <c r="K50" s="453">
        <v>0</v>
      </c>
      <c r="L50" s="257">
        <f t="shared" si="1"/>
        <v>0</v>
      </c>
      <c r="M50" s="4"/>
    </row>
    <row r="51" spans="1:13" ht="12.95" customHeight="1">
      <c r="A51" s="4" t="s">
        <v>47</v>
      </c>
      <c r="B51" s="500">
        <f t="shared" si="0"/>
        <v>3</v>
      </c>
      <c r="C51" s="257">
        <f t="shared" si="2"/>
        <v>0.20891364902506965</v>
      </c>
      <c r="D51" s="4"/>
      <c r="E51" s="453">
        <v>3</v>
      </c>
      <c r="F51" s="257">
        <f t="shared" si="3"/>
        <v>100</v>
      </c>
      <c r="G51" s="453"/>
      <c r="H51" s="453">
        <v>0</v>
      </c>
      <c r="I51" s="257">
        <f t="shared" si="4"/>
        <v>0</v>
      </c>
      <c r="J51" s="453"/>
      <c r="K51" s="453">
        <v>0</v>
      </c>
      <c r="L51" s="257">
        <f t="shared" si="1"/>
        <v>0</v>
      </c>
      <c r="M51" s="4"/>
    </row>
    <row r="52" spans="1:13" ht="12.95" customHeight="1">
      <c r="A52" s="4" t="s">
        <v>46</v>
      </c>
      <c r="B52" s="500">
        <f t="shared" si="0"/>
        <v>5</v>
      </c>
      <c r="C52" s="257">
        <f t="shared" si="2"/>
        <v>0.34818941504178275</v>
      </c>
      <c r="D52" s="4"/>
      <c r="E52" s="453">
        <v>4</v>
      </c>
      <c r="F52" s="257">
        <f t="shared" si="3"/>
        <v>80</v>
      </c>
      <c r="G52" s="453"/>
      <c r="H52" s="453">
        <v>1</v>
      </c>
      <c r="I52" s="257">
        <f t="shared" si="4"/>
        <v>20</v>
      </c>
      <c r="J52" s="453"/>
      <c r="K52" s="453">
        <v>0</v>
      </c>
      <c r="L52" s="257">
        <f t="shared" si="1"/>
        <v>0</v>
      </c>
      <c r="M52" s="4"/>
    </row>
    <row r="53" spans="1:13" ht="6.75" customHeight="1">
      <c r="A53" s="4"/>
      <c r="B53" s="500" t="str">
        <f t="shared" si="0"/>
        <v/>
      </c>
      <c r="C53" s="257" t="str">
        <f t="shared" si="2"/>
        <v/>
      </c>
      <c r="D53" s="4"/>
      <c r="E53" s="4"/>
      <c r="F53" s="257" t="str">
        <f t="shared" si="3"/>
        <v/>
      </c>
      <c r="H53" s="501"/>
      <c r="I53" s="257" t="str">
        <f t="shared" si="4"/>
        <v/>
      </c>
      <c r="L53" s="257" t="str">
        <f t="shared" si="1"/>
        <v/>
      </c>
      <c r="M53" s="4"/>
    </row>
    <row r="54" spans="1:13" ht="12.95" hidden="1" customHeight="1">
      <c r="A54" s="4" t="s">
        <v>50</v>
      </c>
      <c r="B54" s="500">
        <f t="shared" si="0"/>
        <v>0</v>
      </c>
      <c r="C54" s="257">
        <f t="shared" si="2"/>
        <v>0</v>
      </c>
      <c r="D54" s="4"/>
      <c r="E54" s="4"/>
      <c r="F54" s="257" t="e">
        <f t="shared" si="3"/>
        <v>#DIV/0!</v>
      </c>
      <c r="H54" s="501"/>
      <c r="I54" s="257" t="e">
        <f t="shared" si="4"/>
        <v>#DIV/0!</v>
      </c>
      <c r="L54" s="257" t="e">
        <f t="shared" si="1"/>
        <v>#DIV/0!</v>
      </c>
      <c r="M54" s="4"/>
    </row>
    <row r="55" spans="1:13" ht="6.75" hidden="1" customHeight="1">
      <c r="A55" s="4"/>
      <c r="B55" s="500" t="str">
        <f t="shared" si="0"/>
        <v/>
      </c>
      <c r="C55" s="257" t="str">
        <f t="shared" si="2"/>
        <v/>
      </c>
      <c r="D55" s="4"/>
      <c r="E55" s="4"/>
      <c r="F55" s="257" t="str">
        <f t="shared" si="3"/>
        <v/>
      </c>
      <c r="H55" s="501"/>
      <c r="I55" s="257" t="str">
        <f t="shared" si="4"/>
        <v/>
      </c>
      <c r="L55" s="257" t="str">
        <f t="shared" si="1"/>
        <v/>
      </c>
      <c r="M55" s="4"/>
    </row>
    <row r="56" spans="1:13" ht="12.95" customHeight="1">
      <c r="A56" s="4" t="s">
        <v>51</v>
      </c>
      <c r="B56" s="500">
        <f t="shared" si="0"/>
        <v>10</v>
      </c>
      <c r="C56" s="257">
        <f t="shared" si="2"/>
        <v>0.69637883008356549</v>
      </c>
      <c r="D56" s="4"/>
      <c r="E56" s="4">
        <f>SUM(E57:E62)</f>
        <v>10</v>
      </c>
      <c r="F56" s="257">
        <f t="shared" si="3"/>
        <v>100</v>
      </c>
      <c r="H56" s="501">
        <f>SUM(H57:H62)</f>
        <v>0</v>
      </c>
      <c r="I56" s="257">
        <f t="shared" si="4"/>
        <v>0</v>
      </c>
      <c r="K56" s="4">
        <f>SUM(K57:K62)</f>
        <v>0</v>
      </c>
      <c r="L56" s="257">
        <f t="shared" si="1"/>
        <v>0</v>
      </c>
      <c r="M56" s="4"/>
    </row>
    <row r="57" spans="1:13" ht="12.95" hidden="1" customHeight="1">
      <c r="A57" s="4" t="s">
        <v>1145</v>
      </c>
      <c r="B57" s="500">
        <f t="shared" si="0"/>
        <v>0</v>
      </c>
      <c r="C57" s="257">
        <f t="shared" si="2"/>
        <v>0</v>
      </c>
      <c r="D57" s="4"/>
      <c r="E57" s="4"/>
      <c r="F57" s="257" t="e">
        <f t="shared" si="3"/>
        <v>#DIV/0!</v>
      </c>
      <c r="H57" s="501"/>
      <c r="I57" s="257" t="e">
        <f t="shared" si="4"/>
        <v>#DIV/0!</v>
      </c>
      <c r="L57" s="257" t="e">
        <f t="shared" si="1"/>
        <v>#DIV/0!</v>
      </c>
      <c r="M57" s="4"/>
    </row>
    <row r="58" spans="1:13" ht="12.95" hidden="1" customHeight="1">
      <c r="A58" s="4" t="s">
        <v>52</v>
      </c>
      <c r="B58" s="500">
        <f t="shared" si="0"/>
        <v>0</v>
      </c>
      <c r="C58" s="257">
        <f t="shared" si="2"/>
        <v>0</v>
      </c>
      <c r="D58" s="4"/>
      <c r="E58"/>
      <c r="F58" s="257" t="e">
        <f t="shared" si="3"/>
        <v>#DIV/0!</v>
      </c>
      <c r="G58"/>
      <c r="H58">
        <v>0</v>
      </c>
      <c r="I58" s="257" t="e">
        <f t="shared" si="4"/>
        <v>#DIV/0!</v>
      </c>
      <c r="J58"/>
      <c r="K58">
        <v>0</v>
      </c>
      <c r="L58" s="257" t="e">
        <f t="shared" si="1"/>
        <v>#DIV/0!</v>
      </c>
      <c r="M58" s="4"/>
    </row>
    <row r="59" spans="1:13" ht="12.95" customHeight="1">
      <c r="A59" s="4" t="s">
        <v>53</v>
      </c>
      <c r="B59" s="500">
        <f t="shared" si="0"/>
        <v>6</v>
      </c>
      <c r="C59" s="257">
        <f t="shared" si="2"/>
        <v>0.4178272980501393</v>
      </c>
      <c r="D59" s="4"/>
      <c r="E59" s="453">
        <v>6</v>
      </c>
      <c r="F59" s="257">
        <f t="shared" si="3"/>
        <v>100</v>
      </c>
      <c r="G59" s="453"/>
      <c r="H59" s="453">
        <v>0</v>
      </c>
      <c r="I59" s="257">
        <f t="shared" si="4"/>
        <v>0</v>
      </c>
      <c r="J59" s="453"/>
      <c r="K59" s="453">
        <v>0</v>
      </c>
      <c r="L59" s="257">
        <f t="shared" si="1"/>
        <v>0</v>
      </c>
      <c r="M59" s="4"/>
    </row>
    <row r="60" spans="1:13" ht="12.95" hidden="1" customHeight="1">
      <c r="A60" s="4" t="s">
        <v>1146</v>
      </c>
      <c r="B60" s="500">
        <f t="shared" si="0"/>
        <v>0</v>
      </c>
      <c r="C60" s="257">
        <f t="shared" si="2"/>
        <v>0</v>
      </c>
      <c r="D60" s="4"/>
      <c r="E60" s="97"/>
      <c r="F60" s="257" t="e">
        <f t="shared" si="3"/>
        <v>#DIV/0!</v>
      </c>
      <c r="G60" s="97"/>
      <c r="H60" s="97"/>
      <c r="I60" s="257" t="e">
        <f t="shared" si="4"/>
        <v>#DIV/0!</v>
      </c>
      <c r="J60" s="97"/>
      <c r="K60" s="97"/>
      <c r="L60" s="257" t="e">
        <f t="shared" si="1"/>
        <v>#DIV/0!</v>
      </c>
      <c r="M60" s="4"/>
    </row>
    <row r="61" spans="1:13" ht="12.95" customHeight="1">
      <c r="A61" s="4" t="s">
        <v>1147</v>
      </c>
      <c r="B61" s="500">
        <f>IF(A61&lt;&gt;"",E61+H61+K61,"")</f>
        <v>4</v>
      </c>
      <c r="C61" s="257">
        <f t="shared" si="2"/>
        <v>0.2785515320334262</v>
      </c>
      <c r="D61" s="4"/>
      <c r="E61" s="453">
        <v>4</v>
      </c>
      <c r="F61" s="257">
        <f t="shared" si="3"/>
        <v>100</v>
      </c>
      <c r="G61" s="453"/>
      <c r="H61" s="453">
        <v>0</v>
      </c>
      <c r="I61" s="257">
        <f t="shared" si="4"/>
        <v>0</v>
      </c>
      <c r="J61" s="453"/>
      <c r="K61" s="453">
        <v>0</v>
      </c>
      <c r="L61" s="257">
        <f t="shared" si="1"/>
        <v>0</v>
      </c>
      <c r="M61" s="4"/>
    </row>
    <row r="62" spans="1:13" ht="12.95" hidden="1" customHeight="1">
      <c r="A62" s="4" t="s">
        <v>56</v>
      </c>
      <c r="B62" s="500">
        <f t="shared" si="0"/>
        <v>0</v>
      </c>
      <c r="C62" s="257">
        <f t="shared" si="2"/>
        <v>0</v>
      </c>
      <c r="D62" s="4"/>
      <c r="E62" s="531"/>
      <c r="F62" s="257" t="e">
        <f t="shared" si="3"/>
        <v>#DIV/0!</v>
      </c>
      <c r="G62" s="531"/>
      <c r="H62" s="531"/>
      <c r="I62" s="257" t="e">
        <f t="shared" si="4"/>
        <v>#DIV/0!</v>
      </c>
      <c r="J62" s="531"/>
      <c r="K62" s="531"/>
      <c r="L62" s="257" t="e">
        <f t="shared" si="1"/>
        <v>#DIV/0!</v>
      </c>
      <c r="M62" s="4"/>
    </row>
    <row r="63" spans="1:13" ht="7.5" customHeight="1">
      <c r="A63" s="4"/>
      <c r="B63" s="500" t="str">
        <f t="shared" si="0"/>
        <v/>
      </c>
      <c r="C63" s="257" t="str">
        <f t="shared" si="2"/>
        <v/>
      </c>
      <c r="D63" s="4"/>
      <c r="E63" s="4"/>
      <c r="F63" s="257" t="str">
        <f t="shared" si="3"/>
        <v/>
      </c>
      <c r="H63" s="501"/>
      <c r="I63" s="257" t="str">
        <f t="shared" si="4"/>
        <v/>
      </c>
      <c r="L63" s="257" t="str">
        <f t="shared" si="1"/>
        <v/>
      </c>
      <c r="M63" s="4"/>
    </row>
    <row r="64" spans="1:13" ht="12.95" customHeight="1">
      <c r="A64" s="9" t="s">
        <v>333</v>
      </c>
      <c r="B64" s="500">
        <f t="shared" si="0"/>
        <v>79</v>
      </c>
      <c r="C64" s="257">
        <f t="shared" si="2"/>
        <v>5.5013927576601676</v>
      </c>
      <c r="D64" s="4"/>
      <c r="E64" s="4">
        <f>SUM(E65+E73+E75)</f>
        <v>66</v>
      </c>
      <c r="F64" s="257">
        <f t="shared" si="3"/>
        <v>83.544303797468359</v>
      </c>
      <c r="H64" s="4">
        <f>SUM(H65+H73+H75)</f>
        <v>13</v>
      </c>
      <c r="I64" s="257">
        <f t="shared" si="4"/>
        <v>16.455696202531644</v>
      </c>
      <c r="K64" s="4">
        <f>SUM(K65+K73+K75)</f>
        <v>0</v>
      </c>
      <c r="L64" s="257">
        <f t="shared" si="1"/>
        <v>0</v>
      </c>
      <c r="M64" s="4"/>
    </row>
    <row r="65" spans="1:13" ht="12.95" customHeight="1">
      <c r="A65" s="4" t="s">
        <v>60</v>
      </c>
      <c r="B65" s="500">
        <f t="shared" si="0"/>
        <v>50</v>
      </c>
      <c r="C65" s="257">
        <f t="shared" si="2"/>
        <v>3.4818941504178276</v>
      </c>
      <c r="D65" s="4"/>
      <c r="E65" s="4">
        <f>SUM(E66:E71)</f>
        <v>42</v>
      </c>
      <c r="F65" s="257">
        <f t="shared" si="3"/>
        <v>84</v>
      </c>
      <c r="H65" s="4">
        <f>SUM(H66:H71)</f>
        <v>8</v>
      </c>
      <c r="I65" s="257">
        <f t="shared" si="4"/>
        <v>16</v>
      </c>
      <c r="K65" s="4">
        <f>SUM(K66:K71)</f>
        <v>0</v>
      </c>
      <c r="L65" s="257">
        <f t="shared" si="1"/>
        <v>0</v>
      </c>
      <c r="M65" s="4"/>
    </row>
    <row r="66" spans="1:13" ht="12.95" hidden="1" customHeight="1">
      <c r="A66" s="4" t="s">
        <v>1148</v>
      </c>
      <c r="B66" s="500">
        <f t="shared" si="0"/>
        <v>0</v>
      </c>
      <c r="C66" s="257">
        <f t="shared" si="2"/>
        <v>0</v>
      </c>
      <c r="D66" s="4"/>
      <c r="E66" s="4"/>
      <c r="F66" s="257" t="e">
        <f t="shared" si="3"/>
        <v>#DIV/0!</v>
      </c>
      <c r="H66" s="501"/>
      <c r="I66" s="257" t="e">
        <f t="shared" si="4"/>
        <v>#DIV/0!</v>
      </c>
      <c r="L66" s="257" t="e">
        <f t="shared" si="1"/>
        <v>#DIV/0!</v>
      </c>
      <c r="M66" s="4"/>
    </row>
    <row r="67" spans="1:13" ht="12.95" customHeight="1">
      <c r="A67" s="4" t="s">
        <v>61</v>
      </c>
      <c r="B67" s="500">
        <f t="shared" si="0"/>
        <v>17</v>
      </c>
      <c r="C67" s="257">
        <f t="shared" si="2"/>
        <v>1.1838440111420612</v>
      </c>
      <c r="D67" s="4"/>
      <c r="E67" s="453">
        <v>15</v>
      </c>
      <c r="F67" s="257">
        <f t="shared" si="3"/>
        <v>88.235294117647058</v>
      </c>
      <c r="G67" s="453"/>
      <c r="H67" s="453">
        <v>2</v>
      </c>
      <c r="I67" s="257">
        <f t="shared" si="4"/>
        <v>11.76470588235294</v>
      </c>
      <c r="J67" s="453"/>
      <c r="K67" s="453">
        <v>0</v>
      </c>
      <c r="L67" s="257">
        <f t="shared" si="1"/>
        <v>0</v>
      </c>
      <c r="M67" s="4"/>
    </row>
    <row r="68" spans="1:13" ht="12.95" customHeight="1">
      <c r="A68" s="4" t="s">
        <v>62</v>
      </c>
      <c r="B68" s="500">
        <f t="shared" si="0"/>
        <v>18</v>
      </c>
      <c r="C68" s="257">
        <f t="shared" si="2"/>
        <v>1.2534818941504178</v>
      </c>
      <c r="D68" s="4"/>
      <c r="E68" s="453">
        <v>17</v>
      </c>
      <c r="F68" s="257">
        <f t="shared" si="3"/>
        <v>94.444444444444443</v>
      </c>
      <c r="G68" s="453"/>
      <c r="H68" s="453">
        <v>1</v>
      </c>
      <c r="I68" s="257">
        <f t="shared" si="4"/>
        <v>5.5555555555555554</v>
      </c>
      <c r="J68" s="453"/>
      <c r="K68" s="453">
        <v>0</v>
      </c>
      <c r="L68" s="257">
        <f t="shared" si="1"/>
        <v>0</v>
      </c>
      <c r="M68" s="4"/>
    </row>
    <row r="69" spans="1:13" ht="12.95" customHeight="1">
      <c r="A69" s="4" t="s">
        <v>64</v>
      </c>
      <c r="B69" s="500">
        <f t="shared" si="0"/>
        <v>6</v>
      </c>
      <c r="C69" s="257">
        <f t="shared" si="2"/>
        <v>0.4178272980501393</v>
      </c>
      <c r="D69" s="4"/>
      <c r="E69" s="453">
        <v>5</v>
      </c>
      <c r="F69" s="257">
        <f t="shared" si="3"/>
        <v>83.333333333333343</v>
      </c>
      <c r="G69" s="453"/>
      <c r="H69" s="453">
        <v>1</v>
      </c>
      <c r="I69" s="257">
        <f t="shared" si="4"/>
        <v>16.666666666666664</v>
      </c>
      <c r="J69" s="453"/>
      <c r="K69" s="453">
        <v>0</v>
      </c>
      <c r="L69" s="257">
        <f t="shared" si="1"/>
        <v>0</v>
      </c>
      <c r="M69" s="4"/>
    </row>
    <row r="70" spans="1:13" ht="12.95" customHeight="1">
      <c r="A70" s="4" t="s">
        <v>1149</v>
      </c>
      <c r="B70" s="500">
        <f t="shared" si="0"/>
        <v>4</v>
      </c>
      <c r="C70" s="257">
        <f t="shared" si="2"/>
        <v>0.2785515320334262</v>
      </c>
      <c r="D70" s="4"/>
      <c r="E70" s="453">
        <v>1</v>
      </c>
      <c r="F70" s="257">
        <f t="shared" si="3"/>
        <v>25</v>
      </c>
      <c r="G70" s="453"/>
      <c r="H70" s="453">
        <v>3</v>
      </c>
      <c r="I70" s="257">
        <f t="shared" si="4"/>
        <v>75</v>
      </c>
      <c r="J70" s="453"/>
      <c r="K70" s="453">
        <v>0</v>
      </c>
      <c r="L70" s="257">
        <f t="shared" si="1"/>
        <v>0</v>
      </c>
      <c r="M70" s="4"/>
    </row>
    <row r="71" spans="1:13" ht="12.95" customHeight="1">
      <c r="A71" s="4" t="s">
        <v>63</v>
      </c>
      <c r="B71" s="500">
        <f t="shared" si="0"/>
        <v>5</v>
      </c>
      <c r="C71" s="257">
        <f t="shared" si="2"/>
        <v>0.34818941504178275</v>
      </c>
      <c r="D71" s="4"/>
      <c r="E71" s="453">
        <v>4</v>
      </c>
      <c r="F71" s="257">
        <f t="shared" si="3"/>
        <v>80</v>
      </c>
      <c r="G71" s="453"/>
      <c r="H71" s="453">
        <v>1</v>
      </c>
      <c r="I71" s="257">
        <f t="shared" si="4"/>
        <v>20</v>
      </c>
      <c r="J71" s="453"/>
      <c r="K71" s="453">
        <v>0</v>
      </c>
      <c r="L71" s="257">
        <f t="shared" si="1"/>
        <v>0</v>
      </c>
      <c r="M71" s="4"/>
    </row>
    <row r="72" spans="1:13" ht="9" customHeight="1">
      <c r="A72" s="4"/>
      <c r="B72" s="500" t="str">
        <f t="shared" si="0"/>
        <v/>
      </c>
      <c r="C72" s="257" t="str">
        <f t="shared" si="2"/>
        <v/>
      </c>
      <c r="D72" s="4"/>
      <c r="E72" s="97"/>
      <c r="F72" s="257" t="str">
        <f t="shared" si="3"/>
        <v/>
      </c>
      <c r="G72" s="97"/>
      <c r="H72" s="97"/>
      <c r="I72" s="257" t="str">
        <f t="shared" si="4"/>
        <v/>
      </c>
      <c r="J72" s="97"/>
      <c r="K72" s="97"/>
      <c r="L72" s="257" t="str">
        <f t="shared" si="1"/>
        <v/>
      </c>
      <c r="M72" s="4"/>
    </row>
    <row r="73" spans="1:13" ht="12.95" customHeight="1">
      <c r="A73" s="4" t="s">
        <v>66</v>
      </c>
      <c r="B73" s="500">
        <f t="shared" si="0"/>
        <v>2</v>
      </c>
      <c r="C73" s="257">
        <f t="shared" si="2"/>
        <v>0.1392757660167131</v>
      </c>
      <c r="D73" s="4"/>
      <c r="E73" s="453">
        <v>1</v>
      </c>
      <c r="F73" s="257">
        <f t="shared" si="3"/>
        <v>50</v>
      </c>
      <c r="G73" s="453"/>
      <c r="H73" s="453">
        <v>1</v>
      </c>
      <c r="I73" s="257">
        <f t="shared" si="4"/>
        <v>50</v>
      </c>
      <c r="J73" s="453"/>
      <c r="K73" s="453">
        <v>0</v>
      </c>
      <c r="L73" s="257">
        <f t="shared" si="1"/>
        <v>0</v>
      </c>
      <c r="M73" s="4"/>
    </row>
    <row r="74" spans="1:13" ht="9" customHeight="1">
      <c r="A74" s="4"/>
      <c r="B74" s="500" t="str">
        <f t="shared" si="0"/>
        <v/>
      </c>
      <c r="C74" s="257" t="str">
        <f t="shared" si="2"/>
        <v/>
      </c>
      <c r="D74" s="4"/>
      <c r="E74" s="97"/>
      <c r="F74" s="257" t="str">
        <f t="shared" si="3"/>
        <v/>
      </c>
      <c r="G74" s="97"/>
      <c r="H74" s="97"/>
      <c r="I74" s="257" t="str">
        <f t="shared" si="4"/>
        <v/>
      </c>
      <c r="J74" s="97"/>
      <c r="K74" s="97"/>
      <c r="L74" s="257" t="str">
        <f t="shared" si="1"/>
        <v/>
      </c>
      <c r="M74" s="4"/>
    </row>
    <row r="75" spans="1:13" ht="12.95" customHeight="1">
      <c r="A75" s="4" t="s">
        <v>67</v>
      </c>
      <c r="B75" s="500">
        <f t="shared" si="0"/>
        <v>27</v>
      </c>
      <c r="C75" s="257">
        <f t="shared" si="2"/>
        <v>1.8802228412256268</v>
      </c>
      <c r="D75" s="4"/>
      <c r="E75" s="453">
        <v>23</v>
      </c>
      <c r="F75" s="257">
        <f t="shared" si="3"/>
        <v>85.18518518518519</v>
      </c>
      <c r="G75" s="453"/>
      <c r="H75" s="453">
        <v>4</v>
      </c>
      <c r="I75" s="257">
        <f t="shared" si="4"/>
        <v>14.814814814814813</v>
      </c>
      <c r="J75" s="453"/>
      <c r="K75" s="453">
        <v>0</v>
      </c>
      <c r="L75" s="257">
        <f t="shared" si="1"/>
        <v>0</v>
      </c>
      <c r="M75" s="4"/>
    </row>
    <row r="76" spans="1:13" ht="10.5" customHeight="1">
      <c r="B76" s="500" t="str">
        <f t="shared" ref="B76:B99" si="5">IF(A76&lt;&gt;"",E76+H76+K76,"")</f>
        <v/>
      </c>
      <c r="C76" s="4"/>
      <c r="D76" s="4"/>
      <c r="E76" s="4"/>
      <c r="F76" s="257" t="str">
        <f t="shared" si="3"/>
        <v/>
      </c>
      <c r="H76" s="399"/>
      <c r="I76" s="257" t="str">
        <f t="shared" si="4"/>
        <v/>
      </c>
      <c r="L76" s="257" t="str">
        <f t="shared" ref="L76:L137" si="6">IF($A76&lt;&gt;"",K76/$B76*100,"")</f>
        <v/>
      </c>
    </row>
    <row r="77" spans="1:13" ht="12.95" customHeight="1">
      <c r="A77" s="9" t="s">
        <v>396</v>
      </c>
      <c r="B77" s="500">
        <f t="shared" si="5"/>
        <v>73</v>
      </c>
      <c r="C77" s="257">
        <f t="shared" si="2"/>
        <v>5.0835654596100284</v>
      </c>
      <c r="D77" s="4"/>
      <c r="E77" s="4">
        <f>SUM(E78)</f>
        <v>50</v>
      </c>
      <c r="F77" s="257">
        <f t="shared" ref="F77:F98" si="7">IF($A77&lt;&gt;"",E77/$B77*100,"")</f>
        <v>68.493150684931507</v>
      </c>
      <c r="H77" s="501">
        <f>SUM(H78)</f>
        <v>12</v>
      </c>
      <c r="I77" s="257">
        <f t="shared" ref="I77:I98" si="8">IF($A77&lt;&gt;"",H77/$B77*100,"")</f>
        <v>16.43835616438356</v>
      </c>
      <c r="K77" s="4">
        <f>SUM(K78)</f>
        <v>11</v>
      </c>
      <c r="L77" s="257">
        <f t="shared" si="6"/>
        <v>15.068493150684931</v>
      </c>
      <c r="M77" s="4"/>
    </row>
    <row r="78" spans="1:13" ht="12.95" customHeight="1">
      <c r="A78" s="4" t="s">
        <v>75</v>
      </c>
      <c r="B78" s="500">
        <f t="shared" si="5"/>
        <v>73</v>
      </c>
      <c r="C78" s="257">
        <f t="shared" ref="C78:C107" si="9">IF(A78&lt;&gt;0,B78/$B$11*100,"")</f>
        <v>5.0835654596100284</v>
      </c>
      <c r="D78" s="4"/>
      <c r="E78" s="4">
        <f>SUM(E79:E88)</f>
        <v>50</v>
      </c>
      <c r="F78" s="257">
        <f t="shared" si="7"/>
        <v>68.493150684931507</v>
      </c>
      <c r="H78" s="4">
        <f>SUM(H79:H88)</f>
        <v>12</v>
      </c>
      <c r="I78" s="257">
        <f t="shared" si="8"/>
        <v>16.43835616438356</v>
      </c>
      <c r="K78" s="4">
        <f>SUM(K79:K88)</f>
        <v>11</v>
      </c>
      <c r="L78" s="257">
        <f t="shared" si="6"/>
        <v>15.068493150684931</v>
      </c>
      <c r="M78" s="4"/>
    </row>
    <row r="79" spans="1:13" ht="12.95" hidden="1" customHeight="1">
      <c r="A79" s="4" t="s">
        <v>1151</v>
      </c>
      <c r="B79" s="500">
        <f t="shared" si="5"/>
        <v>0</v>
      </c>
      <c r="C79" s="257">
        <f t="shared" si="9"/>
        <v>0</v>
      </c>
      <c r="D79" s="4"/>
      <c r="E79" s="4"/>
      <c r="F79" s="257" t="e">
        <f t="shared" si="7"/>
        <v>#DIV/0!</v>
      </c>
      <c r="H79" s="501"/>
      <c r="I79" s="257" t="e">
        <f t="shared" si="8"/>
        <v>#DIV/0!</v>
      </c>
      <c r="L79" s="257" t="e">
        <f t="shared" si="6"/>
        <v>#DIV/0!</v>
      </c>
      <c r="M79" s="4"/>
    </row>
    <row r="80" spans="1:13" ht="12.95" customHeight="1">
      <c r="A80" s="4" t="s">
        <v>76</v>
      </c>
      <c r="B80" s="500">
        <f t="shared" si="5"/>
        <v>25</v>
      </c>
      <c r="C80" s="257">
        <f t="shared" si="9"/>
        <v>1.7409470752089138</v>
      </c>
      <c r="D80" s="4"/>
      <c r="E80" s="453">
        <v>18</v>
      </c>
      <c r="F80" s="257">
        <f t="shared" si="7"/>
        <v>72</v>
      </c>
      <c r="G80" s="453"/>
      <c r="H80" s="453">
        <v>3</v>
      </c>
      <c r="I80" s="257">
        <f t="shared" si="8"/>
        <v>12</v>
      </c>
      <c r="J80" s="453"/>
      <c r="K80" s="453">
        <v>4</v>
      </c>
      <c r="L80" s="257">
        <f t="shared" si="6"/>
        <v>16</v>
      </c>
      <c r="M80" s="4"/>
    </row>
    <row r="81" spans="1:13" ht="12.95" customHeight="1">
      <c r="A81" s="4" t="s">
        <v>78</v>
      </c>
      <c r="B81" s="500">
        <f t="shared" si="5"/>
        <v>13</v>
      </c>
      <c r="C81" s="257">
        <f t="shared" si="9"/>
        <v>0.90529247910863508</v>
      </c>
      <c r="D81" s="4"/>
      <c r="E81" s="453">
        <v>5</v>
      </c>
      <c r="F81" s="257">
        <f t="shared" si="7"/>
        <v>38.461538461538467</v>
      </c>
      <c r="G81" s="453"/>
      <c r="H81" s="453">
        <v>2</v>
      </c>
      <c r="I81" s="257">
        <f t="shared" si="8"/>
        <v>15.384615384615385</v>
      </c>
      <c r="J81" s="453"/>
      <c r="K81" s="453">
        <v>6</v>
      </c>
      <c r="L81" s="257">
        <f t="shared" si="6"/>
        <v>46.153846153846153</v>
      </c>
      <c r="M81" s="4"/>
    </row>
    <row r="82" spans="1:13" ht="12.95" customHeight="1">
      <c r="A82" s="4" t="s">
        <v>80</v>
      </c>
      <c r="B82" s="500">
        <f t="shared" si="5"/>
        <v>7</v>
      </c>
      <c r="C82" s="257">
        <f t="shared" si="9"/>
        <v>0.48746518105849584</v>
      </c>
      <c r="D82" s="4"/>
      <c r="E82" s="453">
        <v>7</v>
      </c>
      <c r="F82" s="257">
        <f t="shared" si="7"/>
        <v>100</v>
      </c>
      <c r="G82" s="453"/>
      <c r="H82" s="453">
        <v>0</v>
      </c>
      <c r="I82" s="257">
        <f t="shared" si="8"/>
        <v>0</v>
      </c>
      <c r="J82" s="453"/>
      <c r="K82" s="453">
        <v>0</v>
      </c>
      <c r="L82" s="257">
        <f t="shared" si="6"/>
        <v>0</v>
      </c>
      <c r="M82" s="4"/>
    </row>
    <row r="83" spans="1:13" ht="12.95" hidden="1" customHeight="1">
      <c r="A83" s="4" t="s">
        <v>79</v>
      </c>
      <c r="B83" s="500">
        <f t="shared" si="5"/>
        <v>0</v>
      </c>
      <c r="C83" s="257">
        <f t="shared" si="9"/>
        <v>0</v>
      </c>
      <c r="D83" s="4"/>
      <c r="E83" s="453"/>
      <c r="F83" s="257" t="e">
        <f t="shared" si="7"/>
        <v>#DIV/0!</v>
      </c>
      <c r="G83" s="453"/>
      <c r="H83" s="453"/>
      <c r="I83" s="257" t="e">
        <f t="shared" si="8"/>
        <v>#DIV/0!</v>
      </c>
      <c r="J83" s="453"/>
      <c r="K83" s="453"/>
      <c r="L83" s="257" t="e">
        <f t="shared" si="6"/>
        <v>#DIV/0!</v>
      </c>
      <c r="M83" s="4"/>
    </row>
    <row r="84" spans="1:13" ht="12.95" customHeight="1">
      <c r="A84" s="4" t="s">
        <v>77</v>
      </c>
      <c r="B84" s="500">
        <f t="shared" si="5"/>
        <v>7</v>
      </c>
      <c r="C84" s="257">
        <f t="shared" si="9"/>
        <v>0.48746518105849584</v>
      </c>
      <c r="D84" s="4"/>
      <c r="E84" s="453">
        <v>3</v>
      </c>
      <c r="F84" s="257">
        <f t="shared" si="7"/>
        <v>42.857142857142854</v>
      </c>
      <c r="G84" s="453"/>
      <c r="H84" s="453">
        <v>3</v>
      </c>
      <c r="I84" s="257">
        <f t="shared" si="8"/>
        <v>42.857142857142854</v>
      </c>
      <c r="J84" s="453"/>
      <c r="K84" s="453">
        <v>1</v>
      </c>
      <c r="L84" s="257">
        <f t="shared" si="6"/>
        <v>14.285714285714285</v>
      </c>
      <c r="M84" s="4"/>
    </row>
    <row r="85" spans="1:13" ht="12.95" customHeight="1">
      <c r="A85" s="4" t="s">
        <v>339</v>
      </c>
      <c r="B85" s="500">
        <f t="shared" si="5"/>
        <v>5</v>
      </c>
      <c r="C85" s="257">
        <f t="shared" si="9"/>
        <v>0.34818941504178275</v>
      </c>
      <c r="D85" s="4"/>
      <c r="E85" s="453">
        <v>4</v>
      </c>
      <c r="F85" s="257">
        <f t="shared" si="7"/>
        <v>80</v>
      </c>
      <c r="G85" s="453"/>
      <c r="H85" s="453">
        <v>1</v>
      </c>
      <c r="I85" s="257">
        <f t="shared" si="8"/>
        <v>20</v>
      </c>
      <c r="J85" s="453"/>
      <c r="K85" s="453">
        <v>0</v>
      </c>
      <c r="L85" s="257">
        <f t="shared" si="6"/>
        <v>0</v>
      </c>
      <c r="M85" s="4"/>
    </row>
    <row r="86" spans="1:13" ht="12.95" customHeight="1">
      <c r="A86" s="4" t="s">
        <v>81</v>
      </c>
      <c r="B86" s="500">
        <f t="shared" si="5"/>
        <v>7</v>
      </c>
      <c r="C86" s="257">
        <f t="shared" si="9"/>
        <v>0.48746518105849584</v>
      </c>
      <c r="D86" s="4"/>
      <c r="E86" s="453">
        <v>6</v>
      </c>
      <c r="F86" s="257">
        <f t="shared" si="7"/>
        <v>85.714285714285708</v>
      </c>
      <c r="G86" s="453"/>
      <c r="H86" s="453">
        <v>1</v>
      </c>
      <c r="I86" s="257">
        <f t="shared" si="8"/>
        <v>14.285714285714285</v>
      </c>
      <c r="J86" s="453"/>
      <c r="K86" s="453">
        <v>0</v>
      </c>
      <c r="L86" s="257">
        <f t="shared" si="6"/>
        <v>0</v>
      </c>
      <c r="M86" s="4"/>
    </row>
    <row r="87" spans="1:13" ht="12.95" customHeight="1">
      <c r="A87" s="4" t="s">
        <v>1152</v>
      </c>
      <c r="B87" s="500">
        <f t="shared" si="5"/>
        <v>2</v>
      </c>
      <c r="C87" s="257"/>
      <c r="D87" s="4"/>
      <c r="E87" s="453">
        <v>2</v>
      </c>
      <c r="F87" s="257">
        <f t="shared" si="7"/>
        <v>100</v>
      </c>
      <c r="G87" s="453"/>
      <c r="H87" s="453">
        <v>0</v>
      </c>
      <c r="I87" s="257">
        <f t="shared" si="8"/>
        <v>0</v>
      </c>
      <c r="J87" s="453"/>
      <c r="K87" s="453">
        <v>0</v>
      </c>
      <c r="L87" s="257">
        <f t="shared" si="6"/>
        <v>0</v>
      </c>
      <c r="M87" s="4"/>
    </row>
    <row r="88" spans="1:13" ht="12.95" customHeight="1">
      <c r="A88" s="4" t="s">
        <v>1153</v>
      </c>
      <c r="B88" s="500">
        <f t="shared" si="5"/>
        <v>7</v>
      </c>
      <c r="C88" s="257">
        <f t="shared" si="9"/>
        <v>0.48746518105849584</v>
      </c>
      <c r="D88" s="4"/>
      <c r="E88" s="453">
        <v>5</v>
      </c>
      <c r="F88" s="257">
        <f t="shared" si="7"/>
        <v>71.428571428571431</v>
      </c>
      <c r="G88" s="453"/>
      <c r="H88" s="453">
        <v>2</v>
      </c>
      <c r="I88" s="257">
        <f t="shared" si="8"/>
        <v>28.571428571428569</v>
      </c>
      <c r="J88" s="453"/>
      <c r="K88" s="453">
        <v>0</v>
      </c>
      <c r="L88" s="257">
        <f t="shared" si="6"/>
        <v>0</v>
      </c>
      <c r="M88" s="4"/>
    </row>
    <row r="89" spans="1:13" ht="12.95" customHeight="1">
      <c r="A89" s="4"/>
      <c r="B89" s="500" t="str">
        <f t="shared" si="5"/>
        <v/>
      </c>
      <c r="C89" s="257" t="str">
        <f t="shared" si="9"/>
        <v/>
      </c>
      <c r="D89" s="4"/>
      <c r="E89" s="532"/>
      <c r="F89" s="257" t="str">
        <f t="shared" si="7"/>
        <v/>
      </c>
      <c r="G89" s="532"/>
      <c r="H89" s="533"/>
      <c r="I89" s="257" t="str">
        <f t="shared" si="8"/>
        <v/>
      </c>
      <c r="J89" s="533"/>
      <c r="K89" s="533"/>
      <c r="L89" s="257" t="str">
        <f t="shared" si="6"/>
        <v/>
      </c>
      <c r="M89" s="4"/>
    </row>
    <row r="90" spans="1:13" ht="12.95" hidden="1" customHeight="1">
      <c r="A90" s="9" t="s">
        <v>336</v>
      </c>
      <c r="B90" s="500">
        <f t="shared" si="5"/>
        <v>0</v>
      </c>
      <c r="C90" s="257">
        <f t="shared" si="9"/>
        <v>0</v>
      </c>
      <c r="D90" s="4"/>
      <c r="E90" s="4"/>
      <c r="F90" s="257" t="e">
        <f t="shared" si="7"/>
        <v>#DIV/0!</v>
      </c>
      <c r="H90" s="501">
        <f>SUM(H91)</f>
        <v>0</v>
      </c>
      <c r="I90" s="257" t="e">
        <f t="shared" si="8"/>
        <v>#DIV/0!</v>
      </c>
      <c r="K90" s="4">
        <f>SUM(K91)</f>
        <v>0</v>
      </c>
      <c r="L90" s="257" t="e">
        <f t="shared" si="6"/>
        <v>#DIV/0!</v>
      </c>
      <c r="M90" s="4"/>
    </row>
    <row r="91" spans="1:13" ht="12.95" hidden="1" customHeight="1">
      <c r="A91" s="4" t="s">
        <v>337</v>
      </c>
      <c r="B91" s="500">
        <f t="shared" si="5"/>
        <v>0</v>
      </c>
      <c r="C91" s="257">
        <f t="shared" si="9"/>
        <v>0</v>
      </c>
      <c r="D91" s="4"/>
      <c r="E91" s="4">
        <f>SUM(E92:E95)</f>
        <v>0</v>
      </c>
      <c r="F91" s="257" t="e">
        <f t="shared" si="7"/>
        <v>#DIV/0!</v>
      </c>
      <c r="H91" s="4">
        <f>SUM(H92:H95)</f>
        <v>0</v>
      </c>
      <c r="I91" s="257" t="e">
        <f t="shared" si="8"/>
        <v>#DIV/0!</v>
      </c>
      <c r="K91" s="4">
        <f>SUM(K92:K95)</f>
        <v>0</v>
      </c>
      <c r="L91" s="257" t="e">
        <f t="shared" si="6"/>
        <v>#DIV/0!</v>
      </c>
      <c r="M91" s="4"/>
    </row>
    <row r="92" spans="1:13" ht="12.95" hidden="1" customHeight="1">
      <c r="A92" s="4" t="s">
        <v>1250</v>
      </c>
      <c r="B92" s="500">
        <f t="shared" si="5"/>
        <v>0</v>
      </c>
      <c r="C92" s="257">
        <f t="shared" si="9"/>
        <v>0</v>
      </c>
      <c r="D92" s="4"/>
      <c r="E92" s="532">
        <v>0</v>
      </c>
      <c r="F92" s="257" t="e">
        <f t="shared" si="7"/>
        <v>#DIV/0!</v>
      </c>
      <c r="G92" s="532"/>
      <c r="H92" s="533"/>
      <c r="I92" s="257" t="e">
        <f t="shared" si="8"/>
        <v>#DIV/0!</v>
      </c>
      <c r="J92" s="533"/>
      <c r="K92" s="533">
        <v>0</v>
      </c>
      <c r="L92" s="257" t="e">
        <f t="shared" si="6"/>
        <v>#DIV/0!</v>
      </c>
      <c r="M92" s="4"/>
    </row>
    <row r="93" spans="1:13" ht="12.95" hidden="1" customHeight="1">
      <c r="A93" s="4" t="s">
        <v>1251</v>
      </c>
      <c r="B93" s="500">
        <f t="shared" si="5"/>
        <v>0</v>
      </c>
      <c r="C93" s="257">
        <f t="shared" si="9"/>
        <v>0</v>
      </c>
      <c r="D93" s="4"/>
      <c r="E93" s="532"/>
      <c r="F93" s="257" t="e">
        <f t="shared" si="7"/>
        <v>#DIV/0!</v>
      </c>
      <c r="G93" s="532"/>
      <c r="H93" s="533"/>
      <c r="I93" s="257" t="e">
        <f t="shared" si="8"/>
        <v>#DIV/0!</v>
      </c>
      <c r="J93" s="533"/>
      <c r="K93" s="533"/>
      <c r="L93" s="257" t="e">
        <f t="shared" si="6"/>
        <v>#DIV/0!</v>
      </c>
      <c r="M93" s="4"/>
    </row>
    <row r="94" spans="1:13" ht="12.95" hidden="1" customHeight="1">
      <c r="A94" s="4" t="s">
        <v>1252</v>
      </c>
      <c r="B94" s="500">
        <f t="shared" si="5"/>
        <v>0</v>
      </c>
      <c r="C94" s="257">
        <f t="shared" si="9"/>
        <v>0</v>
      </c>
      <c r="D94" s="4"/>
      <c r="E94" s="4"/>
      <c r="F94" s="257" t="e">
        <f t="shared" si="7"/>
        <v>#DIV/0!</v>
      </c>
      <c r="H94" s="501"/>
      <c r="I94" s="257" t="e">
        <f t="shared" si="8"/>
        <v>#DIV/0!</v>
      </c>
      <c r="L94" s="257" t="e">
        <f t="shared" si="6"/>
        <v>#DIV/0!</v>
      </c>
      <c r="M94" s="4"/>
    </row>
    <row r="95" spans="1:13" ht="12.95" hidden="1" customHeight="1">
      <c r="A95" s="4" t="s">
        <v>70</v>
      </c>
      <c r="B95" s="500">
        <f t="shared" si="5"/>
        <v>0</v>
      </c>
      <c r="C95" s="257">
        <f t="shared" si="9"/>
        <v>0</v>
      </c>
      <c r="D95" s="4"/>
      <c r="E95" s="4"/>
      <c r="F95" s="257" t="e">
        <f t="shared" si="7"/>
        <v>#DIV/0!</v>
      </c>
      <c r="H95" s="501"/>
      <c r="I95" s="257" t="e">
        <f t="shared" si="8"/>
        <v>#DIV/0!</v>
      </c>
      <c r="L95" s="257" t="e">
        <f t="shared" si="6"/>
        <v>#DIV/0!</v>
      </c>
      <c r="M95" s="4"/>
    </row>
    <row r="96" spans="1:13" ht="12.95" hidden="1" customHeight="1">
      <c r="A96" s="4"/>
      <c r="B96" s="500" t="str">
        <f t="shared" si="5"/>
        <v/>
      </c>
      <c r="C96" s="257" t="str">
        <f t="shared" si="9"/>
        <v/>
      </c>
      <c r="D96" s="4"/>
      <c r="E96" s="4"/>
      <c r="F96" s="257" t="str">
        <f t="shared" si="7"/>
        <v/>
      </c>
      <c r="H96" s="501"/>
      <c r="I96" s="257" t="str">
        <f t="shared" si="8"/>
        <v/>
      </c>
      <c r="L96" s="257" t="str">
        <f t="shared" si="6"/>
        <v/>
      </c>
      <c r="M96" s="4"/>
    </row>
    <row r="97" spans="1:13" ht="12.95" customHeight="1">
      <c r="A97" s="4" t="s">
        <v>1157</v>
      </c>
      <c r="B97" s="500">
        <f t="shared" si="5"/>
        <v>7</v>
      </c>
      <c r="C97" s="257">
        <f t="shared" si="9"/>
        <v>0.48746518105849584</v>
      </c>
      <c r="D97" s="4"/>
      <c r="E97" s="453">
        <v>7</v>
      </c>
      <c r="F97" s="257">
        <f t="shared" si="7"/>
        <v>100</v>
      </c>
      <c r="G97" s="453"/>
      <c r="H97" s="453">
        <v>0</v>
      </c>
      <c r="I97" s="257">
        <f t="shared" si="8"/>
        <v>0</v>
      </c>
      <c r="J97" s="453"/>
      <c r="K97" s="453">
        <v>0</v>
      </c>
      <c r="L97" s="257">
        <f t="shared" si="6"/>
        <v>0</v>
      </c>
      <c r="M97" s="4"/>
    </row>
    <row r="98" spans="1:13" ht="12.95" customHeight="1">
      <c r="A98" s="4" t="s">
        <v>340</v>
      </c>
      <c r="B98" s="500">
        <f t="shared" si="5"/>
        <v>6</v>
      </c>
      <c r="C98" s="257">
        <f t="shared" si="9"/>
        <v>0.4178272980501393</v>
      </c>
      <c r="D98" s="4"/>
      <c r="E98" s="453">
        <v>6</v>
      </c>
      <c r="F98" s="257">
        <f t="shared" si="7"/>
        <v>100</v>
      </c>
      <c r="G98" s="453"/>
      <c r="H98" s="453">
        <v>0</v>
      </c>
      <c r="I98" s="257">
        <f t="shared" si="8"/>
        <v>0</v>
      </c>
      <c r="J98" s="453"/>
      <c r="K98" s="453">
        <v>0</v>
      </c>
      <c r="L98" s="257">
        <f t="shared" si="6"/>
        <v>0</v>
      </c>
      <c r="M98" s="4"/>
    </row>
    <row r="99" spans="1:13" ht="12.95" hidden="1" customHeight="1">
      <c r="A99" s="4" t="s">
        <v>15</v>
      </c>
      <c r="B99" s="500">
        <f t="shared" si="5"/>
        <v>0</v>
      </c>
      <c r="C99" s="257">
        <f>IF(A99&lt;&gt;0,B99/$B$11*100,"")</f>
        <v>0</v>
      </c>
      <c r="D99" s="4"/>
      <c r="E99" s="532"/>
      <c r="F99" s="257" t="e">
        <f>IF($A99&lt;&gt;"",E99/$B99*100,"")</f>
        <v>#DIV/0!</v>
      </c>
      <c r="G99" s="532"/>
      <c r="H99" s="533">
        <v>0</v>
      </c>
      <c r="I99" s="257" t="e">
        <f>IF($A99&lt;&gt;"",H99/$B99*100,"")</f>
        <v>#DIV/0!</v>
      </c>
      <c r="J99" s="533"/>
      <c r="K99"/>
      <c r="L99" s="257" t="e">
        <f t="shared" si="6"/>
        <v>#DIV/0!</v>
      </c>
      <c r="M99" s="4"/>
    </row>
    <row r="100" spans="1:13" ht="12.95" customHeight="1">
      <c r="A100" s="97"/>
      <c r="B100" s="97" t="str">
        <f>IF(A100&lt;&gt;"",E100+H100+K100+#REF!,"")</f>
        <v/>
      </c>
      <c r="C100" s="413" t="str">
        <f t="shared" si="9"/>
        <v/>
      </c>
      <c r="D100" s="97"/>
      <c r="E100" s="97"/>
      <c r="F100" s="413"/>
      <c r="G100" s="97"/>
      <c r="H100" s="399"/>
      <c r="I100" s="413" t="str">
        <f>IF($A100&lt;&gt;"",H100/$B100*100,"")</f>
        <v/>
      </c>
      <c r="J100" s="97"/>
      <c r="K100" s="97"/>
      <c r="L100" s="413" t="str">
        <f t="shared" si="6"/>
        <v/>
      </c>
      <c r="M100" s="97"/>
    </row>
    <row r="101" spans="1:13" ht="12.95" customHeight="1">
      <c r="A101" s="9" t="s">
        <v>1158</v>
      </c>
      <c r="B101" s="500">
        <f t="shared" ref="B101:B107" si="10">IF(A101&lt;&gt;"",E101+H101+K101,"")</f>
        <v>1000</v>
      </c>
      <c r="C101" s="257">
        <f t="shared" si="9"/>
        <v>69.637883008356553</v>
      </c>
      <c r="D101" s="4"/>
      <c r="E101" s="4">
        <f>SUM(E103+E123+E174)</f>
        <v>847</v>
      </c>
      <c r="F101" s="257">
        <f>IF($A101&lt;&gt;"",E101/$B101*100,"")</f>
        <v>84.7</v>
      </c>
      <c r="H101" s="4">
        <f>SUM(H103+H123+H174)</f>
        <v>142</v>
      </c>
      <c r="I101" s="257">
        <f>IF($A101&lt;&gt;"",H101/$B101*100,"")</f>
        <v>14.2</v>
      </c>
      <c r="K101" s="4">
        <f>SUM(K103+K123+K174)</f>
        <v>11</v>
      </c>
      <c r="L101" s="257">
        <f t="shared" ref="L101:L107" si="11">IF($A101&lt;&gt;"",K101/$B101*100,"")</f>
        <v>1.0999999999999999</v>
      </c>
      <c r="M101" s="4"/>
    </row>
    <row r="102" spans="1:13" ht="12.95" customHeight="1">
      <c r="A102" s="4"/>
      <c r="B102" s="500" t="str">
        <f t="shared" si="10"/>
        <v/>
      </c>
      <c r="C102" s="257" t="str">
        <f t="shared" si="9"/>
        <v/>
      </c>
      <c r="D102" s="4"/>
      <c r="E102" s="4"/>
      <c r="F102" s="257" t="str">
        <f>IF($A102&lt;&gt;"",E102/$B102*100,"")</f>
        <v/>
      </c>
      <c r="H102" s="501"/>
      <c r="I102" s="257" t="str">
        <f>IF($A102&lt;&gt;"",H102/$B102*100,"")</f>
        <v/>
      </c>
      <c r="L102" s="257" t="str">
        <f t="shared" si="11"/>
        <v/>
      </c>
      <c r="M102" s="4"/>
    </row>
    <row r="103" spans="1:13" ht="12.95" customHeight="1">
      <c r="A103" s="4" t="s">
        <v>1159</v>
      </c>
      <c r="B103" s="500">
        <f t="shared" si="10"/>
        <v>53</v>
      </c>
      <c r="C103" s="257">
        <f t="shared" si="9"/>
        <v>3.6908077994428967</v>
      </c>
      <c r="D103" s="4"/>
      <c r="E103" s="4">
        <f>SUM(E104:E115)</f>
        <v>30</v>
      </c>
      <c r="F103" s="257">
        <f>IF($A103&lt;&gt;"",E103/$B103*100,"")</f>
        <v>56.60377358490566</v>
      </c>
      <c r="H103" s="501">
        <f>SUM(H104:H108)</f>
        <v>16</v>
      </c>
      <c r="I103" s="257">
        <f>IF($A103&lt;&gt;"",H103/$B103*100,"")</f>
        <v>30.188679245283019</v>
      </c>
      <c r="K103" s="4">
        <f>SUM(K104:K108)</f>
        <v>7</v>
      </c>
      <c r="L103" s="257">
        <f t="shared" si="11"/>
        <v>13.20754716981132</v>
      </c>
      <c r="M103" s="4"/>
    </row>
    <row r="104" spans="1:13" ht="12.95" customHeight="1">
      <c r="A104" s="4" t="s">
        <v>1160</v>
      </c>
      <c r="B104" s="500">
        <f t="shared" si="10"/>
        <v>29</v>
      </c>
      <c r="C104" s="257">
        <f t="shared" si="9"/>
        <v>2.01949860724234</v>
      </c>
      <c r="D104" s="4"/>
      <c r="E104" s="453">
        <v>12</v>
      </c>
      <c r="F104" s="257">
        <f t="shared" ref="F104:F107" si="12">IF($A104&lt;&gt;"",E104/$B104*100,"")</f>
        <v>41.379310344827587</v>
      </c>
      <c r="G104" s="453"/>
      <c r="H104" s="453">
        <v>12</v>
      </c>
      <c r="I104" s="257">
        <f t="shared" ref="I104:I107" si="13">IF($A104&lt;&gt;"",H104/$B104*100,"")</f>
        <v>41.379310344827587</v>
      </c>
      <c r="J104" s="453"/>
      <c r="K104" s="453">
        <v>5</v>
      </c>
      <c r="L104" s="257">
        <f t="shared" si="11"/>
        <v>17.241379310344829</v>
      </c>
      <c r="M104" s="4"/>
    </row>
    <row r="105" spans="1:13" ht="12.95" customHeight="1">
      <c r="A105" s="4" t="s">
        <v>1161</v>
      </c>
      <c r="B105" s="500">
        <f t="shared" si="10"/>
        <v>10</v>
      </c>
      <c r="C105" s="257">
        <f t="shared" si="9"/>
        <v>0.69637883008356549</v>
      </c>
      <c r="D105" s="4"/>
      <c r="E105" s="453">
        <v>5</v>
      </c>
      <c r="F105" s="257">
        <f t="shared" si="12"/>
        <v>50</v>
      </c>
      <c r="G105" s="453"/>
      <c r="H105" s="453">
        <v>3</v>
      </c>
      <c r="I105" s="257">
        <f t="shared" si="13"/>
        <v>30</v>
      </c>
      <c r="J105" s="453"/>
      <c r="K105" s="453">
        <v>2</v>
      </c>
      <c r="L105" s="257">
        <f t="shared" si="11"/>
        <v>20</v>
      </c>
      <c r="M105" s="4"/>
    </row>
    <row r="106" spans="1:13" ht="12.95" customHeight="1">
      <c r="A106" s="4" t="s">
        <v>1162</v>
      </c>
      <c r="B106" s="500">
        <f t="shared" si="10"/>
        <v>3</v>
      </c>
      <c r="C106" s="257">
        <f t="shared" si="9"/>
        <v>0.20891364902506965</v>
      </c>
      <c r="D106" s="4"/>
      <c r="E106" s="453">
        <v>2</v>
      </c>
      <c r="F106" s="257">
        <f t="shared" si="12"/>
        <v>66.666666666666657</v>
      </c>
      <c r="G106" s="453"/>
      <c r="H106" s="453">
        <v>1</v>
      </c>
      <c r="I106" s="257">
        <f t="shared" si="13"/>
        <v>33.333333333333329</v>
      </c>
      <c r="J106" s="453"/>
      <c r="K106" s="453">
        <v>0</v>
      </c>
      <c r="L106" s="257">
        <f t="shared" si="11"/>
        <v>0</v>
      </c>
      <c r="M106" s="4"/>
    </row>
    <row r="107" spans="1:13" ht="12.95" customHeight="1">
      <c r="A107" s="4" t="s">
        <v>491</v>
      </c>
      <c r="B107" s="500">
        <f t="shared" si="10"/>
        <v>11</v>
      </c>
      <c r="C107" s="257">
        <f t="shared" si="9"/>
        <v>0.76601671309192199</v>
      </c>
      <c r="D107" s="4"/>
      <c r="E107" s="453">
        <v>11</v>
      </c>
      <c r="F107" s="257">
        <f t="shared" si="12"/>
        <v>100</v>
      </c>
      <c r="G107" s="453"/>
      <c r="H107" s="453">
        <v>0</v>
      </c>
      <c r="I107" s="257">
        <f t="shared" si="13"/>
        <v>0</v>
      </c>
      <c r="J107" s="453"/>
      <c r="K107" s="453">
        <v>0</v>
      </c>
      <c r="L107" s="257">
        <f t="shared" si="11"/>
        <v>0</v>
      </c>
      <c r="M107" s="4"/>
    </row>
    <row r="108" spans="1:13" ht="12.95" customHeight="1" thickBot="1">
      <c r="A108" s="165"/>
      <c r="B108" s="165"/>
      <c r="C108" s="504"/>
      <c r="D108" s="165"/>
      <c r="E108" s="165"/>
      <c r="F108" s="504"/>
      <c r="G108" s="165"/>
      <c r="H108" s="534"/>
      <c r="I108" s="504"/>
      <c r="J108" s="165"/>
      <c r="K108" s="165"/>
      <c r="L108" s="504"/>
      <c r="M108" s="165"/>
    </row>
    <row r="109" spans="1:13" ht="12.95" customHeight="1">
      <c r="A109" s="4"/>
      <c r="B109" s="4"/>
      <c r="C109" s="257"/>
      <c r="D109" s="4"/>
      <c r="E109" s="4"/>
      <c r="H109" s="501"/>
      <c r="L109" s="257"/>
      <c r="M109" s="4"/>
    </row>
    <row r="110" spans="1:13" ht="12.95" customHeight="1">
      <c r="A110" s="4"/>
      <c r="B110" s="4"/>
      <c r="C110" s="257"/>
      <c r="D110" s="4"/>
      <c r="E110" s="4"/>
      <c r="H110" s="501"/>
      <c r="L110" s="257"/>
      <c r="M110" s="4"/>
    </row>
    <row r="111" spans="1:13" ht="12.95" customHeight="1">
      <c r="A111" s="4"/>
      <c r="B111" s="4"/>
      <c r="C111" s="257"/>
      <c r="D111" s="4"/>
      <c r="E111" s="4"/>
      <c r="H111" s="501"/>
      <c r="L111" s="257"/>
      <c r="M111" s="4"/>
    </row>
    <row r="112" spans="1:13" ht="12.95" customHeight="1">
      <c r="A112" s="4"/>
      <c r="B112" s="4"/>
      <c r="C112" s="257"/>
      <c r="D112" s="4"/>
      <c r="E112" s="4"/>
      <c r="H112" s="501"/>
      <c r="L112" s="257"/>
      <c r="M112" s="4"/>
    </row>
    <row r="113" spans="1:13" ht="12.95" customHeight="1">
      <c r="A113" s="4"/>
      <c r="B113" s="4"/>
      <c r="C113" s="257"/>
      <c r="D113" s="4"/>
      <c r="E113" s="4"/>
      <c r="H113" s="501"/>
      <c r="L113" s="257"/>
      <c r="M113" s="4"/>
    </row>
    <row r="114" spans="1:13" ht="12.95" customHeight="1">
      <c r="A114" s="4"/>
      <c r="B114" s="4"/>
      <c r="C114" s="257"/>
      <c r="D114" s="4"/>
      <c r="E114" s="4"/>
      <c r="H114" s="501"/>
      <c r="L114" s="257"/>
      <c r="M114" s="4"/>
    </row>
    <row r="115" spans="1:13" ht="12.95" customHeight="1" thickBot="1">
      <c r="B115" s="523"/>
      <c r="C115" s="523"/>
      <c r="D115" s="523"/>
      <c r="E115" s="523"/>
      <c r="F115" s="525"/>
      <c r="G115" s="523"/>
      <c r="H115" s="535"/>
      <c r="I115" s="525"/>
      <c r="J115" s="523"/>
      <c r="K115" s="523"/>
      <c r="L115" s="523"/>
      <c r="M115" s="524"/>
    </row>
    <row r="116" spans="1:13" ht="12.95" customHeight="1">
      <c r="A116" s="237"/>
      <c r="B116" s="463"/>
      <c r="C116" s="463"/>
      <c r="D116" s="463"/>
      <c r="E116" s="463"/>
      <c r="F116" s="485"/>
      <c r="G116" s="463"/>
      <c r="H116" s="536"/>
      <c r="I116" s="485"/>
      <c r="J116" s="463"/>
      <c r="K116" s="463"/>
      <c r="L116" s="463"/>
      <c r="M116" s="237"/>
    </row>
    <row r="117" spans="1:13" ht="12.95" customHeight="1">
      <c r="A117" s="42" t="s">
        <v>4</v>
      </c>
      <c r="B117" s="1281" t="s">
        <v>413</v>
      </c>
      <c r="C117" s="1281"/>
      <c r="D117" s="97"/>
      <c r="E117" s="1281" t="s">
        <v>1245</v>
      </c>
      <c r="F117" s="1281"/>
      <c r="G117" s="97"/>
      <c r="H117" s="1299" t="s">
        <v>1246</v>
      </c>
      <c r="I117" s="1299"/>
      <c r="J117" s="97"/>
      <c r="K117" s="1281" t="s">
        <v>1247</v>
      </c>
      <c r="L117" s="1281"/>
      <c r="M117" s="95"/>
    </row>
    <row r="118" spans="1:13" ht="12.95" customHeight="1">
      <c r="A118" s="95" t="s">
        <v>1248</v>
      </c>
      <c r="B118" s="491" t="s">
        <v>1140</v>
      </c>
      <c r="C118" s="492" t="s">
        <v>324</v>
      </c>
      <c r="D118" s="115"/>
      <c r="E118" s="491" t="s">
        <v>1140</v>
      </c>
      <c r="F118" s="489" t="s">
        <v>324</v>
      </c>
      <c r="G118" s="115"/>
      <c r="H118" s="537" t="s">
        <v>1140</v>
      </c>
      <c r="I118" s="489" t="s">
        <v>324</v>
      </c>
      <c r="J118" s="115"/>
      <c r="K118" s="491" t="s">
        <v>1140</v>
      </c>
      <c r="L118" s="492" t="s">
        <v>324</v>
      </c>
      <c r="M118" s="242"/>
    </row>
    <row r="119" spans="1:13" ht="12.95" customHeight="1" thickBot="1">
      <c r="A119" s="249"/>
      <c r="B119" s="511"/>
      <c r="C119" s="495"/>
      <c r="D119" s="495"/>
      <c r="E119" s="511"/>
      <c r="F119" s="494"/>
      <c r="G119" s="495"/>
      <c r="H119" s="538"/>
      <c r="I119" s="494"/>
      <c r="J119" s="495"/>
      <c r="K119" s="511"/>
      <c r="L119" s="495"/>
      <c r="M119" s="529"/>
    </row>
    <row r="120" spans="1:13" ht="12.95" customHeight="1">
      <c r="B120" s="4"/>
      <c r="C120" s="4"/>
      <c r="D120" s="4"/>
      <c r="E120" s="4"/>
      <c r="H120" s="399"/>
      <c r="I120" s="413"/>
      <c r="L120" s="4"/>
    </row>
    <row r="121" spans="1:13" ht="14.1" hidden="1" customHeight="1">
      <c r="A121" s="4" t="s">
        <v>1253</v>
      </c>
      <c r="B121" s="500">
        <f t="shared" ref="B121:B181" si="14">IF(A121&lt;&gt;"",E121+H121+K121,"")</f>
        <v>0</v>
      </c>
      <c r="C121" s="257">
        <f t="shared" ref="C121:C181" si="15">IF(A121&lt;&gt;0,B121/$B$11*100,"")</f>
        <v>0</v>
      </c>
      <c r="D121" s="4"/>
      <c r="E121" s="539"/>
      <c r="F121" s="257" t="e">
        <f t="shared" ref="F121:F180" si="16">IF($A121&lt;&gt;"",E121/$B121*100,"")</f>
        <v>#DIV/0!</v>
      </c>
      <c r="G121" s="539"/>
      <c r="H121" s="539"/>
      <c r="I121" s="257" t="e">
        <f t="shared" ref="I121:I180" si="17">IF($A121&lt;&gt;"",H121/$B121*100,"")</f>
        <v>#DIV/0!</v>
      </c>
      <c r="J121" s="539"/>
      <c r="K121" s="45"/>
      <c r="L121" s="257" t="e">
        <f t="shared" si="6"/>
        <v>#DIV/0!</v>
      </c>
      <c r="M121" s="539"/>
    </row>
    <row r="122" spans="1:13" ht="14.1" hidden="1" customHeight="1">
      <c r="A122" s="4" t="s">
        <v>1254</v>
      </c>
      <c r="B122" s="500">
        <f t="shared" si="14"/>
        <v>0</v>
      </c>
      <c r="C122" s="257">
        <f>IF(A122&lt;&gt;0,B122/$B$11*100,"")</f>
        <v>0</v>
      </c>
      <c r="D122" s="4"/>
      <c r="E122" s="4"/>
      <c r="F122" s="257" t="e">
        <f t="shared" si="16"/>
        <v>#DIV/0!</v>
      </c>
      <c r="H122" s="501"/>
      <c r="I122" s="257" t="e">
        <f t="shared" si="17"/>
        <v>#DIV/0!</v>
      </c>
      <c r="L122" s="257" t="e">
        <f t="shared" si="6"/>
        <v>#DIV/0!</v>
      </c>
      <c r="M122" s="4"/>
    </row>
    <row r="123" spans="1:13" ht="14.1" customHeight="1">
      <c r="A123" s="4" t="s">
        <v>1164</v>
      </c>
      <c r="B123" s="500">
        <f t="shared" si="14"/>
        <v>947</v>
      </c>
      <c r="C123" s="257">
        <f t="shared" si="15"/>
        <v>65.947075208913645</v>
      </c>
      <c r="D123" s="4"/>
      <c r="E123" s="4">
        <f>SUM(E124:E172)</f>
        <v>817</v>
      </c>
      <c r="F123" s="257">
        <f t="shared" si="16"/>
        <v>86.27243928194298</v>
      </c>
      <c r="H123" s="4">
        <f>SUM(H124:H172)</f>
        <v>126</v>
      </c>
      <c r="I123" s="257">
        <f t="shared" si="17"/>
        <v>13.305174234424499</v>
      </c>
      <c r="K123" s="4">
        <f>SUM(K124:K172)</f>
        <v>4</v>
      </c>
      <c r="L123" s="257">
        <f t="shared" si="6"/>
        <v>0.42238648363252373</v>
      </c>
      <c r="M123" s="4"/>
    </row>
    <row r="124" spans="1:13" ht="14.1" customHeight="1">
      <c r="A124" s="4" t="s">
        <v>1165</v>
      </c>
      <c r="B124" s="500">
        <f t="shared" si="14"/>
        <v>7</v>
      </c>
      <c r="C124" s="257">
        <f t="shared" si="15"/>
        <v>0.48746518105849584</v>
      </c>
      <c r="D124" s="4"/>
      <c r="E124" s="453">
        <v>7</v>
      </c>
      <c r="F124" s="257">
        <f t="shared" si="16"/>
        <v>100</v>
      </c>
      <c r="G124" s="453"/>
      <c r="H124" s="453">
        <v>0</v>
      </c>
      <c r="I124" s="257">
        <f t="shared" si="17"/>
        <v>0</v>
      </c>
      <c r="J124" s="453"/>
      <c r="K124" s="453">
        <v>0</v>
      </c>
      <c r="L124" s="257">
        <f t="shared" si="6"/>
        <v>0</v>
      </c>
      <c r="M124" s="4"/>
    </row>
    <row r="125" spans="1:13" ht="14.1" customHeight="1">
      <c r="A125" s="4" t="s">
        <v>1166</v>
      </c>
      <c r="B125" s="500">
        <f t="shared" si="14"/>
        <v>21</v>
      </c>
      <c r="C125" s="257">
        <f t="shared" si="15"/>
        <v>1.4623955431754874</v>
      </c>
      <c r="D125" s="4"/>
      <c r="E125" s="453">
        <v>21</v>
      </c>
      <c r="F125" s="257">
        <f t="shared" si="16"/>
        <v>100</v>
      </c>
      <c r="G125" s="453"/>
      <c r="H125" s="453">
        <v>0</v>
      </c>
      <c r="I125" s="257">
        <f t="shared" si="17"/>
        <v>0</v>
      </c>
      <c r="J125" s="453"/>
      <c r="K125" s="453">
        <v>0</v>
      </c>
      <c r="L125" s="257">
        <f t="shared" si="6"/>
        <v>0</v>
      </c>
      <c r="M125" s="4"/>
    </row>
    <row r="126" spans="1:13" ht="14.1" customHeight="1">
      <c r="A126" s="4" t="s">
        <v>1169</v>
      </c>
      <c r="B126" s="500">
        <f t="shared" si="14"/>
        <v>36</v>
      </c>
      <c r="C126" s="257">
        <f t="shared" si="15"/>
        <v>2.5069637883008355</v>
      </c>
      <c r="D126" s="4"/>
      <c r="E126" s="453">
        <v>17</v>
      </c>
      <c r="F126" s="257">
        <f t="shared" si="16"/>
        <v>47.222222222222221</v>
      </c>
      <c r="G126" s="453"/>
      <c r="H126" s="453">
        <v>18</v>
      </c>
      <c r="I126" s="257">
        <f t="shared" si="17"/>
        <v>50</v>
      </c>
      <c r="J126" s="453"/>
      <c r="K126" s="453">
        <v>1</v>
      </c>
      <c r="L126" s="257">
        <f t="shared" si="6"/>
        <v>2.7777777777777777</v>
      </c>
      <c r="M126" s="4"/>
    </row>
    <row r="127" spans="1:13" ht="14.1" customHeight="1">
      <c r="A127" s="4" t="s">
        <v>1255</v>
      </c>
      <c r="B127" s="500">
        <f t="shared" si="14"/>
        <v>6</v>
      </c>
      <c r="C127" s="257">
        <f t="shared" si="15"/>
        <v>0.4178272980501393</v>
      </c>
      <c r="D127" s="4"/>
      <c r="E127" s="453">
        <v>6</v>
      </c>
      <c r="F127" s="257">
        <f t="shared" si="16"/>
        <v>100</v>
      </c>
      <c r="G127" s="453"/>
      <c r="H127" s="453">
        <v>0</v>
      </c>
      <c r="I127" s="257">
        <f t="shared" si="17"/>
        <v>0</v>
      </c>
      <c r="J127" s="453"/>
      <c r="K127" s="453">
        <v>0</v>
      </c>
      <c r="L127" s="257"/>
      <c r="M127" s="4"/>
    </row>
    <row r="128" spans="1:13" ht="14.1" customHeight="1">
      <c r="A128" s="4" t="s">
        <v>1171</v>
      </c>
      <c r="B128" s="500">
        <f t="shared" si="14"/>
        <v>48</v>
      </c>
      <c r="C128" s="257">
        <f t="shared" si="15"/>
        <v>3.3426183844011144</v>
      </c>
      <c r="D128" s="4"/>
      <c r="E128" s="453">
        <v>45</v>
      </c>
      <c r="F128" s="257">
        <f t="shared" si="16"/>
        <v>93.75</v>
      </c>
      <c r="G128" s="453"/>
      <c r="H128" s="453">
        <v>3</v>
      </c>
      <c r="I128" s="257">
        <f t="shared" si="17"/>
        <v>6.25</v>
      </c>
      <c r="J128" s="453"/>
      <c r="K128" s="453">
        <v>0</v>
      </c>
      <c r="L128" s="257">
        <f t="shared" si="6"/>
        <v>0</v>
      </c>
      <c r="M128" s="4"/>
    </row>
    <row r="129" spans="1:13" ht="14.1" customHeight="1">
      <c r="A129" s="4" t="s">
        <v>1172</v>
      </c>
      <c r="B129" s="500">
        <f t="shared" si="14"/>
        <v>16</v>
      </c>
      <c r="C129" s="257">
        <f t="shared" si="15"/>
        <v>1.1142061281337048</v>
      </c>
      <c r="D129" s="4"/>
      <c r="E129" s="453">
        <v>16</v>
      </c>
      <c r="F129" s="257">
        <f t="shared" si="16"/>
        <v>100</v>
      </c>
      <c r="G129" s="453"/>
      <c r="H129" s="453">
        <v>0</v>
      </c>
      <c r="I129" s="257">
        <f t="shared" si="17"/>
        <v>0</v>
      </c>
      <c r="J129" s="453"/>
      <c r="K129" s="453">
        <v>0</v>
      </c>
      <c r="L129" s="257">
        <f t="shared" si="6"/>
        <v>0</v>
      </c>
      <c r="M129" s="4"/>
    </row>
    <row r="130" spans="1:13" ht="14.1" customHeight="1">
      <c r="A130" s="4" t="s">
        <v>1256</v>
      </c>
      <c r="B130" s="500">
        <f t="shared" si="14"/>
        <v>6</v>
      </c>
      <c r="C130" s="257">
        <f t="shared" si="15"/>
        <v>0.4178272980501393</v>
      </c>
      <c r="D130" s="4"/>
      <c r="E130" s="453">
        <v>6</v>
      </c>
      <c r="F130" s="257">
        <f t="shared" si="16"/>
        <v>100</v>
      </c>
      <c r="G130" s="453"/>
      <c r="H130" s="453">
        <v>0</v>
      </c>
      <c r="I130" s="257">
        <f t="shared" si="17"/>
        <v>0</v>
      </c>
      <c r="J130" s="453"/>
      <c r="K130" s="453">
        <v>0</v>
      </c>
      <c r="L130" s="257">
        <f t="shared" si="6"/>
        <v>0</v>
      </c>
      <c r="M130" s="4"/>
    </row>
    <row r="131" spans="1:13" ht="14.1" customHeight="1">
      <c r="A131" s="4" t="s">
        <v>1173</v>
      </c>
      <c r="B131" s="500">
        <f t="shared" si="14"/>
        <v>15</v>
      </c>
      <c r="C131" s="257">
        <f t="shared" si="15"/>
        <v>1.0445682451253482</v>
      </c>
      <c r="D131" s="4"/>
      <c r="E131" s="453">
        <v>14</v>
      </c>
      <c r="F131" s="257">
        <f t="shared" si="16"/>
        <v>93.333333333333329</v>
      </c>
      <c r="G131" s="453"/>
      <c r="H131" s="453">
        <v>1</v>
      </c>
      <c r="I131" s="257">
        <f t="shared" si="17"/>
        <v>6.666666666666667</v>
      </c>
      <c r="J131" s="453"/>
      <c r="K131" s="453">
        <v>0</v>
      </c>
      <c r="L131" s="257">
        <f t="shared" si="6"/>
        <v>0</v>
      </c>
      <c r="M131" s="4"/>
    </row>
    <row r="132" spans="1:13" ht="14.1" customHeight="1">
      <c r="A132" s="4" t="s">
        <v>1174</v>
      </c>
      <c r="B132" s="500">
        <f t="shared" si="14"/>
        <v>20</v>
      </c>
      <c r="C132" s="257">
        <f t="shared" si="15"/>
        <v>1.392757660167131</v>
      </c>
      <c r="D132" s="4"/>
      <c r="E132" s="453">
        <v>20</v>
      </c>
      <c r="F132" s="257">
        <f t="shared" si="16"/>
        <v>100</v>
      </c>
      <c r="G132" s="453"/>
      <c r="H132" s="453">
        <v>0</v>
      </c>
      <c r="I132" s="257">
        <f t="shared" si="17"/>
        <v>0</v>
      </c>
      <c r="J132" s="453"/>
      <c r="K132" s="453">
        <v>0</v>
      </c>
      <c r="L132" s="257">
        <f t="shared" si="6"/>
        <v>0</v>
      </c>
      <c r="M132" s="4"/>
    </row>
    <row r="133" spans="1:13" ht="14.1" customHeight="1">
      <c r="A133" s="4" t="s">
        <v>1257</v>
      </c>
      <c r="B133" s="500">
        <f t="shared" si="14"/>
        <v>28</v>
      </c>
      <c r="C133" s="257">
        <f t="shared" si="15"/>
        <v>1.9498607242339834</v>
      </c>
      <c r="D133" s="4"/>
      <c r="E133" s="453">
        <v>27</v>
      </c>
      <c r="F133" s="257">
        <f t="shared" si="16"/>
        <v>96.428571428571431</v>
      </c>
      <c r="G133" s="453"/>
      <c r="H133" s="453">
        <v>1</v>
      </c>
      <c r="I133" s="257">
        <f t="shared" si="17"/>
        <v>3.5714285714285712</v>
      </c>
      <c r="J133" s="453"/>
      <c r="K133" s="453">
        <v>0</v>
      </c>
      <c r="L133" s="257">
        <f t="shared" si="6"/>
        <v>0</v>
      </c>
      <c r="M133" s="4"/>
    </row>
    <row r="134" spans="1:13" ht="14.1" customHeight="1">
      <c r="A134" s="540" t="s">
        <v>1258</v>
      </c>
      <c r="B134" s="500">
        <f t="shared" si="14"/>
        <v>19</v>
      </c>
      <c r="C134" s="257">
        <f t="shared" si="15"/>
        <v>1.3231197771587744</v>
      </c>
      <c r="D134" s="4"/>
      <c r="E134" s="453">
        <v>19</v>
      </c>
      <c r="F134" s="257">
        <f t="shared" si="16"/>
        <v>100</v>
      </c>
      <c r="G134" s="453"/>
      <c r="H134" s="453">
        <v>0</v>
      </c>
      <c r="I134" s="257">
        <f t="shared" si="17"/>
        <v>0</v>
      </c>
      <c r="J134" s="453"/>
      <c r="K134" s="453">
        <v>0</v>
      </c>
      <c r="L134" s="257">
        <f t="shared" si="6"/>
        <v>0</v>
      </c>
      <c r="M134" s="4"/>
    </row>
    <row r="135" spans="1:13" ht="14.1" customHeight="1">
      <c r="A135" s="4" t="s">
        <v>1177</v>
      </c>
      <c r="B135" s="500">
        <f t="shared" si="14"/>
        <v>21</v>
      </c>
      <c r="C135" s="257">
        <f t="shared" si="15"/>
        <v>1.4623955431754874</v>
      </c>
      <c r="D135" s="4"/>
      <c r="E135" s="453">
        <v>12</v>
      </c>
      <c r="F135" s="257">
        <f t="shared" si="16"/>
        <v>57.142857142857139</v>
      </c>
      <c r="G135" s="453"/>
      <c r="H135" s="453">
        <v>9</v>
      </c>
      <c r="I135" s="257">
        <f t="shared" si="17"/>
        <v>42.857142857142854</v>
      </c>
      <c r="J135" s="453"/>
      <c r="K135" s="453">
        <v>0</v>
      </c>
      <c r="L135" s="257">
        <f t="shared" si="6"/>
        <v>0</v>
      </c>
      <c r="M135" s="4"/>
    </row>
    <row r="136" spans="1:13" ht="14.1" customHeight="1">
      <c r="A136" s="4" t="s">
        <v>1259</v>
      </c>
      <c r="B136" s="500">
        <f t="shared" si="14"/>
        <v>4</v>
      </c>
      <c r="C136" s="257">
        <f t="shared" si="15"/>
        <v>0.2785515320334262</v>
      </c>
      <c r="D136" s="4"/>
      <c r="E136" s="453">
        <v>4</v>
      </c>
      <c r="F136" s="257">
        <f t="shared" si="16"/>
        <v>100</v>
      </c>
      <c r="G136" s="453"/>
      <c r="H136" s="453">
        <v>0</v>
      </c>
      <c r="I136" s="257">
        <f t="shared" si="17"/>
        <v>0</v>
      </c>
      <c r="J136" s="453"/>
      <c r="K136" s="453">
        <v>0</v>
      </c>
      <c r="L136" s="257">
        <f t="shared" si="6"/>
        <v>0</v>
      </c>
      <c r="M136" s="4"/>
    </row>
    <row r="137" spans="1:13" ht="14.1" customHeight="1">
      <c r="A137" s="4" t="s">
        <v>1181</v>
      </c>
      <c r="B137" s="500">
        <f t="shared" si="14"/>
        <v>7</v>
      </c>
      <c r="C137" s="257">
        <f t="shared" si="15"/>
        <v>0.48746518105849584</v>
      </c>
      <c r="D137" s="4"/>
      <c r="E137" s="453">
        <v>7</v>
      </c>
      <c r="F137" s="257">
        <f t="shared" si="16"/>
        <v>100</v>
      </c>
      <c r="G137" s="453"/>
      <c r="H137" s="453">
        <v>0</v>
      </c>
      <c r="I137" s="257">
        <f t="shared" si="17"/>
        <v>0</v>
      </c>
      <c r="J137" s="453"/>
      <c r="K137" s="453">
        <v>0</v>
      </c>
      <c r="L137" s="257">
        <f t="shared" si="6"/>
        <v>0</v>
      </c>
      <c r="M137" s="4"/>
    </row>
    <row r="138" spans="1:13" ht="14.1" customHeight="1">
      <c r="A138" s="4" t="s">
        <v>1182</v>
      </c>
      <c r="B138" s="500">
        <f t="shared" si="14"/>
        <v>34</v>
      </c>
      <c r="C138" s="257">
        <f t="shared" si="15"/>
        <v>2.3676880222841223</v>
      </c>
      <c r="D138" s="4"/>
      <c r="E138" s="453">
        <v>33</v>
      </c>
      <c r="F138" s="257">
        <f t="shared" si="16"/>
        <v>97.058823529411768</v>
      </c>
      <c r="G138" s="453"/>
      <c r="H138" s="453">
        <v>1</v>
      </c>
      <c r="I138" s="257">
        <f t="shared" si="17"/>
        <v>2.9411764705882351</v>
      </c>
      <c r="J138" s="453"/>
      <c r="K138" s="453">
        <v>0</v>
      </c>
      <c r="L138" s="257">
        <f t="shared" ref="L138:L190" si="18">IF($A138&lt;&gt;"",K138/$B138*100,"")</f>
        <v>0</v>
      </c>
      <c r="M138" s="4"/>
    </row>
    <row r="139" spans="1:13" ht="14.1" customHeight="1">
      <c r="A139" s="4" t="s">
        <v>1180</v>
      </c>
      <c r="B139" s="500">
        <f t="shared" si="14"/>
        <v>12</v>
      </c>
      <c r="C139" s="257">
        <f t="shared" si="15"/>
        <v>0.83565459610027859</v>
      </c>
      <c r="D139" s="4"/>
      <c r="E139" s="453">
        <v>11</v>
      </c>
      <c r="F139" s="257">
        <f t="shared" si="16"/>
        <v>91.666666666666657</v>
      </c>
      <c r="G139" s="453"/>
      <c r="H139" s="453">
        <v>1</v>
      </c>
      <c r="I139" s="257">
        <f t="shared" si="17"/>
        <v>8.3333333333333321</v>
      </c>
      <c r="J139" s="453"/>
      <c r="K139" s="453">
        <v>0</v>
      </c>
      <c r="L139" s="257">
        <f t="shared" si="18"/>
        <v>0</v>
      </c>
      <c r="M139" s="4"/>
    </row>
    <row r="140" spans="1:13" ht="14.1" customHeight="1">
      <c r="A140" s="4" t="s">
        <v>1183</v>
      </c>
      <c r="B140" s="500">
        <f t="shared" si="14"/>
        <v>53</v>
      </c>
      <c r="C140" s="257">
        <f t="shared" si="15"/>
        <v>3.6908077994428967</v>
      </c>
      <c r="D140" s="4"/>
      <c r="E140" s="453">
        <v>53</v>
      </c>
      <c r="F140" s="257">
        <f t="shared" si="16"/>
        <v>100</v>
      </c>
      <c r="G140" s="453"/>
      <c r="H140" s="453">
        <v>0</v>
      </c>
      <c r="I140" s="257">
        <f t="shared" si="17"/>
        <v>0</v>
      </c>
      <c r="J140" s="453"/>
      <c r="K140" s="453">
        <v>0</v>
      </c>
      <c r="L140" s="257">
        <f t="shared" si="18"/>
        <v>0</v>
      </c>
      <c r="M140" s="4"/>
    </row>
    <row r="141" spans="1:13" ht="14.1" customHeight="1">
      <c r="A141" s="4" t="s">
        <v>1260</v>
      </c>
      <c r="B141" s="500">
        <f t="shared" si="14"/>
        <v>8</v>
      </c>
      <c r="C141" s="257">
        <f t="shared" si="15"/>
        <v>0.55710306406685239</v>
      </c>
      <c r="D141" s="4"/>
      <c r="E141" s="453">
        <v>8</v>
      </c>
      <c r="F141" s="257">
        <f t="shared" si="16"/>
        <v>100</v>
      </c>
      <c r="G141" s="453"/>
      <c r="H141" s="453">
        <v>0</v>
      </c>
      <c r="I141" s="257">
        <f t="shared" si="17"/>
        <v>0</v>
      </c>
      <c r="J141" s="453"/>
      <c r="K141" s="453">
        <v>0</v>
      </c>
      <c r="L141" s="257">
        <f t="shared" si="18"/>
        <v>0</v>
      </c>
      <c r="M141" s="4"/>
    </row>
    <row r="142" spans="1:13" ht="14.1" customHeight="1">
      <c r="A142" s="4" t="s">
        <v>1185</v>
      </c>
      <c r="B142" s="500">
        <f t="shared" si="14"/>
        <v>13</v>
      </c>
      <c r="C142" s="257">
        <f t="shared" si="15"/>
        <v>0.90529247910863508</v>
      </c>
      <c r="D142" s="4"/>
      <c r="E142" s="453">
        <v>13</v>
      </c>
      <c r="F142" s="257">
        <f t="shared" si="16"/>
        <v>100</v>
      </c>
      <c r="G142" s="453"/>
      <c r="H142" s="453">
        <v>0</v>
      </c>
      <c r="I142" s="257">
        <f t="shared" si="17"/>
        <v>0</v>
      </c>
      <c r="J142" s="453"/>
      <c r="K142" s="453">
        <v>0</v>
      </c>
      <c r="L142" s="257">
        <f t="shared" si="18"/>
        <v>0</v>
      </c>
      <c r="M142" s="4"/>
    </row>
    <row r="143" spans="1:13" ht="14.1" customHeight="1">
      <c r="A143" s="4" t="s">
        <v>1186</v>
      </c>
      <c r="B143" s="500">
        <f t="shared" si="14"/>
        <v>20</v>
      </c>
      <c r="C143" s="257">
        <f t="shared" si="15"/>
        <v>1.392757660167131</v>
      </c>
      <c r="D143" s="4"/>
      <c r="E143" s="453">
        <v>9</v>
      </c>
      <c r="F143" s="257">
        <f t="shared" si="16"/>
        <v>45</v>
      </c>
      <c r="G143" s="453"/>
      <c r="H143" s="453">
        <v>10</v>
      </c>
      <c r="I143" s="257">
        <f t="shared" si="17"/>
        <v>50</v>
      </c>
      <c r="J143" s="453"/>
      <c r="K143" s="453">
        <v>1</v>
      </c>
      <c r="L143" s="257">
        <f t="shared" si="18"/>
        <v>5</v>
      </c>
      <c r="M143" s="4"/>
    </row>
    <row r="144" spans="1:13" ht="14.1" customHeight="1">
      <c r="A144" s="4" t="s">
        <v>1187</v>
      </c>
      <c r="B144" s="500">
        <f t="shared" si="14"/>
        <v>19</v>
      </c>
      <c r="C144" s="257">
        <f t="shared" si="15"/>
        <v>1.3231197771587744</v>
      </c>
      <c r="D144" s="4"/>
      <c r="E144" s="453">
        <v>19</v>
      </c>
      <c r="F144" s="257">
        <f t="shared" si="16"/>
        <v>100</v>
      </c>
      <c r="G144" s="453"/>
      <c r="H144" s="453">
        <v>0</v>
      </c>
      <c r="I144" s="257">
        <f t="shared" si="17"/>
        <v>0</v>
      </c>
      <c r="J144" s="453"/>
      <c r="K144" s="453">
        <v>0</v>
      </c>
      <c r="L144" s="257">
        <f t="shared" si="18"/>
        <v>0</v>
      </c>
      <c r="M144" s="4"/>
    </row>
    <row r="145" spans="1:13" ht="14.1" customHeight="1">
      <c r="A145" s="4" t="s">
        <v>1188</v>
      </c>
      <c r="B145" s="500">
        <f t="shared" si="14"/>
        <v>10</v>
      </c>
      <c r="C145" s="257">
        <f t="shared" si="15"/>
        <v>0.69637883008356549</v>
      </c>
      <c r="D145" s="4"/>
      <c r="E145" s="453">
        <v>10</v>
      </c>
      <c r="F145" s="257">
        <f t="shared" si="16"/>
        <v>100</v>
      </c>
      <c r="G145" s="453"/>
      <c r="H145" s="453">
        <v>0</v>
      </c>
      <c r="I145" s="257">
        <f t="shared" si="17"/>
        <v>0</v>
      </c>
      <c r="J145" s="453"/>
      <c r="K145" s="453">
        <v>0</v>
      </c>
      <c r="L145" s="257">
        <f t="shared" si="18"/>
        <v>0</v>
      </c>
      <c r="M145" s="4"/>
    </row>
    <row r="146" spans="1:13" ht="14.1" customHeight="1">
      <c r="A146" s="4" t="s">
        <v>1189</v>
      </c>
      <c r="B146" s="500">
        <f t="shared" si="14"/>
        <v>23</v>
      </c>
      <c r="C146" s="257">
        <f t="shared" si="15"/>
        <v>1.6016713091922006</v>
      </c>
      <c r="D146" s="4"/>
      <c r="E146" s="453">
        <v>23</v>
      </c>
      <c r="F146" s="257">
        <f t="shared" si="16"/>
        <v>100</v>
      </c>
      <c r="G146" s="453"/>
      <c r="H146" s="453">
        <v>0</v>
      </c>
      <c r="I146" s="257">
        <f t="shared" si="17"/>
        <v>0</v>
      </c>
      <c r="J146" s="453"/>
      <c r="K146" s="453">
        <v>0</v>
      </c>
      <c r="L146" s="257">
        <f t="shared" si="18"/>
        <v>0</v>
      </c>
      <c r="M146" s="4"/>
    </row>
    <row r="147" spans="1:13" ht="14.1" customHeight="1">
      <c r="A147" s="4" t="s">
        <v>1190</v>
      </c>
      <c r="B147" s="500">
        <f t="shared" si="14"/>
        <v>47</v>
      </c>
      <c r="C147" s="257">
        <f t="shared" si="15"/>
        <v>3.2729805013927575</v>
      </c>
      <c r="D147" s="4"/>
      <c r="E147" s="453">
        <v>44</v>
      </c>
      <c r="F147" s="257">
        <f t="shared" si="16"/>
        <v>93.61702127659575</v>
      </c>
      <c r="G147" s="453"/>
      <c r="H147" s="453">
        <v>3</v>
      </c>
      <c r="I147" s="257">
        <f t="shared" si="17"/>
        <v>6.3829787234042552</v>
      </c>
      <c r="J147" s="453"/>
      <c r="K147" s="453">
        <v>0</v>
      </c>
      <c r="L147" s="257">
        <f t="shared" si="18"/>
        <v>0</v>
      </c>
      <c r="M147" s="4"/>
    </row>
    <row r="148" spans="1:13" ht="14.1" customHeight="1">
      <c r="A148" s="540" t="s">
        <v>1198</v>
      </c>
      <c r="B148" s="500">
        <f t="shared" si="14"/>
        <v>5</v>
      </c>
      <c r="C148" s="257">
        <f t="shared" si="15"/>
        <v>0.34818941504178275</v>
      </c>
      <c r="D148" s="4"/>
      <c r="E148" s="453">
        <v>5</v>
      </c>
      <c r="F148" s="257">
        <f t="shared" si="16"/>
        <v>100</v>
      </c>
      <c r="G148" s="453"/>
      <c r="H148" s="453">
        <v>0</v>
      </c>
      <c r="I148" s="257">
        <f t="shared" si="17"/>
        <v>0</v>
      </c>
      <c r="J148" s="453"/>
      <c r="K148" s="453">
        <v>0</v>
      </c>
      <c r="L148" s="257">
        <f t="shared" si="18"/>
        <v>0</v>
      </c>
      <c r="M148" s="4"/>
    </row>
    <row r="149" spans="1:13" ht="14.1" customHeight="1">
      <c r="A149" s="4" t="s">
        <v>1191</v>
      </c>
      <c r="B149" s="500">
        <f t="shared" si="14"/>
        <v>34</v>
      </c>
      <c r="C149" s="257">
        <f t="shared" si="15"/>
        <v>2.3676880222841223</v>
      </c>
      <c r="D149" s="4"/>
      <c r="E149" s="453">
        <v>18</v>
      </c>
      <c r="F149" s="257">
        <f t="shared" si="16"/>
        <v>52.941176470588239</v>
      </c>
      <c r="G149" s="453"/>
      <c r="H149" s="453">
        <v>16</v>
      </c>
      <c r="I149" s="257">
        <f t="shared" si="17"/>
        <v>47.058823529411761</v>
      </c>
      <c r="J149" s="453"/>
      <c r="K149" s="453">
        <v>0</v>
      </c>
      <c r="L149" s="257">
        <f t="shared" si="18"/>
        <v>0</v>
      </c>
      <c r="M149" s="4"/>
    </row>
    <row r="150" spans="1:13" ht="14.1" customHeight="1">
      <c r="A150" s="4" t="s">
        <v>1261</v>
      </c>
      <c r="B150" s="500">
        <f t="shared" si="14"/>
        <v>13</v>
      </c>
      <c r="C150" s="257">
        <f t="shared" si="15"/>
        <v>0.90529247910863508</v>
      </c>
      <c r="D150" s="4"/>
      <c r="E150" s="453">
        <v>13</v>
      </c>
      <c r="F150" s="257">
        <f t="shared" si="16"/>
        <v>100</v>
      </c>
      <c r="G150" s="453"/>
      <c r="H150" s="453">
        <v>0</v>
      </c>
      <c r="I150" s="257">
        <f t="shared" si="17"/>
        <v>0</v>
      </c>
      <c r="J150" s="453"/>
      <c r="K150" s="453">
        <v>0</v>
      </c>
      <c r="L150" s="257">
        <f t="shared" si="18"/>
        <v>0</v>
      </c>
      <c r="M150" s="4"/>
    </row>
    <row r="151" spans="1:13" ht="14.1" customHeight="1">
      <c r="A151" s="4" t="s">
        <v>1192</v>
      </c>
      <c r="B151" s="500">
        <f t="shared" si="14"/>
        <v>8</v>
      </c>
      <c r="C151" s="257">
        <f t="shared" si="15"/>
        <v>0.55710306406685239</v>
      </c>
      <c r="D151" s="4"/>
      <c r="E151" s="453">
        <v>6</v>
      </c>
      <c r="F151" s="257">
        <f t="shared" si="16"/>
        <v>75</v>
      </c>
      <c r="G151" s="453"/>
      <c r="H151" s="453">
        <v>2</v>
      </c>
      <c r="I151" s="257">
        <f t="shared" si="17"/>
        <v>25</v>
      </c>
      <c r="J151" s="453"/>
      <c r="K151" s="453">
        <v>0</v>
      </c>
      <c r="L151" s="257">
        <f t="shared" si="18"/>
        <v>0</v>
      </c>
      <c r="M151" s="4"/>
    </row>
    <row r="152" spans="1:13" ht="14.1" customHeight="1">
      <c r="A152" s="4" t="s">
        <v>1193</v>
      </c>
      <c r="B152" s="500">
        <f t="shared" si="14"/>
        <v>10</v>
      </c>
      <c r="C152" s="257">
        <f t="shared" si="15"/>
        <v>0.69637883008356549</v>
      </c>
      <c r="D152" s="4"/>
      <c r="E152" s="453">
        <v>6</v>
      </c>
      <c r="F152" s="257">
        <f t="shared" si="16"/>
        <v>60</v>
      </c>
      <c r="G152" s="453"/>
      <c r="H152" s="453">
        <v>4</v>
      </c>
      <c r="I152" s="257">
        <f t="shared" si="17"/>
        <v>40</v>
      </c>
      <c r="J152" s="453"/>
      <c r="K152" s="453">
        <v>0</v>
      </c>
      <c r="L152" s="257">
        <f t="shared" si="18"/>
        <v>0</v>
      </c>
      <c r="M152" s="4"/>
    </row>
    <row r="153" spans="1:13" ht="14.1" customHeight="1">
      <c r="A153" s="4" t="s">
        <v>1194</v>
      </c>
      <c r="B153" s="500">
        <f t="shared" si="14"/>
        <v>21</v>
      </c>
      <c r="C153" s="257">
        <f t="shared" si="15"/>
        <v>1.4623955431754874</v>
      </c>
      <c r="D153" s="4"/>
      <c r="E153" s="453">
        <v>21</v>
      </c>
      <c r="F153" s="257">
        <f t="shared" si="16"/>
        <v>100</v>
      </c>
      <c r="G153" s="453"/>
      <c r="H153" s="453">
        <v>0</v>
      </c>
      <c r="I153" s="257">
        <f t="shared" si="17"/>
        <v>0</v>
      </c>
      <c r="J153" s="453"/>
      <c r="K153" s="453">
        <v>0</v>
      </c>
      <c r="L153" s="257">
        <f t="shared" si="18"/>
        <v>0</v>
      </c>
      <c r="M153" s="4"/>
    </row>
    <row r="154" spans="1:13" ht="14.1" customHeight="1">
      <c r="A154" s="4" t="s">
        <v>1195</v>
      </c>
      <c r="B154" s="500">
        <f t="shared" si="14"/>
        <v>37</v>
      </c>
      <c r="C154" s="257">
        <f t="shared" si="15"/>
        <v>2.5766016713091924</v>
      </c>
      <c r="D154" s="4"/>
      <c r="E154" s="453">
        <v>12</v>
      </c>
      <c r="F154" s="257">
        <f t="shared" si="16"/>
        <v>32.432432432432435</v>
      </c>
      <c r="G154" s="453"/>
      <c r="H154" s="453">
        <v>24</v>
      </c>
      <c r="I154" s="257">
        <f t="shared" si="17"/>
        <v>64.86486486486487</v>
      </c>
      <c r="J154" s="453"/>
      <c r="K154" s="453">
        <v>1</v>
      </c>
      <c r="L154" s="257">
        <f t="shared" si="18"/>
        <v>2.7027027027027026</v>
      </c>
      <c r="M154" s="4"/>
    </row>
    <row r="155" spans="1:13" ht="14.1" customHeight="1">
      <c r="A155" s="4" t="s">
        <v>1262</v>
      </c>
      <c r="B155" s="500">
        <f t="shared" si="14"/>
        <v>11</v>
      </c>
      <c r="C155" s="257">
        <f t="shared" si="15"/>
        <v>0.76601671309192199</v>
      </c>
      <c r="D155" s="4"/>
      <c r="E155" s="453">
        <v>3</v>
      </c>
      <c r="F155" s="257">
        <f t="shared" si="16"/>
        <v>27.27272727272727</v>
      </c>
      <c r="G155" s="453"/>
      <c r="H155" s="453">
        <v>8</v>
      </c>
      <c r="I155" s="257">
        <f t="shared" si="17"/>
        <v>72.727272727272734</v>
      </c>
      <c r="J155" s="453"/>
      <c r="K155" s="453">
        <v>0</v>
      </c>
      <c r="L155" s="257">
        <f t="shared" si="18"/>
        <v>0</v>
      </c>
      <c r="M155" s="4"/>
    </row>
    <row r="156" spans="1:13" ht="14.1" customHeight="1">
      <c r="A156" s="4" t="s">
        <v>1197</v>
      </c>
      <c r="B156" s="500">
        <f t="shared" si="14"/>
        <v>11</v>
      </c>
      <c r="C156" s="257">
        <f t="shared" si="15"/>
        <v>0.76601671309192199</v>
      </c>
      <c r="D156" s="4"/>
      <c r="E156" s="453">
        <v>11</v>
      </c>
      <c r="F156" s="257">
        <f t="shared" si="16"/>
        <v>100</v>
      </c>
      <c r="G156" s="453"/>
      <c r="H156" s="453">
        <v>0</v>
      </c>
      <c r="I156" s="257">
        <f t="shared" si="17"/>
        <v>0</v>
      </c>
      <c r="J156" s="453"/>
      <c r="K156" s="453">
        <v>0</v>
      </c>
      <c r="L156" s="257">
        <f t="shared" si="18"/>
        <v>0</v>
      </c>
      <c r="M156" s="4"/>
    </row>
    <row r="157" spans="1:13" ht="12.75" customHeight="1">
      <c r="A157" s="4" t="s">
        <v>1200</v>
      </c>
      <c r="B157" s="500">
        <f t="shared" si="14"/>
        <v>27</v>
      </c>
      <c r="C157" s="257">
        <f t="shared" si="15"/>
        <v>1.8802228412256268</v>
      </c>
      <c r="D157" s="4"/>
      <c r="E157" s="453">
        <v>27</v>
      </c>
      <c r="F157" s="257">
        <f t="shared" si="16"/>
        <v>100</v>
      </c>
      <c r="G157" s="453"/>
      <c r="H157" s="453">
        <v>0</v>
      </c>
      <c r="I157" s="257">
        <f t="shared" si="17"/>
        <v>0</v>
      </c>
      <c r="J157" s="453"/>
      <c r="K157" s="453">
        <v>0</v>
      </c>
      <c r="L157" s="257">
        <f t="shared" si="18"/>
        <v>0</v>
      </c>
      <c r="M157" s="4"/>
    </row>
    <row r="158" spans="1:13" ht="12.75" customHeight="1">
      <c r="A158" s="4" t="s">
        <v>1214</v>
      </c>
      <c r="B158" s="500">
        <f t="shared" si="14"/>
        <v>2</v>
      </c>
      <c r="C158" s="257">
        <f t="shared" si="15"/>
        <v>0.1392757660167131</v>
      </c>
      <c r="D158" s="4"/>
      <c r="E158" s="453">
        <v>2</v>
      </c>
      <c r="F158" s="257">
        <f t="shared" si="16"/>
        <v>100</v>
      </c>
      <c r="G158" s="453"/>
      <c r="H158" s="453">
        <v>0</v>
      </c>
      <c r="I158" s="257">
        <f t="shared" si="17"/>
        <v>0</v>
      </c>
      <c r="J158" s="453"/>
      <c r="K158" s="453">
        <v>0</v>
      </c>
      <c r="L158" s="257">
        <f t="shared" si="18"/>
        <v>0</v>
      </c>
      <c r="M158" s="4"/>
    </row>
    <row r="159" spans="1:13" ht="14.1" customHeight="1">
      <c r="A159" s="4" t="s">
        <v>1201</v>
      </c>
      <c r="B159" s="500">
        <f t="shared" si="14"/>
        <v>30</v>
      </c>
      <c r="C159" s="257">
        <f t="shared" si="15"/>
        <v>2.0891364902506964</v>
      </c>
      <c r="D159" s="4"/>
      <c r="E159" s="453">
        <v>29</v>
      </c>
      <c r="F159" s="257">
        <f t="shared" si="16"/>
        <v>96.666666666666671</v>
      </c>
      <c r="G159" s="453"/>
      <c r="H159" s="453">
        <v>1</v>
      </c>
      <c r="I159" s="257">
        <f t="shared" si="17"/>
        <v>3.3333333333333335</v>
      </c>
      <c r="J159" s="453"/>
      <c r="K159" s="453">
        <v>0</v>
      </c>
      <c r="L159" s="257">
        <f t="shared" si="18"/>
        <v>0</v>
      </c>
      <c r="M159" s="4"/>
    </row>
    <row r="160" spans="1:13" ht="14.1" customHeight="1">
      <c r="A160" s="4" t="s">
        <v>1202</v>
      </c>
      <c r="B160" s="500">
        <f t="shared" si="14"/>
        <v>13</v>
      </c>
      <c r="C160" s="257">
        <f t="shared" si="15"/>
        <v>0.90529247910863508</v>
      </c>
      <c r="D160" s="4"/>
      <c r="E160" s="453">
        <v>13</v>
      </c>
      <c r="F160" s="257">
        <f t="shared" si="16"/>
        <v>100</v>
      </c>
      <c r="G160" s="453"/>
      <c r="H160" s="453">
        <v>0</v>
      </c>
      <c r="I160" s="257">
        <f t="shared" si="17"/>
        <v>0</v>
      </c>
      <c r="J160" s="453"/>
      <c r="K160" s="453">
        <v>0</v>
      </c>
      <c r="L160" s="257">
        <f t="shared" si="18"/>
        <v>0</v>
      </c>
      <c r="M160" s="4"/>
    </row>
    <row r="161" spans="1:13" ht="14.1" customHeight="1">
      <c r="A161" s="4" t="s">
        <v>1203</v>
      </c>
      <c r="B161" s="500">
        <f t="shared" si="14"/>
        <v>16</v>
      </c>
      <c r="C161" s="257">
        <f t="shared" si="15"/>
        <v>1.1142061281337048</v>
      </c>
      <c r="D161" s="4"/>
      <c r="E161" s="453">
        <v>16</v>
      </c>
      <c r="F161" s="257">
        <f t="shared" si="16"/>
        <v>100</v>
      </c>
      <c r="G161" s="453"/>
      <c r="H161" s="453">
        <v>0</v>
      </c>
      <c r="I161" s="257">
        <f t="shared" si="17"/>
        <v>0</v>
      </c>
      <c r="J161" s="453"/>
      <c r="K161" s="453">
        <v>0</v>
      </c>
      <c r="L161" s="257">
        <f t="shared" si="18"/>
        <v>0</v>
      </c>
      <c r="M161" s="4"/>
    </row>
    <row r="162" spans="1:13" ht="14.1" customHeight="1">
      <c r="A162" s="4" t="s">
        <v>1204</v>
      </c>
      <c r="B162" s="500">
        <f t="shared" si="14"/>
        <v>27</v>
      </c>
      <c r="C162" s="257">
        <f t="shared" si="15"/>
        <v>1.8802228412256268</v>
      </c>
      <c r="D162" s="4"/>
      <c r="E162" s="453">
        <v>25</v>
      </c>
      <c r="F162" s="257">
        <f t="shared" si="16"/>
        <v>92.592592592592595</v>
      </c>
      <c r="G162" s="453"/>
      <c r="H162" s="453">
        <v>2</v>
      </c>
      <c r="I162" s="257">
        <f t="shared" si="17"/>
        <v>7.4074074074074066</v>
      </c>
      <c r="J162" s="453"/>
      <c r="K162" s="453">
        <v>0</v>
      </c>
      <c r="L162" s="257">
        <f t="shared" si="18"/>
        <v>0</v>
      </c>
      <c r="M162" s="4"/>
    </row>
    <row r="163" spans="1:13" ht="14.1" customHeight="1">
      <c r="A163" s="4" t="s">
        <v>1209</v>
      </c>
      <c r="B163" s="500">
        <f t="shared" si="14"/>
        <v>25</v>
      </c>
      <c r="C163" s="257">
        <f t="shared" si="15"/>
        <v>1.7409470752089138</v>
      </c>
      <c r="D163" s="4"/>
      <c r="E163" s="453">
        <v>13</v>
      </c>
      <c r="F163" s="257">
        <f t="shared" si="16"/>
        <v>52</v>
      </c>
      <c r="G163" s="453"/>
      <c r="H163" s="453">
        <v>11</v>
      </c>
      <c r="I163" s="257">
        <f t="shared" si="17"/>
        <v>44</v>
      </c>
      <c r="J163" s="453"/>
      <c r="K163" s="453">
        <v>1</v>
      </c>
      <c r="L163" s="257">
        <f t="shared" si="18"/>
        <v>4</v>
      </c>
      <c r="M163" s="4"/>
    </row>
    <row r="164" spans="1:13" ht="14.1" customHeight="1">
      <c r="A164" s="4" t="s">
        <v>1205</v>
      </c>
      <c r="B164" s="500">
        <f t="shared" si="14"/>
        <v>26</v>
      </c>
      <c r="C164" s="257">
        <f t="shared" si="15"/>
        <v>1.8105849582172702</v>
      </c>
      <c r="D164" s="4"/>
      <c r="E164" s="453">
        <v>26</v>
      </c>
      <c r="F164" s="257">
        <f t="shared" si="16"/>
        <v>100</v>
      </c>
      <c r="G164" s="453"/>
      <c r="H164" s="453">
        <v>0</v>
      </c>
      <c r="I164" s="257">
        <f t="shared" si="17"/>
        <v>0</v>
      </c>
      <c r="J164" s="453"/>
      <c r="K164" s="453">
        <v>0</v>
      </c>
      <c r="L164" s="257">
        <f t="shared" si="18"/>
        <v>0</v>
      </c>
      <c r="M164" s="4"/>
    </row>
    <row r="165" spans="1:13" ht="14.1" customHeight="1">
      <c r="A165" s="4" t="s">
        <v>1206</v>
      </c>
      <c r="B165" s="500">
        <f t="shared" si="14"/>
        <v>11</v>
      </c>
      <c r="C165" s="257">
        <f t="shared" si="15"/>
        <v>0.76601671309192199</v>
      </c>
      <c r="D165" s="4"/>
      <c r="E165" s="453">
        <v>11</v>
      </c>
      <c r="F165" s="257">
        <f t="shared" si="16"/>
        <v>100</v>
      </c>
      <c r="G165" s="453"/>
      <c r="H165" s="453">
        <v>0</v>
      </c>
      <c r="I165" s="257">
        <f t="shared" si="17"/>
        <v>0</v>
      </c>
      <c r="J165" s="453"/>
      <c r="K165" s="453">
        <v>0</v>
      </c>
      <c r="L165" s="257">
        <f t="shared" si="18"/>
        <v>0</v>
      </c>
      <c r="M165" s="4"/>
    </row>
    <row r="166" spans="1:13" ht="14.1" customHeight="1">
      <c r="A166" s="4" t="s">
        <v>1207</v>
      </c>
      <c r="B166" s="500">
        <f t="shared" si="14"/>
        <v>12</v>
      </c>
      <c r="C166" s="257">
        <f t="shared" si="15"/>
        <v>0.83565459610027859</v>
      </c>
      <c r="D166" s="4"/>
      <c r="E166" s="453">
        <v>12</v>
      </c>
      <c r="F166" s="257">
        <f t="shared" si="16"/>
        <v>100</v>
      </c>
      <c r="G166" s="453"/>
      <c r="H166" s="453">
        <v>0</v>
      </c>
      <c r="I166" s="257">
        <f t="shared" si="17"/>
        <v>0</v>
      </c>
      <c r="J166" s="453"/>
      <c r="K166" s="453">
        <v>0</v>
      </c>
      <c r="L166" s="257">
        <f t="shared" si="18"/>
        <v>0</v>
      </c>
      <c r="M166" s="4"/>
    </row>
    <row r="167" spans="1:13" ht="14.1" customHeight="1">
      <c r="A167" s="4" t="s">
        <v>1208</v>
      </c>
      <c r="B167" s="500">
        <f t="shared" si="14"/>
        <v>50</v>
      </c>
      <c r="C167" s="257">
        <f>IF(A167&lt;&gt;0,B167/$B$11*100,"")</f>
        <v>3.4818941504178276</v>
      </c>
      <c r="D167" s="4"/>
      <c r="E167" s="453">
        <v>49</v>
      </c>
      <c r="F167" s="257">
        <f t="shared" si="16"/>
        <v>98</v>
      </c>
      <c r="G167" s="453"/>
      <c r="H167" s="453">
        <v>1</v>
      </c>
      <c r="I167" s="257">
        <f t="shared" si="17"/>
        <v>2</v>
      </c>
      <c r="J167" s="453"/>
      <c r="K167" s="453">
        <v>0</v>
      </c>
      <c r="L167" s="257">
        <f t="shared" si="18"/>
        <v>0</v>
      </c>
      <c r="M167" s="4"/>
    </row>
    <row r="168" spans="1:13" ht="14.1" customHeight="1">
      <c r="A168" s="4" t="s">
        <v>1210</v>
      </c>
      <c r="B168" s="500">
        <f t="shared" si="14"/>
        <v>33</v>
      </c>
      <c r="C168" s="257">
        <f t="shared" si="15"/>
        <v>2.298050139275766</v>
      </c>
      <c r="D168" s="4"/>
      <c r="E168" s="453">
        <v>26</v>
      </c>
      <c r="F168" s="257">
        <f t="shared" si="16"/>
        <v>78.787878787878782</v>
      </c>
      <c r="G168" s="453"/>
      <c r="H168" s="453">
        <v>7</v>
      </c>
      <c r="I168" s="257">
        <f t="shared" si="17"/>
        <v>21.212121212121211</v>
      </c>
      <c r="J168" s="453"/>
      <c r="K168" s="453">
        <v>0</v>
      </c>
      <c r="L168" s="257">
        <f t="shared" si="18"/>
        <v>0</v>
      </c>
      <c r="M168" s="4"/>
    </row>
    <row r="169" spans="1:13" ht="14.1" customHeight="1">
      <c r="A169" s="4" t="s">
        <v>1211</v>
      </c>
      <c r="B169" s="500">
        <f t="shared" si="14"/>
        <v>13</v>
      </c>
      <c r="C169" s="257">
        <f t="shared" si="15"/>
        <v>0.90529247910863508</v>
      </c>
      <c r="D169" s="4"/>
      <c r="E169" s="453">
        <v>10</v>
      </c>
      <c r="F169" s="257">
        <f t="shared" si="16"/>
        <v>76.923076923076934</v>
      </c>
      <c r="G169" s="453"/>
      <c r="H169" s="453">
        <v>3</v>
      </c>
      <c r="I169" s="257">
        <f t="shared" si="17"/>
        <v>23.076923076923077</v>
      </c>
      <c r="J169" s="453"/>
      <c r="K169" s="453">
        <v>0</v>
      </c>
      <c r="L169" s="257">
        <f t="shared" si="18"/>
        <v>0</v>
      </c>
      <c r="M169" s="4"/>
    </row>
    <row r="170" spans="1:13" ht="14.1" customHeight="1">
      <c r="A170" s="4" t="s">
        <v>1212</v>
      </c>
      <c r="B170" s="500">
        <f t="shared" si="14"/>
        <v>14</v>
      </c>
      <c r="C170" s="257">
        <f t="shared" si="15"/>
        <v>0.97493036211699169</v>
      </c>
      <c r="D170" s="4"/>
      <c r="E170" s="453">
        <v>14</v>
      </c>
      <c r="F170" s="257">
        <f t="shared" si="16"/>
        <v>100</v>
      </c>
      <c r="G170" s="453"/>
      <c r="H170" s="453">
        <v>0</v>
      </c>
      <c r="I170" s="257">
        <f t="shared" si="17"/>
        <v>0</v>
      </c>
      <c r="J170" s="453"/>
      <c r="K170" s="453">
        <v>0</v>
      </c>
      <c r="L170" s="257">
        <f t="shared" si="18"/>
        <v>0</v>
      </c>
      <c r="M170" s="4"/>
    </row>
    <row r="171" spans="1:13" ht="14.1" hidden="1" customHeight="1">
      <c r="A171" s="4" t="s">
        <v>1263</v>
      </c>
      <c r="B171" s="500">
        <f t="shared" si="14"/>
        <v>0</v>
      </c>
      <c r="C171" s="257">
        <f t="shared" si="15"/>
        <v>0</v>
      </c>
      <c r="D171" s="4"/>
      <c r="E171" s="97"/>
      <c r="F171" s="257" t="e">
        <f t="shared" si="16"/>
        <v>#DIV/0!</v>
      </c>
      <c r="G171" s="97"/>
      <c r="H171" s="97"/>
      <c r="I171" s="257" t="e">
        <f t="shared" si="17"/>
        <v>#DIV/0!</v>
      </c>
      <c r="J171" s="97"/>
      <c r="K171" s="97"/>
      <c r="L171" s="257" t="e">
        <f t="shared" si="18"/>
        <v>#DIV/0!</v>
      </c>
      <c r="M171" s="4"/>
    </row>
    <row r="172" spans="1:13" ht="14.1" customHeight="1">
      <c r="A172" s="4" t="s">
        <v>1213</v>
      </c>
      <c r="B172" s="500">
        <f t="shared" si="14"/>
        <v>5</v>
      </c>
      <c r="C172" s="257">
        <f t="shared" si="15"/>
        <v>0.34818941504178275</v>
      </c>
      <c r="D172" s="4"/>
      <c r="E172" s="453">
        <v>5</v>
      </c>
      <c r="F172" s="257">
        <f t="shared" si="16"/>
        <v>100</v>
      </c>
      <c r="G172" s="453"/>
      <c r="H172" s="453">
        <v>0</v>
      </c>
      <c r="I172" s="257">
        <f t="shared" si="17"/>
        <v>0</v>
      </c>
      <c r="J172" s="453"/>
      <c r="K172" s="453">
        <v>0</v>
      </c>
      <c r="L172" s="257">
        <f t="shared" si="18"/>
        <v>0</v>
      </c>
      <c r="M172" s="4"/>
    </row>
    <row r="173" spans="1:13" ht="14.1" hidden="1" customHeight="1">
      <c r="A173" s="4"/>
      <c r="B173" s="500" t="str">
        <f t="shared" si="14"/>
        <v/>
      </c>
      <c r="C173" s="257" t="str">
        <f t="shared" si="15"/>
        <v/>
      </c>
      <c r="D173" s="4"/>
      <c r="E173" s="4"/>
      <c r="F173" s="257" t="str">
        <f t="shared" si="16"/>
        <v/>
      </c>
      <c r="H173" s="501"/>
      <c r="I173" s="257" t="str">
        <f t="shared" si="17"/>
        <v/>
      </c>
      <c r="L173" s="257" t="str">
        <f t="shared" si="18"/>
        <v/>
      </c>
      <c r="M173" s="4"/>
    </row>
    <row r="174" spans="1:13" ht="14.1" hidden="1" customHeight="1">
      <c r="A174" s="4" t="s">
        <v>1215</v>
      </c>
      <c r="B174" s="500">
        <f t="shared" si="14"/>
        <v>0</v>
      </c>
      <c r="C174" s="257">
        <f t="shared" si="15"/>
        <v>0</v>
      </c>
      <c r="D174" s="4"/>
      <c r="E174" s="4">
        <f>SUM(E175:E176)</f>
        <v>0</v>
      </c>
      <c r="F174" s="257" t="e">
        <f t="shared" si="16"/>
        <v>#DIV/0!</v>
      </c>
      <c r="H174" s="4">
        <f>SUM(H175:H176)</f>
        <v>0</v>
      </c>
      <c r="I174" s="257" t="e">
        <f t="shared" si="17"/>
        <v>#DIV/0!</v>
      </c>
      <c r="K174" s="4">
        <f>SUM(K175:K176)</f>
        <v>0</v>
      </c>
      <c r="L174" s="257" t="e">
        <f t="shared" si="18"/>
        <v>#DIV/0!</v>
      </c>
      <c r="M174" s="4"/>
    </row>
    <row r="175" spans="1:13" ht="7.5" hidden="1" customHeight="1">
      <c r="A175" s="4"/>
      <c r="B175" s="500" t="str">
        <f t="shared" si="14"/>
        <v/>
      </c>
      <c r="C175" s="257" t="str">
        <f t="shared" si="15"/>
        <v/>
      </c>
      <c r="D175" s="4"/>
      <c r="E175" s="4"/>
      <c r="F175" s="257" t="str">
        <f t="shared" si="16"/>
        <v/>
      </c>
      <c r="H175" s="501"/>
      <c r="I175" s="257" t="str">
        <f t="shared" si="17"/>
        <v/>
      </c>
      <c r="L175" s="257" t="str">
        <f t="shared" si="18"/>
        <v/>
      </c>
      <c r="M175" s="4"/>
    </row>
    <row r="176" spans="1:13" ht="14.1" hidden="1" customHeight="1">
      <c r="A176" s="4" t="s">
        <v>1216</v>
      </c>
      <c r="B176" s="500">
        <f t="shared" si="14"/>
        <v>0</v>
      </c>
      <c r="C176" s="257">
        <f t="shared" si="15"/>
        <v>0</v>
      </c>
      <c r="D176" s="4"/>
      <c r="E176" s="4"/>
      <c r="F176" s="257" t="e">
        <f t="shared" si="16"/>
        <v>#DIV/0!</v>
      </c>
      <c r="H176" s="501"/>
      <c r="I176" s="257" t="e">
        <f t="shared" si="17"/>
        <v>#DIV/0!</v>
      </c>
      <c r="L176" s="257" t="e">
        <f t="shared" si="18"/>
        <v>#DIV/0!</v>
      </c>
      <c r="M176" s="4"/>
    </row>
    <row r="177" spans="1:13" ht="10.5" hidden="1" customHeight="1">
      <c r="A177" s="4"/>
      <c r="B177" s="500" t="str">
        <f t="shared" si="14"/>
        <v/>
      </c>
      <c r="C177" s="257" t="str">
        <f t="shared" si="15"/>
        <v/>
      </c>
      <c r="D177" s="4"/>
      <c r="E177" s="4"/>
      <c r="F177" s="257" t="str">
        <f t="shared" si="16"/>
        <v/>
      </c>
      <c r="H177" s="501"/>
      <c r="I177" s="257" t="str">
        <f t="shared" si="17"/>
        <v/>
      </c>
      <c r="L177" s="257" t="str">
        <f t="shared" si="18"/>
        <v/>
      </c>
      <c r="M177" s="4"/>
    </row>
    <row r="178" spans="1:13" ht="10.5" customHeight="1">
      <c r="A178" s="4"/>
      <c r="B178" s="500"/>
      <c r="C178" s="257"/>
      <c r="D178" s="4"/>
      <c r="E178" s="4"/>
      <c r="H178" s="501"/>
      <c r="L178" s="257"/>
      <c r="M178" s="4"/>
    </row>
    <row r="179" spans="1:13" ht="14.1" customHeight="1">
      <c r="A179" s="9" t="s">
        <v>1264</v>
      </c>
      <c r="B179" s="500">
        <f t="shared" si="14"/>
        <v>10</v>
      </c>
      <c r="C179" s="257">
        <f t="shared" si="15"/>
        <v>0.69637883008356549</v>
      </c>
      <c r="D179" s="4"/>
      <c r="E179" s="4">
        <f>SUM(E181)</f>
        <v>7</v>
      </c>
      <c r="F179" s="257">
        <f t="shared" si="16"/>
        <v>70</v>
      </c>
      <c r="H179" s="4">
        <f>SUM(H181)</f>
        <v>2</v>
      </c>
      <c r="I179" s="257">
        <f t="shared" si="17"/>
        <v>20</v>
      </c>
      <c r="K179" s="4">
        <f>SUM(K181)</f>
        <v>1</v>
      </c>
      <c r="L179" s="257">
        <f t="shared" si="18"/>
        <v>10</v>
      </c>
      <c r="M179" s="4"/>
    </row>
    <row r="180" spans="1:13" ht="7.5" customHeight="1">
      <c r="A180" s="4"/>
      <c r="B180" s="500" t="str">
        <f t="shared" si="14"/>
        <v/>
      </c>
      <c r="C180" s="257" t="str">
        <f t="shared" si="15"/>
        <v/>
      </c>
      <c r="D180" s="4"/>
      <c r="E180" s="4"/>
      <c r="F180" s="257" t="str">
        <f t="shared" si="16"/>
        <v/>
      </c>
      <c r="H180" s="4"/>
      <c r="I180" s="257" t="str">
        <f t="shared" si="17"/>
        <v/>
      </c>
      <c r="L180" s="257" t="str">
        <f t="shared" si="18"/>
        <v/>
      </c>
      <c r="M180" s="4"/>
    </row>
    <row r="181" spans="1:13" ht="14.1" customHeight="1">
      <c r="A181" s="4" t="s">
        <v>186</v>
      </c>
      <c r="B181" s="500">
        <f t="shared" si="14"/>
        <v>10</v>
      </c>
      <c r="C181" s="257">
        <f t="shared" si="15"/>
        <v>0.69637883008356549</v>
      </c>
      <c r="D181" s="4"/>
      <c r="E181" s="4">
        <f>SUM(E182:E183)</f>
        <v>7</v>
      </c>
      <c r="F181" s="257">
        <f t="shared" ref="F181:F191" si="19">IF($A181&lt;&gt;"",E181/$B181*100,"")</f>
        <v>70</v>
      </c>
      <c r="H181" s="4">
        <f>SUM(H182:H183)</f>
        <v>2</v>
      </c>
      <c r="I181" s="257">
        <f t="shared" ref="I181:I190" si="20">IF($A181&lt;&gt;"",H181/$B181*100,"")</f>
        <v>20</v>
      </c>
      <c r="K181" s="4">
        <f>SUM(K182:K183)</f>
        <v>1</v>
      </c>
      <c r="L181" s="257">
        <f t="shared" si="18"/>
        <v>10</v>
      </c>
      <c r="M181" s="4"/>
    </row>
    <row r="182" spans="1:13" ht="14.1" customHeight="1">
      <c r="A182" s="97" t="s">
        <v>1218</v>
      </c>
      <c r="B182" s="500">
        <f t="shared" ref="B182:B190" si="21">IF(A182&lt;&gt;"",E182+H182+K182,"")</f>
        <v>10</v>
      </c>
      <c r="C182" s="257">
        <f t="shared" ref="C182:C188" si="22">IF(A182&lt;&gt;0,B182/$B$11*100,"")</f>
        <v>0.69637883008356549</v>
      </c>
      <c r="D182" s="4"/>
      <c r="E182" s="453">
        <v>7</v>
      </c>
      <c r="F182" s="257">
        <f t="shared" si="19"/>
        <v>70</v>
      </c>
      <c r="G182" s="453"/>
      <c r="H182" s="453">
        <v>2</v>
      </c>
      <c r="I182" s="257">
        <f t="shared" si="20"/>
        <v>20</v>
      </c>
      <c r="J182" s="453"/>
      <c r="K182" s="453">
        <v>1</v>
      </c>
      <c r="L182" s="257">
        <f t="shared" si="18"/>
        <v>10</v>
      </c>
      <c r="M182" s="4"/>
    </row>
    <row r="183" spans="1:13" ht="14.1" hidden="1" customHeight="1">
      <c r="A183" s="97" t="s">
        <v>1265</v>
      </c>
      <c r="B183" s="500">
        <f t="shared" si="21"/>
        <v>0</v>
      </c>
      <c r="C183" s="257">
        <f t="shared" si="22"/>
        <v>0</v>
      </c>
      <c r="D183" s="4"/>
      <c r="E183" s="4"/>
      <c r="F183" s="257" t="e">
        <f t="shared" si="19"/>
        <v>#DIV/0!</v>
      </c>
      <c r="H183" s="501"/>
      <c r="I183" s="257" t="e">
        <f t="shared" si="20"/>
        <v>#DIV/0!</v>
      </c>
      <c r="L183" s="257" t="e">
        <f t="shared" si="18"/>
        <v>#DIV/0!</v>
      </c>
      <c r="M183" s="4"/>
    </row>
    <row r="184" spans="1:13" ht="8.25" customHeight="1">
      <c r="A184" s="97" t="s">
        <v>1219</v>
      </c>
      <c r="B184" s="500"/>
      <c r="C184" s="257"/>
      <c r="D184" s="4"/>
      <c r="E184" s="4"/>
      <c r="H184" s="501"/>
      <c r="L184" s="257"/>
      <c r="M184" s="4"/>
    </row>
    <row r="185" spans="1:13" ht="14.1" customHeight="1">
      <c r="A185" s="9" t="s">
        <v>942</v>
      </c>
      <c r="B185" s="500">
        <f t="shared" si="21"/>
        <v>100</v>
      </c>
      <c r="C185" s="257">
        <f t="shared" si="22"/>
        <v>6.9637883008356551</v>
      </c>
      <c r="D185" s="257"/>
      <c r="E185" s="4">
        <f>SUM(E186:E190)</f>
        <v>95</v>
      </c>
      <c r="F185" s="257">
        <f t="shared" si="19"/>
        <v>95</v>
      </c>
      <c r="G185" s="257"/>
      <c r="H185" s="501">
        <f>SUM(H186:H190)</f>
        <v>3</v>
      </c>
      <c r="I185" s="257">
        <f t="shared" si="20"/>
        <v>3</v>
      </c>
      <c r="J185" s="257"/>
      <c r="K185" s="4">
        <f>SUM(K186:K190)</f>
        <v>2</v>
      </c>
      <c r="L185" s="257">
        <f t="shared" si="18"/>
        <v>2</v>
      </c>
      <c r="M185" s="257"/>
    </row>
    <row r="186" spans="1:13" ht="14.1" customHeight="1">
      <c r="A186" s="4" t="s">
        <v>347</v>
      </c>
      <c r="B186" s="500">
        <f t="shared" si="21"/>
        <v>44</v>
      </c>
      <c r="C186" s="257">
        <f t="shared" si="22"/>
        <v>3.0640668523676879</v>
      </c>
      <c r="D186" s="257"/>
      <c r="E186" s="453">
        <v>42</v>
      </c>
      <c r="F186" s="257">
        <f t="shared" si="19"/>
        <v>95.454545454545453</v>
      </c>
      <c r="G186" s="453"/>
      <c r="H186" s="453">
        <v>2</v>
      </c>
      <c r="I186" s="257">
        <f t="shared" si="20"/>
        <v>4.5454545454545459</v>
      </c>
      <c r="J186" s="453"/>
      <c r="K186" s="453">
        <v>0</v>
      </c>
      <c r="L186" s="257">
        <f t="shared" si="18"/>
        <v>0</v>
      </c>
      <c r="M186" s="257"/>
    </row>
    <row r="187" spans="1:13" ht="14.1" customHeight="1">
      <c r="A187" s="4" t="s">
        <v>348</v>
      </c>
      <c r="B187" s="500">
        <f t="shared" si="21"/>
        <v>13</v>
      </c>
      <c r="C187" s="257">
        <f t="shared" si="22"/>
        <v>0.90529247910863508</v>
      </c>
      <c r="D187" s="257"/>
      <c r="E187" s="453">
        <v>12</v>
      </c>
      <c r="F187" s="257">
        <f t="shared" si="19"/>
        <v>92.307692307692307</v>
      </c>
      <c r="G187" s="453"/>
      <c r="H187" s="453">
        <v>1</v>
      </c>
      <c r="I187" s="257">
        <f t="shared" si="20"/>
        <v>7.6923076923076925</v>
      </c>
      <c r="J187" s="453"/>
      <c r="K187" s="453">
        <v>0</v>
      </c>
      <c r="L187" s="257">
        <f t="shared" si="18"/>
        <v>0</v>
      </c>
      <c r="M187" s="257"/>
    </row>
    <row r="188" spans="1:13" ht="14.1" customHeight="1">
      <c r="A188" s="4" t="s">
        <v>349</v>
      </c>
      <c r="B188" s="500">
        <f t="shared" si="21"/>
        <v>21</v>
      </c>
      <c r="C188" s="257">
        <f t="shared" si="22"/>
        <v>1.4623955431754874</v>
      </c>
      <c r="D188" s="257"/>
      <c r="E188" s="453">
        <v>19</v>
      </c>
      <c r="F188" s="257">
        <f t="shared" si="19"/>
        <v>90.476190476190482</v>
      </c>
      <c r="G188" s="453"/>
      <c r="H188" s="453">
        <v>0</v>
      </c>
      <c r="I188" s="257">
        <f t="shared" si="20"/>
        <v>0</v>
      </c>
      <c r="J188" s="453"/>
      <c r="K188" s="453">
        <v>2</v>
      </c>
      <c r="L188" s="257">
        <f t="shared" si="18"/>
        <v>9.5238095238095237</v>
      </c>
      <c r="M188" s="257"/>
    </row>
    <row r="189" spans="1:13" ht="14.1" customHeight="1">
      <c r="A189" s="4" t="s">
        <v>350</v>
      </c>
      <c r="B189" s="500">
        <f t="shared" si="21"/>
        <v>5</v>
      </c>
      <c r="C189" s="257">
        <f>IF(A189&lt;&gt;0,B189/$B$11*100,"")</f>
        <v>0.34818941504178275</v>
      </c>
      <c r="D189" s="257"/>
      <c r="E189" s="453">
        <v>5</v>
      </c>
      <c r="F189" s="257">
        <f t="shared" si="19"/>
        <v>100</v>
      </c>
      <c r="G189" s="453"/>
      <c r="H189" s="453">
        <v>0</v>
      </c>
      <c r="I189" s="257">
        <f t="shared" si="20"/>
        <v>0</v>
      </c>
      <c r="J189" s="453"/>
      <c r="K189" s="453">
        <v>0</v>
      </c>
      <c r="L189" s="257">
        <f t="shared" si="18"/>
        <v>0</v>
      </c>
      <c r="M189" s="257"/>
    </row>
    <row r="190" spans="1:13" ht="14.1" customHeight="1">
      <c r="A190" s="4" t="s">
        <v>808</v>
      </c>
      <c r="B190" s="500">
        <f t="shared" si="21"/>
        <v>17</v>
      </c>
      <c r="C190" s="257">
        <f>IF(A190&lt;&gt;0,B190/$B$11*100,"")</f>
        <v>1.1838440111420612</v>
      </c>
      <c r="D190" s="257"/>
      <c r="E190" s="453">
        <v>17</v>
      </c>
      <c r="F190" s="257">
        <f t="shared" si="19"/>
        <v>100</v>
      </c>
      <c r="G190" s="453"/>
      <c r="H190" s="453">
        <v>0</v>
      </c>
      <c r="I190" s="257">
        <f t="shared" si="20"/>
        <v>0</v>
      </c>
      <c r="J190" s="453"/>
      <c r="K190" s="453">
        <v>0</v>
      </c>
      <c r="L190" s="257">
        <f t="shared" si="18"/>
        <v>0</v>
      </c>
      <c r="M190" s="257"/>
    </row>
    <row r="191" spans="1:13" ht="10.5" customHeight="1" thickBot="1">
      <c r="A191" s="4"/>
      <c r="B191" s="4"/>
      <c r="C191" s="4"/>
      <c r="D191" s="4"/>
      <c r="E191" s="4"/>
      <c r="F191" s="257" t="str">
        <f t="shared" si="19"/>
        <v/>
      </c>
      <c r="H191" s="501"/>
      <c r="L191" s="4"/>
      <c r="M191" s="4"/>
    </row>
    <row r="192" spans="1:13" ht="6.75" customHeight="1">
      <c r="A192" s="463"/>
      <c r="B192" s="463"/>
      <c r="C192" s="463"/>
      <c r="D192" s="463"/>
      <c r="E192" s="484"/>
      <c r="F192" s="485"/>
      <c r="G192" s="463"/>
      <c r="H192" s="527"/>
      <c r="I192" s="485"/>
      <c r="J192" s="463"/>
      <c r="K192" s="463"/>
      <c r="L192" s="463"/>
      <c r="M192" s="463"/>
    </row>
    <row r="193" spans="1:13">
      <c r="A193" s="256" t="s">
        <v>1504</v>
      </c>
      <c r="B193" s="65"/>
      <c r="C193" s="257"/>
      <c r="D193"/>
      <c r="E193" s="50"/>
      <c r="F193" s="17"/>
      <c r="G193" s="1"/>
      <c r="H193" s="50"/>
      <c r="I193" s="17"/>
      <c r="J193" s="1"/>
      <c r="K193" s="50"/>
      <c r="L193" s="43"/>
      <c r="M193"/>
    </row>
    <row r="194" spans="1:13">
      <c r="A194" s="4" t="s">
        <v>1503</v>
      </c>
      <c r="B194" s="65"/>
      <c r="C194" s="257"/>
      <c r="D194"/>
      <c r="E194" s="50"/>
      <c r="F194" s="17"/>
      <c r="G194" s="1"/>
      <c r="H194" s="50"/>
      <c r="I194" s="17"/>
      <c r="J194" s="1"/>
      <c r="K194" s="50"/>
      <c r="L194" s="43"/>
      <c r="M194"/>
    </row>
    <row r="195" spans="1:13" ht="6" customHeight="1">
      <c r="B195" s="4"/>
      <c r="C195" s="4"/>
    </row>
    <row r="196" spans="1:13">
      <c r="A196" s="42" t="s">
        <v>1228</v>
      </c>
      <c r="B196" s="4"/>
      <c r="C196" s="4"/>
    </row>
    <row r="197" spans="1:13">
      <c r="A197" s="42" t="s">
        <v>365</v>
      </c>
      <c r="B197" s="4"/>
      <c r="C197" s="4"/>
    </row>
    <row r="198" spans="1:13">
      <c r="B198" s="4"/>
      <c r="C198" s="4"/>
    </row>
    <row r="199" spans="1:13">
      <c r="B199" s="4"/>
      <c r="C199" s="4"/>
    </row>
    <row r="200" spans="1:13">
      <c r="B200" s="4"/>
      <c r="C200" s="4"/>
    </row>
    <row r="201" spans="1:13">
      <c r="B201" s="4"/>
      <c r="C201" s="4"/>
    </row>
    <row r="202" spans="1:13">
      <c r="B202" s="4"/>
      <c r="C202" s="4"/>
    </row>
    <row r="203" spans="1:13">
      <c r="B203" s="4"/>
      <c r="C203" s="4"/>
    </row>
    <row r="204" spans="1:13">
      <c r="B204" s="4"/>
      <c r="C204" s="4"/>
    </row>
    <row r="205" spans="1:13">
      <c r="B205" s="4"/>
      <c r="C205" s="4"/>
    </row>
    <row r="206" spans="1:13">
      <c r="B206" s="4"/>
      <c r="C206" s="4"/>
    </row>
    <row r="207" spans="1:13">
      <c r="B207" s="4"/>
      <c r="C207" s="4"/>
    </row>
    <row r="208" spans="1:13">
      <c r="B208" s="4"/>
      <c r="C208" s="4"/>
    </row>
    <row r="209" spans="2:3">
      <c r="B209" s="4"/>
      <c r="C209" s="4"/>
    </row>
    <row r="210" spans="2:3">
      <c r="B210" s="4"/>
      <c r="C210" s="4"/>
    </row>
    <row r="211" spans="2:3">
      <c r="B211" s="4"/>
      <c r="C211" s="4"/>
    </row>
    <row r="212" spans="2:3">
      <c r="B212" s="4"/>
      <c r="C212" s="4"/>
    </row>
    <row r="213" spans="2:3">
      <c r="B213" s="4"/>
      <c r="C213" s="4"/>
    </row>
    <row r="214" spans="2:3">
      <c r="B214" s="4"/>
      <c r="C214" s="4"/>
    </row>
    <row r="215" spans="2:3">
      <c r="B215" s="4"/>
      <c r="C215" s="4"/>
    </row>
    <row r="216" spans="2:3">
      <c r="B216" s="4"/>
      <c r="C216" s="4"/>
    </row>
    <row r="217" spans="2:3">
      <c r="B217" s="4"/>
      <c r="C217" s="4"/>
    </row>
    <row r="218" spans="2:3">
      <c r="B218" s="4"/>
      <c r="C218" s="4"/>
    </row>
    <row r="219" spans="2:3">
      <c r="B219" s="4"/>
      <c r="C219" s="4"/>
    </row>
    <row r="220" spans="2:3">
      <c r="B220" s="4"/>
      <c r="C220" s="4"/>
    </row>
    <row r="221" spans="2:3">
      <c r="B221" s="4"/>
      <c r="C221" s="4"/>
    </row>
    <row r="222" spans="2:3">
      <c r="B222" s="4"/>
      <c r="C222" s="4"/>
    </row>
    <row r="223" spans="2:3">
      <c r="B223" s="4"/>
      <c r="C223" s="4"/>
    </row>
    <row r="224" spans="2:3">
      <c r="B224" s="4"/>
      <c r="C224" s="4"/>
    </row>
    <row r="225" spans="2:3">
      <c r="B225" s="4"/>
      <c r="C225" s="4"/>
    </row>
    <row r="226" spans="2:3">
      <c r="B226" s="4"/>
      <c r="C226" s="4"/>
    </row>
    <row r="227" spans="2:3">
      <c r="B227" s="4"/>
      <c r="C227" s="4"/>
    </row>
    <row r="228" spans="2:3">
      <c r="B228" s="4"/>
      <c r="C228" s="4"/>
    </row>
  </sheetData>
  <mergeCells count="8">
    <mergeCell ref="B7:C7"/>
    <mergeCell ref="E7:F7"/>
    <mergeCell ref="H7:I7"/>
    <mergeCell ref="K7:L7"/>
    <mergeCell ref="B117:C117"/>
    <mergeCell ref="E117:F117"/>
    <mergeCell ref="H117:I117"/>
    <mergeCell ref="K117:L117"/>
  </mergeCells>
  <printOptions horizontalCentered="1" verticalCentered="1"/>
  <pageMargins left="0" right="0" top="0" bottom="0" header="0.31496062992125984" footer="0.31496062992125984"/>
  <pageSetup paperSize="9" scale="75" orientation="portrait" r:id="rId1"/>
  <ignoredErrors>
    <ignoredError sqref="F13" evalError="1"/>
  </ignoredErrors>
  <drawing r:id="rId2"/>
</worksheet>
</file>

<file path=xl/worksheets/sheet69.xml><?xml version="1.0" encoding="utf-8"?>
<worksheet xmlns="http://schemas.openxmlformats.org/spreadsheetml/2006/main" xmlns:r="http://schemas.openxmlformats.org/officeDocument/2006/relationships">
  <sheetPr>
    <tabColor theme="5" tint="0.59999389629810485"/>
  </sheetPr>
  <dimension ref="B1:K29"/>
  <sheetViews>
    <sheetView workbookViewId="0">
      <selection activeCell="K20" sqref="K20"/>
    </sheetView>
  </sheetViews>
  <sheetFormatPr baseColWidth="10" defaultRowHeight="15"/>
  <sheetData>
    <row r="1" spans="2:11" ht="12.75" customHeight="1"/>
    <row r="2" spans="2:11" ht="12.75" customHeight="1">
      <c r="J2" s="429"/>
    </row>
    <row r="3" spans="2:11" ht="12.75" customHeight="1">
      <c r="B3" s="42" t="s">
        <v>1245</v>
      </c>
      <c r="C3" s="42" t="s">
        <v>1303</v>
      </c>
      <c r="D3" s="42" t="s">
        <v>1247</v>
      </c>
      <c r="H3" s="33"/>
    </row>
    <row r="4" spans="2:11" ht="12.75" customHeight="1">
      <c r="B4" s="548">
        <v>1232</v>
      </c>
      <c r="C4" s="548">
        <v>179</v>
      </c>
      <c r="D4" s="548">
        <v>25</v>
      </c>
      <c r="E4" s="31"/>
      <c r="F4" s="31"/>
      <c r="H4" s="34"/>
      <c r="K4" s="35"/>
    </row>
    <row r="29" ht="13.5" customHeight="1"/>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dimension ref="A1:K40"/>
  <sheetViews>
    <sheetView workbookViewId="0">
      <selection activeCell="A5" sqref="A5:XFD5"/>
    </sheetView>
  </sheetViews>
  <sheetFormatPr baseColWidth="10" defaultColWidth="9.140625" defaultRowHeight="15"/>
  <cols>
    <col min="1" max="1" width="21.28515625" customWidth="1"/>
    <col min="2" max="2" width="4.42578125" customWidth="1"/>
    <col min="3" max="3" width="10.7109375" style="41" customWidth="1"/>
    <col min="4" max="4" width="10.7109375" style="31" customWidth="1"/>
    <col min="5" max="5" width="3.28515625" customWidth="1"/>
    <col min="6" max="6" width="10.7109375" style="41" customWidth="1"/>
    <col min="7" max="7" width="10.7109375" style="43" customWidth="1"/>
    <col min="8" max="8" width="3.28515625" customWidth="1"/>
    <col min="9" max="9" width="10.7109375" style="41" customWidth="1"/>
    <col min="10" max="10" width="9.140625" style="43" customWidth="1"/>
    <col min="11" max="11" width="3.5703125" customWidth="1"/>
    <col min="257" max="257" width="21.28515625" customWidth="1"/>
    <col min="258" max="258" width="4.42578125" customWidth="1"/>
    <col min="259" max="260" width="10.7109375" customWidth="1"/>
    <col min="261" max="261" width="3.28515625" customWidth="1"/>
    <col min="262" max="263" width="10.7109375" customWidth="1"/>
    <col min="264" max="264" width="3.28515625" customWidth="1"/>
    <col min="265" max="265" width="10.7109375" customWidth="1"/>
    <col min="266" max="266" width="9.140625" customWidth="1"/>
    <col min="267" max="267" width="3.5703125" customWidth="1"/>
    <col min="513" max="513" width="21.28515625" customWidth="1"/>
    <col min="514" max="514" width="4.42578125" customWidth="1"/>
    <col min="515" max="516" width="10.7109375" customWidth="1"/>
    <col min="517" max="517" width="3.28515625" customWidth="1"/>
    <col min="518" max="519" width="10.7109375" customWidth="1"/>
    <col min="520" max="520" width="3.28515625" customWidth="1"/>
    <col min="521" max="521" width="10.7109375" customWidth="1"/>
    <col min="522" max="522" width="9.140625" customWidth="1"/>
    <col min="523" max="523" width="3.5703125" customWidth="1"/>
    <col min="769" max="769" width="21.28515625" customWidth="1"/>
    <col min="770" max="770" width="4.42578125" customWidth="1"/>
    <col min="771" max="772" width="10.7109375" customWidth="1"/>
    <col min="773" max="773" width="3.28515625" customWidth="1"/>
    <col min="774" max="775" width="10.7109375" customWidth="1"/>
    <col min="776" max="776" width="3.28515625" customWidth="1"/>
    <col min="777" max="777" width="10.7109375" customWidth="1"/>
    <col min="778" max="778" width="9.140625" customWidth="1"/>
    <col min="779" max="779" width="3.5703125" customWidth="1"/>
    <col min="1025" max="1025" width="21.28515625" customWidth="1"/>
    <col min="1026" max="1026" width="4.42578125" customWidth="1"/>
    <col min="1027" max="1028" width="10.7109375" customWidth="1"/>
    <col min="1029" max="1029" width="3.28515625" customWidth="1"/>
    <col min="1030" max="1031" width="10.7109375" customWidth="1"/>
    <col min="1032" max="1032" width="3.28515625" customWidth="1"/>
    <col min="1033" max="1033" width="10.7109375" customWidth="1"/>
    <col min="1034" max="1034" width="9.140625" customWidth="1"/>
    <col min="1035" max="1035" width="3.5703125" customWidth="1"/>
    <col min="1281" max="1281" width="21.28515625" customWidth="1"/>
    <col min="1282" max="1282" width="4.42578125" customWidth="1"/>
    <col min="1283" max="1284" width="10.7109375" customWidth="1"/>
    <col min="1285" max="1285" width="3.28515625" customWidth="1"/>
    <col min="1286" max="1287" width="10.7109375" customWidth="1"/>
    <col min="1288" max="1288" width="3.28515625" customWidth="1"/>
    <col min="1289" max="1289" width="10.7109375" customWidth="1"/>
    <col min="1290" max="1290" width="9.140625" customWidth="1"/>
    <col min="1291" max="1291" width="3.5703125" customWidth="1"/>
    <col min="1537" max="1537" width="21.28515625" customWidth="1"/>
    <col min="1538" max="1538" width="4.42578125" customWidth="1"/>
    <col min="1539" max="1540" width="10.7109375" customWidth="1"/>
    <col min="1541" max="1541" width="3.28515625" customWidth="1"/>
    <col min="1542" max="1543" width="10.7109375" customWidth="1"/>
    <col min="1544" max="1544" width="3.28515625" customWidth="1"/>
    <col min="1545" max="1545" width="10.7109375" customWidth="1"/>
    <col min="1546" max="1546" width="9.140625" customWidth="1"/>
    <col min="1547" max="1547" width="3.5703125" customWidth="1"/>
    <col min="1793" max="1793" width="21.28515625" customWidth="1"/>
    <col min="1794" max="1794" width="4.42578125" customWidth="1"/>
    <col min="1795" max="1796" width="10.7109375" customWidth="1"/>
    <col min="1797" max="1797" width="3.28515625" customWidth="1"/>
    <col min="1798" max="1799" width="10.7109375" customWidth="1"/>
    <col min="1800" max="1800" width="3.28515625" customWidth="1"/>
    <col min="1801" max="1801" width="10.7109375" customWidth="1"/>
    <col min="1802" max="1802" width="9.140625" customWidth="1"/>
    <col min="1803" max="1803" width="3.5703125" customWidth="1"/>
    <col min="2049" max="2049" width="21.28515625" customWidth="1"/>
    <col min="2050" max="2050" width="4.42578125" customWidth="1"/>
    <col min="2051" max="2052" width="10.7109375" customWidth="1"/>
    <col min="2053" max="2053" width="3.28515625" customWidth="1"/>
    <col min="2054" max="2055" width="10.7109375" customWidth="1"/>
    <col min="2056" max="2056" width="3.28515625" customWidth="1"/>
    <col min="2057" max="2057" width="10.7109375" customWidth="1"/>
    <col min="2058" max="2058" width="9.140625" customWidth="1"/>
    <col min="2059" max="2059" width="3.5703125" customWidth="1"/>
    <col min="2305" max="2305" width="21.28515625" customWidth="1"/>
    <col min="2306" max="2306" width="4.42578125" customWidth="1"/>
    <col min="2307" max="2308" width="10.7109375" customWidth="1"/>
    <col min="2309" max="2309" width="3.28515625" customWidth="1"/>
    <col min="2310" max="2311" width="10.7109375" customWidth="1"/>
    <col min="2312" max="2312" width="3.28515625" customWidth="1"/>
    <col min="2313" max="2313" width="10.7109375" customWidth="1"/>
    <col min="2314" max="2314" width="9.140625" customWidth="1"/>
    <col min="2315" max="2315" width="3.5703125" customWidth="1"/>
    <col min="2561" max="2561" width="21.28515625" customWidth="1"/>
    <col min="2562" max="2562" width="4.42578125" customWidth="1"/>
    <col min="2563" max="2564" width="10.7109375" customWidth="1"/>
    <col min="2565" max="2565" width="3.28515625" customWidth="1"/>
    <col min="2566" max="2567" width="10.7109375" customWidth="1"/>
    <col min="2568" max="2568" width="3.28515625" customWidth="1"/>
    <col min="2569" max="2569" width="10.7109375" customWidth="1"/>
    <col min="2570" max="2570" width="9.140625" customWidth="1"/>
    <col min="2571" max="2571" width="3.5703125" customWidth="1"/>
    <col min="2817" max="2817" width="21.28515625" customWidth="1"/>
    <col min="2818" max="2818" width="4.42578125" customWidth="1"/>
    <col min="2819" max="2820" width="10.7109375" customWidth="1"/>
    <col min="2821" max="2821" width="3.28515625" customWidth="1"/>
    <col min="2822" max="2823" width="10.7109375" customWidth="1"/>
    <col min="2824" max="2824" width="3.28515625" customWidth="1"/>
    <col min="2825" max="2825" width="10.7109375" customWidth="1"/>
    <col min="2826" max="2826" width="9.140625" customWidth="1"/>
    <col min="2827" max="2827" width="3.5703125" customWidth="1"/>
    <col min="3073" max="3073" width="21.28515625" customWidth="1"/>
    <col min="3074" max="3074" width="4.42578125" customWidth="1"/>
    <col min="3075" max="3076" width="10.7109375" customWidth="1"/>
    <col min="3077" max="3077" width="3.28515625" customWidth="1"/>
    <col min="3078" max="3079" width="10.7109375" customWidth="1"/>
    <col min="3080" max="3080" width="3.28515625" customWidth="1"/>
    <col min="3081" max="3081" width="10.7109375" customWidth="1"/>
    <col min="3082" max="3082" width="9.140625" customWidth="1"/>
    <col min="3083" max="3083" width="3.5703125" customWidth="1"/>
    <col min="3329" max="3329" width="21.28515625" customWidth="1"/>
    <col min="3330" max="3330" width="4.42578125" customWidth="1"/>
    <col min="3331" max="3332" width="10.7109375" customWidth="1"/>
    <col min="3333" max="3333" width="3.28515625" customWidth="1"/>
    <col min="3334" max="3335" width="10.7109375" customWidth="1"/>
    <col min="3336" max="3336" width="3.28515625" customWidth="1"/>
    <col min="3337" max="3337" width="10.7109375" customWidth="1"/>
    <col min="3338" max="3338" width="9.140625" customWidth="1"/>
    <col min="3339" max="3339" width="3.5703125" customWidth="1"/>
    <col min="3585" max="3585" width="21.28515625" customWidth="1"/>
    <col min="3586" max="3586" width="4.42578125" customWidth="1"/>
    <col min="3587" max="3588" width="10.7109375" customWidth="1"/>
    <col min="3589" max="3589" width="3.28515625" customWidth="1"/>
    <col min="3590" max="3591" width="10.7109375" customWidth="1"/>
    <col min="3592" max="3592" width="3.28515625" customWidth="1"/>
    <col min="3593" max="3593" width="10.7109375" customWidth="1"/>
    <col min="3594" max="3594" width="9.140625" customWidth="1"/>
    <col min="3595" max="3595" width="3.5703125" customWidth="1"/>
    <col min="3841" max="3841" width="21.28515625" customWidth="1"/>
    <col min="3842" max="3842" width="4.42578125" customWidth="1"/>
    <col min="3843" max="3844" width="10.7109375" customWidth="1"/>
    <col min="3845" max="3845" width="3.28515625" customWidth="1"/>
    <col min="3846" max="3847" width="10.7109375" customWidth="1"/>
    <col min="3848" max="3848" width="3.28515625" customWidth="1"/>
    <col min="3849" max="3849" width="10.7109375" customWidth="1"/>
    <col min="3850" max="3850" width="9.140625" customWidth="1"/>
    <col min="3851" max="3851" width="3.5703125" customWidth="1"/>
    <col min="4097" max="4097" width="21.28515625" customWidth="1"/>
    <col min="4098" max="4098" width="4.42578125" customWidth="1"/>
    <col min="4099" max="4100" width="10.7109375" customWidth="1"/>
    <col min="4101" max="4101" width="3.28515625" customWidth="1"/>
    <col min="4102" max="4103" width="10.7109375" customWidth="1"/>
    <col min="4104" max="4104" width="3.28515625" customWidth="1"/>
    <col min="4105" max="4105" width="10.7109375" customWidth="1"/>
    <col min="4106" max="4106" width="9.140625" customWidth="1"/>
    <col min="4107" max="4107" width="3.5703125" customWidth="1"/>
    <col min="4353" max="4353" width="21.28515625" customWidth="1"/>
    <col min="4354" max="4354" width="4.42578125" customWidth="1"/>
    <col min="4355" max="4356" width="10.7109375" customWidth="1"/>
    <col min="4357" max="4357" width="3.28515625" customWidth="1"/>
    <col min="4358" max="4359" width="10.7109375" customWidth="1"/>
    <col min="4360" max="4360" width="3.28515625" customWidth="1"/>
    <col min="4361" max="4361" width="10.7109375" customWidth="1"/>
    <col min="4362" max="4362" width="9.140625" customWidth="1"/>
    <col min="4363" max="4363" width="3.5703125" customWidth="1"/>
    <col min="4609" max="4609" width="21.28515625" customWidth="1"/>
    <col min="4610" max="4610" width="4.42578125" customWidth="1"/>
    <col min="4611" max="4612" width="10.7109375" customWidth="1"/>
    <col min="4613" max="4613" width="3.28515625" customWidth="1"/>
    <col min="4614" max="4615" width="10.7109375" customWidth="1"/>
    <col min="4616" max="4616" width="3.28515625" customWidth="1"/>
    <col min="4617" max="4617" width="10.7109375" customWidth="1"/>
    <col min="4618" max="4618" width="9.140625" customWidth="1"/>
    <col min="4619" max="4619" width="3.5703125" customWidth="1"/>
    <col min="4865" max="4865" width="21.28515625" customWidth="1"/>
    <col min="4866" max="4866" width="4.42578125" customWidth="1"/>
    <col min="4867" max="4868" width="10.7109375" customWidth="1"/>
    <col min="4869" max="4869" width="3.28515625" customWidth="1"/>
    <col min="4870" max="4871" width="10.7109375" customWidth="1"/>
    <col min="4872" max="4872" width="3.28515625" customWidth="1"/>
    <col min="4873" max="4873" width="10.7109375" customWidth="1"/>
    <col min="4874" max="4874" width="9.140625" customWidth="1"/>
    <col min="4875" max="4875" width="3.5703125" customWidth="1"/>
    <col min="5121" max="5121" width="21.28515625" customWidth="1"/>
    <col min="5122" max="5122" width="4.42578125" customWidth="1"/>
    <col min="5123" max="5124" width="10.7109375" customWidth="1"/>
    <col min="5125" max="5125" width="3.28515625" customWidth="1"/>
    <col min="5126" max="5127" width="10.7109375" customWidth="1"/>
    <col min="5128" max="5128" width="3.28515625" customWidth="1"/>
    <col min="5129" max="5129" width="10.7109375" customWidth="1"/>
    <col min="5130" max="5130" width="9.140625" customWidth="1"/>
    <col min="5131" max="5131" width="3.5703125" customWidth="1"/>
    <col min="5377" max="5377" width="21.28515625" customWidth="1"/>
    <col min="5378" max="5378" width="4.42578125" customWidth="1"/>
    <col min="5379" max="5380" width="10.7109375" customWidth="1"/>
    <col min="5381" max="5381" width="3.28515625" customWidth="1"/>
    <col min="5382" max="5383" width="10.7109375" customWidth="1"/>
    <col min="5384" max="5384" width="3.28515625" customWidth="1"/>
    <col min="5385" max="5385" width="10.7109375" customWidth="1"/>
    <col min="5386" max="5386" width="9.140625" customWidth="1"/>
    <col min="5387" max="5387" width="3.5703125" customWidth="1"/>
    <col min="5633" max="5633" width="21.28515625" customWidth="1"/>
    <col min="5634" max="5634" width="4.42578125" customWidth="1"/>
    <col min="5635" max="5636" width="10.7109375" customWidth="1"/>
    <col min="5637" max="5637" width="3.28515625" customWidth="1"/>
    <col min="5638" max="5639" width="10.7109375" customWidth="1"/>
    <col min="5640" max="5640" width="3.28515625" customWidth="1"/>
    <col min="5641" max="5641" width="10.7109375" customWidth="1"/>
    <col min="5642" max="5642" width="9.140625" customWidth="1"/>
    <col min="5643" max="5643" width="3.5703125" customWidth="1"/>
    <col min="5889" max="5889" width="21.28515625" customWidth="1"/>
    <col min="5890" max="5890" width="4.42578125" customWidth="1"/>
    <col min="5891" max="5892" width="10.7109375" customWidth="1"/>
    <col min="5893" max="5893" width="3.28515625" customWidth="1"/>
    <col min="5894" max="5895" width="10.7109375" customWidth="1"/>
    <col min="5896" max="5896" width="3.28515625" customWidth="1"/>
    <col min="5897" max="5897" width="10.7109375" customWidth="1"/>
    <col min="5898" max="5898" width="9.140625" customWidth="1"/>
    <col min="5899" max="5899" width="3.5703125" customWidth="1"/>
    <col min="6145" max="6145" width="21.28515625" customWidth="1"/>
    <col min="6146" max="6146" width="4.42578125" customWidth="1"/>
    <col min="6147" max="6148" width="10.7109375" customWidth="1"/>
    <col min="6149" max="6149" width="3.28515625" customWidth="1"/>
    <col min="6150" max="6151" width="10.7109375" customWidth="1"/>
    <col min="6152" max="6152" width="3.28515625" customWidth="1"/>
    <col min="6153" max="6153" width="10.7109375" customWidth="1"/>
    <col min="6154" max="6154" width="9.140625" customWidth="1"/>
    <col min="6155" max="6155" width="3.5703125" customWidth="1"/>
    <col min="6401" max="6401" width="21.28515625" customWidth="1"/>
    <col min="6402" max="6402" width="4.42578125" customWidth="1"/>
    <col min="6403" max="6404" width="10.7109375" customWidth="1"/>
    <col min="6405" max="6405" width="3.28515625" customWidth="1"/>
    <col min="6406" max="6407" width="10.7109375" customWidth="1"/>
    <col min="6408" max="6408" width="3.28515625" customWidth="1"/>
    <col min="6409" max="6409" width="10.7109375" customWidth="1"/>
    <col min="6410" max="6410" width="9.140625" customWidth="1"/>
    <col min="6411" max="6411" width="3.5703125" customWidth="1"/>
    <col min="6657" max="6657" width="21.28515625" customWidth="1"/>
    <col min="6658" max="6658" width="4.42578125" customWidth="1"/>
    <col min="6659" max="6660" width="10.7109375" customWidth="1"/>
    <col min="6661" max="6661" width="3.28515625" customWidth="1"/>
    <col min="6662" max="6663" width="10.7109375" customWidth="1"/>
    <col min="6664" max="6664" width="3.28515625" customWidth="1"/>
    <col min="6665" max="6665" width="10.7109375" customWidth="1"/>
    <col min="6666" max="6666" width="9.140625" customWidth="1"/>
    <col min="6667" max="6667" width="3.5703125" customWidth="1"/>
    <col min="6913" max="6913" width="21.28515625" customWidth="1"/>
    <col min="6914" max="6914" width="4.42578125" customWidth="1"/>
    <col min="6915" max="6916" width="10.7109375" customWidth="1"/>
    <col min="6917" max="6917" width="3.28515625" customWidth="1"/>
    <col min="6918" max="6919" width="10.7109375" customWidth="1"/>
    <col min="6920" max="6920" width="3.28515625" customWidth="1"/>
    <col min="6921" max="6921" width="10.7109375" customWidth="1"/>
    <col min="6922" max="6922" width="9.140625" customWidth="1"/>
    <col min="6923" max="6923" width="3.5703125" customWidth="1"/>
    <col min="7169" max="7169" width="21.28515625" customWidth="1"/>
    <col min="7170" max="7170" width="4.42578125" customWidth="1"/>
    <col min="7171" max="7172" width="10.7109375" customWidth="1"/>
    <col min="7173" max="7173" width="3.28515625" customWidth="1"/>
    <col min="7174" max="7175" width="10.7109375" customWidth="1"/>
    <col min="7176" max="7176" width="3.28515625" customWidth="1"/>
    <col min="7177" max="7177" width="10.7109375" customWidth="1"/>
    <col min="7178" max="7178" width="9.140625" customWidth="1"/>
    <col min="7179" max="7179" width="3.5703125" customWidth="1"/>
    <col min="7425" max="7425" width="21.28515625" customWidth="1"/>
    <col min="7426" max="7426" width="4.42578125" customWidth="1"/>
    <col min="7427" max="7428" width="10.7109375" customWidth="1"/>
    <col min="7429" max="7429" width="3.28515625" customWidth="1"/>
    <col min="7430" max="7431" width="10.7109375" customWidth="1"/>
    <col min="7432" max="7432" width="3.28515625" customWidth="1"/>
    <col min="7433" max="7433" width="10.7109375" customWidth="1"/>
    <col min="7434" max="7434" width="9.140625" customWidth="1"/>
    <col min="7435" max="7435" width="3.5703125" customWidth="1"/>
    <col min="7681" max="7681" width="21.28515625" customWidth="1"/>
    <col min="7682" max="7682" width="4.42578125" customWidth="1"/>
    <col min="7683" max="7684" width="10.7109375" customWidth="1"/>
    <col min="7685" max="7685" width="3.28515625" customWidth="1"/>
    <col min="7686" max="7687" width="10.7109375" customWidth="1"/>
    <col min="7688" max="7688" width="3.28515625" customWidth="1"/>
    <col min="7689" max="7689" width="10.7109375" customWidth="1"/>
    <col min="7690" max="7690" width="9.140625" customWidth="1"/>
    <col min="7691" max="7691" width="3.5703125" customWidth="1"/>
    <col min="7937" max="7937" width="21.28515625" customWidth="1"/>
    <col min="7938" max="7938" width="4.42578125" customWidth="1"/>
    <col min="7939" max="7940" width="10.7109375" customWidth="1"/>
    <col min="7941" max="7941" width="3.28515625" customWidth="1"/>
    <col min="7942" max="7943" width="10.7109375" customWidth="1"/>
    <col min="7944" max="7944" width="3.28515625" customWidth="1"/>
    <col min="7945" max="7945" width="10.7109375" customWidth="1"/>
    <col min="7946" max="7946" width="9.140625" customWidth="1"/>
    <col min="7947" max="7947" width="3.5703125" customWidth="1"/>
    <col min="8193" max="8193" width="21.28515625" customWidth="1"/>
    <col min="8194" max="8194" width="4.42578125" customWidth="1"/>
    <col min="8195" max="8196" width="10.7109375" customWidth="1"/>
    <col min="8197" max="8197" width="3.28515625" customWidth="1"/>
    <col min="8198" max="8199" width="10.7109375" customWidth="1"/>
    <col min="8200" max="8200" width="3.28515625" customWidth="1"/>
    <col min="8201" max="8201" width="10.7109375" customWidth="1"/>
    <col min="8202" max="8202" width="9.140625" customWidth="1"/>
    <col min="8203" max="8203" width="3.5703125" customWidth="1"/>
    <col min="8449" max="8449" width="21.28515625" customWidth="1"/>
    <col min="8450" max="8450" width="4.42578125" customWidth="1"/>
    <col min="8451" max="8452" width="10.7109375" customWidth="1"/>
    <col min="8453" max="8453" width="3.28515625" customWidth="1"/>
    <col min="8454" max="8455" width="10.7109375" customWidth="1"/>
    <col min="8456" max="8456" width="3.28515625" customWidth="1"/>
    <col min="8457" max="8457" width="10.7109375" customWidth="1"/>
    <col min="8458" max="8458" width="9.140625" customWidth="1"/>
    <col min="8459" max="8459" width="3.5703125" customWidth="1"/>
    <col min="8705" max="8705" width="21.28515625" customWidth="1"/>
    <col min="8706" max="8706" width="4.42578125" customWidth="1"/>
    <col min="8707" max="8708" width="10.7109375" customWidth="1"/>
    <col min="8709" max="8709" width="3.28515625" customWidth="1"/>
    <col min="8710" max="8711" width="10.7109375" customWidth="1"/>
    <col min="8712" max="8712" width="3.28515625" customWidth="1"/>
    <col min="8713" max="8713" width="10.7109375" customWidth="1"/>
    <col min="8714" max="8714" width="9.140625" customWidth="1"/>
    <col min="8715" max="8715" width="3.5703125" customWidth="1"/>
    <col min="8961" max="8961" width="21.28515625" customWidth="1"/>
    <col min="8962" max="8962" width="4.42578125" customWidth="1"/>
    <col min="8963" max="8964" width="10.7109375" customWidth="1"/>
    <col min="8965" max="8965" width="3.28515625" customWidth="1"/>
    <col min="8966" max="8967" width="10.7109375" customWidth="1"/>
    <col min="8968" max="8968" width="3.28515625" customWidth="1"/>
    <col min="8969" max="8969" width="10.7109375" customWidth="1"/>
    <col min="8970" max="8970" width="9.140625" customWidth="1"/>
    <col min="8971" max="8971" width="3.5703125" customWidth="1"/>
    <col min="9217" max="9217" width="21.28515625" customWidth="1"/>
    <col min="9218" max="9218" width="4.42578125" customWidth="1"/>
    <col min="9219" max="9220" width="10.7109375" customWidth="1"/>
    <col min="9221" max="9221" width="3.28515625" customWidth="1"/>
    <col min="9222" max="9223" width="10.7109375" customWidth="1"/>
    <col min="9224" max="9224" width="3.28515625" customWidth="1"/>
    <col min="9225" max="9225" width="10.7109375" customWidth="1"/>
    <col min="9226" max="9226" width="9.140625" customWidth="1"/>
    <col min="9227" max="9227" width="3.5703125" customWidth="1"/>
    <col min="9473" max="9473" width="21.28515625" customWidth="1"/>
    <col min="9474" max="9474" width="4.42578125" customWidth="1"/>
    <col min="9475" max="9476" width="10.7109375" customWidth="1"/>
    <col min="9477" max="9477" width="3.28515625" customWidth="1"/>
    <col min="9478" max="9479" width="10.7109375" customWidth="1"/>
    <col min="9480" max="9480" width="3.28515625" customWidth="1"/>
    <col min="9481" max="9481" width="10.7109375" customWidth="1"/>
    <col min="9482" max="9482" width="9.140625" customWidth="1"/>
    <col min="9483" max="9483" width="3.5703125" customWidth="1"/>
    <col min="9729" max="9729" width="21.28515625" customWidth="1"/>
    <col min="9730" max="9730" width="4.42578125" customWidth="1"/>
    <col min="9731" max="9732" width="10.7109375" customWidth="1"/>
    <col min="9733" max="9733" width="3.28515625" customWidth="1"/>
    <col min="9734" max="9735" width="10.7109375" customWidth="1"/>
    <col min="9736" max="9736" width="3.28515625" customWidth="1"/>
    <col min="9737" max="9737" width="10.7109375" customWidth="1"/>
    <col min="9738" max="9738" width="9.140625" customWidth="1"/>
    <col min="9739" max="9739" width="3.5703125" customWidth="1"/>
    <col min="9985" max="9985" width="21.28515625" customWidth="1"/>
    <col min="9986" max="9986" width="4.42578125" customWidth="1"/>
    <col min="9987" max="9988" width="10.7109375" customWidth="1"/>
    <col min="9989" max="9989" width="3.28515625" customWidth="1"/>
    <col min="9990" max="9991" width="10.7109375" customWidth="1"/>
    <col min="9992" max="9992" width="3.28515625" customWidth="1"/>
    <col min="9993" max="9993" width="10.7109375" customWidth="1"/>
    <col min="9994" max="9994" width="9.140625" customWidth="1"/>
    <col min="9995" max="9995" width="3.5703125" customWidth="1"/>
    <col min="10241" max="10241" width="21.28515625" customWidth="1"/>
    <col min="10242" max="10242" width="4.42578125" customWidth="1"/>
    <col min="10243" max="10244" width="10.7109375" customWidth="1"/>
    <col min="10245" max="10245" width="3.28515625" customWidth="1"/>
    <col min="10246" max="10247" width="10.7109375" customWidth="1"/>
    <col min="10248" max="10248" width="3.28515625" customWidth="1"/>
    <col min="10249" max="10249" width="10.7109375" customWidth="1"/>
    <col min="10250" max="10250" width="9.140625" customWidth="1"/>
    <col min="10251" max="10251" width="3.5703125" customWidth="1"/>
    <col min="10497" max="10497" width="21.28515625" customWidth="1"/>
    <col min="10498" max="10498" width="4.42578125" customWidth="1"/>
    <col min="10499" max="10500" width="10.7109375" customWidth="1"/>
    <col min="10501" max="10501" width="3.28515625" customWidth="1"/>
    <col min="10502" max="10503" width="10.7109375" customWidth="1"/>
    <col min="10504" max="10504" width="3.28515625" customWidth="1"/>
    <col min="10505" max="10505" width="10.7109375" customWidth="1"/>
    <col min="10506" max="10506" width="9.140625" customWidth="1"/>
    <col min="10507" max="10507" width="3.5703125" customWidth="1"/>
    <col min="10753" max="10753" width="21.28515625" customWidth="1"/>
    <col min="10754" max="10754" width="4.42578125" customWidth="1"/>
    <col min="10755" max="10756" width="10.7109375" customWidth="1"/>
    <col min="10757" max="10757" width="3.28515625" customWidth="1"/>
    <col min="10758" max="10759" width="10.7109375" customWidth="1"/>
    <col min="10760" max="10760" width="3.28515625" customWidth="1"/>
    <col min="10761" max="10761" width="10.7109375" customWidth="1"/>
    <col min="10762" max="10762" width="9.140625" customWidth="1"/>
    <col min="10763" max="10763" width="3.5703125" customWidth="1"/>
    <col min="11009" max="11009" width="21.28515625" customWidth="1"/>
    <col min="11010" max="11010" width="4.42578125" customWidth="1"/>
    <col min="11011" max="11012" width="10.7109375" customWidth="1"/>
    <col min="11013" max="11013" width="3.28515625" customWidth="1"/>
    <col min="11014" max="11015" width="10.7109375" customWidth="1"/>
    <col min="11016" max="11016" width="3.28515625" customWidth="1"/>
    <col min="11017" max="11017" width="10.7109375" customWidth="1"/>
    <col min="11018" max="11018" width="9.140625" customWidth="1"/>
    <col min="11019" max="11019" width="3.5703125" customWidth="1"/>
    <col min="11265" max="11265" width="21.28515625" customWidth="1"/>
    <col min="11266" max="11266" width="4.42578125" customWidth="1"/>
    <col min="11267" max="11268" width="10.7109375" customWidth="1"/>
    <col min="11269" max="11269" width="3.28515625" customWidth="1"/>
    <col min="11270" max="11271" width="10.7109375" customWidth="1"/>
    <col min="11272" max="11272" width="3.28515625" customWidth="1"/>
    <col min="11273" max="11273" width="10.7109375" customWidth="1"/>
    <col min="11274" max="11274" width="9.140625" customWidth="1"/>
    <col min="11275" max="11275" width="3.5703125" customWidth="1"/>
    <col min="11521" max="11521" width="21.28515625" customWidth="1"/>
    <col min="11522" max="11522" width="4.42578125" customWidth="1"/>
    <col min="11523" max="11524" width="10.7109375" customWidth="1"/>
    <col min="11525" max="11525" width="3.28515625" customWidth="1"/>
    <col min="11526" max="11527" width="10.7109375" customWidth="1"/>
    <col min="11528" max="11528" width="3.28515625" customWidth="1"/>
    <col min="11529" max="11529" width="10.7109375" customWidth="1"/>
    <col min="11530" max="11530" width="9.140625" customWidth="1"/>
    <col min="11531" max="11531" width="3.5703125" customWidth="1"/>
    <col min="11777" max="11777" width="21.28515625" customWidth="1"/>
    <col min="11778" max="11778" width="4.42578125" customWidth="1"/>
    <col min="11779" max="11780" width="10.7109375" customWidth="1"/>
    <col min="11781" max="11781" width="3.28515625" customWidth="1"/>
    <col min="11782" max="11783" width="10.7109375" customWidth="1"/>
    <col min="11784" max="11784" width="3.28515625" customWidth="1"/>
    <col min="11785" max="11785" width="10.7109375" customWidth="1"/>
    <col min="11786" max="11786" width="9.140625" customWidth="1"/>
    <col min="11787" max="11787" width="3.5703125" customWidth="1"/>
    <col min="12033" max="12033" width="21.28515625" customWidth="1"/>
    <col min="12034" max="12034" width="4.42578125" customWidth="1"/>
    <col min="12035" max="12036" width="10.7109375" customWidth="1"/>
    <col min="12037" max="12037" width="3.28515625" customWidth="1"/>
    <col min="12038" max="12039" width="10.7109375" customWidth="1"/>
    <col min="12040" max="12040" width="3.28515625" customWidth="1"/>
    <col min="12041" max="12041" width="10.7109375" customWidth="1"/>
    <col min="12042" max="12042" width="9.140625" customWidth="1"/>
    <col min="12043" max="12043" width="3.5703125" customWidth="1"/>
    <col min="12289" max="12289" width="21.28515625" customWidth="1"/>
    <col min="12290" max="12290" width="4.42578125" customWidth="1"/>
    <col min="12291" max="12292" width="10.7109375" customWidth="1"/>
    <col min="12293" max="12293" width="3.28515625" customWidth="1"/>
    <col min="12294" max="12295" width="10.7109375" customWidth="1"/>
    <col min="12296" max="12296" width="3.28515625" customWidth="1"/>
    <col min="12297" max="12297" width="10.7109375" customWidth="1"/>
    <col min="12298" max="12298" width="9.140625" customWidth="1"/>
    <col min="12299" max="12299" width="3.5703125" customWidth="1"/>
    <col min="12545" max="12545" width="21.28515625" customWidth="1"/>
    <col min="12546" max="12546" width="4.42578125" customWidth="1"/>
    <col min="12547" max="12548" width="10.7109375" customWidth="1"/>
    <col min="12549" max="12549" width="3.28515625" customWidth="1"/>
    <col min="12550" max="12551" width="10.7109375" customWidth="1"/>
    <col min="12552" max="12552" width="3.28515625" customWidth="1"/>
    <col min="12553" max="12553" width="10.7109375" customWidth="1"/>
    <col min="12554" max="12554" width="9.140625" customWidth="1"/>
    <col min="12555" max="12555" width="3.5703125" customWidth="1"/>
    <col min="12801" max="12801" width="21.28515625" customWidth="1"/>
    <col min="12802" max="12802" width="4.42578125" customWidth="1"/>
    <col min="12803" max="12804" width="10.7109375" customWidth="1"/>
    <col min="12805" max="12805" width="3.28515625" customWidth="1"/>
    <col min="12806" max="12807" width="10.7109375" customWidth="1"/>
    <col min="12808" max="12808" width="3.28515625" customWidth="1"/>
    <col min="12809" max="12809" width="10.7109375" customWidth="1"/>
    <col min="12810" max="12810" width="9.140625" customWidth="1"/>
    <col min="12811" max="12811" width="3.5703125" customWidth="1"/>
    <col min="13057" max="13057" width="21.28515625" customWidth="1"/>
    <col min="13058" max="13058" width="4.42578125" customWidth="1"/>
    <col min="13059" max="13060" width="10.7109375" customWidth="1"/>
    <col min="13061" max="13061" width="3.28515625" customWidth="1"/>
    <col min="13062" max="13063" width="10.7109375" customWidth="1"/>
    <col min="13064" max="13064" width="3.28515625" customWidth="1"/>
    <col min="13065" max="13065" width="10.7109375" customWidth="1"/>
    <col min="13066" max="13066" width="9.140625" customWidth="1"/>
    <col min="13067" max="13067" width="3.5703125" customWidth="1"/>
    <col min="13313" max="13313" width="21.28515625" customWidth="1"/>
    <col min="13314" max="13314" width="4.42578125" customWidth="1"/>
    <col min="13315" max="13316" width="10.7109375" customWidth="1"/>
    <col min="13317" max="13317" width="3.28515625" customWidth="1"/>
    <col min="13318" max="13319" width="10.7109375" customWidth="1"/>
    <col min="13320" max="13320" width="3.28515625" customWidth="1"/>
    <col min="13321" max="13321" width="10.7109375" customWidth="1"/>
    <col min="13322" max="13322" width="9.140625" customWidth="1"/>
    <col min="13323" max="13323" width="3.5703125" customWidth="1"/>
    <col min="13569" max="13569" width="21.28515625" customWidth="1"/>
    <col min="13570" max="13570" width="4.42578125" customWidth="1"/>
    <col min="13571" max="13572" width="10.7109375" customWidth="1"/>
    <col min="13573" max="13573" width="3.28515625" customWidth="1"/>
    <col min="13574" max="13575" width="10.7109375" customWidth="1"/>
    <col min="13576" max="13576" width="3.28515625" customWidth="1"/>
    <col min="13577" max="13577" width="10.7109375" customWidth="1"/>
    <col min="13578" max="13578" width="9.140625" customWidth="1"/>
    <col min="13579" max="13579" width="3.5703125" customWidth="1"/>
    <col min="13825" max="13825" width="21.28515625" customWidth="1"/>
    <col min="13826" max="13826" width="4.42578125" customWidth="1"/>
    <col min="13827" max="13828" width="10.7109375" customWidth="1"/>
    <col min="13829" max="13829" width="3.28515625" customWidth="1"/>
    <col min="13830" max="13831" width="10.7109375" customWidth="1"/>
    <col min="13832" max="13832" width="3.28515625" customWidth="1"/>
    <col min="13833" max="13833" width="10.7109375" customWidth="1"/>
    <col min="13834" max="13834" width="9.140625" customWidth="1"/>
    <col min="13835" max="13835" width="3.5703125" customWidth="1"/>
    <col min="14081" max="14081" width="21.28515625" customWidth="1"/>
    <col min="14082" max="14082" width="4.42578125" customWidth="1"/>
    <col min="14083" max="14084" width="10.7109375" customWidth="1"/>
    <col min="14085" max="14085" width="3.28515625" customWidth="1"/>
    <col min="14086" max="14087" width="10.7109375" customWidth="1"/>
    <col min="14088" max="14088" width="3.28515625" customWidth="1"/>
    <col min="14089" max="14089" width="10.7109375" customWidth="1"/>
    <col min="14090" max="14090" width="9.140625" customWidth="1"/>
    <col min="14091" max="14091" width="3.5703125" customWidth="1"/>
    <col min="14337" max="14337" width="21.28515625" customWidth="1"/>
    <col min="14338" max="14338" width="4.42578125" customWidth="1"/>
    <col min="14339" max="14340" width="10.7109375" customWidth="1"/>
    <col min="14341" max="14341" width="3.28515625" customWidth="1"/>
    <col min="14342" max="14343" width="10.7109375" customWidth="1"/>
    <col min="14344" max="14344" width="3.28515625" customWidth="1"/>
    <col min="14345" max="14345" width="10.7109375" customWidth="1"/>
    <col min="14346" max="14346" width="9.140625" customWidth="1"/>
    <col min="14347" max="14347" width="3.5703125" customWidth="1"/>
    <col min="14593" max="14593" width="21.28515625" customWidth="1"/>
    <col min="14594" max="14594" width="4.42578125" customWidth="1"/>
    <col min="14595" max="14596" width="10.7109375" customWidth="1"/>
    <col min="14597" max="14597" width="3.28515625" customWidth="1"/>
    <col min="14598" max="14599" width="10.7109375" customWidth="1"/>
    <col min="14600" max="14600" width="3.28515625" customWidth="1"/>
    <col min="14601" max="14601" width="10.7109375" customWidth="1"/>
    <col min="14602" max="14602" width="9.140625" customWidth="1"/>
    <col min="14603" max="14603" width="3.5703125" customWidth="1"/>
    <col min="14849" max="14849" width="21.28515625" customWidth="1"/>
    <col min="14850" max="14850" width="4.42578125" customWidth="1"/>
    <col min="14851" max="14852" width="10.7109375" customWidth="1"/>
    <col min="14853" max="14853" width="3.28515625" customWidth="1"/>
    <col min="14854" max="14855" width="10.7109375" customWidth="1"/>
    <col min="14856" max="14856" width="3.28515625" customWidth="1"/>
    <col min="14857" max="14857" width="10.7109375" customWidth="1"/>
    <col min="14858" max="14858" width="9.140625" customWidth="1"/>
    <col min="14859" max="14859" width="3.5703125" customWidth="1"/>
    <col min="15105" max="15105" width="21.28515625" customWidth="1"/>
    <col min="15106" max="15106" width="4.42578125" customWidth="1"/>
    <col min="15107" max="15108" width="10.7109375" customWidth="1"/>
    <col min="15109" max="15109" width="3.28515625" customWidth="1"/>
    <col min="15110" max="15111" width="10.7109375" customWidth="1"/>
    <col min="15112" max="15112" width="3.28515625" customWidth="1"/>
    <col min="15113" max="15113" width="10.7109375" customWidth="1"/>
    <col min="15114" max="15114" width="9.140625" customWidth="1"/>
    <col min="15115" max="15115" width="3.5703125" customWidth="1"/>
    <col min="15361" max="15361" width="21.28515625" customWidth="1"/>
    <col min="15362" max="15362" width="4.42578125" customWidth="1"/>
    <col min="15363" max="15364" width="10.7109375" customWidth="1"/>
    <col min="15365" max="15365" width="3.28515625" customWidth="1"/>
    <col min="15366" max="15367" width="10.7109375" customWidth="1"/>
    <col min="15368" max="15368" width="3.28515625" customWidth="1"/>
    <col min="15369" max="15369" width="10.7109375" customWidth="1"/>
    <col min="15370" max="15370" width="9.140625" customWidth="1"/>
    <col min="15371" max="15371" width="3.5703125" customWidth="1"/>
    <col min="15617" max="15617" width="21.28515625" customWidth="1"/>
    <col min="15618" max="15618" width="4.42578125" customWidth="1"/>
    <col min="15619" max="15620" width="10.7109375" customWidth="1"/>
    <col min="15621" max="15621" width="3.28515625" customWidth="1"/>
    <col min="15622" max="15623" width="10.7109375" customWidth="1"/>
    <col min="15624" max="15624" width="3.28515625" customWidth="1"/>
    <col min="15625" max="15625" width="10.7109375" customWidth="1"/>
    <col min="15626" max="15626" width="9.140625" customWidth="1"/>
    <col min="15627" max="15627" width="3.5703125" customWidth="1"/>
    <col min="15873" max="15873" width="21.28515625" customWidth="1"/>
    <col min="15874" max="15874" width="4.42578125" customWidth="1"/>
    <col min="15875" max="15876" width="10.7109375" customWidth="1"/>
    <col min="15877" max="15877" width="3.28515625" customWidth="1"/>
    <col min="15878" max="15879" width="10.7109375" customWidth="1"/>
    <col min="15880" max="15880" width="3.28515625" customWidth="1"/>
    <col min="15881" max="15881" width="10.7109375" customWidth="1"/>
    <col min="15882" max="15882" width="9.140625" customWidth="1"/>
    <col min="15883" max="15883" width="3.5703125" customWidth="1"/>
    <col min="16129" max="16129" width="21.28515625" customWidth="1"/>
    <col min="16130" max="16130" width="4.42578125" customWidth="1"/>
    <col min="16131" max="16132" width="10.7109375" customWidth="1"/>
    <col min="16133" max="16133" width="3.28515625" customWidth="1"/>
    <col min="16134" max="16135" width="10.7109375" customWidth="1"/>
    <col min="16136" max="16136" width="3.28515625" customWidth="1"/>
    <col min="16137" max="16137" width="10.7109375" customWidth="1"/>
    <col min="16138" max="16138" width="9.140625" customWidth="1"/>
    <col min="16139" max="16139" width="3.5703125" customWidth="1"/>
  </cols>
  <sheetData>
    <row r="1" spans="1:11">
      <c r="A1" t="s">
        <v>311</v>
      </c>
    </row>
    <row r="2" spans="1:11">
      <c r="A2" t="s">
        <v>312</v>
      </c>
    </row>
    <row r="4" spans="1:11">
      <c r="A4" s="4" t="s">
        <v>356</v>
      </c>
    </row>
    <row r="5" spans="1:11" ht="15.75" thickBot="1">
      <c r="K5" s="43"/>
    </row>
    <row r="6" spans="1:11" ht="15" customHeight="1">
      <c r="A6" s="6"/>
      <c r="B6" s="6"/>
      <c r="C6" s="52"/>
      <c r="D6" s="68"/>
      <c r="E6" s="6"/>
      <c r="F6" s="52"/>
      <c r="G6" s="38"/>
      <c r="H6" s="6"/>
      <c r="I6" s="52"/>
      <c r="J6" s="38"/>
      <c r="K6" s="38"/>
    </row>
    <row r="7" spans="1:11" ht="15" customHeight="1">
      <c r="A7" s="36" t="s">
        <v>357</v>
      </c>
      <c r="B7" s="36"/>
      <c r="C7" s="1263" t="s">
        <v>5</v>
      </c>
      <c r="D7" s="1263"/>
      <c r="E7" s="69"/>
      <c r="F7" s="70" t="s">
        <v>358</v>
      </c>
      <c r="G7" s="71"/>
      <c r="H7" s="69"/>
      <c r="I7" s="70" t="s">
        <v>359</v>
      </c>
      <c r="J7" s="72"/>
    </row>
    <row r="8" spans="1:11" ht="15" customHeight="1">
      <c r="A8" s="36"/>
      <c r="B8" s="36"/>
      <c r="C8" s="73" t="s">
        <v>360</v>
      </c>
      <c r="D8" s="74" t="s">
        <v>10</v>
      </c>
      <c r="E8" s="69"/>
      <c r="F8" s="75" t="s">
        <v>360</v>
      </c>
      <c r="G8" s="57" t="s">
        <v>10</v>
      </c>
      <c r="H8" s="69"/>
      <c r="I8" s="75" t="s">
        <v>360</v>
      </c>
      <c r="J8" s="76" t="s">
        <v>10</v>
      </c>
    </row>
    <row r="9" spans="1:11" ht="15" customHeight="1" thickBot="1">
      <c r="A9" s="15"/>
      <c r="B9" s="15"/>
      <c r="C9" s="59"/>
      <c r="D9" s="77"/>
      <c r="E9" s="15"/>
      <c r="F9" s="59"/>
      <c r="G9" s="60"/>
      <c r="H9" s="15"/>
      <c r="I9" s="59"/>
      <c r="J9" s="60"/>
    </row>
    <row r="10" spans="1:11" ht="15" customHeight="1">
      <c r="A10" s="36"/>
      <c r="B10" s="36"/>
      <c r="C10" s="37"/>
      <c r="D10" s="3"/>
      <c r="E10" s="36"/>
      <c r="F10" s="37"/>
      <c r="G10" s="53"/>
      <c r="H10" s="36"/>
      <c r="I10" s="37"/>
      <c r="K10" s="38"/>
    </row>
    <row r="11" spans="1:11" ht="13.9" hidden="1" customHeight="1">
      <c r="A11" s="39" t="s">
        <v>361</v>
      </c>
      <c r="B11" s="24"/>
      <c r="C11" s="40">
        <f>F11+I11</f>
        <v>5936</v>
      </c>
      <c r="D11" s="49">
        <f>G11+J11</f>
        <v>100</v>
      </c>
      <c r="E11" s="24"/>
      <c r="F11" s="40">
        <v>1644</v>
      </c>
      <c r="G11" s="76">
        <f>IF(A11&lt;&gt;0,F11/C11*100,"")</f>
        <v>27.695417789757414</v>
      </c>
      <c r="H11" s="24"/>
      <c r="I11" s="40">
        <v>4292</v>
      </c>
      <c r="J11" s="43">
        <f>IF(A11&lt;&gt;0,I11/C11*100,"")</f>
        <v>72.304582210242586</v>
      </c>
    </row>
    <row r="12" spans="1:11" ht="13.9" hidden="1" customHeight="1">
      <c r="A12" s="24"/>
      <c r="B12" s="24"/>
      <c r="C12" s="40"/>
      <c r="D12" s="49"/>
      <c r="E12" s="24"/>
      <c r="F12" s="40"/>
      <c r="G12" s="76" t="str">
        <f>IF(A12&lt;&gt;0,F12/C12*100,"")</f>
        <v/>
      </c>
      <c r="H12" s="24"/>
      <c r="I12" s="40"/>
      <c r="J12" s="43" t="str">
        <f>IF(A12&lt;&gt;0,I12/C12*100,"")</f>
        <v/>
      </c>
    </row>
    <row r="13" spans="1:11" ht="13.9" hidden="1" customHeight="1">
      <c r="A13" s="39" t="s">
        <v>362</v>
      </c>
      <c r="B13" s="24"/>
      <c r="C13" s="40">
        <f>F13+I13</f>
        <v>6231</v>
      </c>
      <c r="D13" s="49">
        <f>G13+J13</f>
        <v>100</v>
      </c>
      <c r="E13" s="24"/>
      <c r="F13" s="40">
        <v>1624</v>
      </c>
      <c r="G13" s="76">
        <f>IF(A13&lt;&gt;0,F13/C13*100,"")</f>
        <v>26.063232225966935</v>
      </c>
      <c r="H13" s="24"/>
      <c r="I13" s="40">
        <v>4607</v>
      </c>
      <c r="J13" s="43">
        <f>IF(A13&lt;&gt;0,I13/C13*100,"")</f>
        <v>73.936767774033058</v>
      </c>
    </row>
    <row r="14" spans="1:11" ht="13.9" hidden="1" customHeight="1">
      <c r="A14" s="39"/>
      <c r="B14" s="24"/>
      <c r="C14" s="40"/>
      <c r="D14" s="49"/>
      <c r="E14" s="24"/>
      <c r="F14" s="40"/>
      <c r="G14" s="76"/>
      <c r="H14" s="24"/>
      <c r="I14" s="40"/>
    </row>
    <row r="15" spans="1:11" ht="13.9" customHeight="1">
      <c r="A15" s="39" t="s">
        <v>279</v>
      </c>
      <c r="B15" s="24"/>
      <c r="C15" s="40">
        <f>F15+I15</f>
        <v>6067</v>
      </c>
      <c r="D15" s="49">
        <f>G15+J15</f>
        <v>99.999999999999986</v>
      </c>
      <c r="E15" s="24"/>
      <c r="F15" s="40">
        <v>1687</v>
      </c>
      <c r="G15" s="76">
        <f>IF(A15&lt;&gt;0,F15/C15*100,"")</f>
        <v>27.806164496456237</v>
      </c>
      <c r="H15" s="24"/>
      <c r="I15" s="40">
        <v>4380</v>
      </c>
      <c r="J15" s="43">
        <f>IF(A15&lt;&gt;0,I15/C15*100,"")</f>
        <v>72.193835503543752</v>
      </c>
    </row>
    <row r="16" spans="1:11" ht="13.9" customHeight="1">
      <c r="A16" s="24"/>
      <c r="B16" s="24"/>
      <c r="C16" s="40"/>
      <c r="D16" s="49"/>
      <c r="E16" s="24"/>
      <c r="F16" s="40"/>
      <c r="G16" s="76" t="str">
        <f>IF(A16&lt;&gt;0,F16/C16*100,"")</f>
        <v/>
      </c>
      <c r="H16" s="24"/>
      <c r="I16" s="40"/>
      <c r="J16" s="43" t="str">
        <f>IF(A16&lt;&gt;0,I16/C16*100,"")</f>
        <v/>
      </c>
    </row>
    <row r="17" spans="1:10" ht="15" customHeight="1">
      <c r="A17" s="39" t="s">
        <v>280</v>
      </c>
      <c r="B17" s="24"/>
      <c r="C17" s="40">
        <f>F17+I17</f>
        <v>6038</v>
      </c>
      <c r="D17" s="49">
        <f>G17+J17</f>
        <v>100</v>
      </c>
      <c r="E17" s="24"/>
      <c r="F17" s="40">
        <v>1677</v>
      </c>
      <c r="G17" s="76">
        <f>IF(A17&lt;&gt;0,F17/C17*100,"")</f>
        <v>27.774097383239482</v>
      </c>
      <c r="H17" s="24"/>
      <c r="I17" s="40">
        <v>4361</v>
      </c>
      <c r="J17" s="43">
        <f>IF(A17&lt;&gt;0,I17/C17*100,"")</f>
        <v>72.225902616760521</v>
      </c>
    </row>
    <row r="18" spans="1:10" ht="15" customHeight="1">
      <c r="A18" s="39"/>
      <c r="B18" s="24"/>
      <c r="C18" s="40"/>
      <c r="D18" s="49"/>
      <c r="E18" s="24"/>
      <c r="F18" s="40"/>
      <c r="G18" s="76"/>
      <c r="H18" s="24"/>
      <c r="I18" s="40"/>
    </row>
    <row r="19" spans="1:10" ht="15" customHeight="1">
      <c r="A19" s="39" t="s">
        <v>281</v>
      </c>
      <c r="B19" s="24"/>
      <c r="C19" s="40">
        <f>F19+I19</f>
        <v>6074</v>
      </c>
      <c r="D19" s="49">
        <f>G19+J19</f>
        <v>100</v>
      </c>
      <c r="E19" s="24"/>
      <c r="F19" s="40">
        <v>1749</v>
      </c>
      <c r="G19" s="76">
        <f>IF(A19&lt;&gt;0,F19/C19*100,"")</f>
        <v>28.794863351992095</v>
      </c>
      <c r="H19" s="24"/>
      <c r="I19" s="40">
        <v>4325</v>
      </c>
      <c r="J19" s="43">
        <f>IF(A19&lt;&gt;0,I19/C19*100,"")</f>
        <v>71.205136648007908</v>
      </c>
    </row>
    <row r="20" spans="1:10" ht="15" customHeight="1">
      <c r="A20" s="24"/>
      <c r="B20" s="24"/>
      <c r="C20" s="40"/>
      <c r="D20" s="49"/>
      <c r="E20" s="24"/>
      <c r="F20" s="40"/>
      <c r="G20" s="76" t="str">
        <f>IF(A20&lt;&gt;0,F20/C20*100,"")</f>
        <v/>
      </c>
      <c r="H20" s="24"/>
      <c r="I20" s="40"/>
      <c r="J20" s="43" t="str">
        <f>IF(A20&lt;&gt;0,I20/C20*100,"")</f>
        <v/>
      </c>
    </row>
    <row r="21" spans="1:10" ht="15" customHeight="1">
      <c r="A21" s="39" t="s">
        <v>282</v>
      </c>
      <c r="B21" s="24"/>
      <c r="C21" s="40">
        <f>F21+I21</f>
        <v>6278</v>
      </c>
      <c r="D21" s="49">
        <f>G21+J21</f>
        <v>100</v>
      </c>
      <c r="E21" s="24"/>
      <c r="F21" s="40">
        <v>1730</v>
      </c>
      <c r="G21" s="76">
        <f>IF(A21&lt;&gt;0,F21/C21*100,"")</f>
        <v>27.556546670914305</v>
      </c>
      <c r="H21" s="24"/>
      <c r="I21" s="40">
        <v>4548</v>
      </c>
      <c r="J21" s="43">
        <f>IF(A21&lt;&gt;0,I21/C21*100,"")</f>
        <v>72.443453329085699</v>
      </c>
    </row>
    <row r="22" spans="1:10" ht="15" customHeight="1">
      <c r="A22" s="39"/>
      <c r="B22" s="24"/>
      <c r="C22" s="40"/>
      <c r="D22" s="49"/>
      <c r="E22" s="24"/>
      <c r="F22" s="40"/>
      <c r="G22" s="76"/>
      <c r="H22" s="24"/>
      <c r="I22" s="40"/>
    </row>
    <row r="23" spans="1:10" ht="15" customHeight="1">
      <c r="A23" s="78" t="s">
        <v>283</v>
      </c>
      <c r="B23" s="79"/>
      <c r="C23" s="80">
        <f>F23+I23</f>
        <v>6052</v>
      </c>
      <c r="D23" s="81">
        <f>G23+J23</f>
        <v>100</v>
      </c>
      <c r="E23" s="79"/>
      <c r="F23" s="80">
        <v>1920</v>
      </c>
      <c r="G23" s="82">
        <f>IF(A23&lt;&gt;0,F23/C23*100,"")</f>
        <v>31.725049570389952</v>
      </c>
      <c r="H23" s="79"/>
      <c r="I23" s="80">
        <v>4132</v>
      </c>
      <c r="J23" s="17">
        <f>IF(A23&lt;&gt;0,I23/C23*100,"")</f>
        <v>68.274950429610044</v>
      </c>
    </row>
    <row r="24" spans="1:10" ht="15" customHeight="1">
      <c r="A24" s="79"/>
      <c r="B24" s="79"/>
      <c r="C24" s="80"/>
      <c r="D24" s="81"/>
      <c r="E24" s="79"/>
      <c r="F24" s="80"/>
      <c r="G24" s="82" t="str">
        <f>IF(A24&lt;&gt;0,F24/C24*100,"")</f>
        <v/>
      </c>
      <c r="H24" s="79"/>
      <c r="I24" s="80"/>
      <c r="J24" s="17" t="str">
        <f>IF(A24&lt;&gt;0,I24/C24*100,"")</f>
        <v/>
      </c>
    </row>
    <row r="25" spans="1:10" ht="15" customHeight="1">
      <c r="A25" s="78" t="s">
        <v>284</v>
      </c>
      <c r="B25" s="79"/>
      <c r="C25" s="80">
        <f>F25+I25</f>
        <v>6019</v>
      </c>
      <c r="D25" s="81">
        <f>G25+J25</f>
        <v>100</v>
      </c>
      <c r="E25" s="79"/>
      <c r="F25" s="80">
        <v>1867</v>
      </c>
      <c r="G25" s="82">
        <f>IF(A25&lt;&gt;0,F25/C25*100,"")</f>
        <v>31.018441601594947</v>
      </c>
      <c r="H25" s="79"/>
      <c r="I25" s="80">
        <v>4152</v>
      </c>
      <c r="J25" s="17">
        <f>IF(A25&lt;&gt;0,I25/C25*100,"")</f>
        <v>68.981558398405056</v>
      </c>
    </row>
    <row r="26" spans="1:10" ht="15" customHeight="1">
      <c r="A26" s="78"/>
      <c r="B26" s="79"/>
      <c r="C26" s="80"/>
      <c r="D26" s="81"/>
      <c r="E26" s="79"/>
      <c r="F26" s="80"/>
      <c r="G26" s="82"/>
      <c r="H26" s="79"/>
      <c r="I26" s="80"/>
      <c r="J26" s="17"/>
    </row>
    <row r="27" spans="1:10" ht="15" customHeight="1">
      <c r="A27" s="78" t="s">
        <v>285</v>
      </c>
      <c r="B27" s="79"/>
      <c r="C27" s="80">
        <f>F27+I27</f>
        <v>6100</v>
      </c>
      <c r="D27" s="81">
        <f>G27+J27</f>
        <v>100.00000000000001</v>
      </c>
      <c r="E27" s="79"/>
      <c r="F27" s="80">
        <v>1875</v>
      </c>
      <c r="G27" s="82">
        <f>IF(A27&lt;&gt;0,F27/C27*100,"")</f>
        <v>30.737704918032787</v>
      </c>
      <c r="H27" s="79"/>
      <c r="I27" s="80">
        <v>4225</v>
      </c>
      <c r="J27" s="17">
        <f>IF(A27&lt;&gt;0,I27/C27*100,"")</f>
        <v>69.262295081967224</v>
      </c>
    </row>
    <row r="28" spans="1:10" ht="15" customHeight="1">
      <c r="A28" s="79"/>
      <c r="B28" s="79"/>
      <c r="C28" s="80"/>
      <c r="D28" s="81"/>
      <c r="E28" s="79"/>
      <c r="F28" s="80"/>
      <c r="G28" s="82" t="str">
        <f>IF(A28&lt;&gt;0,F28/C28*100,"")</f>
        <v/>
      </c>
      <c r="H28" s="79"/>
      <c r="I28" s="80"/>
      <c r="J28" s="17" t="str">
        <f>IF(A28&lt;&gt;0,I28/C28*100,"")</f>
        <v/>
      </c>
    </row>
    <row r="29" spans="1:10" ht="15" customHeight="1">
      <c r="A29" s="78" t="s">
        <v>286</v>
      </c>
      <c r="B29" s="79"/>
      <c r="C29" s="80">
        <f>F29+I29</f>
        <v>6133</v>
      </c>
      <c r="D29" s="81">
        <f>G29+J29</f>
        <v>100</v>
      </c>
      <c r="E29" s="79"/>
      <c r="F29" s="80">
        <v>1877</v>
      </c>
      <c r="G29" s="82">
        <f>IF(A29&lt;&gt;0,F29/C29*100,"")</f>
        <v>30.604924180661992</v>
      </c>
      <c r="H29" s="79"/>
      <c r="I29" s="80">
        <v>4256</v>
      </c>
      <c r="J29" s="17">
        <f>IF(A29&lt;&gt;0,I29/C29*100,"")</f>
        <v>69.395075819338004</v>
      </c>
    </row>
    <row r="30" spans="1:10" ht="15" customHeight="1">
      <c r="A30" s="78"/>
      <c r="B30" s="79"/>
      <c r="C30" s="80"/>
      <c r="D30" s="81"/>
      <c r="E30" s="79"/>
      <c r="F30" s="80"/>
      <c r="G30" s="82"/>
      <c r="H30" s="79"/>
      <c r="I30" s="80"/>
      <c r="J30" s="17"/>
    </row>
    <row r="31" spans="1:10" ht="15" customHeight="1">
      <c r="A31" s="78" t="s">
        <v>287</v>
      </c>
      <c r="B31" s="79"/>
      <c r="C31" s="80">
        <f>F31+I31</f>
        <v>6300</v>
      </c>
      <c r="D31" s="81">
        <f>G31+J31</f>
        <v>100</v>
      </c>
      <c r="E31" s="79"/>
      <c r="F31" s="80">
        <v>1950</v>
      </c>
      <c r="G31" s="82">
        <f>IF(A31&lt;&gt;0,F31/C31*100,"")</f>
        <v>30.952380952380953</v>
      </c>
      <c r="H31" s="79"/>
      <c r="I31" s="80">
        <v>4350</v>
      </c>
      <c r="J31" s="17">
        <f>IF(A31&lt;&gt;0,I31/C31*100,"")</f>
        <v>69.047619047619051</v>
      </c>
    </row>
    <row r="32" spans="1:10" ht="15" customHeight="1">
      <c r="A32" s="79"/>
      <c r="B32" s="79"/>
      <c r="C32" s="80"/>
      <c r="D32" s="81"/>
      <c r="E32" s="79"/>
      <c r="F32" s="80"/>
      <c r="G32" s="82" t="str">
        <f>IF(A32&lt;&gt;0,F32/C32*100,"")</f>
        <v/>
      </c>
      <c r="H32" s="79"/>
      <c r="I32" s="80"/>
      <c r="J32" s="17" t="str">
        <f>IF(A32&lt;&gt;0,I32/C32*100,"")</f>
        <v/>
      </c>
    </row>
    <row r="33" spans="1:11" ht="15" customHeight="1">
      <c r="A33" s="78" t="s">
        <v>288</v>
      </c>
      <c r="B33" s="79"/>
      <c r="C33" s="80">
        <f>F33+I33</f>
        <v>5960</v>
      </c>
      <c r="D33" s="81">
        <f>G33+J33</f>
        <v>100</v>
      </c>
      <c r="E33" s="79"/>
      <c r="F33" s="80">
        <v>1867</v>
      </c>
      <c r="G33" s="82">
        <f>IF(A33&lt;&gt;0,F33/C33*100,"")</f>
        <v>31.325503355704697</v>
      </c>
      <c r="H33" s="79"/>
      <c r="I33" s="80">
        <v>4093</v>
      </c>
      <c r="J33" s="17">
        <f>IF(A33&lt;&gt;0,I33/C33*100,"")</f>
        <v>68.674496644295303</v>
      </c>
    </row>
    <row r="34" spans="1:11" ht="15" customHeight="1" thickBot="1">
      <c r="A34" s="39"/>
      <c r="B34" s="24"/>
      <c r="C34" s="40"/>
      <c r="D34" s="49"/>
      <c r="E34" s="24"/>
      <c r="F34" s="40"/>
      <c r="G34" s="76"/>
      <c r="H34" s="24"/>
      <c r="I34" s="40"/>
    </row>
    <row r="35" spans="1:11" ht="13.15" customHeight="1">
      <c r="A35" s="6"/>
      <c r="B35" s="6"/>
      <c r="C35" s="52"/>
      <c r="D35" s="68"/>
      <c r="E35" s="6"/>
      <c r="F35" s="52"/>
      <c r="G35" s="38"/>
      <c r="H35" s="6"/>
      <c r="I35" s="52"/>
      <c r="J35" s="38"/>
      <c r="K35" s="38"/>
    </row>
    <row r="36" spans="1:11" ht="13.15" customHeight="1">
      <c r="A36" s="36" t="s">
        <v>363</v>
      </c>
      <c r="B36" s="36"/>
      <c r="C36" s="37"/>
      <c r="D36" s="3"/>
      <c r="E36" s="36"/>
      <c r="F36" s="37"/>
      <c r="G36" s="53"/>
      <c r="H36" s="36"/>
      <c r="I36" s="37"/>
    </row>
    <row r="37" spans="1:11" ht="13.15" customHeight="1">
      <c r="A37" s="36" t="s">
        <v>364</v>
      </c>
      <c r="B37" s="36"/>
      <c r="C37" s="37"/>
      <c r="D37" s="3"/>
      <c r="E37" s="36"/>
      <c r="F37" s="37"/>
      <c r="G37" s="53"/>
      <c r="H37" s="36"/>
      <c r="I37" s="37"/>
    </row>
    <row r="38" spans="1:11" ht="13.15" customHeight="1">
      <c r="A38" s="36"/>
      <c r="B38" s="36"/>
      <c r="C38" s="37"/>
      <c r="D38" s="3"/>
      <c r="E38" s="36"/>
      <c r="F38" s="37"/>
      <c r="G38" s="53"/>
      <c r="H38" s="36"/>
      <c r="I38" s="37"/>
    </row>
    <row r="39" spans="1:11">
      <c r="A39" t="s">
        <v>354</v>
      </c>
    </row>
    <row r="40" spans="1:11">
      <c r="A40" t="s">
        <v>365</v>
      </c>
    </row>
  </sheetData>
  <mergeCells count="1">
    <mergeCell ref="C7:D7"/>
  </mergeCells>
  <printOptions horizontalCentered="1" vertic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70.xml><?xml version="1.0" encoding="utf-8"?>
<worksheet xmlns="http://schemas.openxmlformats.org/spreadsheetml/2006/main" xmlns:r="http://schemas.openxmlformats.org/officeDocument/2006/relationships">
  <dimension ref="A1:Y236"/>
  <sheetViews>
    <sheetView workbookViewId="0">
      <selection activeCell="A2" sqref="A2"/>
    </sheetView>
  </sheetViews>
  <sheetFormatPr baseColWidth="10" defaultRowHeight="12.75"/>
  <cols>
    <col min="1" max="1" width="32.85546875" style="42" customWidth="1"/>
    <col min="2" max="2" width="8.42578125" style="106" customWidth="1"/>
    <col min="3" max="3" width="8.42578125" style="455" customWidth="1"/>
    <col min="4" max="4" width="1.5703125" style="4" customWidth="1"/>
    <col min="5" max="5" width="6.7109375" style="4" customWidth="1"/>
    <col min="6" max="6" width="7.28515625" style="106" customWidth="1"/>
    <col min="7" max="7" width="6.7109375" style="106" customWidth="1"/>
    <col min="8" max="8" width="7.28515625" style="257" customWidth="1"/>
    <col min="9" max="9" width="1.5703125" style="4" customWidth="1"/>
    <col min="10" max="10" width="6.7109375" style="4" customWidth="1"/>
    <col min="11" max="11" width="7.28515625" style="325" customWidth="1"/>
    <col min="12" max="12" width="6.7109375" style="325" customWidth="1"/>
    <col min="13" max="13" width="7.28515625" style="257" customWidth="1"/>
    <col min="14" max="14" width="1.5703125" style="4" customWidth="1"/>
    <col min="15" max="15" width="6.7109375" style="4" customWidth="1"/>
    <col min="16" max="16" width="7.28515625" style="4" customWidth="1"/>
    <col min="17" max="17" width="6.7109375" style="4" customWidth="1"/>
    <col min="18" max="18" width="7.28515625" style="4" customWidth="1"/>
    <col min="19" max="19" width="1.5703125" style="4" customWidth="1"/>
    <col min="20" max="20" width="6.7109375" style="4" customWidth="1"/>
    <col min="21" max="21" width="7.7109375" style="4" customWidth="1"/>
    <col min="22" max="22" width="6.7109375" style="4" customWidth="1"/>
    <col min="23" max="23" width="7.7109375" style="4" customWidth="1"/>
    <col min="24" max="24" width="1.5703125" style="455" customWidth="1"/>
    <col min="25" max="25" width="2.85546875" style="455" customWidth="1"/>
    <col min="26" max="16384" width="11.42578125" style="434"/>
  </cols>
  <sheetData>
    <row r="1" spans="1:25" ht="9" customHeight="1"/>
    <row r="2" spans="1:25">
      <c r="A2" s="42" t="s">
        <v>755</v>
      </c>
    </row>
    <row r="3" spans="1:25">
      <c r="A3" s="42" t="s">
        <v>1130</v>
      </c>
    </row>
    <row r="4" spans="1:25" ht="8.25" customHeight="1"/>
    <row r="5" spans="1:25">
      <c r="A5" s="42" t="s">
        <v>2137</v>
      </c>
    </row>
    <row r="6" spans="1:25" ht="8.25" customHeight="1" thickBot="1">
      <c r="B6" s="482"/>
      <c r="C6" s="78"/>
      <c r="D6" s="78"/>
      <c r="E6" s="78"/>
      <c r="F6" s="482"/>
      <c r="G6" s="482"/>
      <c r="H6" s="483"/>
      <c r="I6" s="78"/>
      <c r="J6" s="78"/>
      <c r="K6" s="541"/>
      <c r="L6" s="541"/>
      <c r="M6" s="483"/>
      <c r="N6" s="78"/>
      <c r="O6" s="78"/>
      <c r="P6" s="78"/>
      <c r="Q6" s="78"/>
      <c r="R6" s="78"/>
      <c r="S6" s="78"/>
      <c r="T6" s="78"/>
      <c r="U6" s="78"/>
      <c r="V6" s="78"/>
    </row>
    <row r="7" spans="1:25">
      <c r="A7" s="237"/>
      <c r="B7" s="484"/>
      <c r="C7" s="463"/>
      <c r="D7" s="463"/>
      <c r="E7" s="463"/>
      <c r="F7" s="484"/>
      <c r="G7" s="484"/>
      <c r="H7" s="485"/>
      <c r="I7" s="463"/>
      <c r="J7" s="463"/>
      <c r="K7" s="527"/>
      <c r="L7" s="527"/>
      <c r="M7" s="485"/>
      <c r="N7" s="463"/>
      <c r="O7" s="463"/>
      <c r="P7" s="463"/>
      <c r="Q7" s="463"/>
      <c r="R7" s="463"/>
      <c r="S7" s="463"/>
      <c r="T7" s="463"/>
      <c r="U7" s="463"/>
      <c r="V7" s="463"/>
      <c r="W7" s="463"/>
      <c r="X7" s="486"/>
    </row>
    <row r="8" spans="1:25" ht="14.25">
      <c r="A8" s="42" t="s">
        <v>1266</v>
      </c>
      <c r="B8" s="1282" t="s">
        <v>1244</v>
      </c>
      <c r="C8" s="1282"/>
      <c r="D8" s="97"/>
      <c r="E8" s="1300" t="s">
        <v>758</v>
      </c>
      <c r="F8" s="1300"/>
      <c r="G8" s="1300"/>
      <c r="H8" s="1300"/>
      <c r="I8" s="97"/>
      <c r="J8" s="1300" t="s">
        <v>759</v>
      </c>
      <c r="K8" s="1300"/>
      <c r="L8" s="1300"/>
      <c r="M8" s="1300"/>
      <c r="N8" s="97"/>
      <c r="O8" s="1300" t="s">
        <v>1267</v>
      </c>
      <c r="P8" s="1300"/>
      <c r="Q8" s="1300"/>
      <c r="R8" s="1300"/>
      <c r="S8" s="97"/>
      <c r="T8" s="1300" t="s">
        <v>785</v>
      </c>
      <c r="U8" s="1300"/>
      <c r="V8" s="1300"/>
      <c r="W8" s="1300"/>
      <c r="X8" s="453"/>
    </row>
    <row r="9" spans="1:25">
      <c r="A9" s="95" t="s">
        <v>1268</v>
      </c>
      <c r="B9" s="488" t="s">
        <v>1140</v>
      </c>
      <c r="C9" s="492" t="s">
        <v>324</v>
      </c>
      <c r="D9" s="115"/>
      <c r="E9" s="1302" t="s">
        <v>1269</v>
      </c>
      <c r="F9" s="1302"/>
      <c r="G9" s="1301" t="s">
        <v>1270</v>
      </c>
      <c r="H9" s="1301"/>
      <c r="I9" s="115"/>
      <c r="J9" s="1302" t="s">
        <v>1269</v>
      </c>
      <c r="K9" s="1302"/>
      <c r="L9" s="1301" t="s">
        <v>1270</v>
      </c>
      <c r="M9" s="1301"/>
      <c r="N9" s="115"/>
      <c r="O9" s="1302" t="s">
        <v>1269</v>
      </c>
      <c r="P9" s="1302"/>
      <c r="Q9" s="1301" t="s">
        <v>1270</v>
      </c>
      <c r="R9" s="1301"/>
      <c r="S9" s="115"/>
      <c r="T9" s="1302" t="s">
        <v>1269</v>
      </c>
      <c r="U9" s="1302"/>
      <c r="V9" s="1301" t="s">
        <v>1270</v>
      </c>
      <c r="W9" s="1301"/>
      <c r="X9" s="453"/>
    </row>
    <row r="10" spans="1:25">
      <c r="A10" s="95"/>
      <c r="B10" s="542"/>
      <c r="C10" s="115"/>
      <c r="D10" s="115"/>
      <c r="E10" s="528" t="s">
        <v>1140</v>
      </c>
      <c r="F10" s="489" t="s">
        <v>324</v>
      </c>
      <c r="G10" s="528" t="s">
        <v>1140</v>
      </c>
      <c r="H10" s="489" t="s">
        <v>324</v>
      </c>
      <c r="I10" s="115"/>
      <c r="J10" s="528" t="s">
        <v>1140</v>
      </c>
      <c r="K10" s="489" t="s">
        <v>324</v>
      </c>
      <c r="L10" s="528" t="s">
        <v>1140</v>
      </c>
      <c r="M10" s="489" t="s">
        <v>324</v>
      </c>
      <c r="N10" s="115"/>
      <c r="O10" s="528" t="s">
        <v>1140</v>
      </c>
      <c r="P10" s="489" t="s">
        <v>324</v>
      </c>
      <c r="Q10" s="528" t="s">
        <v>1140</v>
      </c>
      <c r="R10" s="489" t="s">
        <v>324</v>
      </c>
      <c r="S10" s="115"/>
      <c r="T10" s="528" t="s">
        <v>1140</v>
      </c>
      <c r="U10" s="489" t="s">
        <v>324</v>
      </c>
      <c r="V10" s="528" t="s">
        <v>1140</v>
      </c>
      <c r="W10" s="489" t="s">
        <v>324</v>
      </c>
      <c r="X10" s="453"/>
    </row>
    <row r="11" spans="1:25" ht="13.5" thickBot="1">
      <c r="A11" s="249"/>
      <c r="B11" s="507"/>
      <c r="C11" s="495"/>
      <c r="D11" s="495"/>
      <c r="E11" s="495"/>
      <c r="F11" s="507"/>
      <c r="G11" s="507"/>
      <c r="H11" s="494"/>
      <c r="I11" s="495"/>
      <c r="J11" s="495"/>
      <c r="K11" s="530"/>
      <c r="L11" s="530"/>
      <c r="M11" s="494"/>
      <c r="N11" s="495"/>
      <c r="O11" s="495"/>
      <c r="P11" s="495"/>
      <c r="Q11" s="511"/>
      <c r="R11" s="495"/>
      <c r="S11" s="495"/>
      <c r="T11" s="495"/>
      <c r="U11" s="495"/>
      <c r="V11" s="511"/>
      <c r="W11" s="495"/>
      <c r="X11" s="496"/>
    </row>
    <row r="12" spans="1:25" ht="6.75" customHeight="1">
      <c r="K12" s="513"/>
      <c r="L12" s="513"/>
      <c r="M12" s="450"/>
    </row>
    <row r="13" spans="1:25">
      <c r="A13" s="9" t="s">
        <v>325</v>
      </c>
      <c r="B13" s="543">
        <f>IF(A13&lt;&gt;"",E13+G13+J13+L13+O13+Q13+T13+V13,"")</f>
        <v>1788</v>
      </c>
      <c r="C13" s="324">
        <f>IF(B13&lt;&gt;"",F13+H13+K13+M13+P13+R13+U13+W13,"")</f>
        <v>100</v>
      </c>
      <c r="D13" s="9"/>
      <c r="E13" s="497">
        <f>SUM(E15+E223)</f>
        <v>115</v>
      </c>
      <c r="F13" s="498">
        <f>IF($A13&lt;&gt;"",E13/$B13*100,"")</f>
        <v>6.4317673378076066</v>
      </c>
      <c r="G13" s="497">
        <f>SUM(G15+G223)</f>
        <v>66</v>
      </c>
      <c r="H13" s="498">
        <f>IF($A13&lt;&gt;"",G13/$B13*100,"")</f>
        <v>3.6912751677852351</v>
      </c>
      <c r="I13" s="9"/>
      <c r="J13" s="497">
        <f>SUM(J15+J223)</f>
        <v>206</v>
      </c>
      <c r="K13" s="498">
        <f>IF($A13&lt;&gt;"",J13/$B13*100,"")</f>
        <v>11.521252796420582</v>
      </c>
      <c r="L13" s="497">
        <f>SUM(L15+L223)</f>
        <v>212</v>
      </c>
      <c r="M13" s="498">
        <f>IF($A13&lt;&gt;"",L13/$B13*100,"")</f>
        <v>11.856823266219239</v>
      </c>
      <c r="N13" s="9"/>
      <c r="O13" s="497">
        <f>SUM(O15+O223)</f>
        <v>303</v>
      </c>
      <c r="P13" s="498">
        <f>IF($A13&lt;&gt;"",O13/$B13*100,"")</f>
        <v>16.946308724832214</v>
      </c>
      <c r="Q13" s="497">
        <f>SUM(Q15+Q223)</f>
        <v>365</v>
      </c>
      <c r="R13" s="498">
        <f>IF($A13&lt;&gt;"",Q13/$B13*100,"")</f>
        <v>20.413870246085011</v>
      </c>
      <c r="S13" s="9"/>
      <c r="T13" s="497">
        <f>SUM(T15+T223)</f>
        <v>343</v>
      </c>
      <c r="U13" s="498">
        <f>IF($A13&lt;&gt;"",T13/$B13*100,"")</f>
        <v>19.183445190156601</v>
      </c>
      <c r="V13" s="497">
        <f>SUM(V15+V223)</f>
        <v>178</v>
      </c>
      <c r="W13" s="257">
        <f>IF($A13&lt;&gt;"",V13/$B13*100,"")</f>
        <v>9.9552572706935134</v>
      </c>
      <c r="X13" s="453"/>
      <c r="Y13" s="454"/>
    </row>
    <row r="14" spans="1:25" ht="6.75" customHeight="1">
      <c r="A14" s="4"/>
      <c r="B14" s="500" t="str">
        <f t="shared" ref="B14:B30" si="0">IF(A14&lt;&gt;"",E14+G14+J14+L14+O14+Q14+T14+V14,"")</f>
        <v/>
      </c>
      <c r="C14" s="257" t="str">
        <f t="shared" ref="C14:C98" si="1">IF(A14&lt;&gt;0,B14/$B$13*100,"")</f>
        <v/>
      </c>
      <c r="E14" s="106"/>
      <c r="F14" s="257" t="str">
        <f t="shared" ref="F14:F77" si="2">IF($A14&lt;&gt;"",E14/$B14*100,"")</f>
        <v/>
      </c>
      <c r="H14" s="257" t="str">
        <f t="shared" ref="H14:H77" si="3">IF($A14&lt;&gt;"",G14/$B14*100,"")</f>
        <v/>
      </c>
      <c r="J14" s="106"/>
      <c r="K14" s="257" t="str">
        <f t="shared" ref="K14:K77" si="4">IF($A14&lt;&gt;"",J14/$B14*100,"")</f>
        <v/>
      </c>
      <c r="L14" s="106"/>
      <c r="M14" s="257" t="str">
        <f t="shared" ref="M14:M77" si="5">IF($A14&lt;&gt;"",L14/$B14*100,"")</f>
        <v/>
      </c>
      <c r="O14" s="106"/>
      <c r="P14" s="257" t="str">
        <f t="shared" ref="P14:P77" si="6">IF($A14&lt;&gt;"",O14/$B14*100,"")</f>
        <v/>
      </c>
      <c r="Q14" s="106"/>
      <c r="R14" s="257" t="str">
        <f t="shared" ref="R14:R77" si="7">IF($A14&lt;&gt;"",Q14/$B14*100,"")</f>
        <v/>
      </c>
      <c r="T14" s="106"/>
      <c r="U14" s="257" t="str">
        <f t="shared" ref="U14:U77" si="8">IF($A14&lt;&gt;"",T14/$B14*100,"")</f>
        <v/>
      </c>
      <c r="V14" s="106"/>
      <c r="W14" s="257" t="str">
        <f t="shared" ref="W14:W81" si="9">IF($A14&lt;&gt;"",V14/$B14*100,"")</f>
        <v/>
      </c>
      <c r="X14" s="453"/>
    </row>
    <row r="15" spans="1:25">
      <c r="A15" s="9" t="s">
        <v>761</v>
      </c>
      <c r="B15" s="543">
        <f t="shared" si="0"/>
        <v>1643</v>
      </c>
      <c r="C15" s="498">
        <f t="shared" si="1"/>
        <v>91.890380313199103</v>
      </c>
      <c r="D15" s="9"/>
      <c r="E15" s="497">
        <f>SUM(E17+E124+E207)</f>
        <v>106</v>
      </c>
      <c r="F15" s="498">
        <f t="shared" si="2"/>
        <v>6.4516129032258061</v>
      </c>
      <c r="G15" s="497">
        <f>SUM(G17+G124+G207)</f>
        <v>65</v>
      </c>
      <c r="H15" s="498">
        <f t="shared" si="3"/>
        <v>3.9561777236762019</v>
      </c>
      <c r="I15" s="9"/>
      <c r="J15" s="497">
        <f>SUM(J17+J124+J207)</f>
        <v>188</v>
      </c>
      <c r="K15" s="498">
        <f t="shared" si="4"/>
        <v>11.442483262325014</v>
      </c>
      <c r="L15" s="497">
        <f>SUM(L17+L124+L207)</f>
        <v>197</v>
      </c>
      <c r="M15" s="498">
        <f t="shared" si="5"/>
        <v>11.99026171637249</v>
      </c>
      <c r="N15" s="9"/>
      <c r="O15" s="323">
        <f>SUM(O17+O124+O207)</f>
        <v>266</v>
      </c>
      <c r="P15" s="498">
        <f t="shared" si="6"/>
        <v>16.189896530736458</v>
      </c>
      <c r="Q15" s="497">
        <f>SUM(Q17+Q124+Q207)</f>
        <v>319</v>
      </c>
      <c r="R15" s="498">
        <f t="shared" si="7"/>
        <v>19.415702982349362</v>
      </c>
      <c r="S15" s="9"/>
      <c r="T15" s="497">
        <f>SUM(T17+T124+T207)</f>
        <v>330</v>
      </c>
      <c r="U15" s="498">
        <f t="shared" si="8"/>
        <v>20.085209981740718</v>
      </c>
      <c r="V15" s="497">
        <f>SUM(V17+V124+V207)</f>
        <v>172</v>
      </c>
      <c r="W15" s="257">
        <f t="shared" si="9"/>
        <v>10.46865489957395</v>
      </c>
      <c r="X15" s="453"/>
      <c r="Y15" s="481"/>
    </row>
    <row r="16" spans="1:25" ht="6.75" customHeight="1">
      <c r="A16" s="4"/>
      <c r="B16" s="500" t="str">
        <f t="shared" si="0"/>
        <v/>
      </c>
      <c r="C16" s="257" t="str">
        <f t="shared" si="1"/>
        <v/>
      </c>
      <c r="E16" s="106"/>
      <c r="F16" s="257" t="str">
        <f t="shared" si="2"/>
        <v/>
      </c>
      <c r="H16" s="257" t="str">
        <f t="shared" si="3"/>
        <v/>
      </c>
      <c r="J16" s="106"/>
      <c r="K16" s="257" t="str">
        <f t="shared" si="4"/>
        <v/>
      </c>
      <c r="L16" s="106"/>
      <c r="M16" s="257" t="str">
        <f t="shared" si="5"/>
        <v/>
      </c>
      <c r="O16" s="106"/>
      <c r="P16" s="257" t="str">
        <f t="shared" si="6"/>
        <v/>
      </c>
      <c r="Q16" s="106"/>
      <c r="R16" s="257" t="str">
        <f t="shared" si="7"/>
        <v/>
      </c>
      <c r="T16" s="106"/>
      <c r="U16" s="257" t="str">
        <f t="shared" si="8"/>
        <v/>
      </c>
      <c r="V16" s="106"/>
      <c r="W16" s="257" t="str">
        <f t="shared" si="9"/>
        <v/>
      </c>
      <c r="X16" s="453"/>
      <c r="Y16" s="454"/>
    </row>
    <row r="17" spans="1:25">
      <c r="A17" s="9" t="s">
        <v>1271</v>
      </c>
      <c r="B17" s="543">
        <f t="shared" si="0"/>
        <v>1105</v>
      </c>
      <c r="C17" s="498">
        <f t="shared" si="1"/>
        <v>61.800894854586133</v>
      </c>
      <c r="D17" s="9"/>
      <c r="E17" s="497">
        <f>SUM(E19+E32+E41+E70+E98+E112+E121+E122)</f>
        <v>36</v>
      </c>
      <c r="F17" s="498">
        <f t="shared" si="2"/>
        <v>3.2579185520361995</v>
      </c>
      <c r="G17" s="497">
        <f>SUM(G19+G32+G41+G70+G98+G112+G121+G122)</f>
        <v>13</v>
      </c>
      <c r="H17" s="498">
        <f t="shared" si="3"/>
        <v>1.1764705882352942</v>
      </c>
      <c r="I17" s="9"/>
      <c r="J17" s="497">
        <f>SUM(J19+J32+J41+J70+J98+J112+J121+J122)</f>
        <v>109</v>
      </c>
      <c r="K17" s="498">
        <f t="shared" si="4"/>
        <v>9.8642533936651589</v>
      </c>
      <c r="L17" s="497">
        <f>SUM(L19+L32+L41+L70+L98+L112+L121+L122)</f>
        <v>107</v>
      </c>
      <c r="M17" s="498">
        <f t="shared" si="5"/>
        <v>9.6832579185520373</v>
      </c>
      <c r="N17" s="9"/>
      <c r="O17" s="497">
        <f>SUM(O19+O32+O41+O70+O98+O112+O121+O122)</f>
        <v>200</v>
      </c>
      <c r="P17" s="498">
        <f t="shared" si="6"/>
        <v>18.099547511312217</v>
      </c>
      <c r="Q17" s="497">
        <f>SUM(Q19+Q32+Q41+Q70+Q98+Q112+Q121+Q122)</f>
        <v>238</v>
      </c>
      <c r="R17" s="498">
        <f t="shared" si="7"/>
        <v>21.53846153846154</v>
      </c>
      <c r="S17" s="9"/>
      <c r="T17" s="497">
        <f>SUM(T19+T32+T41+T70+T98+T112+T121+T122)</f>
        <v>271</v>
      </c>
      <c r="U17" s="498">
        <f t="shared" si="8"/>
        <v>24.524886877828052</v>
      </c>
      <c r="V17" s="497">
        <f>SUM(V19+V32+V41+V70+V98+V112+V121+V122)</f>
        <v>131</v>
      </c>
      <c r="W17" s="257">
        <f t="shared" si="9"/>
        <v>11.855203619909501</v>
      </c>
      <c r="X17" s="453"/>
    </row>
    <row r="18" spans="1:25" ht="6.75" customHeight="1">
      <c r="A18" s="4"/>
      <c r="B18" s="106" t="str">
        <f t="shared" si="0"/>
        <v/>
      </c>
      <c r="C18" s="257" t="str">
        <f t="shared" si="1"/>
        <v/>
      </c>
      <c r="E18" s="106"/>
      <c r="F18" s="257" t="str">
        <f t="shared" si="2"/>
        <v/>
      </c>
      <c r="H18" s="257" t="str">
        <f t="shared" si="3"/>
        <v/>
      </c>
      <c r="J18" s="106"/>
      <c r="K18" s="257" t="str">
        <f t="shared" si="4"/>
        <v/>
      </c>
      <c r="L18" s="106"/>
      <c r="M18" s="257" t="str">
        <f t="shared" si="5"/>
        <v/>
      </c>
      <c r="O18" s="106"/>
      <c r="P18" s="257" t="str">
        <f t="shared" si="6"/>
        <v/>
      </c>
      <c r="Q18" s="106"/>
      <c r="R18" s="257" t="str">
        <f t="shared" si="7"/>
        <v/>
      </c>
      <c r="T18" s="106"/>
      <c r="U18" s="257" t="str">
        <f t="shared" si="8"/>
        <v/>
      </c>
      <c r="V18" s="106"/>
      <c r="W18" s="257" t="str">
        <f t="shared" si="9"/>
        <v/>
      </c>
      <c r="X18" s="453"/>
    </row>
    <row r="19" spans="1:25">
      <c r="A19" s="9" t="s">
        <v>787</v>
      </c>
      <c r="B19" s="106">
        <f t="shared" si="0"/>
        <v>86</v>
      </c>
      <c r="C19" s="257">
        <f t="shared" si="1"/>
        <v>4.8098434004474271</v>
      </c>
      <c r="E19" s="106">
        <f>SUM(E20+E26)</f>
        <v>0</v>
      </c>
      <c r="F19" s="257">
        <f t="shared" si="2"/>
        <v>0</v>
      </c>
      <c r="G19" s="106">
        <f>SUM(G20+G26)</f>
        <v>0</v>
      </c>
      <c r="H19" s="257">
        <f t="shared" si="3"/>
        <v>0</v>
      </c>
      <c r="J19" s="325">
        <f>SUM(J20+J26)</f>
        <v>5</v>
      </c>
      <c r="K19" s="257">
        <f t="shared" si="4"/>
        <v>5.8139534883720927</v>
      </c>
      <c r="L19" s="106">
        <f>SUM(L20+L26)</f>
        <v>7</v>
      </c>
      <c r="M19" s="257">
        <f t="shared" si="5"/>
        <v>8.1395348837209305</v>
      </c>
      <c r="O19" s="325">
        <f>SUM(O20+O26)</f>
        <v>22</v>
      </c>
      <c r="P19" s="257">
        <f t="shared" si="6"/>
        <v>25.581395348837212</v>
      </c>
      <c r="Q19" s="106">
        <f>SUM(Q20+Q26)</f>
        <v>25</v>
      </c>
      <c r="R19" s="257">
        <f t="shared" si="7"/>
        <v>29.069767441860467</v>
      </c>
      <c r="T19" s="325">
        <f>SUM(T20+T26)</f>
        <v>20</v>
      </c>
      <c r="U19" s="257">
        <f t="shared" si="8"/>
        <v>23.255813953488371</v>
      </c>
      <c r="V19" s="106">
        <f>SUM(V20+V26)</f>
        <v>7</v>
      </c>
      <c r="W19" s="257">
        <f t="shared" si="9"/>
        <v>8.1395348837209305</v>
      </c>
      <c r="X19" s="453"/>
      <c r="Y19" s="544"/>
    </row>
    <row r="20" spans="1:25">
      <c r="A20" s="4" t="s">
        <v>20</v>
      </c>
      <c r="B20" s="106">
        <f t="shared" si="0"/>
        <v>28</v>
      </c>
      <c r="C20" s="257">
        <f t="shared" si="1"/>
        <v>1.5659955257270695</v>
      </c>
      <c r="E20" s="106">
        <f>SUM(E21:E24)</f>
        <v>0</v>
      </c>
      <c r="F20" s="257">
        <f t="shared" si="2"/>
        <v>0</v>
      </c>
      <c r="G20" s="106">
        <f>SUM(G21:G24)</f>
        <v>0</v>
      </c>
      <c r="H20" s="257">
        <f t="shared" si="3"/>
        <v>0</v>
      </c>
      <c r="J20" s="106">
        <f>SUM(J21:J24)</f>
        <v>3</v>
      </c>
      <c r="K20" s="257">
        <f t="shared" si="4"/>
        <v>10.714285714285714</v>
      </c>
      <c r="L20" s="106">
        <f>SUM(L21:L24)</f>
        <v>2</v>
      </c>
      <c r="M20" s="257">
        <f t="shared" si="5"/>
        <v>7.1428571428571423</v>
      </c>
      <c r="O20" s="325">
        <f>SUM(O21:O24)</f>
        <v>8</v>
      </c>
      <c r="P20" s="257">
        <f t="shared" si="6"/>
        <v>28.571428571428569</v>
      </c>
      <c r="Q20" s="106">
        <f>SUM(Q21:Q24)</f>
        <v>9</v>
      </c>
      <c r="R20" s="257">
        <f t="shared" si="7"/>
        <v>32.142857142857146</v>
      </c>
      <c r="T20" s="106">
        <f>SUM(T21:T24)</f>
        <v>4</v>
      </c>
      <c r="U20" s="257">
        <f t="shared" si="8"/>
        <v>14.285714285714285</v>
      </c>
      <c r="V20" s="106">
        <f>SUM(V21:V24)</f>
        <v>2</v>
      </c>
      <c r="W20" s="257">
        <f t="shared" si="9"/>
        <v>7.1428571428571423</v>
      </c>
      <c r="X20" s="453"/>
    </row>
    <row r="21" spans="1:25">
      <c r="A21" s="4" t="s">
        <v>1272</v>
      </c>
      <c r="B21" s="106">
        <f t="shared" si="0"/>
        <v>1</v>
      </c>
      <c r="C21" s="257">
        <f t="shared" si="1"/>
        <v>5.5928411633109618E-2</v>
      </c>
      <c r="E21" s="4">
        <v>0</v>
      </c>
      <c r="F21" s="257">
        <f t="shared" si="2"/>
        <v>0</v>
      </c>
      <c r="G21" s="4">
        <v>0</v>
      </c>
      <c r="H21" s="257">
        <f t="shared" si="3"/>
        <v>0</v>
      </c>
      <c r="J21" s="4">
        <v>0</v>
      </c>
      <c r="K21" s="257">
        <f t="shared" si="4"/>
        <v>0</v>
      </c>
      <c r="L21" s="4">
        <v>0</v>
      </c>
      <c r="M21" s="257">
        <f t="shared" si="5"/>
        <v>0</v>
      </c>
      <c r="O21" s="4">
        <v>0</v>
      </c>
      <c r="P21" s="257">
        <f t="shared" si="6"/>
        <v>0</v>
      </c>
      <c r="Q21" s="4">
        <v>1</v>
      </c>
      <c r="R21" s="257">
        <f t="shared" si="7"/>
        <v>100</v>
      </c>
      <c r="T21" s="4">
        <v>0</v>
      </c>
      <c r="U21" s="257">
        <f t="shared" si="8"/>
        <v>0</v>
      </c>
      <c r="V21" s="4">
        <v>0</v>
      </c>
      <c r="W21" s="257">
        <f t="shared" si="9"/>
        <v>0</v>
      </c>
      <c r="X21" s="453"/>
    </row>
    <row r="22" spans="1:25">
      <c r="A22" s="4" t="s">
        <v>22</v>
      </c>
      <c r="B22" s="106">
        <f t="shared" si="0"/>
        <v>1</v>
      </c>
      <c r="C22" s="257">
        <f t="shared" si="1"/>
        <v>5.5928411633109618E-2</v>
      </c>
      <c r="E22" s="4">
        <v>0</v>
      </c>
      <c r="F22" s="257">
        <f t="shared" si="2"/>
        <v>0</v>
      </c>
      <c r="G22" s="4">
        <v>0</v>
      </c>
      <c r="H22" s="257">
        <f t="shared" si="3"/>
        <v>0</v>
      </c>
      <c r="J22" s="4">
        <v>0</v>
      </c>
      <c r="K22" s="257">
        <f t="shared" si="4"/>
        <v>0</v>
      </c>
      <c r="L22" s="4">
        <v>0</v>
      </c>
      <c r="M22" s="257">
        <f t="shared" si="5"/>
        <v>0</v>
      </c>
      <c r="O22" s="4">
        <v>0</v>
      </c>
      <c r="P22" s="257">
        <f t="shared" si="6"/>
        <v>0</v>
      </c>
      <c r="Q22" s="4">
        <v>0</v>
      </c>
      <c r="R22" s="257">
        <f t="shared" si="7"/>
        <v>0</v>
      </c>
      <c r="T22" s="4">
        <v>1</v>
      </c>
      <c r="U22" s="257">
        <f t="shared" si="8"/>
        <v>100</v>
      </c>
      <c r="V22" s="4">
        <v>0</v>
      </c>
      <c r="W22" s="434"/>
      <c r="X22" s="434"/>
      <c r="Y22" s="434"/>
    </row>
    <row r="23" spans="1:25">
      <c r="A23" s="4" t="s">
        <v>21</v>
      </c>
      <c r="B23" s="106">
        <f t="shared" si="0"/>
        <v>15</v>
      </c>
      <c r="C23" s="257">
        <f t="shared" si="1"/>
        <v>0.83892617449664431</v>
      </c>
      <c r="E23" s="4">
        <v>0</v>
      </c>
      <c r="F23" s="257">
        <f t="shared" si="2"/>
        <v>0</v>
      </c>
      <c r="G23" s="4">
        <v>0</v>
      </c>
      <c r="H23" s="257">
        <f t="shared" si="3"/>
        <v>0</v>
      </c>
      <c r="J23" s="4">
        <v>1</v>
      </c>
      <c r="K23" s="257">
        <f t="shared" si="4"/>
        <v>6.666666666666667</v>
      </c>
      <c r="L23" s="4">
        <v>0</v>
      </c>
      <c r="M23" s="257">
        <f t="shared" si="5"/>
        <v>0</v>
      </c>
      <c r="O23" s="4">
        <v>5</v>
      </c>
      <c r="P23" s="257">
        <f t="shared" si="6"/>
        <v>33.333333333333329</v>
      </c>
      <c r="Q23" s="4">
        <v>5</v>
      </c>
      <c r="R23" s="257">
        <f t="shared" si="7"/>
        <v>33.333333333333329</v>
      </c>
      <c r="T23" s="4">
        <v>2</v>
      </c>
      <c r="U23" s="257">
        <f t="shared" si="8"/>
        <v>13.333333333333334</v>
      </c>
      <c r="V23" s="4">
        <v>2</v>
      </c>
      <c r="W23" s="257">
        <f t="shared" si="9"/>
        <v>13.333333333333334</v>
      </c>
      <c r="X23" s="453"/>
    </row>
    <row r="24" spans="1:25">
      <c r="A24" s="4" t="s">
        <v>23</v>
      </c>
      <c r="B24" s="106">
        <f t="shared" si="0"/>
        <v>11</v>
      </c>
      <c r="C24" s="257">
        <f t="shared" si="1"/>
        <v>0.61521252796420578</v>
      </c>
      <c r="E24" s="4">
        <v>0</v>
      </c>
      <c r="F24" s="257">
        <f t="shared" si="2"/>
        <v>0</v>
      </c>
      <c r="G24" s="4">
        <v>0</v>
      </c>
      <c r="H24" s="257">
        <f t="shared" si="3"/>
        <v>0</v>
      </c>
      <c r="J24" s="4">
        <v>2</v>
      </c>
      <c r="K24" s="257">
        <f t="shared" si="4"/>
        <v>18.181818181818183</v>
      </c>
      <c r="L24" s="4">
        <v>2</v>
      </c>
      <c r="M24" s="257">
        <f t="shared" si="5"/>
        <v>18.181818181818183</v>
      </c>
      <c r="O24" s="4">
        <v>3</v>
      </c>
      <c r="P24" s="257">
        <f t="shared" si="6"/>
        <v>27.27272727272727</v>
      </c>
      <c r="Q24" s="4">
        <v>3</v>
      </c>
      <c r="R24" s="257">
        <f t="shared" si="7"/>
        <v>27.27272727272727</v>
      </c>
      <c r="T24" s="4">
        <v>1</v>
      </c>
      <c r="U24" s="257">
        <f t="shared" si="8"/>
        <v>9.0909090909090917</v>
      </c>
      <c r="V24" s="4">
        <v>0</v>
      </c>
      <c r="W24" s="257">
        <f t="shared" si="9"/>
        <v>0</v>
      </c>
      <c r="X24" s="453"/>
    </row>
    <row r="25" spans="1:25" ht="6.75" customHeight="1">
      <c r="A25" s="4"/>
      <c r="B25" s="106" t="str">
        <f t="shared" si="0"/>
        <v/>
      </c>
      <c r="C25" s="257" t="str">
        <f t="shared" si="1"/>
        <v/>
      </c>
      <c r="E25" s="106"/>
      <c r="F25" s="257" t="str">
        <f t="shared" si="2"/>
        <v/>
      </c>
      <c r="H25" s="257" t="str">
        <f t="shared" si="3"/>
        <v/>
      </c>
      <c r="J25" s="106"/>
      <c r="K25" s="257" t="str">
        <f t="shared" si="4"/>
        <v/>
      </c>
      <c r="L25" s="106"/>
      <c r="M25" s="257" t="str">
        <f t="shared" si="5"/>
        <v/>
      </c>
      <c r="O25" s="106"/>
      <c r="P25" s="257" t="str">
        <f t="shared" si="6"/>
        <v/>
      </c>
      <c r="Q25" s="106"/>
      <c r="R25" s="257" t="str">
        <f t="shared" si="7"/>
        <v/>
      </c>
      <c r="T25" s="106"/>
      <c r="U25" s="257" t="str">
        <f t="shared" si="8"/>
        <v/>
      </c>
      <c r="V25" s="106"/>
      <c r="W25" s="257" t="str">
        <f t="shared" si="9"/>
        <v/>
      </c>
      <c r="X25" s="453"/>
    </row>
    <row r="26" spans="1:25">
      <c r="A26" s="4" t="s">
        <v>24</v>
      </c>
      <c r="B26" s="106">
        <f t="shared" si="0"/>
        <v>58</v>
      </c>
      <c r="C26" s="257">
        <f t="shared" si="1"/>
        <v>3.2438478747203576</v>
      </c>
      <c r="E26" s="325">
        <f>SUM(E27:E30)</f>
        <v>0</v>
      </c>
      <c r="F26" s="257">
        <f t="shared" si="2"/>
        <v>0</v>
      </c>
      <c r="G26" s="325">
        <f>SUM(G27:G30)</f>
        <v>0</v>
      </c>
      <c r="H26" s="257">
        <f t="shared" si="3"/>
        <v>0</v>
      </c>
      <c r="J26" s="325">
        <f>SUM(J27:J30)</f>
        <v>2</v>
      </c>
      <c r="K26" s="257">
        <f t="shared" si="4"/>
        <v>3.4482758620689653</v>
      </c>
      <c r="L26" s="325">
        <f>SUM(L27:L30)</f>
        <v>5</v>
      </c>
      <c r="M26" s="257">
        <f t="shared" si="5"/>
        <v>8.6206896551724146</v>
      </c>
      <c r="O26" s="325">
        <f>SUM(O27:O30)</f>
        <v>14</v>
      </c>
      <c r="P26" s="257">
        <f t="shared" si="6"/>
        <v>24.137931034482758</v>
      </c>
      <c r="Q26" s="325">
        <f>SUM(Q27:Q30)</f>
        <v>16</v>
      </c>
      <c r="R26" s="257">
        <f t="shared" si="7"/>
        <v>27.586206896551722</v>
      </c>
      <c r="T26" s="325">
        <f>SUM(T27:T30)</f>
        <v>16</v>
      </c>
      <c r="U26" s="257">
        <f t="shared" si="8"/>
        <v>27.586206896551722</v>
      </c>
      <c r="V26" s="325">
        <f>SUM(V27:V30)</f>
        <v>5</v>
      </c>
      <c r="W26" s="257">
        <f t="shared" si="9"/>
        <v>8.6206896551724146</v>
      </c>
      <c r="X26" s="453"/>
    </row>
    <row r="27" spans="1:25">
      <c r="A27" s="4" t="s">
        <v>1273</v>
      </c>
      <c r="B27" s="106">
        <f t="shared" si="0"/>
        <v>2</v>
      </c>
      <c r="C27" s="257">
        <f t="shared" si="1"/>
        <v>0.11185682326621924</v>
      </c>
      <c r="E27" s="4">
        <v>0</v>
      </c>
      <c r="F27" s="257">
        <f t="shared" si="2"/>
        <v>0</v>
      </c>
      <c r="G27" s="4">
        <v>0</v>
      </c>
      <c r="H27" s="257">
        <f t="shared" si="3"/>
        <v>0</v>
      </c>
      <c r="J27" s="4">
        <v>0</v>
      </c>
      <c r="K27" s="257">
        <f t="shared" si="4"/>
        <v>0</v>
      </c>
      <c r="L27" s="4">
        <v>2</v>
      </c>
      <c r="M27" s="257">
        <f t="shared" si="5"/>
        <v>100</v>
      </c>
      <c r="O27" s="4">
        <v>0</v>
      </c>
      <c r="P27" s="257">
        <f t="shared" si="6"/>
        <v>0</v>
      </c>
      <c r="Q27" s="4">
        <v>0</v>
      </c>
      <c r="R27" s="257">
        <f t="shared" si="7"/>
        <v>0</v>
      </c>
      <c r="T27" s="4">
        <v>0</v>
      </c>
      <c r="U27" s="257">
        <f t="shared" si="8"/>
        <v>0</v>
      </c>
      <c r="V27" s="4">
        <v>0</v>
      </c>
      <c r="W27" s="257">
        <f t="shared" si="9"/>
        <v>0</v>
      </c>
      <c r="X27" s="453"/>
    </row>
    <row r="28" spans="1:25">
      <c r="A28" s="4" t="s">
        <v>25</v>
      </c>
      <c r="B28" s="106">
        <f t="shared" si="0"/>
        <v>24</v>
      </c>
      <c r="C28" s="257">
        <f t="shared" si="1"/>
        <v>1.3422818791946309</v>
      </c>
      <c r="E28" s="4">
        <v>0</v>
      </c>
      <c r="F28" s="257">
        <f t="shared" si="2"/>
        <v>0</v>
      </c>
      <c r="G28" s="4">
        <v>0</v>
      </c>
      <c r="H28" s="257">
        <f t="shared" si="3"/>
        <v>0</v>
      </c>
      <c r="J28" s="4">
        <v>1</v>
      </c>
      <c r="K28" s="257">
        <f t="shared" si="4"/>
        <v>4.1666666666666661</v>
      </c>
      <c r="L28" s="4">
        <v>1</v>
      </c>
      <c r="M28" s="257">
        <f t="shared" si="5"/>
        <v>4.1666666666666661</v>
      </c>
      <c r="O28" s="4">
        <v>8</v>
      </c>
      <c r="P28" s="257">
        <f t="shared" si="6"/>
        <v>33.333333333333329</v>
      </c>
      <c r="Q28" s="4">
        <v>6</v>
      </c>
      <c r="R28" s="257">
        <f t="shared" si="7"/>
        <v>25</v>
      </c>
      <c r="T28" s="4">
        <v>5</v>
      </c>
      <c r="U28" s="257">
        <f t="shared" si="8"/>
        <v>20.833333333333336</v>
      </c>
      <c r="V28" s="4">
        <v>3</v>
      </c>
      <c r="W28" s="257">
        <f t="shared" si="9"/>
        <v>12.5</v>
      </c>
      <c r="X28" s="453"/>
    </row>
    <row r="29" spans="1:25">
      <c r="A29" s="4" t="s">
        <v>26</v>
      </c>
      <c r="B29" s="106">
        <f t="shared" si="0"/>
        <v>13</v>
      </c>
      <c r="C29" s="257">
        <f t="shared" si="1"/>
        <v>0.72706935123042504</v>
      </c>
      <c r="E29" s="4">
        <v>0</v>
      </c>
      <c r="F29" s="257">
        <f t="shared" si="2"/>
        <v>0</v>
      </c>
      <c r="G29" s="4">
        <v>0</v>
      </c>
      <c r="H29" s="257">
        <f t="shared" si="3"/>
        <v>0</v>
      </c>
      <c r="J29" s="4">
        <v>1</v>
      </c>
      <c r="K29" s="257">
        <f t="shared" si="4"/>
        <v>7.6923076923076925</v>
      </c>
      <c r="L29" s="4">
        <v>1</v>
      </c>
      <c r="M29" s="257">
        <f t="shared" si="5"/>
        <v>7.6923076923076925</v>
      </c>
      <c r="O29" s="4">
        <v>0</v>
      </c>
      <c r="P29" s="257">
        <f t="shared" si="6"/>
        <v>0</v>
      </c>
      <c r="Q29" s="4">
        <v>1</v>
      </c>
      <c r="R29" s="257">
        <f t="shared" si="7"/>
        <v>7.6923076923076925</v>
      </c>
      <c r="T29" s="4">
        <v>9</v>
      </c>
      <c r="U29" s="257">
        <f t="shared" si="8"/>
        <v>69.230769230769226</v>
      </c>
      <c r="V29" s="4">
        <v>1</v>
      </c>
      <c r="W29" s="257">
        <f t="shared" si="9"/>
        <v>7.6923076923076925</v>
      </c>
      <c r="X29" s="453"/>
    </row>
    <row r="30" spans="1:25">
      <c r="A30" s="4" t="s">
        <v>27</v>
      </c>
      <c r="B30" s="106">
        <f t="shared" si="0"/>
        <v>19</v>
      </c>
      <c r="C30" s="257">
        <f t="shared" si="1"/>
        <v>1.0626398210290828</v>
      </c>
      <c r="E30" s="4">
        <v>0</v>
      </c>
      <c r="F30" s="257">
        <f t="shared" si="2"/>
        <v>0</v>
      </c>
      <c r="G30" s="4">
        <v>0</v>
      </c>
      <c r="H30" s="257">
        <f t="shared" si="3"/>
        <v>0</v>
      </c>
      <c r="J30" s="4">
        <v>0</v>
      </c>
      <c r="K30" s="257">
        <f t="shared" si="4"/>
        <v>0</v>
      </c>
      <c r="L30" s="4">
        <v>1</v>
      </c>
      <c r="M30" s="257">
        <f t="shared" si="5"/>
        <v>5.2631578947368416</v>
      </c>
      <c r="O30" s="4">
        <v>6</v>
      </c>
      <c r="P30" s="257">
        <f t="shared" si="6"/>
        <v>31.578947368421051</v>
      </c>
      <c r="Q30" s="4">
        <v>9</v>
      </c>
      <c r="R30" s="257">
        <f t="shared" si="7"/>
        <v>47.368421052631575</v>
      </c>
      <c r="T30" s="4">
        <v>2</v>
      </c>
      <c r="U30" s="257">
        <f t="shared" si="8"/>
        <v>10.526315789473683</v>
      </c>
      <c r="V30" s="4">
        <v>1</v>
      </c>
      <c r="W30" s="257">
        <f t="shared" si="9"/>
        <v>5.2631578947368416</v>
      </c>
      <c r="X30" s="453"/>
    </row>
    <row r="31" spans="1:25" ht="6.75" customHeight="1">
      <c r="A31" s="4"/>
      <c r="C31" s="257"/>
      <c r="E31" s="106"/>
      <c r="F31" s="257" t="str">
        <f t="shared" si="2"/>
        <v/>
      </c>
      <c r="H31" s="257" t="str">
        <f t="shared" si="3"/>
        <v/>
      </c>
      <c r="J31" s="106"/>
      <c r="K31" s="257" t="str">
        <f t="shared" si="4"/>
        <v/>
      </c>
      <c r="L31" s="106"/>
      <c r="M31" s="257" t="str">
        <f t="shared" si="5"/>
        <v/>
      </c>
      <c r="O31" s="106"/>
      <c r="P31" s="257" t="str">
        <f t="shared" si="6"/>
        <v/>
      </c>
      <c r="Q31" s="106"/>
      <c r="R31" s="257" t="str">
        <f t="shared" si="7"/>
        <v/>
      </c>
      <c r="T31" s="106"/>
      <c r="U31" s="257" t="str">
        <f t="shared" si="8"/>
        <v/>
      </c>
      <c r="V31" s="106"/>
      <c r="W31" s="257"/>
      <c r="X31" s="453"/>
    </row>
    <row r="32" spans="1:25">
      <c r="A32" s="9" t="s">
        <v>788</v>
      </c>
      <c r="B32" s="106">
        <f t="shared" ref="B32:B84" si="10">IF(A32&lt;&gt;"",E32+G32+J32+L32+O32+Q32+T32+V32,"")</f>
        <v>205</v>
      </c>
      <c r="C32" s="257">
        <f t="shared" si="1"/>
        <v>11.465324384787472</v>
      </c>
      <c r="E32" s="107">
        <f>SUM(E33)</f>
        <v>13</v>
      </c>
      <c r="F32" s="257">
        <f t="shared" si="2"/>
        <v>6.3414634146341466</v>
      </c>
      <c r="G32" s="107">
        <f>SUM(G33)</f>
        <v>5</v>
      </c>
      <c r="H32" s="257">
        <f t="shared" si="3"/>
        <v>2.4390243902439024</v>
      </c>
      <c r="I32" s="97"/>
      <c r="J32" s="107">
        <f>SUM(J33)</f>
        <v>9</v>
      </c>
      <c r="K32" s="257">
        <f t="shared" si="4"/>
        <v>4.3902439024390238</v>
      </c>
      <c r="L32" s="107">
        <f>SUM(L33)</f>
        <v>5</v>
      </c>
      <c r="M32" s="257">
        <f t="shared" si="5"/>
        <v>2.4390243902439024</v>
      </c>
      <c r="N32" s="97"/>
      <c r="O32" s="107">
        <f>SUM(O33)</f>
        <v>32</v>
      </c>
      <c r="P32" s="257">
        <f t="shared" si="6"/>
        <v>15.609756097560975</v>
      </c>
      <c r="Q32" s="107">
        <f>SUM(Q33)</f>
        <v>18</v>
      </c>
      <c r="R32" s="257">
        <f t="shared" si="7"/>
        <v>8.7804878048780477</v>
      </c>
      <c r="S32" s="97"/>
      <c r="T32" s="107">
        <f>SUM(T33)</f>
        <v>100</v>
      </c>
      <c r="U32" s="257">
        <f t="shared" si="8"/>
        <v>48.780487804878049</v>
      </c>
      <c r="V32" s="107">
        <f>SUM(V33)</f>
        <v>23</v>
      </c>
      <c r="W32" s="257">
        <f t="shared" si="9"/>
        <v>11.219512195121952</v>
      </c>
      <c r="X32" s="453"/>
    </row>
    <row r="33" spans="1:24">
      <c r="A33" s="4" t="s">
        <v>29</v>
      </c>
      <c r="B33" s="106">
        <f t="shared" si="10"/>
        <v>205</v>
      </c>
      <c r="C33" s="257">
        <f t="shared" si="1"/>
        <v>11.465324384787472</v>
      </c>
      <c r="E33" s="107">
        <f>SUM(E34:E39)</f>
        <v>13</v>
      </c>
      <c r="F33" s="257">
        <f t="shared" si="2"/>
        <v>6.3414634146341466</v>
      </c>
      <c r="G33" s="107">
        <f>SUM(G34:G39)</f>
        <v>5</v>
      </c>
      <c r="H33" s="257">
        <f t="shared" si="3"/>
        <v>2.4390243902439024</v>
      </c>
      <c r="I33" s="97"/>
      <c r="J33" s="107">
        <f>SUM(J34:J39)</f>
        <v>9</v>
      </c>
      <c r="K33" s="257">
        <f t="shared" si="4"/>
        <v>4.3902439024390238</v>
      </c>
      <c r="L33" s="107">
        <f>SUM(L34:L39)</f>
        <v>5</v>
      </c>
      <c r="M33" s="257">
        <f t="shared" si="5"/>
        <v>2.4390243902439024</v>
      </c>
      <c r="N33" s="97"/>
      <c r="O33" s="107">
        <f>SUM(O34:O39)</f>
        <v>32</v>
      </c>
      <c r="P33" s="257">
        <f t="shared" si="6"/>
        <v>15.609756097560975</v>
      </c>
      <c r="Q33" s="107">
        <f>SUM(Q34:Q39)</f>
        <v>18</v>
      </c>
      <c r="R33" s="257">
        <f t="shared" si="7"/>
        <v>8.7804878048780477</v>
      </c>
      <c r="S33" s="97"/>
      <c r="T33" s="107">
        <f>SUM(T34:T39)</f>
        <v>100</v>
      </c>
      <c r="U33" s="257">
        <f t="shared" si="8"/>
        <v>48.780487804878049</v>
      </c>
      <c r="V33" s="107">
        <f>SUM(V34:V39)</f>
        <v>23</v>
      </c>
      <c r="W33" s="257">
        <f t="shared" si="9"/>
        <v>11.219512195121952</v>
      </c>
      <c r="X33" s="453"/>
    </row>
    <row r="34" spans="1:24" hidden="1">
      <c r="A34" s="4" t="s">
        <v>1274</v>
      </c>
      <c r="B34" s="106">
        <f t="shared" si="10"/>
        <v>0</v>
      </c>
      <c r="C34" s="257">
        <f t="shared" si="1"/>
        <v>0</v>
      </c>
      <c r="E34" s="434"/>
      <c r="F34" s="257" t="e">
        <f t="shared" si="2"/>
        <v>#DIV/0!</v>
      </c>
      <c r="G34" s="434"/>
      <c r="H34" s="257" t="e">
        <f t="shared" si="3"/>
        <v>#DIV/0!</v>
      </c>
      <c r="I34" s="434"/>
      <c r="J34" s="434"/>
      <c r="K34" s="257" t="e">
        <f t="shared" si="4"/>
        <v>#DIV/0!</v>
      </c>
      <c r="L34" s="434"/>
      <c r="M34" s="257" t="e">
        <f t="shared" si="5"/>
        <v>#DIV/0!</v>
      </c>
      <c r="N34" s="434"/>
      <c r="O34" s="455"/>
      <c r="P34" s="257" t="e">
        <f t="shared" si="6"/>
        <v>#DIV/0!</v>
      </c>
      <c r="Q34" s="455"/>
      <c r="R34" s="257" t="e">
        <f t="shared" si="7"/>
        <v>#DIV/0!</v>
      </c>
      <c r="S34" s="434"/>
      <c r="T34" s="434"/>
      <c r="U34" s="257" t="e">
        <f t="shared" si="8"/>
        <v>#DIV/0!</v>
      </c>
      <c r="V34" s="434"/>
      <c r="W34" s="257"/>
      <c r="X34" s="453"/>
    </row>
    <row r="35" spans="1:24">
      <c r="A35" s="4" t="s">
        <v>30</v>
      </c>
      <c r="B35" s="106">
        <f t="shared" si="10"/>
        <v>43</v>
      </c>
      <c r="C35" s="257">
        <f t="shared" si="1"/>
        <v>2.4049217002237135</v>
      </c>
      <c r="E35" s="4">
        <v>0</v>
      </c>
      <c r="F35" s="257">
        <f t="shared" si="2"/>
        <v>0</v>
      </c>
      <c r="G35" s="4">
        <v>0</v>
      </c>
      <c r="H35" s="257">
        <f t="shared" si="3"/>
        <v>0</v>
      </c>
      <c r="J35" s="4">
        <v>0</v>
      </c>
      <c r="K35" s="257">
        <f t="shared" si="4"/>
        <v>0</v>
      </c>
      <c r="L35" s="4">
        <v>3</v>
      </c>
      <c r="M35" s="257">
        <f t="shared" si="5"/>
        <v>6.9767441860465116</v>
      </c>
      <c r="O35" s="4">
        <v>8</v>
      </c>
      <c r="P35" s="257">
        <f t="shared" si="6"/>
        <v>18.604651162790699</v>
      </c>
      <c r="Q35" s="4">
        <v>4</v>
      </c>
      <c r="R35" s="257">
        <f t="shared" si="7"/>
        <v>9.3023255813953494</v>
      </c>
      <c r="T35" s="4">
        <v>18</v>
      </c>
      <c r="U35" s="257">
        <f t="shared" si="8"/>
        <v>41.860465116279073</v>
      </c>
      <c r="V35" s="4">
        <v>10</v>
      </c>
      <c r="W35" s="257">
        <f t="shared" si="9"/>
        <v>23.255813953488371</v>
      </c>
      <c r="X35" s="453"/>
    </row>
    <row r="36" spans="1:24">
      <c r="A36" s="4" t="s">
        <v>31</v>
      </c>
      <c r="B36" s="106">
        <f t="shared" si="10"/>
        <v>50</v>
      </c>
      <c r="C36" s="257">
        <f t="shared" si="1"/>
        <v>2.796420581655481</v>
      </c>
      <c r="E36" s="4">
        <v>4</v>
      </c>
      <c r="F36" s="257">
        <f t="shared" si="2"/>
        <v>8</v>
      </c>
      <c r="G36" s="4">
        <v>2</v>
      </c>
      <c r="H36" s="257">
        <f t="shared" si="3"/>
        <v>4</v>
      </c>
      <c r="J36" s="4">
        <v>0</v>
      </c>
      <c r="K36" s="257">
        <f t="shared" si="4"/>
        <v>0</v>
      </c>
      <c r="L36" s="4">
        <v>0</v>
      </c>
      <c r="M36" s="257">
        <f t="shared" si="5"/>
        <v>0</v>
      </c>
      <c r="O36" s="4">
        <v>7</v>
      </c>
      <c r="P36" s="257">
        <f t="shared" si="6"/>
        <v>14.000000000000002</v>
      </c>
      <c r="Q36" s="4">
        <v>2</v>
      </c>
      <c r="R36" s="257">
        <f t="shared" si="7"/>
        <v>4</v>
      </c>
      <c r="T36" s="4">
        <v>31</v>
      </c>
      <c r="U36" s="257">
        <f t="shared" si="8"/>
        <v>62</v>
      </c>
      <c r="V36" s="4">
        <v>4</v>
      </c>
      <c r="W36" s="257">
        <f t="shared" si="9"/>
        <v>8</v>
      </c>
      <c r="X36" s="453"/>
    </row>
    <row r="37" spans="1:24">
      <c r="A37" s="4" t="s">
        <v>32</v>
      </c>
      <c r="B37" s="106">
        <f t="shared" si="10"/>
        <v>29</v>
      </c>
      <c r="C37" s="257">
        <f t="shared" si="1"/>
        <v>1.6219239373601788</v>
      </c>
      <c r="E37" s="4">
        <v>5</v>
      </c>
      <c r="F37" s="257">
        <f t="shared" si="2"/>
        <v>17.241379310344829</v>
      </c>
      <c r="G37" s="4">
        <v>1</v>
      </c>
      <c r="H37" s="257">
        <f t="shared" si="3"/>
        <v>3.4482758620689653</v>
      </c>
      <c r="J37" s="4">
        <v>2</v>
      </c>
      <c r="K37" s="257">
        <f t="shared" si="4"/>
        <v>6.8965517241379306</v>
      </c>
      <c r="L37" s="4">
        <v>1</v>
      </c>
      <c r="M37" s="257">
        <f t="shared" si="5"/>
        <v>3.4482758620689653</v>
      </c>
      <c r="O37" s="4">
        <v>7</v>
      </c>
      <c r="P37" s="257">
        <f t="shared" si="6"/>
        <v>24.137931034482758</v>
      </c>
      <c r="Q37" s="4">
        <v>4</v>
      </c>
      <c r="R37" s="257">
        <f t="shared" si="7"/>
        <v>13.793103448275861</v>
      </c>
      <c r="T37" s="4">
        <v>6</v>
      </c>
      <c r="U37" s="257">
        <f t="shared" si="8"/>
        <v>20.689655172413794</v>
      </c>
      <c r="V37" s="4">
        <v>3</v>
      </c>
      <c r="W37" s="257">
        <f t="shared" si="9"/>
        <v>10.344827586206897</v>
      </c>
      <c r="X37" s="453"/>
    </row>
    <row r="38" spans="1:24">
      <c r="A38" s="4" t="s">
        <v>33</v>
      </c>
      <c r="B38" s="106">
        <f t="shared" si="10"/>
        <v>36</v>
      </c>
      <c r="C38" s="257">
        <f t="shared" si="1"/>
        <v>2.0134228187919461</v>
      </c>
      <c r="E38" s="4">
        <v>2</v>
      </c>
      <c r="F38" s="257">
        <f t="shared" si="2"/>
        <v>5.5555555555555554</v>
      </c>
      <c r="G38" s="4">
        <v>0</v>
      </c>
      <c r="H38" s="257">
        <f t="shared" si="3"/>
        <v>0</v>
      </c>
      <c r="J38" s="4">
        <v>3</v>
      </c>
      <c r="K38" s="257">
        <f t="shared" si="4"/>
        <v>8.3333333333333321</v>
      </c>
      <c r="L38" s="4">
        <v>1</v>
      </c>
      <c r="M38" s="257">
        <f t="shared" si="5"/>
        <v>2.7777777777777777</v>
      </c>
      <c r="O38" s="4">
        <v>1</v>
      </c>
      <c r="P38" s="257">
        <f t="shared" si="6"/>
        <v>2.7777777777777777</v>
      </c>
      <c r="Q38" s="4">
        <v>2</v>
      </c>
      <c r="R38" s="257">
        <f t="shared" si="7"/>
        <v>5.5555555555555554</v>
      </c>
      <c r="T38" s="4">
        <v>27</v>
      </c>
      <c r="U38" s="257">
        <f t="shared" si="8"/>
        <v>75</v>
      </c>
      <c r="V38" s="4">
        <v>0</v>
      </c>
      <c r="W38" s="257">
        <f t="shared" si="9"/>
        <v>0</v>
      </c>
      <c r="X38" s="453"/>
    </row>
    <row r="39" spans="1:24">
      <c r="A39" s="4" t="s">
        <v>34</v>
      </c>
      <c r="B39" s="106">
        <f t="shared" si="10"/>
        <v>47</v>
      </c>
      <c r="C39" s="257">
        <f t="shared" si="1"/>
        <v>2.6286353467561523</v>
      </c>
      <c r="E39" s="4">
        <v>2</v>
      </c>
      <c r="F39" s="257">
        <f t="shared" si="2"/>
        <v>4.2553191489361701</v>
      </c>
      <c r="G39" s="4">
        <v>2</v>
      </c>
      <c r="H39" s="257">
        <f t="shared" si="3"/>
        <v>4.2553191489361701</v>
      </c>
      <c r="J39" s="4">
        <v>4</v>
      </c>
      <c r="K39" s="257">
        <f t="shared" si="4"/>
        <v>8.5106382978723403</v>
      </c>
      <c r="L39" s="4">
        <v>0</v>
      </c>
      <c r="M39" s="257">
        <f t="shared" si="5"/>
        <v>0</v>
      </c>
      <c r="O39" s="4">
        <v>9</v>
      </c>
      <c r="P39" s="257">
        <f t="shared" si="6"/>
        <v>19.148936170212767</v>
      </c>
      <c r="Q39" s="4">
        <v>6</v>
      </c>
      <c r="R39" s="257">
        <f t="shared" si="7"/>
        <v>12.76595744680851</v>
      </c>
      <c r="T39" s="4">
        <v>18</v>
      </c>
      <c r="U39" s="257">
        <f t="shared" si="8"/>
        <v>38.297872340425535</v>
      </c>
      <c r="V39" s="4">
        <v>6</v>
      </c>
      <c r="W39" s="257">
        <f t="shared" si="9"/>
        <v>12.76595744680851</v>
      </c>
      <c r="X39" s="453"/>
    </row>
    <row r="40" spans="1:24" ht="6.75" customHeight="1">
      <c r="A40" s="4"/>
      <c r="B40" s="106" t="str">
        <f t="shared" si="10"/>
        <v/>
      </c>
      <c r="C40" s="257" t="str">
        <f t="shared" si="1"/>
        <v/>
      </c>
      <c r="E40" s="107"/>
      <c r="F40" s="257" t="str">
        <f t="shared" si="2"/>
        <v/>
      </c>
      <c r="G40" s="107"/>
      <c r="H40" s="257" t="str">
        <f t="shared" si="3"/>
        <v/>
      </c>
      <c r="I40" s="97"/>
      <c r="J40" s="107"/>
      <c r="K40" s="257" t="str">
        <f t="shared" si="4"/>
        <v/>
      </c>
      <c r="L40" s="107"/>
      <c r="M40" s="257" t="str">
        <f t="shared" si="5"/>
        <v/>
      </c>
      <c r="N40" s="97"/>
      <c r="O40" s="107"/>
      <c r="P40" s="257" t="str">
        <f t="shared" si="6"/>
        <v/>
      </c>
      <c r="Q40" s="107"/>
      <c r="R40" s="257" t="str">
        <f t="shared" si="7"/>
        <v/>
      </c>
      <c r="S40" s="97"/>
      <c r="T40" s="107"/>
      <c r="U40" s="257" t="str">
        <f t="shared" si="8"/>
        <v/>
      </c>
      <c r="V40" s="107"/>
      <c r="W40" s="257" t="str">
        <f t="shared" si="9"/>
        <v/>
      </c>
      <c r="X40" s="453"/>
    </row>
    <row r="41" spans="1:24">
      <c r="A41" s="9" t="s">
        <v>789</v>
      </c>
      <c r="B41" s="106">
        <f t="shared" si="10"/>
        <v>314</v>
      </c>
      <c r="C41" s="257">
        <f t="shared" si="1"/>
        <v>17.561521252796418</v>
      </c>
      <c r="E41" s="107">
        <f>SUM(E42+E49+E51+E62)</f>
        <v>6</v>
      </c>
      <c r="F41" s="257">
        <f t="shared" si="2"/>
        <v>1.910828025477707</v>
      </c>
      <c r="G41" s="513">
        <f>SUM(G42+G49+G51+G62)</f>
        <v>4</v>
      </c>
      <c r="H41" s="257">
        <f t="shared" si="3"/>
        <v>1.2738853503184715</v>
      </c>
      <c r="I41" s="97"/>
      <c r="J41" s="513">
        <f>SUM(J42+J49+J51+J62)</f>
        <v>21</v>
      </c>
      <c r="K41" s="257">
        <f t="shared" si="4"/>
        <v>6.6878980891719744</v>
      </c>
      <c r="L41" s="513">
        <f>SUM(L42+L49+L51+L62)</f>
        <v>34</v>
      </c>
      <c r="M41" s="257">
        <f t="shared" si="5"/>
        <v>10.828025477707007</v>
      </c>
      <c r="N41" s="97"/>
      <c r="O41" s="513">
        <f>SUM(O42+O49+O51+O62)</f>
        <v>49</v>
      </c>
      <c r="P41" s="257">
        <f t="shared" si="6"/>
        <v>15.605095541401273</v>
      </c>
      <c r="Q41" s="107">
        <f>SUM(Q42+Q49+Q51+Q62)</f>
        <v>87</v>
      </c>
      <c r="R41" s="257">
        <f t="shared" si="7"/>
        <v>27.70700636942675</v>
      </c>
      <c r="S41" s="97"/>
      <c r="T41" s="107">
        <f>SUM(T42+T49+T51+T62)</f>
        <v>65</v>
      </c>
      <c r="U41" s="257">
        <f t="shared" si="8"/>
        <v>20.70063694267516</v>
      </c>
      <c r="V41" s="107">
        <f>SUM(V42+V49+V51+V62)</f>
        <v>48</v>
      </c>
      <c r="W41" s="257">
        <f t="shared" si="9"/>
        <v>15.286624203821656</v>
      </c>
      <c r="X41" s="453"/>
    </row>
    <row r="42" spans="1:24">
      <c r="A42" s="4" t="s">
        <v>36</v>
      </c>
      <c r="B42" s="106">
        <f t="shared" si="10"/>
        <v>58</v>
      </c>
      <c r="C42" s="257">
        <f t="shared" si="1"/>
        <v>3.2438478747203576</v>
      </c>
      <c r="E42" s="325">
        <f>SUM(E43:E47)</f>
        <v>0</v>
      </c>
      <c r="F42" s="257">
        <f t="shared" si="2"/>
        <v>0</v>
      </c>
      <c r="G42" s="325">
        <f t="shared" ref="G42:V42" si="11">SUM(G43:G47)</f>
        <v>2</v>
      </c>
      <c r="H42" s="257">
        <f t="shared" si="3"/>
        <v>3.4482758620689653</v>
      </c>
      <c r="I42" s="325">
        <f t="shared" si="11"/>
        <v>0</v>
      </c>
      <c r="J42" s="325">
        <f t="shared" si="11"/>
        <v>3</v>
      </c>
      <c r="K42" s="257">
        <f t="shared" si="4"/>
        <v>5.1724137931034484</v>
      </c>
      <c r="L42" s="325">
        <f t="shared" si="11"/>
        <v>5</v>
      </c>
      <c r="M42" s="257">
        <f t="shared" si="5"/>
        <v>8.6206896551724146</v>
      </c>
      <c r="N42" s="325">
        <f t="shared" si="11"/>
        <v>0</v>
      </c>
      <c r="O42" s="325">
        <f t="shared" si="11"/>
        <v>12</v>
      </c>
      <c r="P42" s="257">
        <f t="shared" si="6"/>
        <v>20.689655172413794</v>
      </c>
      <c r="Q42" s="325">
        <f t="shared" si="11"/>
        <v>20</v>
      </c>
      <c r="R42" s="257">
        <f t="shared" si="7"/>
        <v>34.482758620689658</v>
      </c>
      <c r="S42" s="325">
        <f t="shared" si="11"/>
        <v>0</v>
      </c>
      <c r="T42" s="325">
        <f t="shared" si="11"/>
        <v>11</v>
      </c>
      <c r="U42" s="257">
        <f t="shared" si="8"/>
        <v>18.96551724137931</v>
      </c>
      <c r="V42" s="325">
        <f t="shared" si="11"/>
        <v>5</v>
      </c>
      <c r="W42" s="257">
        <f t="shared" si="9"/>
        <v>8.6206896551724146</v>
      </c>
      <c r="X42" s="453"/>
    </row>
    <row r="43" spans="1:24" hidden="1">
      <c r="A43" s="4" t="s">
        <v>1275</v>
      </c>
      <c r="B43" s="106">
        <f t="shared" si="10"/>
        <v>0</v>
      </c>
      <c r="C43" s="257">
        <f t="shared" si="1"/>
        <v>0</v>
      </c>
      <c r="E43" s="533"/>
      <c r="F43" s="257" t="e">
        <f t="shared" si="2"/>
        <v>#DIV/0!</v>
      </c>
      <c r="G43" s="533"/>
      <c r="H43" s="257" t="e">
        <f t="shared" si="3"/>
        <v>#DIV/0!</v>
      </c>
      <c r="I43" s="533"/>
      <c r="J43" s="532"/>
      <c r="K43" s="257" t="e">
        <f t="shared" si="4"/>
        <v>#DIV/0!</v>
      </c>
      <c r="L43" s="532"/>
      <c r="M43" s="257" t="e">
        <f t="shared" si="5"/>
        <v>#DIV/0!</v>
      </c>
      <c r="N43" s="532"/>
      <c r="O43" s="532"/>
      <c r="P43" s="257" t="e">
        <f t="shared" si="6"/>
        <v>#DIV/0!</v>
      </c>
      <c r="Q43" s="545"/>
      <c r="R43" s="257" t="e">
        <f t="shared" si="7"/>
        <v>#DIV/0!</v>
      </c>
      <c r="S43" s="545"/>
      <c r="T43" s="533"/>
      <c r="U43" s="257" t="e">
        <f t="shared" si="8"/>
        <v>#DIV/0!</v>
      </c>
      <c r="V43" s="533"/>
      <c r="W43" s="257"/>
      <c r="X43" s="453"/>
    </row>
    <row r="44" spans="1:24">
      <c r="A44" s="4" t="s">
        <v>37</v>
      </c>
      <c r="B44" s="106">
        <f t="shared" si="10"/>
        <v>13</v>
      </c>
      <c r="C44" s="257">
        <f t="shared" si="1"/>
        <v>0.72706935123042504</v>
      </c>
      <c r="E44" s="4">
        <v>0</v>
      </c>
      <c r="F44" s="257">
        <f t="shared" si="2"/>
        <v>0</v>
      </c>
      <c r="G44" s="4">
        <v>0</v>
      </c>
      <c r="H44" s="257">
        <f t="shared" si="3"/>
        <v>0</v>
      </c>
      <c r="J44" s="4">
        <v>2</v>
      </c>
      <c r="K44" s="257">
        <f t="shared" si="4"/>
        <v>15.384615384615385</v>
      </c>
      <c r="L44" s="4">
        <v>1</v>
      </c>
      <c r="M44" s="257">
        <f t="shared" si="5"/>
        <v>7.6923076923076925</v>
      </c>
      <c r="O44" s="4">
        <v>3</v>
      </c>
      <c r="P44" s="257">
        <f t="shared" si="6"/>
        <v>23.076923076923077</v>
      </c>
      <c r="Q44" s="4">
        <v>5</v>
      </c>
      <c r="R44" s="257">
        <f t="shared" si="7"/>
        <v>38.461538461538467</v>
      </c>
      <c r="T44" s="4">
        <v>1</v>
      </c>
      <c r="U44" s="257">
        <f t="shared" si="8"/>
        <v>7.6923076923076925</v>
      </c>
      <c r="V44" s="4">
        <v>1</v>
      </c>
      <c r="W44" s="257">
        <f t="shared" si="9"/>
        <v>7.6923076923076925</v>
      </c>
      <c r="X44" s="453"/>
    </row>
    <row r="45" spans="1:24">
      <c r="A45" s="4" t="s">
        <v>38</v>
      </c>
      <c r="B45" s="106">
        <f t="shared" si="10"/>
        <v>16</v>
      </c>
      <c r="C45" s="257">
        <f t="shared" si="1"/>
        <v>0.89485458612975388</v>
      </c>
      <c r="E45" s="4">
        <v>0</v>
      </c>
      <c r="F45" s="257">
        <f t="shared" si="2"/>
        <v>0</v>
      </c>
      <c r="G45" s="4">
        <v>0</v>
      </c>
      <c r="H45" s="257">
        <f t="shared" si="3"/>
        <v>0</v>
      </c>
      <c r="J45" s="4">
        <v>0</v>
      </c>
      <c r="K45" s="257">
        <f t="shared" si="4"/>
        <v>0</v>
      </c>
      <c r="L45" s="4">
        <v>3</v>
      </c>
      <c r="M45" s="257">
        <f t="shared" si="5"/>
        <v>18.75</v>
      </c>
      <c r="O45" s="4">
        <v>5</v>
      </c>
      <c r="P45" s="257">
        <f t="shared" si="6"/>
        <v>31.25</v>
      </c>
      <c r="Q45" s="4">
        <v>5</v>
      </c>
      <c r="R45" s="257">
        <f t="shared" si="7"/>
        <v>31.25</v>
      </c>
      <c r="T45" s="4">
        <v>2</v>
      </c>
      <c r="U45" s="257">
        <f t="shared" si="8"/>
        <v>12.5</v>
      </c>
      <c r="V45" s="4">
        <v>1</v>
      </c>
      <c r="W45" s="257">
        <f t="shared" si="9"/>
        <v>6.25</v>
      </c>
      <c r="X45" s="453"/>
    </row>
    <row r="46" spans="1:24">
      <c r="A46" s="4" t="s">
        <v>39</v>
      </c>
      <c r="B46" s="106">
        <f t="shared" si="10"/>
        <v>18</v>
      </c>
      <c r="C46" s="257">
        <f t="shared" si="1"/>
        <v>1.006711409395973</v>
      </c>
      <c r="E46" s="4">
        <v>0</v>
      </c>
      <c r="F46" s="257">
        <f t="shared" si="2"/>
        <v>0</v>
      </c>
      <c r="G46" s="4">
        <v>1</v>
      </c>
      <c r="H46" s="257">
        <f t="shared" si="3"/>
        <v>5.5555555555555554</v>
      </c>
      <c r="J46" s="4">
        <v>1</v>
      </c>
      <c r="K46" s="257">
        <f t="shared" si="4"/>
        <v>5.5555555555555554</v>
      </c>
      <c r="L46" s="4">
        <v>1</v>
      </c>
      <c r="M46" s="257">
        <f t="shared" si="5"/>
        <v>5.5555555555555554</v>
      </c>
      <c r="O46" s="4">
        <v>2</v>
      </c>
      <c r="P46" s="257">
        <f t="shared" si="6"/>
        <v>11.111111111111111</v>
      </c>
      <c r="Q46" s="4">
        <v>4</v>
      </c>
      <c r="R46" s="257">
        <f t="shared" si="7"/>
        <v>22.222222222222221</v>
      </c>
      <c r="T46" s="4">
        <v>7</v>
      </c>
      <c r="U46" s="257">
        <f t="shared" si="8"/>
        <v>38.888888888888893</v>
      </c>
      <c r="V46" s="4">
        <v>2</v>
      </c>
      <c r="W46" s="257">
        <f t="shared" si="9"/>
        <v>11.111111111111111</v>
      </c>
      <c r="X46" s="453"/>
    </row>
    <row r="47" spans="1:24">
      <c r="A47" s="4" t="s">
        <v>40</v>
      </c>
      <c r="B47" s="106">
        <f t="shared" si="10"/>
        <v>11</v>
      </c>
      <c r="C47" s="257">
        <f t="shared" si="1"/>
        <v>0.61521252796420578</v>
      </c>
      <c r="E47" s="4">
        <v>0</v>
      </c>
      <c r="F47" s="257">
        <f t="shared" si="2"/>
        <v>0</v>
      </c>
      <c r="G47" s="4">
        <v>1</v>
      </c>
      <c r="H47" s="257">
        <f t="shared" si="3"/>
        <v>9.0909090909090917</v>
      </c>
      <c r="J47" s="4">
        <v>0</v>
      </c>
      <c r="K47" s="257">
        <f t="shared" si="4"/>
        <v>0</v>
      </c>
      <c r="L47" s="4">
        <v>0</v>
      </c>
      <c r="M47" s="257">
        <f t="shared" si="5"/>
        <v>0</v>
      </c>
      <c r="O47" s="4">
        <v>2</v>
      </c>
      <c r="P47" s="257">
        <f t="shared" si="6"/>
        <v>18.181818181818183</v>
      </c>
      <c r="Q47" s="4">
        <v>6</v>
      </c>
      <c r="R47" s="257">
        <f t="shared" si="7"/>
        <v>54.54545454545454</v>
      </c>
      <c r="T47" s="4">
        <v>1</v>
      </c>
      <c r="U47" s="257">
        <f t="shared" si="8"/>
        <v>9.0909090909090917</v>
      </c>
      <c r="V47" s="4">
        <v>1</v>
      </c>
      <c r="W47" s="257">
        <f t="shared" si="9"/>
        <v>9.0909090909090917</v>
      </c>
      <c r="X47" s="453"/>
    </row>
    <row r="48" spans="1:24" ht="6.75" customHeight="1">
      <c r="A48" s="4"/>
      <c r="B48" s="106" t="str">
        <f t="shared" si="10"/>
        <v/>
      </c>
      <c r="C48" s="257" t="str">
        <f t="shared" si="1"/>
        <v/>
      </c>
      <c r="F48" s="257" t="str">
        <f t="shared" si="2"/>
        <v/>
      </c>
      <c r="G48" s="4"/>
      <c r="H48" s="257" t="str">
        <f t="shared" si="3"/>
        <v/>
      </c>
      <c r="K48" s="257" t="str">
        <f t="shared" si="4"/>
        <v/>
      </c>
      <c r="L48" s="4"/>
      <c r="M48" s="257" t="str">
        <f t="shared" si="5"/>
        <v/>
      </c>
      <c r="P48" s="257" t="str">
        <f t="shared" si="6"/>
        <v/>
      </c>
      <c r="R48" s="257" t="str">
        <f t="shared" si="7"/>
        <v/>
      </c>
      <c r="U48" s="257" t="str">
        <f t="shared" si="8"/>
        <v/>
      </c>
      <c r="W48" s="257" t="str">
        <f t="shared" si="9"/>
        <v/>
      </c>
      <c r="X48" s="453"/>
    </row>
    <row r="49" spans="1:24">
      <c r="A49" s="4" t="s">
        <v>1276</v>
      </c>
      <c r="B49" s="106">
        <f t="shared" si="10"/>
        <v>23</v>
      </c>
      <c r="C49" s="257">
        <f t="shared" si="1"/>
        <v>1.2863534675615211</v>
      </c>
      <c r="E49" s="4">
        <v>0</v>
      </c>
      <c r="F49" s="257">
        <f t="shared" si="2"/>
        <v>0</v>
      </c>
      <c r="G49" s="4">
        <v>0</v>
      </c>
      <c r="H49" s="257">
        <f t="shared" si="3"/>
        <v>0</v>
      </c>
      <c r="J49" s="4">
        <v>2</v>
      </c>
      <c r="K49" s="257">
        <f t="shared" si="4"/>
        <v>8.695652173913043</v>
      </c>
      <c r="L49" s="4">
        <v>0</v>
      </c>
      <c r="M49" s="257">
        <f t="shared" si="5"/>
        <v>0</v>
      </c>
      <c r="O49" s="4">
        <v>5</v>
      </c>
      <c r="P49" s="257">
        <f t="shared" si="6"/>
        <v>21.739130434782609</v>
      </c>
      <c r="Q49" s="4">
        <v>2</v>
      </c>
      <c r="R49" s="257">
        <f t="shared" si="7"/>
        <v>8.695652173913043</v>
      </c>
      <c r="T49" s="4">
        <v>11</v>
      </c>
      <c r="U49" s="257">
        <f t="shared" si="8"/>
        <v>47.826086956521742</v>
      </c>
      <c r="V49" s="4">
        <v>3</v>
      </c>
      <c r="W49" s="257">
        <f t="shared" si="9"/>
        <v>13.043478260869565</v>
      </c>
      <c r="X49" s="453"/>
    </row>
    <row r="50" spans="1:24" ht="6.75" customHeight="1">
      <c r="A50" s="4"/>
      <c r="B50" s="106" t="str">
        <f t="shared" si="10"/>
        <v/>
      </c>
      <c r="C50" s="257" t="str">
        <f t="shared" si="1"/>
        <v/>
      </c>
      <c r="E50" s="106"/>
      <c r="F50" s="257" t="str">
        <f t="shared" si="2"/>
        <v/>
      </c>
      <c r="H50" s="257" t="str">
        <f t="shared" si="3"/>
        <v/>
      </c>
      <c r="J50" s="106"/>
      <c r="K50" s="257" t="str">
        <f t="shared" si="4"/>
        <v/>
      </c>
      <c r="L50" s="106"/>
      <c r="M50" s="257" t="str">
        <f t="shared" si="5"/>
        <v/>
      </c>
      <c r="O50" s="106"/>
      <c r="P50" s="257" t="str">
        <f t="shared" si="6"/>
        <v/>
      </c>
      <c r="Q50" s="106"/>
      <c r="R50" s="257" t="str">
        <f t="shared" si="7"/>
        <v/>
      </c>
      <c r="T50" s="106"/>
      <c r="U50" s="257" t="str">
        <f t="shared" si="8"/>
        <v/>
      </c>
      <c r="V50" s="106"/>
      <c r="W50" s="257" t="str">
        <f t="shared" si="9"/>
        <v/>
      </c>
      <c r="X50" s="453"/>
    </row>
    <row r="51" spans="1:24">
      <c r="A51" s="4" t="s">
        <v>41</v>
      </c>
      <c r="B51" s="106">
        <f t="shared" si="10"/>
        <v>153</v>
      </c>
      <c r="C51" s="257">
        <f t="shared" si="1"/>
        <v>8.5570469798657722</v>
      </c>
      <c r="E51" s="106">
        <f>SUM(E52:E60)</f>
        <v>6</v>
      </c>
      <c r="F51" s="257">
        <f t="shared" si="2"/>
        <v>3.9215686274509802</v>
      </c>
      <c r="G51" s="106">
        <f>SUM(G52:G60)</f>
        <v>1</v>
      </c>
      <c r="H51" s="257">
        <f t="shared" si="3"/>
        <v>0.65359477124183007</v>
      </c>
      <c r="J51" s="106">
        <f>SUM(J52:J60)</f>
        <v>14</v>
      </c>
      <c r="K51" s="257">
        <f t="shared" si="4"/>
        <v>9.1503267973856204</v>
      </c>
      <c r="L51" s="106">
        <f>SUM(L52:L60)</f>
        <v>15</v>
      </c>
      <c r="M51" s="257">
        <f t="shared" si="5"/>
        <v>9.8039215686274517</v>
      </c>
      <c r="O51" s="106">
        <f>SUM(O52:O60)</f>
        <v>24</v>
      </c>
      <c r="P51" s="257">
        <f t="shared" si="6"/>
        <v>15.686274509803921</v>
      </c>
      <c r="Q51" s="106">
        <f>SUM(Q52:Q60)</f>
        <v>33</v>
      </c>
      <c r="R51" s="257">
        <f t="shared" si="7"/>
        <v>21.568627450980394</v>
      </c>
      <c r="T51" s="106">
        <f>SUM(T52:T60)</f>
        <v>39</v>
      </c>
      <c r="U51" s="257">
        <f t="shared" si="8"/>
        <v>25.490196078431371</v>
      </c>
      <c r="V51" s="106">
        <f>SUM(V52:V60)</f>
        <v>21</v>
      </c>
      <c r="W51" s="257">
        <f t="shared" si="9"/>
        <v>13.725490196078432</v>
      </c>
    </row>
    <row r="52" spans="1:24" hidden="1">
      <c r="A52" s="4" t="s">
        <v>1144</v>
      </c>
      <c r="B52" s="106">
        <f t="shared" si="10"/>
        <v>0</v>
      </c>
      <c r="C52" s="257">
        <f t="shared" si="1"/>
        <v>0</v>
      </c>
      <c r="E52" s="434"/>
      <c r="F52" s="257" t="e">
        <f t="shared" si="2"/>
        <v>#DIV/0!</v>
      </c>
      <c r="G52" s="434"/>
      <c r="H52" s="257" t="e">
        <f t="shared" si="3"/>
        <v>#DIV/0!</v>
      </c>
      <c r="I52" s="434"/>
      <c r="J52" s="434"/>
      <c r="K52" s="257" t="e">
        <f t="shared" si="4"/>
        <v>#DIV/0!</v>
      </c>
      <c r="L52" s="434"/>
      <c r="M52" s="257" t="e">
        <f t="shared" si="5"/>
        <v>#DIV/0!</v>
      </c>
      <c r="N52" s="434"/>
      <c r="O52" s="455"/>
      <c r="P52" s="257" t="e">
        <f t="shared" si="6"/>
        <v>#DIV/0!</v>
      </c>
      <c r="Q52" s="455"/>
      <c r="R52" s="257" t="e">
        <f t="shared" si="7"/>
        <v>#DIV/0!</v>
      </c>
      <c r="S52" s="434"/>
      <c r="T52" s="434"/>
      <c r="U52" s="257" t="e">
        <f t="shared" si="8"/>
        <v>#DIV/0!</v>
      </c>
      <c r="V52" s="434"/>
      <c r="W52" s="257" t="e">
        <f t="shared" si="9"/>
        <v>#DIV/0!</v>
      </c>
      <c r="X52" s="453"/>
    </row>
    <row r="53" spans="1:24">
      <c r="A53" s="4" t="s">
        <v>49</v>
      </c>
      <c r="B53" s="106">
        <f t="shared" si="10"/>
        <v>14</v>
      </c>
      <c r="C53" s="257">
        <f t="shared" si="1"/>
        <v>0.78299776286353473</v>
      </c>
      <c r="E53" s="4">
        <v>0</v>
      </c>
      <c r="F53" s="257">
        <f t="shared" si="2"/>
        <v>0</v>
      </c>
      <c r="G53" s="4">
        <v>0</v>
      </c>
      <c r="H53" s="257">
        <f t="shared" si="3"/>
        <v>0</v>
      </c>
      <c r="J53" s="4">
        <v>1</v>
      </c>
      <c r="K53" s="257">
        <f t="shared" si="4"/>
        <v>7.1428571428571423</v>
      </c>
      <c r="L53" s="4">
        <v>1</v>
      </c>
      <c r="M53" s="257">
        <f t="shared" si="5"/>
        <v>7.1428571428571423</v>
      </c>
      <c r="O53" s="4">
        <v>1</v>
      </c>
      <c r="P53" s="257">
        <f t="shared" si="6"/>
        <v>7.1428571428571423</v>
      </c>
      <c r="Q53" s="4">
        <v>5</v>
      </c>
      <c r="R53" s="257">
        <f t="shared" si="7"/>
        <v>35.714285714285715</v>
      </c>
      <c r="T53" s="4">
        <v>5</v>
      </c>
      <c r="U53" s="257">
        <f t="shared" si="8"/>
        <v>35.714285714285715</v>
      </c>
      <c r="V53" s="4">
        <v>1</v>
      </c>
      <c r="W53" s="257">
        <f t="shared" si="9"/>
        <v>7.1428571428571423</v>
      </c>
      <c r="X53" s="453"/>
    </row>
    <row r="54" spans="1:24">
      <c r="A54" s="4" t="s">
        <v>42</v>
      </c>
      <c r="B54" s="106">
        <f t="shared" si="10"/>
        <v>18</v>
      </c>
      <c r="C54" s="257">
        <f t="shared" si="1"/>
        <v>1.006711409395973</v>
      </c>
      <c r="E54" s="4">
        <v>0</v>
      </c>
      <c r="F54" s="257">
        <f t="shared" si="2"/>
        <v>0</v>
      </c>
      <c r="G54" s="4">
        <v>0</v>
      </c>
      <c r="H54" s="257">
        <f t="shared" si="3"/>
        <v>0</v>
      </c>
      <c r="J54" s="4">
        <v>1</v>
      </c>
      <c r="K54" s="257">
        <f t="shared" si="4"/>
        <v>5.5555555555555554</v>
      </c>
      <c r="L54" s="4">
        <v>0</v>
      </c>
      <c r="M54" s="257">
        <f t="shared" si="5"/>
        <v>0</v>
      </c>
      <c r="O54" s="4">
        <v>2</v>
      </c>
      <c r="P54" s="257">
        <f t="shared" si="6"/>
        <v>11.111111111111111</v>
      </c>
      <c r="Q54" s="4">
        <v>2</v>
      </c>
      <c r="R54" s="257">
        <f t="shared" si="7"/>
        <v>11.111111111111111</v>
      </c>
      <c r="T54" s="4">
        <v>10</v>
      </c>
      <c r="U54" s="257">
        <f t="shared" si="8"/>
        <v>55.555555555555557</v>
      </c>
      <c r="V54" s="4">
        <v>3</v>
      </c>
      <c r="W54" s="257">
        <f t="shared" si="9"/>
        <v>16.666666666666664</v>
      </c>
      <c r="X54" s="453"/>
    </row>
    <row r="55" spans="1:24">
      <c r="A55" s="4" t="s">
        <v>43</v>
      </c>
      <c r="B55" s="106">
        <f t="shared" si="10"/>
        <v>27</v>
      </c>
      <c r="C55" s="257">
        <f t="shared" si="1"/>
        <v>1.5100671140939599</v>
      </c>
      <c r="E55" s="4">
        <v>0</v>
      </c>
      <c r="F55" s="257">
        <f t="shared" si="2"/>
        <v>0</v>
      </c>
      <c r="G55" s="4">
        <v>0</v>
      </c>
      <c r="H55" s="257">
        <f t="shared" si="3"/>
        <v>0</v>
      </c>
      <c r="J55" s="4">
        <v>0</v>
      </c>
      <c r="K55" s="257">
        <f t="shared" si="4"/>
        <v>0</v>
      </c>
      <c r="L55" s="4">
        <v>3</v>
      </c>
      <c r="M55" s="257">
        <f t="shared" si="5"/>
        <v>11.111111111111111</v>
      </c>
      <c r="O55" s="4">
        <v>5</v>
      </c>
      <c r="P55" s="257">
        <f t="shared" si="6"/>
        <v>18.518518518518519</v>
      </c>
      <c r="Q55" s="4">
        <v>9</v>
      </c>
      <c r="R55" s="257">
        <f t="shared" si="7"/>
        <v>33.333333333333329</v>
      </c>
      <c r="T55" s="4">
        <v>5</v>
      </c>
      <c r="U55" s="257">
        <f t="shared" si="8"/>
        <v>18.518518518518519</v>
      </c>
      <c r="V55" s="4">
        <v>5</v>
      </c>
      <c r="W55" s="257">
        <f t="shared" si="9"/>
        <v>18.518518518518519</v>
      </c>
      <c r="X55" s="453"/>
    </row>
    <row r="56" spans="1:24">
      <c r="A56" s="4" t="s">
        <v>44</v>
      </c>
      <c r="B56" s="106">
        <f t="shared" si="10"/>
        <v>17</v>
      </c>
      <c r="C56" s="257">
        <f t="shared" si="1"/>
        <v>0.95078299776286346</v>
      </c>
      <c r="E56" s="4">
        <v>0</v>
      </c>
      <c r="F56" s="257">
        <f t="shared" si="2"/>
        <v>0</v>
      </c>
      <c r="G56" s="4">
        <v>0</v>
      </c>
      <c r="H56" s="257">
        <f t="shared" si="3"/>
        <v>0</v>
      </c>
      <c r="J56" s="4">
        <v>3</v>
      </c>
      <c r="K56" s="257">
        <f t="shared" si="4"/>
        <v>17.647058823529413</v>
      </c>
      <c r="L56" s="4">
        <v>2</v>
      </c>
      <c r="M56" s="257">
        <f t="shared" si="5"/>
        <v>11.76470588235294</v>
      </c>
      <c r="O56" s="4">
        <v>3</v>
      </c>
      <c r="P56" s="257">
        <f t="shared" si="6"/>
        <v>17.647058823529413</v>
      </c>
      <c r="Q56" s="4">
        <v>3</v>
      </c>
      <c r="R56" s="257">
        <f t="shared" si="7"/>
        <v>17.647058823529413</v>
      </c>
      <c r="T56" s="4">
        <v>4</v>
      </c>
      <c r="U56" s="257">
        <f t="shared" si="8"/>
        <v>23.52941176470588</v>
      </c>
      <c r="V56" s="4">
        <v>2</v>
      </c>
      <c r="W56" s="257">
        <f t="shared" si="9"/>
        <v>11.76470588235294</v>
      </c>
      <c r="X56" s="453"/>
    </row>
    <row r="57" spans="1:24">
      <c r="A57" s="4" t="s">
        <v>439</v>
      </c>
      <c r="B57" s="106">
        <f t="shared" si="10"/>
        <v>26</v>
      </c>
      <c r="C57" s="257">
        <f t="shared" si="1"/>
        <v>1.4541387024608501</v>
      </c>
      <c r="E57" s="4">
        <v>4</v>
      </c>
      <c r="F57" s="257">
        <f t="shared" si="2"/>
        <v>15.384615384615385</v>
      </c>
      <c r="G57" s="4">
        <v>1</v>
      </c>
      <c r="H57" s="257">
        <f t="shared" si="3"/>
        <v>3.8461538461538463</v>
      </c>
      <c r="J57" s="4">
        <v>1</v>
      </c>
      <c r="K57" s="257">
        <f t="shared" si="4"/>
        <v>3.8461538461538463</v>
      </c>
      <c r="L57" s="4">
        <v>1</v>
      </c>
      <c r="M57" s="257">
        <f t="shared" si="5"/>
        <v>3.8461538461538463</v>
      </c>
      <c r="O57" s="4">
        <v>6</v>
      </c>
      <c r="P57" s="257">
        <f t="shared" si="6"/>
        <v>23.076923076923077</v>
      </c>
      <c r="Q57" s="4">
        <v>1</v>
      </c>
      <c r="R57" s="257">
        <f t="shared" si="7"/>
        <v>3.8461538461538463</v>
      </c>
      <c r="T57" s="4">
        <v>6</v>
      </c>
      <c r="U57" s="257">
        <f t="shared" si="8"/>
        <v>23.076923076923077</v>
      </c>
      <c r="V57" s="4">
        <v>6</v>
      </c>
      <c r="W57" s="257">
        <f t="shared" si="9"/>
        <v>23.076923076923077</v>
      </c>
      <c r="X57" s="453"/>
    </row>
    <row r="58" spans="1:24">
      <c r="A58" s="4" t="s">
        <v>48</v>
      </c>
      <c r="B58" s="106">
        <f t="shared" si="10"/>
        <v>13</v>
      </c>
      <c r="C58" s="257">
        <f t="shared" si="1"/>
        <v>0.72706935123042504</v>
      </c>
      <c r="E58" s="4">
        <v>2</v>
      </c>
      <c r="F58" s="257">
        <f t="shared" si="2"/>
        <v>15.384615384615385</v>
      </c>
      <c r="G58" s="4">
        <v>0</v>
      </c>
      <c r="H58" s="257">
        <f t="shared" si="3"/>
        <v>0</v>
      </c>
      <c r="J58" s="4">
        <v>2</v>
      </c>
      <c r="K58" s="257">
        <f t="shared" si="4"/>
        <v>15.384615384615385</v>
      </c>
      <c r="L58" s="4">
        <v>0</v>
      </c>
      <c r="M58" s="257">
        <f t="shared" si="5"/>
        <v>0</v>
      </c>
      <c r="O58" s="4">
        <v>5</v>
      </c>
      <c r="P58" s="257">
        <f t="shared" si="6"/>
        <v>38.461538461538467</v>
      </c>
      <c r="Q58" s="4">
        <v>3</v>
      </c>
      <c r="R58" s="257">
        <f t="shared" si="7"/>
        <v>23.076923076923077</v>
      </c>
      <c r="T58" s="4">
        <v>1</v>
      </c>
      <c r="U58" s="257">
        <f t="shared" si="8"/>
        <v>7.6923076923076925</v>
      </c>
      <c r="V58" s="4">
        <v>0</v>
      </c>
      <c r="W58" s="257">
        <f t="shared" si="9"/>
        <v>0</v>
      </c>
      <c r="X58" s="453"/>
    </row>
    <row r="59" spans="1:24">
      <c r="A59" s="4" t="s">
        <v>47</v>
      </c>
      <c r="B59" s="106">
        <f t="shared" si="10"/>
        <v>23</v>
      </c>
      <c r="C59" s="257">
        <f t="shared" si="1"/>
        <v>1.2863534675615211</v>
      </c>
      <c r="E59" s="4">
        <v>0</v>
      </c>
      <c r="F59" s="257">
        <f t="shared" si="2"/>
        <v>0</v>
      </c>
      <c r="G59" s="4">
        <v>0</v>
      </c>
      <c r="H59" s="257">
        <f t="shared" si="3"/>
        <v>0</v>
      </c>
      <c r="J59" s="4">
        <v>4</v>
      </c>
      <c r="K59" s="257">
        <f t="shared" si="4"/>
        <v>17.391304347826086</v>
      </c>
      <c r="L59" s="4">
        <v>3</v>
      </c>
      <c r="M59" s="257">
        <f t="shared" si="5"/>
        <v>13.043478260869565</v>
      </c>
      <c r="O59" s="4">
        <v>2</v>
      </c>
      <c r="P59" s="257">
        <f t="shared" si="6"/>
        <v>8.695652173913043</v>
      </c>
      <c r="Q59" s="4">
        <v>4</v>
      </c>
      <c r="R59" s="257">
        <f t="shared" si="7"/>
        <v>17.391304347826086</v>
      </c>
      <c r="T59" s="4">
        <v>7</v>
      </c>
      <c r="U59" s="257">
        <f t="shared" si="8"/>
        <v>30.434782608695656</v>
      </c>
      <c r="V59" s="4">
        <v>3</v>
      </c>
      <c r="W59" s="257">
        <f t="shared" si="9"/>
        <v>13.043478260869565</v>
      </c>
      <c r="X59" s="453"/>
    </row>
    <row r="60" spans="1:24">
      <c r="A60" s="4" t="s">
        <v>46</v>
      </c>
      <c r="B60" s="106">
        <f t="shared" si="10"/>
        <v>15</v>
      </c>
      <c r="C60" s="257">
        <f t="shared" si="1"/>
        <v>0.83892617449664431</v>
      </c>
      <c r="E60" s="4">
        <v>0</v>
      </c>
      <c r="F60" s="257">
        <f t="shared" si="2"/>
        <v>0</v>
      </c>
      <c r="G60" s="4">
        <v>0</v>
      </c>
      <c r="H60" s="257">
        <f t="shared" si="3"/>
        <v>0</v>
      </c>
      <c r="J60" s="4">
        <v>2</v>
      </c>
      <c r="K60" s="257">
        <f t="shared" si="4"/>
        <v>13.333333333333334</v>
      </c>
      <c r="L60" s="4">
        <v>5</v>
      </c>
      <c r="M60" s="257">
        <f t="shared" si="5"/>
        <v>33.333333333333329</v>
      </c>
      <c r="O60" s="4">
        <v>0</v>
      </c>
      <c r="P60" s="257">
        <f t="shared" si="6"/>
        <v>0</v>
      </c>
      <c r="Q60" s="4">
        <v>6</v>
      </c>
      <c r="R60" s="257">
        <f t="shared" si="7"/>
        <v>40</v>
      </c>
      <c r="T60" s="4">
        <v>1</v>
      </c>
      <c r="U60" s="257">
        <f t="shared" si="8"/>
        <v>6.666666666666667</v>
      </c>
      <c r="V60" s="4">
        <v>1</v>
      </c>
      <c r="W60" s="257">
        <f t="shared" si="9"/>
        <v>6.666666666666667</v>
      </c>
      <c r="X60" s="453"/>
    </row>
    <row r="61" spans="1:24" ht="6.75" customHeight="1">
      <c r="A61" s="4"/>
      <c r="B61" s="106" t="str">
        <f t="shared" si="10"/>
        <v/>
      </c>
      <c r="C61" s="257" t="str">
        <f t="shared" si="1"/>
        <v/>
      </c>
      <c r="E61" s="106"/>
      <c r="F61" s="257" t="str">
        <f t="shared" si="2"/>
        <v/>
      </c>
      <c r="H61" s="257" t="str">
        <f t="shared" si="3"/>
        <v/>
      </c>
      <c r="J61" s="106"/>
      <c r="K61" s="257" t="str">
        <f t="shared" si="4"/>
        <v/>
      </c>
      <c r="L61" s="106"/>
      <c r="M61" s="257" t="str">
        <f t="shared" si="5"/>
        <v/>
      </c>
      <c r="O61" s="106"/>
      <c r="P61" s="257" t="str">
        <f t="shared" si="6"/>
        <v/>
      </c>
      <c r="Q61" s="106"/>
      <c r="R61" s="257" t="str">
        <f t="shared" si="7"/>
        <v/>
      </c>
      <c r="T61" s="106"/>
      <c r="U61" s="257" t="str">
        <f t="shared" si="8"/>
        <v/>
      </c>
      <c r="V61" s="106"/>
      <c r="W61" s="257" t="str">
        <f t="shared" si="9"/>
        <v/>
      </c>
      <c r="X61" s="453"/>
    </row>
    <row r="62" spans="1:24">
      <c r="A62" s="4" t="s">
        <v>51</v>
      </c>
      <c r="B62" s="106">
        <f t="shared" si="10"/>
        <v>80</v>
      </c>
      <c r="C62" s="257">
        <f t="shared" si="1"/>
        <v>4.4742729306487696</v>
      </c>
      <c r="E62" s="106">
        <f>SUM(E63:E68)</f>
        <v>0</v>
      </c>
      <c r="F62" s="257">
        <f t="shared" si="2"/>
        <v>0</v>
      </c>
      <c r="G62" s="106">
        <f>SUM(G63:G68)</f>
        <v>1</v>
      </c>
      <c r="H62" s="257">
        <f t="shared" si="3"/>
        <v>1.25</v>
      </c>
      <c r="J62" s="106">
        <f>SUM(J63:J68)</f>
        <v>2</v>
      </c>
      <c r="K62" s="257">
        <f t="shared" si="4"/>
        <v>2.5</v>
      </c>
      <c r="L62" s="106">
        <f>SUM(L63:L68)</f>
        <v>14</v>
      </c>
      <c r="M62" s="257">
        <f t="shared" si="5"/>
        <v>17.5</v>
      </c>
      <c r="O62" s="106">
        <f>SUM(O63:O68)</f>
        <v>8</v>
      </c>
      <c r="P62" s="257">
        <f t="shared" si="6"/>
        <v>10</v>
      </c>
      <c r="Q62" s="106">
        <f>SUM(Q63:Q68)</f>
        <v>32</v>
      </c>
      <c r="R62" s="257">
        <f t="shared" si="7"/>
        <v>40</v>
      </c>
      <c r="T62" s="325">
        <f>SUM(T63:T68)</f>
        <v>4</v>
      </c>
      <c r="U62" s="257">
        <f t="shared" si="8"/>
        <v>5</v>
      </c>
      <c r="V62" s="106">
        <f>SUM(V63:V68)</f>
        <v>19</v>
      </c>
      <c r="W62" s="257">
        <f t="shared" si="9"/>
        <v>23.75</v>
      </c>
      <c r="X62" s="453"/>
    </row>
    <row r="63" spans="1:24">
      <c r="A63" s="4" t="s">
        <v>1145</v>
      </c>
      <c r="B63" s="106">
        <f t="shared" si="10"/>
        <v>3</v>
      </c>
      <c r="C63" s="257">
        <f t="shared" si="1"/>
        <v>0.16778523489932887</v>
      </c>
      <c r="E63" s="4">
        <v>0</v>
      </c>
      <c r="F63" s="257">
        <f t="shared" si="2"/>
        <v>0</v>
      </c>
      <c r="G63" s="4">
        <v>0</v>
      </c>
      <c r="H63" s="257">
        <f t="shared" si="3"/>
        <v>0</v>
      </c>
      <c r="J63" s="4">
        <v>0</v>
      </c>
      <c r="K63" s="257">
        <f t="shared" si="4"/>
        <v>0</v>
      </c>
      <c r="L63" s="4">
        <v>1</v>
      </c>
      <c r="M63" s="257">
        <f t="shared" si="5"/>
        <v>33.333333333333329</v>
      </c>
      <c r="O63" s="4">
        <v>0</v>
      </c>
      <c r="P63" s="257">
        <f t="shared" si="6"/>
        <v>0</v>
      </c>
      <c r="Q63" s="4">
        <v>1</v>
      </c>
      <c r="R63" s="257">
        <f t="shared" si="7"/>
        <v>33.333333333333329</v>
      </c>
      <c r="T63" s="4">
        <v>0</v>
      </c>
      <c r="U63" s="257">
        <f t="shared" si="8"/>
        <v>0</v>
      </c>
      <c r="V63" s="4">
        <v>1</v>
      </c>
      <c r="W63" s="257">
        <f t="shared" si="9"/>
        <v>33.333333333333329</v>
      </c>
      <c r="X63" s="453"/>
    </row>
    <row r="64" spans="1:24">
      <c r="A64" s="4" t="s">
        <v>52</v>
      </c>
      <c r="B64" s="106">
        <f t="shared" si="10"/>
        <v>6</v>
      </c>
      <c r="C64" s="257">
        <f t="shared" si="1"/>
        <v>0.33557046979865773</v>
      </c>
      <c r="E64" s="4">
        <v>0</v>
      </c>
      <c r="F64" s="257">
        <f t="shared" si="2"/>
        <v>0</v>
      </c>
      <c r="G64" s="4">
        <v>0</v>
      </c>
      <c r="H64" s="257">
        <f t="shared" si="3"/>
        <v>0</v>
      </c>
      <c r="J64" s="4">
        <v>0</v>
      </c>
      <c r="K64" s="257">
        <f t="shared" si="4"/>
        <v>0</v>
      </c>
      <c r="L64" s="4">
        <v>2</v>
      </c>
      <c r="M64" s="257">
        <f t="shared" si="5"/>
        <v>33.333333333333329</v>
      </c>
      <c r="O64" s="4">
        <v>0</v>
      </c>
      <c r="P64" s="257">
        <f t="shared" si="6"/>
        <v>0</v>
      </c>
      <c r="Q64" s="4">
        <v>1</v>
      </c>
      <c r="R64" s="257">
        <f t="shared" si="7"/>
        <v>16.666666666666664</v>
      </c>
      <c r="T64" s="4">
        <v>0</v>
      </c>
      <c r="U64" s="257">
        <f t="shared" si="8"/>
        <v>0</v>
      </c>
      <c r="V64" s="4">
        <v>3</v>
      </c>
      <c r="W64" s="257">
        <f t="shared" si="9"/>
        <v>50</v>
      </c>
      <c r="X64" s="453"/>
    </row>
    <row r="65" spans="1:24">
      <c r="A65" s="4" t="s">
        <v>53</v>
      </c>
      <c r="B65" s="106">
        <f t="shared" si="10"/>
        <v>18</v>
      </c>
      <c r="C65" s="257">
        <f t="shared" si="1"/>
        <v>1.006711409395973</v>
      </c>
      <c r="E65" s="4">
        <v>0</v>
      </c>
      <c r="F65" s="257">
        <f t="shared" si="2"/>
        <v>0</v>
      </c>
      <c r="G65" s="4">
        <v>0</v>
      </c>
      <c r="H65" s="257">
        <f t="shared" si="3"/>
        <v>0</v>
      </c>
      <c r="J65" s="4">
        <v>1</v>
      </c>
      <c r="K65" s="257">
        <f t="shared" si="4"/>
        <v>5.5555555555555554</v>
      </c>
      <c r="L65" s="4">
        <v>5</v>
      </c>
      <c r="M65" s="257">
        <f t="shared" si="5"/>
        <v>27.777777777777779</v>
      </c>
      <c r="O65" s="4">
        <v>1</v>
      </c>
      <c r="P65" s="257">
        <f t="shared" si="6"/>
        <v>5.5555555555555554</v>
      </c>
      <c r="Q65" s="4">
        <v>5</v>
      </c>
      <c r="R65" s="257">
        <f t="shared" si="7"/>
        <v>27.777777777777779</v>
      </c>
      <c r="T65" s="4">
        <v>0</v>
      </c>
      <c r="U65" s="257">
        <f t="shared" si="8"/>
        <v>0</v>
      </c>
      <c r="V65" s="4">
        <v>6</v>
      </c>
      <c r="W65" s="257">
        <f t="shared" si="9"/>
        <v>33.333333333333329</v>
      </c>
      <c r="X65" s="453"/>
    </row>
    <row r="66" spans="1:24">
      <c r="A66" s="4" t="s">
        <v>1146</v>
      </c>
      <c r="B66" s="106">
        <f t="shared" si="10"/>
        <v>25</v>
      </c>
      <c r="C66" s="257">
        <f t="shared" si="1"/>
        <v>1.3982102908277405</v>
      </c>
      <c r="E66" s="4">
        <v>0</v>
      </c>
      <c r="F66" s="257">
        <f t="shared" si="2"/>
        <v>0</v>
      </c>
      <c r="G66" s="4">
        <v>0</v>
      </c>
      <c r="H66" s="257">
        <f t="shared" si="3"/>
        <v>0</v>
      </c>
      <c r="J66" s="4">
        <v>0</v>
      </c>
      <c r="K66" s="257">
        <f t="shared" si="4"/>
        <v>0</v>
      </c>
      <c r="L66" s="4">
        <v>6</v>
      </c>
      <c r="M66" s="257">
        <f t="shared" si="5"/>
        <v>24</v>
      </c>
      <c r="O66" s="4">
        <v>0</v>
      </c>
      <c r="P66" s="257">
        <f t="shared" si="6"/>
        <v>0</v>
      </c>
      <c r="Q66" s="4">
        <v>13</v>
      </c>
      <c r="R66" s="257">
        <f t="shared" si="7"/>
        <v>52</v>
      </c>
      <c r="T66" s="4">
        <v>0</v>
      </c>
      <c r="U66" s="257">
        <f t="shared" si="8"/>
        <v>0</v>
      </c>
      <c r="V66" s="4">
        <v>6</v>
      </c>
      <c r="W66" s="257">
        <f t="shared" si="9"/>
        <v>24</v>
      </c>
      <c r="X66" s="453"/>
    </row>
    <row r="67" spans="1:24">
      <c r="A67" s="4" t="s">
        <v>1147</v>
      </c>
      <c r="B67" s="106">
        <f t="shared" si="10"/>
        <v>13</v>
      </c>
      <c r="C67" s="257">
        <f t="shared" si="1"/>
        <v>0.72706935123042504</v>
      </c>
      <c r="E67" s="4">
        <v>0</v>
      </c>
      <c r="F67" s="257">
        <f t="shared" si="2"/>
        <v>0</v>
      </c>
      <c r="G67" s="4">
        <v>0</v>
      </c>
      <c r="H67" s="257">
        <f t="shared" si="3"/>
        <v>0</v>
      </c>
      <c r="J67" s="4">
        <v>1</v>
      </c>
      <c r="K67" s="257">
        <f t="shared" si="4"/>
        <v>7.6923076923076925</v>
      </c>
      <c r="L67" s="4">
        <v>0</v>
      </c>
      <c r="M67" s="257">
        <f t="shared" si="5"/>
        <v>0</v>
      </c>
      <c r="O67" s="4">
        <v>7</v>
      </c>
      <c r="P67" s="257">
        <f t="shared" si="6"/>
        <v>53.846153846153847</v>
      </c>
      <c r="Q67" s="4">
        <v>4</v>
      </c>
      <c r="R67" s="257">
        <f t="shared" si="7"/>
        <v>30.76923076923077</v>
      </c>
      <c r="T67" s="4">
        <v>0</v>
      </c>
      <c r="U67" s="257">
        <f t="shared" si="8"/>
        <v>0</v>
      </c>
      <c r="V67" s="4">
        <v>1</v>
      </c>
      <c r="W67" s="257">
        <f t="shared" si="9"/>
        <v>7.6923076923076925</v>
      </c>
      <c r="X67" s="453"/>
    </row>
    <row r="68" spans="1:24">
      <c r="A68" s="4" t="s">
        <v>56</v>
      </c>
      <c r="B68" s="106">
        <f t="shared" si="10"/>
        <v>15</v>
      </c>
      <c r="C68" s="257">
        <f t="shared" si="1"/>
        <v>0.83892617449664431</v>
      </c>
      <c r="E68" s="4">
        <v>0</v>
      </c>
      <c r="F68" s="257">
        <f t="shared" si="2"/>
        <v>0</v>
      </c>
      <c r="G68" s="4">
        <v>1</v>
      </c>
      <c r="H68" s="257">
        <f t="shared" si="3"/>
        <v>6.666666666666667</v>
      </c>
      <c r="J68" s="4">
        <v>0</v>
      </c>
      <c r="K68" s="257">
        <f t="shared" si="4"/>
        <v>0</v>
      </c>
      <c r="L68" s="4">
        <v>0</v>
      </c>
      <c r="M68" s="257">
        <f t="shared" si="5"/>
        <v>0</v>
      </c>
      <c r="O68" s="4">
        <v>0</v>
      </c>
      <c r="P68" s="257">
        <f t="shared" si="6"/>
        <v>0</v>
      </c>
      <c r="Q68" s="4">
        <v>8</v>
      </c>
      <c r="R68" s="257">
        <f t="shared" si="7"/>
        <v>53.333333333333336</v>
      </c>
      <c r="T68" s="4">
        <v>4</v>
      </c>
      <c r="U68" s="257">
        <f t="shared" si="8"/>
        <v>26.666666666666668</v>
      </c>
      <c r="V68" s="4">
        <v>2</v>
      </c>
      <c r="W68" s="257">
        <f t="shared" si="9"/>
        <v>13.333333333333334</v>
      </c>
      <c r="X68" s="453"/>
    </row>
    <row r="69" spans="1:24" ht="6.75" customHeight="1">
      <c r="A69" s="4"/>
      <c r="B69" s="106" t="str">
        <f t="shared" si="10"/>
        <v/>
      </c>
      <c r="C69" s="257" t="str">
        <f t="shared" si="1"/>
        <v/>
      </c>
      <c r="E69" s="106"/>
      <c r="F69" s="257" t="str">
        <f t="shared" si="2"/>
        <v/>
      </c>
      <c r="H69" s="257" t="str">
        <f t="shared" si="3"/>
        <v/>
      </c>
      <c r="J69" s="106"/>
      <c r="K69" s="257" t="str">
        <f t="shared" si="4"/>
        <v/>
      </c>
      <c r="L69" s="106"/>
      <c r="M69" s="257" t="str">
        <f t="shared" si="5"/>
        <v/>
      </c>
      <c r="O69" s="106"/>
      <c r="P69" s="257" t="str">
        <f t="shared" si="6"/>
        <v/>
      </c>
      <c r="Q69" s="106"/>
      <c r="R69" s="257" t="str">
        <f t="shared" si="7"/>
        <v/>
      </c>
      <c r="T69" s="106"/>
      <c r="U69" s="257" t="str">
        <f t="shared" si="8"/>
        <v/>
      </c>
      <c r="V69" s="106"/>
      <c r="W69" s="257" t="str">
        <f t="shared" si="9"/>
        <v/>
      </c>
      <c r="X69" s="453"/>
    </row>
    <row r="70" spans="1:24">
      <c r="A70" s="9" t="s">
        <v>790</v>
      </c>
      <c r="B70" s="106">
        <f t="shared" si="10"/>
        <v>251</v>
      </c>
      <c r="C70" s="257">
        <f t="shared" si="1"/>
        <v>14.038031319910516</v>
      </c>
      <c r="E70" s="106">
        <f>SUM(E72+E74+E82+E84)</f>
        <v>2</v>
      </c>
      <c r="F70" s="257">
        <f t="shared" si="2"/>
        <v>0.79681274900398402</v>
      </c>
      <c r="G70" s="106">
        <f>SUM(G72+G74+G82+G84)</f>
        <v>1</v>
      </c>
      <c r="H70" s="257">
        <f t="shared" si="3"/>
        <v>0.39840637450199201</v>
      </c>
      <c r="J70" s="106">
        <f>SUM(J72+J74+J82+J84)</f>
        <v>35</v>
      </c>
      <c r="K70" s="257">
        <f t="shared" si="4"/>
        <v>13.944223107569719</v>
      </c>
      <c r="L70" s="106">
        <f>SUM(L72+L74+L82+L84)</f>
        <v>43</v>
      </c>
      <c r="M70" s="257">
        <f t="shared" si="5"/>
        <v>17.131474103585656</v>
      </c>
      <c r="O70" s="106">
        <f>SUM(O72+O74+O82+O84)</f>
        <v>45</v>
      </c>
      <c r="P70" s="257">
        <f t="shared" si="6"/>
        <v>17.928286852589643</v>
      </c>
      <c r="Q70" s="106">
        <f>SUM(Q72+Q74+Q82+Q84)</f>
        <v>70</v>
      </c>
      <c r="R70" s="257">
        <f t="shared" si="7"/>
        <v>27.888446215139439</v>
      </c>
      <c r="T70" s="106">
        <f>SUM(T72+T74+T82+T84)</f>
        <v>29</v>
      </c>
      <c r="U70" s="257">
        <f t="shared" si="8"/>
        <v>11.553784860557768</v>
      </c>
      <c r="V70" s="106">
        <f>SUM(V72+V74+V82+V84)</f>
        <v>26</v>
      </c>
      <c r="W70" s="257">
        <f t="shared" si="9"/>
        <v>10.358565737051793</v>
      </c>
      <c r="X70" s="453"/>
    </row>
    <row r="71" spans="1:24" ht="6.75" customHeight="1">
      <c r="A71" s="9"/>
      <c r="B71" s="106" t="str">
        <f t="shared" si="10"/>
        <v/>
      </c>
      <c r="C71" s="257" t="str">
        <f t="shared" si="1"/>
        <v/>
      </c>
      <c r="E71" s="106"/>
      <c r="F71" s="257" t="str">
        <f t="shared" si="2"/>
        <v/>
      </c>
      <c r="H71" s="257" t="str">
        <f t="shared" si="3"/>
        <v/>
      </c>
      <c r="J71" s="106"/>
      <c r="K71" s="257" t="str">
        <f t="shared" si="4"/>
        <v/>
      </c>
      <c r="L71" s="106"/>
      <c r="M71" s="257" t="str">
        <f t="shared" si="5"/>
        <v/>
      </c>
      <c r="O71" s="106"/>
      <c r="P71" s="257" t="str">
        <f t="shared" si="6"/>
        <v/>
      </c>
      <c r="Q71" s="106"/>
      <c r="R71" s="257" t="str">
        <f t="shared" si="7"/>
        <v/>
      </c>
      <c r="T71" s="106"/>
      <c r="U71" s="257" t="str">
        <f t="shared" si="8"/>
        <v/>
      </c>
      <c r="V71" s="106"/>
      <c r="W71" s="257" t="str">
        <f t="shared" si="9"/>
        <v/>
      </c>
      <c r="X71" s="453"/>
    </row>
    <row r="72" spans="1:24">
      <c r="A72" s="4" t="s">
        <v>334</v>
      </c>
      <c r="B72" s="106">
        <f t="shared" si="10"/>
        <v>35</v>
      </c>
      <c r="C72" s="257">
        <f t="shared" si="1"/>
        <v>1.9574944071588367</v>
      </c>
      <c r="E72" s="4">
        <v>1</v>
      </c>
      <c r="F72" s="257">
        <f t="shared" si="2"/>
        <v>2.8571428571428572</v>
      </c>
      <c r="G72" s="4">
        <v>0</v>
      </c>
      <c r="H72" s="257">
        <f t="shared" si="3"/>
        <v>0</v>
      </c>
      <c r="J72" s="4">
        <v>7</v>
      </c>
      <c r="K72" s="257">
        <f t="shared" si="4"/>
        <v>20</v>
      </c>
      <c r="L72" s="4">
        <v>8</v>
      </c>
      <c r="M72" s="257">
        <f t="shared" si="5"/>
        <v>22.857142857142858</v>
      </c>
      <c r="O72" s="4">
        <v>6</v>
      </c>
      <c r="P72" s="257">
        <f t="shared" si="6"/>
        <v>17.142857142857142</v>
      </c>
      <c r="Q72" s="4">
        <v>8</v>
      </c>
      <c r="R72" s="257">
        <f t="shared" si="7"/>
        <v>22.857142857142858</v>
      </c>
      <c r="T72" s="4">
        <v>3</v>
      </c>
      <c r="U72" s="257">
        <f t="shared" si="8"/>
        <v>8.5714285714285712</v>
      </c>
      <c r="V72" s="4">
        <v>2</v>
      </c>
      <c r="W72" s="257">
        <f t="shared" si="9"/>
        <v>5.7142857142857144</v>
      </c>
      <c r="X72" s="453"/>
    </row>
    <row r="73" spans="1:24" ht="6.75" customHeight="1">
      <c r="A73" s="4"/>
      <c r="B73" s="106" t="str">
        <f t="shared" si="10"/>
        <v/>
      </c>
      <c r="C73" s="257" t="str">
        <f t="shared" si="1"/>
        <v/>
      </c>
      <c r="E73" s="106"/>
      <c r="F73" s="257" t="str">
        <f t="shared" si="2"/>
        <v/>
      </c>
      <c r="H73" s="257" t="str">
        <f t="shared" si="3"/>
        <v/>
      </c>
      <c r="J73" s="106"/>
      <c r="K73" s="257" t="str">
        <f t="shared" si="4"/>
        <v/>
      </c>
      <c r="L73" s="106"/>
      <c r="M73" s="257" t="str">
        <f t="shared" si="5"/>
        <v/>
      </c>
      <c r="O73" s="106"/>
      <c r="P73" s="257" t="str">
        <f t="shared" si="6"/>
        <v/>
      </c>
      <c r="Q73" s="106"/>
      <c r="R73" s="257" t="str">
        <f t="shared" si="7"/>
        <v/>
      </c>
      <c r="T73" s="106"/>
      <c r="U73" s="257" t="str">
        <f t="shared" si="8"/>
        <v/>
      </c>
      <c r="V73" s="106"/>
      <c r="W73" s="257" t="str">
        <f t="shared" si="9"/>
        <v/>
      </c>
      <c r="X73" s="453"/>
    </row>
    <row r="74" spans="1:24">
      <c r="A74" s="4" t="s">
        <v>60</v>
      </c>
      <c r="B74" s="106">
        <f t="shared" si="10"/>
        <v>103</v>
      </c>
      <c r="C74" s="257">
        <f t="shared" si="1"/>
        <v>5.7606263982102908</v>
      </c>
      <c r="E74" s="106">
        <f>SUM(E75:E80)</f>
        <v>1</v>
      </c>
      <c r="F74" s="257">
        <f t="shared" si="2"/>
        <v>0.97087378640776689</v>
      </c>
      <c r="G74" s="106">
        <f>SUM(G75:G80)</f>
        <v>1</v>
      </c>
      <c r="H74" s="257">
        <f t="shared" si="3"/>
        <v>0.97087378640776689</v>
      </c>
      <c r="J74" s="106">
        <f>SUM(J75:J80)</f>
        <v>11</v>
      </c>
      <c r="K74" s="257">
        <f t="shared" si="4"/>
        <v>10.679611650485436</v>
      </c>
      <c r="L74" s="106">
        <f>SUM(L75:L80)</f>
        <v>20</v>
      </c>
      <c r="M74" s="257">
        <f t="shared" si="5"/>
        <v>19.417475728155338</v>
      </c>
      <c r="O74" s="106">
        <f>SUM(O75:O80)</f>
        <v>19</v>
      </c>
      <c r="P74" s="257">
        <f t="shared" si="6"/>
        <v>18.446601941747574</v>
      </c>
      <c r="Q74" s="106">
        <f>SUM(Q75:Q80)</f>
        <v>29</v>
      </c>
      <c r="R74" s="257">
        <f t="shared" si="7"/>
        <v>28.155339805825243</v>
      </c>
      <c r="T74" s="325">
        <f>SUM(T75:T80)</f>
        <v>10</v>
      </c>
      <c r="U74" s="257">
        <f t="shared" si="8"/>
        <v>9.7087378640776691</v>
      </c>
      <c r="V74" s="106">
        <f>SUM(V75:V80)</f>
        <v>12</v>
      </c>
      <c r="W74" s="257">
        <f t="shared" si="9"/>
        <v>11.650485436893204</v>
      </c>
      <c r="X74" s="453"/>
    </row>
    <row r="75" spans="1:24">
      <c r="A75" s="4" t="s">
        <v>1148</v>
      </c>
      <c r="B75" s="106">
        <f t="shared" si="10"/>
        <v>2</v>
      </c>
      <c r="C75" s="257">
        <f t="shared" si="1"/>
        <v>0.11185682326621924</v>
      </c>
      <c r="E75" s="4">
        <v>0</v>
      </c>
      <c r="F75" s="257">
        <f t="shared" si="2"/>
        <v>0</v>
      </c>
      <c r="G75" s="4">
        <v>0</v>
      </c>
      <c r="H75" s="257">
        <f t="shared" si="3"/>
        <v>0</v>
      </c>
      <c r="J75" s="4">
        <v>0</v>
      </c>
      <c r="K75" s="257">
        <f t="shared" si="4"/>
        <v>0</v>
      </c>
      <c r="L75" s="4">
        <v>1</v>
      </c>
      <c r="M75" s="257">
        <f t="shared" si="5"/>
        <v>50</v>
      </c>
      <c r="O75" s="4">
        <v>1</v>
      </c>
      <c r="P75" s="257">
        <f t="shared" si="6"/>
        <v>50</v>
      </c>
      <c r="Q75" s="4">
        <v>0</v>
      </c>
      <c r="R75" s="257">
        <f t="shared" si="7"/>
        <v>0</v>
      </c>
      <c r="T75" s="4">
        <v>0</v>
      </c>
      <c r="U75" s="257">
        <f t="shared" si="8"/>
        <v>0</v>
      </c>
      <c r="V75" s="4">
        <v>0</v>
      </c>
      <c r="W75" s="257">
        <f t="shared" si="9"/>
        <v>0</v>
      </c>
      <c r="X75" s="453"/>
    </row>
    <row r="76" spans="1:24">
      <c r="A76" s="4" t="s">
        <v>61</v>
      </c>
      <c r="B76" s="106">
        <f t="shared" si="10"/>
        <v>36</v>
      </c>
      <c r="C76" s="257">
        <f t="shared" si="1"/>
        <v>2.0134228187919461</v>
      </c>
      <c r="E76" s="4">
        <v>0</v>
      </c>
      <c r="F76" s="257">
        <f t="shared" si="2"/>
        <v>0</v>
      </c>
      <c r="G76" s="4">
        <v>1</v>
      </c>
      <c r="H76" s="257">
        <f t="shared" si="3"/>
        <v>2.7777777777777777</v>
      </c>
      <c r="J76" s="4">
        <v>6</v>
      </c>
      <c r="K76" s="257">
        <f t="shared" si="4"/>
        <v>16.666666666666664</v>
      </c>
      <c r="L76" s="4">
        <v>2</v>
      </c>
      <c r="M76" s="257">
        <f t="shared" si="5"/>
        <v>5.5555555555555554</v>
      </c>
      <c r="O76" s="4">
        <v>11</v>
      </c>
      <c r="P76" s="257">
        <f t="shared" si="6"/>
        <v>30.555555555555557</v>
      </c>
      <c r="Q76" s="4">
        <v>9</v>
      </c>
      <c r="R76" s="257">
        <f t="shared" si="7"/>
        <v>25</v>
      </c>
      <c r="T76" s="4">
        <v>5</v>
      </c>
      <c r="U76" s="257">
        <f t="shared" si="8"/>
        <v>13.888888888888889</v>
      </c>
      <c r="V76" s="4">
        <v>2</v>
      </c>
      <c r="W76" s="257">
        <f t="shared" si="9"/>
        <v>5.5555555555555554</v>
      </c>
      <c r="X76" s="453"/>
    </row>
    <row r="77" spans="1:24">
      <c r="A77" s="4" t="s">
        <v>62</v>
      </c>
      <c r="B77" s="106">
        <f t="shared" si="10"/>
        <v>33</v>
      </c>
      <c r="C77" s="257">
        <f t="shared" si="1"/>
        <v>1.8456375838926176</v>
      </c>
      <c r="E77" s="4">
        <v>0</v>
      </c>
      <c r="F77" s="257">
        <f t="shared" si="2"/>
        <v>0</v>
      </c>
      <c r="G77" s="4">
        <v>0</v>
      </c>
      <c r="H77" s="257">
        <f t="shared" si="3"/>
        <v>0</v>
      </c>
      <c r="J77" s="4">
        <v>5</v>
      </c>
      <c r="K77" s="257">
        <f t="shared" si="4"/>
        <v>15.151515151515152</v>
      </c>
      <c r="L77" s="4">
        <v>9</v>
      </c>
      <c r="M77" s="257">
        <f t="shared" si="5"/>
        <v>27.27272727272727</v>
      </c>
      <c r="O77" s="4">
        <v>2</v>
      </c>
      <c r="P77" s="257">
        <f t="shared" si="6"/>
        <v>6.0606060606060606</v>
      </c>
      <c r="Q77" s="4">
        <v>12</v>
      </c>
      <c r="R77" s="257">
        <f t="shared" si="7"/>
        <v>36.363636363636367</v>
      </c>
      <c r="T77" s="4">
        <v>1</v>
      </c>
      <c r="U77" s="257">
        <f t="shared" si="8"/>
        <v>3.0303030303030303</v>
      </c>
      <c r="V77" s="4">
        <v>4</v>
      </c>
      <c r="W77" s="257">
        <f t="shared" si="9"/>
        <v>12.121212121212121</v>
      </c>
      <c r="X77" s="453"/>
    </row>
    <row r="78" spans="1:24">
      <c r="A78" s="4" t="s">
        <v>64</v>
      </c>
      <c r="B78" s="106">
        <f t="shared" si="10"/>
        <v>16</v>
      </c>
      <c r="C78" s="257">
        <f t="shared" si="1"/>
        <v>0.89485458612975388</v>
      </c>
      <c r="E78" s="4">
        <v>0</v>
      </c>
      <c r="F78" s="257">
        <f t="shared" ref="F78:F84" si="12">IF($A78&lt;&gt;"",E78/$B78*100,"")</f>
        <v>0</v>
      </c>
      <c r="G78" s="4">
        <v>0</v>
      </c>
      <c r="H78" s="257">
        <f t="shared" ref="H78:H84" si="13">IF($A78&lt;&gt;"",G78/$B78*100,"")</f>
        <v>0</v>
      </c>
      <c r="J78" s="4">
        <v>0</v>
      </c>
      <c r="K78" s="257">
        <f t="shared" ref="K78:K84" si="14">IF($A78&lt;&gt;"",J78/$B78*100,"")</f>
        <v>0</v>
      </c>
      <c r="L78" s="4">
        <v>4</v>
      </c>
      <c r="M78" s="257">
        <f t="shared" ref="M78:M84" si="15">IF($A78&lt;&gt;"",L78/$B78*100,"")</f>
        <v>25</v>
      </c>
      <c r="O78" s="4">
        <v>0</v>
      </c>
      <c r="P78" s="257">
        <f t="shared" ref="P78:P84" si="16">IF($A78&lt;&gt;"",O78/$B78*100,"")</f>
        <v>0</v>
      </c>
      <c r="Q78" s="4">
        <v>5</v>
      </c>
      <c r="R78" s="257">
        <f t="shared" ref="R78:R84" si="17">IF($A78&lt;&gt;"",Q78/$B78*100,"")</f>
        <v>31.25</v>
      </c>
      <c r="T78" s="4">
        <v>1</v>
      </c>
      <c r="U78" s="257">
        <f t="shared" ref="U78:U84" si="18">IF($A78&lt;&gt;"",T78/$B78*100,"")</f>
        <v>6.25</v>
      </c>
      <c r="V78" s="4">
        <v>6</v>
      </c>
      <c r="W78" s="257">
        <f t="shared" si="9"/>
        <v>37.5</v>
      </c>
      <c r="X78" s="453"/>
    </row>
    <row r="79" spans="1:24">
      <c r="A79" s="4" t="s">
        <v>1149</v>
      </c>
      <c r="B79" s="106">
        <f t="shared" si="10"/>
        <v>4</v>
      </c>
      <c r="C79" s="257">
        <f t="shared" si="1"/>
        <v>0.22371364653243847</v>
      </c>
      <c r="E79" s="4">
        <v>0</v>
      </c>
      <c r="F79" s="257">
        <f t="shared" si="12"/>
        <v>0</v>
      </c>
      <c r="G79" s="4">
        <v>0</v>
      </c>
      <c r="H79" s="257">
        <f t="shared" si="13"/>
        <v>0</v>
      </c>
      <c r="J79" s="4">
        <v>0</v>
      </c>
      <c r="K79" s="257">
        <f t="shared" si="14"/>
        <v>0</v>
      </c>
      <c r="L79" s="4">
        <v>1</v>
      </c>
      <c r="M79" s="257">
        <f t="shared" si="15"/>
        <v>25</v>
      </c>
      <c r="O79" s="4">
        <v>1</v>
      </c>
      <c r="P79" s="257">
        <f t="shared" si="16"/>
        <v>25</v>
      </c>
      <c r="Q79" s="4">
        <v>0</v>
      </c>
      <c r="R79" s="257">
        <f t="shared" si="17"/>
        <v>0</v>
      </c>
      <c r="T79" s="4">
        <v>2</v>
      </c>
      <c r="U79" s="257">
        <f t="shared" si="18"/>
        <v>50</v>
      </c>
      <c r="V79" s="4">
        <v>0</v>
      </c>
      <c r="W79" s="257"/>
      <c r="X79" s="453"/>
    </row>
    <row r="80" spans="1:24">
      <c r="A80" s="4" t="s">
        <v>63</v>
      </c>
      <c r="B80" s="106">
        <f t="shared" si="10"/>
        <v>12</v>
      </c>
      <c r="C80" s="257">
        <f t="shared" si="1"/>
        <v>0.67114093959731547</v>
      </c>
      <c r="E80" s="4">
        <v>1</v>
      </c>
      <c r="F80" s="257">
        <f t="shared" si="12"/>
        <v>8.3333333333333321</v>
      </c>
      <c r="G80" s="4">
        <v>0</v>
      </c>
      <c r="H80" s="257">
        <f t="shared" si="13"/>
        <v>0</v>
      </c>
      <c r="J80" s="4">
        <v>0</v>
      </c>
      <c r="K80" s="257">
        <f t="shared" si="14"/>
        <v>0</v>
      </c>
      <c r="L80" s="4">
        <v>3</v>
      </c>
      <c r="M80" s="257">
        <f t="shared" si="15"/>
        <v>25</v>
      </c>
      <c r="O80" s="4">
        <v>4</v>
      </c>
      <c r="P80" s="257">
        <f t="shared" si="16"/>
        <v>33.333333333333329</v>
      </c>
      <c r="Q80" s="4">
        <v>3</v>
      </c>
      <c r="R80" s="257">
        <f t="shared" si="17"/>
        <v>25</v>
      </c>
      <c r="T80" s="4">
        <v>1</v>
      </c>
      <c r="U80" s="257">
        <f t="shared" si="18"/>
        <v>8.3333333333333321</v>
      </c>
      <c r="V80" s="4">
        <v>0</v>
      </c>
      <c r="W80" s="257">
        <f t="shared" si="9"/>
        <v>0</v>
      </c>
      <c r="X80" s="453"/>
    </row>
    <row r="81" spans="1:24" ht="6.75" customHeight="1">
      <c r="A81" s="4"/>
      <c r="B81" s="106" t="str">
        <f t="shared" si="10"/>
        <v/>
      </c>
      <c r="C81" s="257" t="str">
        <f t="shared" si="1"/>
        <v/>
      </c>
      <c r="F81" s="257" t="str">
        <f t="shared" si="12"/>
        <v/>
      </c>
      <c r="G81" s="4"/>
      <c r="H81" s="257" t="str">
        <f t="shared" si="13"/>
        <v/>
      </c>
      <c r="K81" s="257" t="str">
        <f t="shared" si="14"/>
        <v/>
      </c>
      <c r="L81" s="4"/>
      <c r="M81" s="257" t="str">
        <f t="shared" si="15"/>
        <v/>
      </c>
      <c r="P81" s="257" t="str">
        <f t="shared" si="16"/>
        <v/>
      </c>
      <c r="R81" s="257" t="str">
        <f t="shared" si="17"/>
        <v/>
      </c>
      <c r="U81" s="257" t="str">
        <f t="shared" si="18"/>
        <v/>
      </c>
      <c r="W81" s="257" t="str">
        <f t="shared" si="9"/>
        <v/>
      </c>
      <c r="X81" s="453"/>
    </row>
    <row r="82" spans="1:24">
      <c r="A82" s="4" t="s">
        <v>66</v>
      </c>
      <c r="B82" s="106">
        <f t="shared" si="10"/>
        <v>72</v>
      </c>
      <c r="C82" s="257">
        <f t="shared" si="1"/>
        <v>4.0268456375838921</v>
      </c>
      <c r="E82" s="4">
        <v>0</v>
      </c>
      <c r="F82" s="257">
        <f t="shared" si="12"/>
        <v>0</v>
      </c>
      <c r="G82" s="4">
        <v>0</v>
      </c>
      <c r="H82" s="257">
        <f t="shared" si="13"/>
        <v>0</v>
      </c>
      <c r="J82" s="4">
        <v>14</v>
      </c>
      <c r="K82" s="257">
        <f t="shared" si="14"/>
        <v>19.444444444444446</v>
      </c>
      <c r="L82" s="4">
        <v>12</v>
      </c>
      <c r="M82" s="257">
        <f t="shared" si="15"/>
        <v>16.666666666666664</v>
      </c>
      <c r="O82" s="4">
        <v>8</v>
      </c>
      <c r="P82" s="257">
        <f t="shared" si="16"/>
        <v>11.111111111111111</v>
      </c>
      <c r="Q82" s="4">
        <v>15</v>
      </c>
      <c r="R82" s="257">
        <f t="shared" si="17"/>
        <v>20.833333333333336</v>
      </c>
      <c r="T82" s="4">
        <v>14</v>
      </c>
      <c r="U82" s="257">
        <f t="shared" si="18"/>
        <v>19.444444444444446</v>
      </c>
      <c r="V82" s="4">
        <v>9</v>
      </c>
      <c r="W82" s="257">
        <f>IF($A82&lt;&gt;"",V82/$B82*100,"")</f>
        <v>12.5</v>
      </c>
      <c r="X82" s="453"/>
    </row>
    <row r="83" spans="1:24" ht="6.75" customHeight="1">
      <c r="A83" s="4"/>
      <c r="B83" s="106" t="str">
        <f t="shared" si="10"/>
        <v/>
      </c>
      <c r="C83" s="257" t="str">
        <f t="shared" si="1"/>
        <v/>
      </c>
      <c r="F83" s="257" t="str">
        <f t="shared" si="12"/>
        <v/>
      </c>
      <c r="G83" s="4"/>
      <c r="H83" s="257" t="str">
        <f t="shared" si="13"/>
        <v/>
      </c>
      <c r="K83" s="257" t="str">
        <f t="shared" si="14"/>
        <v/>
      </c>
      <c r="L83" s="4"/>
      <c r="M83" s="257" t="str">
        <f t="shared" si="15"/>
        <v/>
      </c>
      <c r="P83" s="257" t="str">
        <f t="shared" si="16"/>
        <v/>
      </c>
      <c r="R83" s="257" t="str">
        <f t="shared" si="17"/>
        <v/>
      </c>
      <c r="U83" s="257" t="str">
        <f t="shared" si="18"/>
        <v/>
      </c>
      <c r="W83" s="257" t="str">
        <f>IF($A83&lt;&gt;"",V83/$B83*100,"")</f>
        <v/>
      </c>
      <c r="X83" s="453"/>
    </row>
    <row r="84" spans="1:24">
      <c r="A84" s="4" t="s">
        <v>67</v>
      </c>
      <c r="B84" s="106">
        <f t="shared" si="10"/>
        <v>41</v>
      </c>
      <c r="C84" s="257">
        <f t="shared" si="1"/>
        <v>2.2930648769574944</v>
      </c>
      <c r="E84" s="4">
        <v>0</v>
      </c>
      <c r="F84" s="257">
        <f t="shared" si="12"/>
        <v>0</v>
      </c>
      <c r="G84" s="4">
        <v>0</v>
      </c>
      <c r="H84" s="257">
        <f t="shared" si="13"/>
        <v>0</v>
      </c>
      <c r="J84" s="4">
        <v>3</v>
      </c>
      <c r="K84" s="257">
        <f t="shared" si="14"/>
        <v>7.3170731707317067</v>
      </c>
      <c r="L84" s="4">
        <v>3</v>
      </c>
      <c r="M84" s="257">
        <f t="shared" si="15"/>
        <v>7.3170731707317067</v>
      </c>
      <c r="O84" s="4">
        <v>12</v>
      </c>
      <c r="P84" s="257">
        <f t="shared" si="16"/>
        <v>29.268292682926827</v>
      </c>
      <c r="Q84" s="4">
        <v>18</v>
      </c>
      <c r="R84" s="257">
        <f t="shared" si="17"/>
        <v>43.902439024390247</v>
      </c>
      <c r="T84" s="4">
        <v>2</v>
      </c>
      <c r="U84" s="257">
        <f t="shared" si="18"/>
        <v>4.8780487804878048</v>
      </c>
      <c r="V84" s="4">
        <v>3</v>
      </c>
      <c r="W84" s="257">
        <f>IF($A84&lt;&gt;"",V84/$B84*100,"")</f>
        <v>7.3170731707317067</v>
      </c>
      <c r="X84" s="453"/>
    </row>
    <row r="85" spans="1:24" ht="6.75" customHeight="1" thickBot="1">
      <c r="A85" s="165"/>
      <c r="B85" s="163"/>
      <c r="C85" s="504" t="str">
        <f t="shared" si="1"/>
        <v/>
      </c>
      <c r="D85" s="165"/>
      <c r="E85" s="165"/>
      <c r="F85" s="163"/>
      <c r="G85" s="163"/>
      <c r="H85" s="504" t="str">
        <f>IF(A85&lt;&gt;0,F85/$F$13*100,"")</f>
        <v/>
      </c>
      <c r="I85" s="165"/>
      <c r="J85" s="165"/>
      <c r="K85" s="546"/>
      <c r="L85" s="546"/>
      <c r="M85" s="504" t="str">
        <f>IF(A85&lt;&gt;0,K85/$K$13*100,"")</f>
        <v/>
      </c>
      <c r="N85" s="165"/>
      <c r="O85" s="165"/>
      <c r="P85" s="165"/>
      <c r="Q85" s="165"/>
      <c r="R85" s="504" t="str">
        <f>IF(A85&lt;&gt;0,Q85/$Q$13*100,"")</f>
        <v/>
      </c>
      <c r="S85" s="165"/>
      <c r="T85" s="165"/>
      <c r="U85" s="165"/>
      <c r="V85" s="165"/>
      <c r="W85" s="504" t="str">
        <f>IF(A85&lt;&gt;0,V85/$V$13*100,"")</f>
        <v/>
      </c>
      <c r="X85" s="503"/>
    </row>
    <row r="86" spans="1:24">
      <c r="A86" s="4"/>
      <c r="C86" s="257"/>
      <c r="R86" s="257"/>
      <c r="W86" s="257"/>
      <c r="X86" s="453"/>
    </row>
    <row r="87" spans="1:24">
      <c r="A87" s="4"/>
      <c r="C87" s="257"/>
      <c r="R87" s="257"/>
      <c r="U87" s="257" t="str">
        <f>IF($A87&lt;&gt;"",T87/$B87*100,"")</f>
        <v/>
      </c>
      <c r="W87" s="257"/>
      <c r="X87" s="453"/>
    </row>
    <row r="88" spans="1:24">
      <c r="A88" s="4"/>
      <c r="C88" s="257"/>
      <c r="R88" s="257"/>
      <c r="U88" s="257"/>
      <c r="W88" s="257"/>
      <c r="X88" s="453"/>
    </row>
    <row r="89" spans="1:24">
      <c r="A89" s="4"/>
      <c r="C89" s="257"/>
      <c r="R89" s="257"/>
      <c r="U89" s="257"/>
      <c r="W89" s="257"/>
      <c r="X89" s="453"/>
    </row>
    <row r="90" spans="1:24">
      <c r="A90" s="4"/>
      <c r="C90" s="257"/>
      <c r="R90" s="257"/>
      <c r="U90" s="257"/>
      <c r="W90" s="257"/>
      <c r="X90" s="453"/>
    </row>
    <row r="91" spans="1:24" ht="13.5" thickBot="1">
      <c r="B91" s="482"/>
      <c r="C91" s="78"/>
      <c r="D91" s="78"/>
      <c r="E91" s="78"/>
      <c r="F91" s="482"/>
      <c r="G91" s="482"/>
      <c r="H91" s="483"/>
      <c r="I91" s="78"/>
      <c r="J91" s="78"/>
      <c r="K91" s="541"/>
      <c r="L91" s="541"/>
      <c r="M91" s="483"/>
      <c r="N91" s="78"/>
      <c r="O91" s="78"/>
      <c r="P91" s="78"/>
      <c r="Q91" s="78"/>
      <c r="R91" s="78"/>
      <c r="S91" s="78"/>
      <c r="T91" s="78"/>
      <c r="U91" s="78"/>
      <c r="V91" s="78"/>
    </row>
    <row r="92" spans="1:24">
      <c r="A92" s="237"/>
      <c r="B92" s="484"/>
      <c r="C92" s="463"/>
      <c r="D92" s="463"/>
      <c r="E92" s="463"/>
      <c r="F92" s="484"/>
      <c r="G92" s="484"/>
      <c r="H92" s="485"/>
      <c r="I92" s="463"/>
      <c r="J92" s="463"/>
      <c r="K92" s="527"/>
      <c r="L92" s="527"/>
      <c r="M92" s="485"/>
      <c r="N92" s="463"/>
      <c r="O92" s="463"/>
      <c r="P92" s="463"/>
      <c r="Q92" s="463"/>
      <c r="R92" s="463"/>
      <c r="S92" s="463"/>
      <c r="T92" s="463"/>
      <c r="U92" s="463"/>
      <c r="V92" s="463"/>
      <c r="W92" s="463"/>
      <c r="X92" s="486"/>
    </row>
    <row r="93" spans="1:24" ht="14.25">
      <c r="A93" s="42" t="s">
        <v>1266</v>
      </c>
      <c r="B93" s="1282" t="s">
        <v>1244</v>
      </c>
      <c r="C93" s="1282"/>
      <c r="D93" s="97"/>
      <c r="E93" s="1300" t="s">
        <v>758</v>
      </c>
      <c r="F93" s="1300"/>
      <c r="G93" s="1300"/>
      <c r="H93" s="1300"/>
      <c r="I93" s="97"/>
      <c r="J93" s="1300" t="s">
        <v>759</v>
      </c>
      <c r="K93" s="1300"/>
      <c r="L93" s="1300"/>
      <c r="M93" s="1300"/>
      <c r="N93" s="97"/>
      <c r="O93" s="1300" t="s">
        <v>1267</v>
      </c>
      <c r="P93" s="1300"/>
      <c r="Q93" s="1300"/>
      <c r="R93" s="1300"/>
      <c r="S93" s="97"/>
      <c r="T93" s="1300" t="s">
        <v>785</v>
      </c>
      <c r="U93" s="1300"/>
      <c r="V93" s="1300"/>
      <c r="W93" s="1300"/>
      <c r="X93" s="453"/>
    </row>
    <row r="94" spans="1:24">
      <c r="A94" s="95" t="s">
        <v>1268</v>
      </c>
      <c r="B94" s="488" t="s">
        <v>1140</v>
      </c>
      <c r="C94" s="492" t="s">
        <v>324</v>
      </c>
      <c r="D94" s="115"/>
      <c r="E94" s="1302" t="s">
        <v>1269</v>
      </c>
      <c r="F94" s="1302"/>
      <c r="G94" s="1301" t="s">
        <v>1270</v>
      </c>
      <c r="H94" s="1301"/>
      <c r="I94" s="115"/>
      <c r="J94" s="1302" t="s">
        <v>1269</v>
      </c>
      <c r="K94" s="1302"/>
      <c r="L94" s="1301" t="s">
        <v>1270</v>
      </c>
      <c r="M94" s="1301"/>
      <c r="N94" s="115"/>
      <c r="O94" s="1302" t="s">
        <v>1269</v>
      </c>
      <c r="P94" s="1302"/>
      <c r="Q94" s="1301" t="s">
        <v>1270</v>
      </c>
      <c r="R94" s="1301"/>
      <c r="S94" s="115"/>
      <c r="T94" s="1302" t="s">
        <v>1269</v>
      </c>
      <c r="U94" s="1302"/>
      <c r="V94" s="1301" t="s">
        <v>1270</v>
      </c>
      <c r="W94" s="1301"/>
      <c r="X94" s="453"/>
    </row>
    <row r="95" spans="1:24">
      <c r="A95" s="95"/>
      <c r="B95" s="542"/>
      <c r="C95" s="115"/>
      <c r="D95" s="115"/>
      <c r="E95" s="528" t="s">
        <v>1140</v>
      </c>
      <c r="F95" s="489" t="s">
        <v>324</v>
      </c>
      <c r="G95" s="528" t="s">
        <v>1140</v>
      </c>
      <c r="H95" s="489" t="s">
        <v>324</v>
      </c>
      <c r="I95" s="115"/>
      <c r="J95" s="528" t="s">
        <v>1140</v>
      </c>
      <c r="K95" s="489" t="s">
        <v>324</v>
      </c>
      <c r="L95" s="528" t="s">
        <v>1140</v>
      </c>
      <c r="M95" s="489" t="s">
        <v>324</v>
      </c>
      <c r="N95" s="115"/>
      <c r="O95" s="528" t="s">
        <v>1140</v>
      </c>
      <c r="P95" s="489" t="s">
        <v>324</v>
      </c>
      <c r="Q95" s="528" t="s">
        <v>1140</v>
      </c>
      <c r="R95" s="489" t="s">
        <v>324</v>
      </c>
      <c r="S95" s="115"/>
      <c r="T95" s="528" t="s">
        <v>1140</v>
      </c>
      <c r="U95" s="489" t="s">
        <v>324</v>
      </c>
      <c r="V95" s="528" t="s">
        <v>1140</v>
      </c>
      <c r="W95" s="489" t="s">
        <v>324</v>
      </c>
      <c r="X95" s="453"/>
    </row>
    <row r="96" spans="1:24" ht="13.5" thickBot="1">
      <c r="A96" s="249"/>
      <c r="B96" s="507"/>
      <c r="C96" s="495"/>
      <c r="D96" s="495"/>
      <c r="E96" s="495"/>
      <c r="F96" s="507"/>
      <c r="G96" s="507"/>
      <c r="H96" s="494"/>
      <c r="I96" s="495"/>
      <c r="J96" s="495"/>
      <c r="K96" s="530"/>
      <c r="L96" s="530"/>
      <c r="M96" s="494"/>
      <c r="N96" s="495"/>
      <c r="O96" s="495"/>
      <c r="P96" s="495"/>
      <c r="Q96" s="511"/>
      <c r="R96" s="495"/>
      <c r="S96" s="495"/>
      <c r="T96" s="495"/>
      <c r="U96" s="495"/>
      <c r="V96" s="511"/>
      <c r="W96" s="495"/>
      <c r="X96" s="496"/>
    </row>
    <row r="97" spans="1:25">
      <c r="K97" s="513"/>
      <c r="L97" s="513"/>
      <c r="M97" s="450"/>
    </row>
    <row r="98" spans="1:25">
      <c r="A98" s="9" t="s">
        <v>791</v>
      </c>
      <c r="B98" s="106">
        <f t="shared" ref="B98:B161" si="19">IF(A98&lt;&gt;"",E98+G98+J98+L98+O98+Q98+T98+V98,"")</f>
        <v>115</v>
      </c>
      <c r="C98" s="257">
        <f t="shared" si="1"/>
        <v>6.4317673378076066</v>
      </c>
      <c r="E98" s="106">
        <f>SUM(E100)</f>
        <v>6</v>
      </c>
      <c r="F98" s="257">
        <f t="shared" ref="F98:F161" si="20">IF($A98&lt;&gt;"",E98/$B98*100,"")</f>
        <v>5.2173913043478262</v>
      </c>
      <c r="G98" s="106">
        <f>SUM(G100)</f>
        <v>0</v>
      </c>
      <c r="H98" s="257">
        <f t="shared" ref="H98:H161" si="21">IF($A98&lt;&gt;"",G98/$B98*100,"")</f>
        <v>0</v>
      </c>
      <c r="J98" s="106">
        <f>SUM(J100)</f>
        <v>24</v>
      </c>
      <c r="K98" s="257">
        <f t="shared" ref="K98:K161" si="22">IF($A98&lt;&gt;"",J98/$B98*100,"")</f>
        <v>20.869565217391305</v>
      </c>
      <c r="L98" s="106">
        <f>SUM(L100)</f>
        <v>8</v>
      </c>
      <c r="M98" s="257">
        <f t="shared" ref="M98:M161" si="23">IF($A98&lt;&gt;"",L98/$B98*100,"")</f>
        <v>6.9565217391304346</v>
      </c>
      <c r="O98" s="106">
        <f>SUM(O100)</f>
        <v>22</v>
      </c>
      <c r="P98" s="257">
        <f t="shared" ref="P98:P161" si="24">IF($A98&lt;&gt;"",O98/$B98*100,"")</f>
        <v>19.130434782608695</v>
      </c>
      <c r="Q98" s="106">
        <f>SUM(Q100)</f>
        <v>11</v>
      </c>
      <c r="R98" s="257">
        <f t="shared" ref="R98:R161" si="25">IF($A98&lt;&gt;"",Q98/$B98*100,"")</f>
        <v>9.5652173913043477</v>
      </c>
      <c r="T98" s="106">
        <f>SUM(T100)</f>
        <v>33</v>
      </c>
      <c r="U98" s="257">
        <f t="shared" ref="U98:U161" si="26">IF($A98&lt;&gt;"",T98/$B98*100,"")</f>
        <v>28.695652173913043</v>
      </c>
      <c r="V98" s="106">
        <f>SUM(V100)</f>
        <v>11</v>
      </c>
      <c r="W98" s="257">
        <f t="shared" ref="W98:W162" si="27">IF($A98&lt;&gt;"",V98/$B98*100,"")</f>
        <v>9.5652173913043477</v>
      </c>
      <c r="X98" s="453"/>
      <c r="Y98" s="454"/>
    </row>
    <row r="99" spans="1:25" ht="6.75" customHeight="1">
      <c r="A99" s="4"/>
      <c r="B99" s="106" t="str">
        <f t="shared" si="19"/>
        <v/>
      </c>
      <c r="C99" s="257"/>
      <c r="E99" s="106"/>
      <c r="F99" s="257" t="str">
        <f t="shared" si="20"/>
        <v/>
      </c>
      <c r="H99" s="257" t="str">
        <f t="shared" si="21"/>
        <v/>
      </c>
      <c r="J99" s="106"/>
      <c r="K99" s="257" t="str">
        <f t="shared" si="22"/>
        <v/>
      </c>
      <c r="L99" s="106"/>
      <c r="M99" s="257" t="str">
        <f t="shared" si="23"/>
        <v/>
      </c>
      <c r="O99" s="106"/>
      <c r="P99" s="257" t="str">
        <f t="shared" si="24"/>
        <v/>
      </c>
      <c r="Q99" s="106"/>
      <c r="R99" s="257" t="str">
        <f t="shared" si="25"/>
        <v/>
      </c>
      <c r="T99" s="106"/>
      <c r="U99" s="257" t="str">
        <f t="shared" si="26"/>
        <v/>
      </c>
      <c r="V99" s="106"/>
      <c r="W99" s="257" t="str">
        <f t="shared" si="27"/>
        <v/>
      </c>
    </row>
    <row r="100" spans="1:25">
      <c r="A100" s="4" t="s">
        <v>75</v>
      </c>
      <c r="B100" s="106">
        <f t="shared" si="19"/>
        <v>115</v>
      </c>
      <c r="C100" s="257">
        <f t="shared" ref="C100:C112" si="28">IF(A100&lt;&gt;0,B100/$B$13*100,"")</f>
        <v>6.4317673378076066</v>
      </c>
      <c r="E100" s="106">
        <f>SUM(E101:E110)</f>
        <v>6</v>
      </c>
      <c r="F100" s="257">
        <f t="shared" si="20"/>
        <v>5.2173913043478262</v>
      </c>
      <c r="G100" s="106">
        <f>SUM(G101:G110)</f>
        <v>0</v>
      </c>
      <c r="H100" s="257">
        <f t="shared" si="21"/>
        <v>0</v>
      </c>
      <c r="J100" s="106">
        <f>SUM(J101:J110)</f>
        <v>24</v>
      </c>
      <c r="K100" s="257">
        <f t="shared" si="22"/>
        <v>20.869565217391305</v>
      </c>
      <c r="L100" s="106">
        <f>SUM(L101:L110)</f>
        <v>8</v>
      </c>
      <c r="M100" s="257">
        <f t="shared" si="23"/>
        <v>6.9565217391304346</v>
      </c>
      <c r="O100" s="325">
        <f>SUM(O101:O110)</f>
        <v>22</v>
      </c>
      <c r="P100" s="257">
        <f t="shared" si="24"/>
        <v>19.130434782608695</v>
      </c>
      <c r="Q100" s="106">
        <f>SUM(Q101:Q110)</f>
        <v>11</v>
      </c>
      <c r="R100" s="257">
        <f t="shared" si="25"/>
        <v>9.5652173913043477</v>
      </c>
      <c r="T100" s="106">
        <f>SUM(T101:T110)</f>
        <v>33</v>
      </c>
      <c r="U100" s="257">
        <f t="shared" si="26"/>
        <v>28.695652173913043</v>
      </c>
      <c r="V100" s="106">
        <f>SUM(V101:V110)</f>
        <v>11</v>
      </c>
      <c r="W100" s="257">
        <f t="shared" si="27"/>
        <v>9.5652173913043477</v>
      </c>
      <c r="X100" s="453"/>
    </row>
    <row r="101" spans="1:25">
      <c r="A101" s="4" t="s">
        <v>1151</v>
      </c>
      <c r="B101" s="106">
        <f t="shared" si="19"/>
        <v>9</v>
      </c>
      <c r="C101" s="257">
        <f t="shared" si="28"/>
        <v>0.50335570469798652</v>
      </c>
      <c r="E101" s="4">
        <v>1</v>
      </c>
      <c r="F101" s="257">
        <f t="shared" si="20"/>
        <v>11.111111111111111</v>
      </c>
      <c r="G101" s="4">
        <v>0</v>
      </c>
      <c r="H101" s="257">
        <f t="shared" si="21"/>
        <v>0</v>
      </c>
      <c r="J101" s="4">
        <v>3</v>
      </c>
      <c r="K101" s="257">
        <f t="shared" si="22"/>
        <v>33.333333333333329</v>
      </c>
      <c r="L101" s="4">
        <v>2</v>
      </c>
      <c r="M101" s="257">
        <f t="shared" si="23"/>
        <v>22.222222222222221</v>
      </c>
      <c r="O101" s="4">
        <v>0</v>
      </c>
      <c r="P101" s="257">
        <f t="shared" si="24"/>
        <v>0</v>
      </c>
      <c r="Q101" s="4">
        <v>0</v>
      </c>
      <c r="R101" s="257">
        <f t="shared" si="25"/>
        <v>0</v>
      </c>
      <c r="T101" s="4">
        <v>1</v>
      </c>
      <c r="U101" s="257">
        <f t="shared" si="26"/>
        <v>11.111111111111111</v>
      </c>
      <c r="V101" s="4">
        <v>2</v>
      </c>
      <c r="W101" s="257">
        <f t="shared" si="27"/>
        <v>22.222222222222221</v>
      </c>
      <c r="X101" s="453"/>
    </row>
    <row r="102" spans="1:25">
      <c r="A102" s="4" t="s">
        <v>76</v>
      </c>
      <c r="B102" s="106">
        <f t="shared" si="19"/>
        <v>13</v>
      </c>
      <c r="C102" s="257">
        <f t="shared" si="28"/>
        <v>0.72706935123042504</v>
      </c>
      <c r="E102" s="4">
        <v>1</v>
      </c>
      <c r="F102" s="257">
        <f t="shared" si="20"/>
        <v>7.6923076923076925</v>
      </c>
      <c r="G102" s="4">
        <v>0</v>
      </c>
      <c r="H102" s="257">
        <f t="shared" si="21"/>
        <v>0</v>
      </c>
      <c r="J102" s="4">
        <v>2</v>
      </c>
      <c r="K102" s="257">
        <f t="shared" si="22"/>
        <v>15.384615384615385</v>
      </c>
      <c r="L102" s="4">
        <v>1</v>
      </c>
      <c r="M102" s="257">
        <f t="shared" si="23"/>
        <v>7.6923076923076925</v>
      </c>
      <c r="O102" s="4">
        <v>5</v>
      </c>
      <c r="P102" s="257">
        <f t="shared" si="24"/>
        <v>38.461538461538467</v>
      </c>
      <c r="Q102" s="4">
        <v>0</v>
      </c>
      <c r="R102" s="257">
        <f t="shared" si="25"/>
        <v>0</v>
      </c>
      <c r="T102" s="4">
        <v>3</v>
      </c>
      <c r="U102" s="257">
        <f t="shared" si="26"/>
        <v>23.076923076923077</v>
      </c>
      <c r="V102" s="4">
        <v>1</v>
      </c>
      <c r="W102" s="257">
        <f t="shared" si="27"/>
        <v>7.6923076923076925</v>
      </c>
      <c r="X102" s="453"/>
    </row>
    <row r="103" spans="1:25">
      <c r="A103" s="4" t="s">
        <v>78</v>
      </c>
      <c r="B103" s="106">
        <f t="shared" si="19"/>
        <v>18</v>
      </c>
      <c r="C103" s="257">
        <f t="shared" si="28"/>
        <v>1.006711409395973</v>
      </c>
      <c r="E103" s="4">
        <v>1</v>
      </c>
      <c r="F103" s="257">
        <f t="shared" si="20"/>
        <v>5.5555555555555554</v>
      </c>
      <c r="G103" s="4">
        <v>0</v>
      </c>
      <c r="H103" s="257">
        <f t="shared" si="21"/>
        <v>0</v>
      </c>
      <c r="J103" s="4">
        <v>1</v>
      </c>
      <c r="K103" s="257">
        <f t="shared" si="22"/>
        <v>5.5555555555555554</v>
      </c>
      <c r="L103" s="4">
        <v>0</v>
      </c>
      <c r="M103" s="257">
        <f t="shared" si="23"/>
        <v>0</v>
      </c>
      <c r="O103" s="4">
        <v>1</v>
      </c>
      <c r="P103" s="257">
        <f t="shared" si="24"/>
        <v>5.5555555555555554</v>
      </c>
      <c r="Q103" s="4">
        <v>1</v>
      </c>
      <c r="R103" s="257">
        <f t="shared" si="25"/>
        <v>5.5555555555555554</v>
      </c>
      <c r="T103" s="4">
        <v>14</v>
      </c>
      <c r="U103" s="257">
        <f t="shared" si="26"/>
        <v>77.777777777777786</v>
      </c>
      <c r="V103" s="4">
        <v>0</v>
      </c>
      <c r="W103" s="257">
        <f t="shared" si="27"/>
        <v>0</v>
      </c>
      <c r="X103" s="453"/>
    </row>
    <row r="104" spans="1:25">
      <c r="A104" s="4" t="s">
        <v>80</v>
      </c>
      <c r="B104" s="106">
        <f t="shared" si="19"/>
        <v>11</v>
      </c>
      <c r="C104" s="257">
        <f t="shared" si="28"/>
        <v>0.61521252796420578</v>
      </c>
      <c r="E104" s="4">
        <v>0</v>
      </c>
      <c r="F104" s="257">
        <f t="shared" si="20"/>
        <v>0</v>
      </c>
      <c r="G104" s="4">
        <v>0</v>
      </c>
      <c r="H104" s="257">
        <f t="shared" si="21"/>
        <v>0</v>
      </c>
      <c r="J104" s="4">
        <v>5</v>
      </c>
      <c r="K104" s="257">
        <f t="shared" si="22"/>
        <v>45.454545454545453</v>
      </c>
      <c r="L104" s="4">
        <v>0</v>
      </c>
      <c r="M104" s="257">
        <f t="shared" si="23"/>
        <v>0</v>
      </c>
      <c r="O104" s="4">
        <v>2</v>
      </c>
      <c r="P104" s="257">
        <f t="shared" si="24"/>
        <v>18.181818181818183</v>
      </c>
      <c r="Q104" s="4">
        <v>3</v>
      </c>
      <c r="R104" s="257">
        <f t="shared" si="25"/>
        <v>27.27272727272727</v>
      </c>
      <c r="T104" s="4">
        <v>1</v>
      </c>
      <c r="U104" s="257">
        <f t="shared" si="26"/>
        <v>9.0909090909090917</v>
      </c>
      <c r="V104" s="4">
        <v>0</v>
      </c>
      <c r="W104" s="257">
        <f t="shared" si="27"/>
        <v>0</v>
      </c>
      <c r="X104" s="453"/>
    </row>
    <row r="105" spans="1:25">
      <c r="A105" s="4" t="s">
        <v>79</v>
      </c>
      <c r="B105" s="106">
        <f t="shared" si="19"/>
        <v>6</v>
      </c>
      <c r="C105" s="257">
        <f t="shared" si="28"/>
        <v>0.33557046979865773</v>
      </c>
      <c r="E105" s="4">
        <v>1</v>
      </c>
      <c r="F105" s="257">
        <f t="shared" si="20"/>
        <v>16.666666666666664</v>
      </c>
      <c r="G105" s="4">
        <v>0</v>
      </c>
      <c r="H105" s="257">
        <f t="shared" si="21"/>
        <v>0</v>
      </c>
      <c r="J105" s="4">
        <v>2</v>
      </c>
      <c r="K105" s="257">
        <f t="shared" si="22"/>
        <v>33.333333333333329</v>
      </c>
      <c r="L105" s="4">
        <v>0</v>
      </c>
      <c r="M105" s="257">
        <f t="shared" si="23"/>
        <v>0</v>
      </c>
      <c r="O105" s="4">
        <v>1</v>
      </c>
      <c r="P105" s="257">
        <f t="shared" si="24"/>
        <v>16.666666666666664</v>
      </c>
      <c r="Q105" s="4">
        <v>1</v>
      </c>
      <c r="R105" s="257">
        <f t="shared" si="25"/>
        <v>16.666666666666664</v>
      </c>
      <c r="T105" s="4">
        <v>1</v>
      </c>
      <c r="U105" s="257">
        <f t="shared" si="26"/>
        <v>16.666666666666664</v>
      </c>
      <c r="V105" s="4">
        <v>0</v>
      </c>
      <c r="W105" s="257">
        <f t="shared" si="27"/>
        <v>0</v>
      </c>
      <c r="X105" s="453"/>
    </row>
    <row r="106" spans="1:25">
      <c r="A106" s="4" t="s">
        <v>77</v>
      </c>
      <c r="B106" s="106">
        <f t="shared" si="19"/>
        <v>10</v>
      </c>
      <c r="C106" s="257">
        <f t="shared" si="28"/>
        <v>0.5592841163310962</v>
      </c>
      <c r="E106" s="4">
        <v>0</v>
      </c>
      <c r="F106" s="257">
        <f t="shared" si="20"/>
        <v>0</v>
      </c>
      <c r="G106" s="4">
        <v>0</v>
      </c>
      <c r="H106" s="257">
        <f t="shared" si="21"/>
        <v>0</v>
      </c>
      <c r="J106" s="4">
        <v>1</v>
      </c>
      <c r="K106" s="257">
        <f t="shared" si="22"/>
        <v>10</v>
      </c>
      <c r="L106" s="4">
        <v>3</v>
      </c>
      <c r="M106" s="257">
        <f t="shared" si="23"/>
        <v>30</v>
      </c>
      <c r="O106" s="4">
        <v>2</v>
      </c>
      <c r="P106" s="257">
        <f t="shared" si="24"/>
        <v>20</v>
      </c>
      <c r="Q106" s="4">
        <v>1</v>
      </c>
      <c r="R106" s="257">
        <f t="shared" si="25"/>
        <v>10</v>
      </c>
      <c r="T106" s="4">
        <v>3</v>
      </c>
      <c r="U106" s="257">
        <f t="shared" si="26"/>
        <v>30</v>
      </c>
      <c r="V106" s="4">
        <v>0</v>
      </c>
      <c r="W106" s="257">
        <f t="shared" si="27"/>
        <v>0</v>
      </c>
      <c r="X106" s="453"/>
    </row>
    <row r="107" spans="1:25">
      <c r="A107" s="4" t="s">
        <v>339</v>
      </c>
      <c r="B107" s="106">
        <f t="shared" si="19"/>
        <v>18</v>
      </c>
      <c r="C107" s="257">
        <f t="shared" si="28"/>
        <v>1.006711409395973</v>
      </c>
      <c r="E107" s="4">
        <v>1</v>
      </c>
      <c r="F107" s="257">
        <f t="shared" si="20"/>
        <v>5.5555555555555554</v>
      </c>
      <c r="G107" s="4">
        <v>0</v>
      </c>
      <c r="H107" s="257">
        <f t="shared" si="21"/>
        <v>0</v>
      </c>
      <c r="J107" s="4">
        <v>0</v>
      </c>
      <c r="K107" s="257">
        <f t="shared" si="22"/>
        <v>0</v>
      </c>
      <c r="L107" s="4">
        <v>0</v>
      </c>
      <c r="M107" s="257">
        <f t="shared" si="23"/>
        <v>0</v>
      </c>
      <c r="O107" s="4">
        <v>4</v>
      </c>
      <c r="P107" s="257">
        <f t="shared" si="24"/>
        <v>22.222222222222221</v>
      </c>
      <c r="Q107" s="4">
        <v>1</v>
      </c>
      <c r="R107" s="257">
        <f t="shared" si="25"/>
        <v>5.5555555555555554</v>
      </c>
      <c r="T107" s="4">
        <v>8</v>
      </c>
      <c r="U107" s="257">
        <f t="shared" si="26"/>
        <v>44.444444444444443</v>
      </c>
      <c r="V107" s="4">
        <v>4</v>
      </c>
      <c r="W107" s="257">
        <f t="shared" si="27"/>
        <v>22.222222222222221</v>
      </c>
      <c r="X107" s="453"/>
    </row>
    <row r="108" spans="1:25">
      <c r="A108" s="4" t="s">
        <v>81</v>
      </c>
      <c r="B108" s="106">
        <f t="shared" si="19"/>
        <v>9</v>
      </c>
      <c r="C108" s="257">
        <f t="shared" si="28"/>
        <v>0.50335570469798652</v>
      </c>
      <c r="E108" s="4">
        <v>0</v>
      </c>
      <c r="F108" s="257">
        <f t="shared" si="20"/>
        <v>0</v>
      </c>
      <c r="G108" s="4">
        <v>0</v>
      </c>
      <c r="H108" s="257">
        <f t="shared" si="21"/>
        <v>0</v>
      </c>
      <c r="J108" s="4">
        <v>1</v>
      </c>
      <c r="K108" s="257">
        <f t="shared" si="22"/>
        <v>11.111111111111111</v>
      </c>
      <c r="L108" s="4">
        <v>1</v>
      </c>
      <c r="M108" s="257">
        <f t="shared" si="23"/>
        <v>11.111111111111111</v>
      </c>
      <c r="O108" s="4">
        <v>2</v>
      </c>
      <c r="P108" s="257">
        <f t="shared" si="24"/>
        <v>22.222222222222221</v>
      </c>
      <c r="Q108" s="4">
        <v>3</v>
      </c>
      <c r="R108" s="257">
        <f t="shared" si="25"/>
        <v>33.333333333333329</v>
      </c>
      <c r="T108" s="4">
        <v>1</v>
      </c>
      <c r="U108" s="257">
        <f t="shared" si="26"/>
        <v>11.111111111111111</v>
      </c>
      <c r="V108" s="4">
        <v>1</v>
      </c>
      <c r="W108" s="257">
        <f t="shared" si="27"/>
        <v>11.111111111111111</v>
      </c>
      <c r="X108" s="453"/>
    </row>
    <row r="109" spans="1:25">
      <c r="A109" s="4" t="s">
        <v>1153</v>
      </c>
      <c r="B109" s="106">
        <f t="shared" si="19"/>
        <v>14</v>
      </c>
      <c r="C109" s="257">
        <f t="shared" si="28"/>
        <v>0.78299776286353473</v>
      </c>
      <c r="E109" s="4">
        <v>0</v>
      </c>
      <c r="F109" s="257">
        <f t="shared" si="20"/>
        <v>0</v>
      </c>
      <c r="G109" s="4">
        <v>0</v>
      </c>
      <c r="H109" s="257">
        <f t="shared" si="21"/>
        <v>0</v>
      </c>
      <c r="J109" s="4">
        <v>7</v>
      </c>
      <c r="K109" s="257">
        <f t="shared" si="22"/>
        <v>50</v>
      </c>
      <c r="L109" s="4">
        <v>0</v>
      </c>
      <c r="M109" s="257">
        <f t="shared" si="23"/>
        <v>0</v>
      </c>
      <c r="O109" s="4">
        <v>2</v>
      </c>
      <c r="P109" s="257">
        <f t="shared" si="24"/>
        <v>14.285714285714285</v>
      </c>
      <c r="Q109" s="4">
        <v>1</v>
      </c>
      <c r="R109" s="257">
        <f t="shared" si="25"/>
        <v>7.1428571428571423</v>
      </c>
      <c r="T109" s="4">
        <v>1</v>
      </c>
      <c r="U109" s="257">
        <f t="shared" si="26"/>
        <v>7.1428571428571423</v>
      </c>
      <c r="V109" s="4">
        <v>3</v>
      </c>
      <c r="W109" s="257">
        <f t="shared" si="27"/>
        <v>21.428571428571427</v>
      </c>
      <c r="X109" s="453"/>
    </row>
    <row r="110" spans="1:25">
      <c r="A110" s="4" t="s">
        <v>1152</v>
      </c>
      <c r="B110" s="106">
        <f t="shared" si="19"/>
        <v>7</v>
      </c>
      <c r="C110" s="257">
        <f t="shared" si="28"/>
        <v>0.39149888143176736</v>
      </c>
      <c r="E110" s="4">
        <v>1</v>
      </c>
      <c r="F110" s="257">
        <f t="shared" si="20"/>
        <v>14.285714285714285</v>
      </c>
      <c r="G110" s="4">
        <v>0</v>
      </c>
      <c r="H110" s="257">
        <f t="shared" si="21"/>
        <v>0</v>
      </c>
      <c r="J110" s="4">
        <v>2</v>
      </c>
      <c r="K110" s="257">
        <f t="shared" si="22"/>
        <v>28.571428571428569</v>
      </c>
      <c r="L110" s="4">
        <v>1</v>
      </c>
      <c r="M110" s="257">
        <f t="shared" si="23"/>
        <v>14.285714285714285</v>
      </c>
      <c r="O110" s="4">
        <v>3</v>
      </c>
      <c r="P110" s="257">
        <f t="shared" si="24"/>
        <v>42.857142857142854</v>
      </c>
      <c r="Q110" s="4">
        <v>0</v>
      </c>
      <c r="R110" s="257">
        <f t="shared" si="25"/>
        <v>0</v>
      </c>
      <c r="T110" s="4">
        <v>0</v>
      </c>
      <c r="U110" s="257">
        <f t="shared" si="26"/>
        <v>0</v>
      </c>
      <c r="V110" s="4">
        <v>0</v>
      </c>
      <c r="W110" s="257"/>
      <c r="X110" s="453"/>
    </row>
    <row r="111" spans="1:25" ht="6.75" customHeight="1">
      <c r="A111" s="4"/>
      <c r="B111" s="106" t="str">
        <f t="shared" si="19"/>
        <v/>
      </c>
      <c r="C111" s="257" t="str">
        <f t="shared" si="28"/>
        <v/>
      </c>
      <c r="E111" s="106"/>
      <c r="F111" s="257" t="str">
        <f t="shared" si="20"/>
        <v/>
      </c>
      <c r="H111" s="257" t="str">
        <f t="shared" si="21"/>
        <v/>
      </c>
      <c r="J111" s="106"/>
      <c r="K111" s="257" t="str">
        <f t="shared" si="22"/>
        <v/>
      </c>
      <c r="L111" s="106"/>
      <c r="M111" s="257" t="str">
        <f t="shared" si="23"/>
        <v/>
      </c>
      <c r="O111" s="106"/>
      <c r="P111" s="257" t="str">
        <f t="shared" si="24"/>
        <v/>
      </c>
      <c r="Q111" s="106"/>
      <c r="R111" s="257" t="str">
        <f t="shared" si="25"/>
        <v/>
      </c>
      <c r="T111" s="106"/>
      <c r="U111" s="257" t="str">
        <f t="shared" si="26"/>
        <v/>
      </c>
      <c r="V111" s="106"/>
      <c r="W111" s="257" t="str">
        <f t="shared" si="27"/>
        <v/>
      </c>
      <c r="X111" s="453"/>
    </row>
    <row r="112" spans="1:25">
      <c r="A112" s="9" t="s">
        <v>792</v>
      </c>
      <c r="B112" s="106">
        <f t="shared" si="19"/>
        <v>101</v>
      </c>
      <c r="C112" s="257">
        <f t="shared" si="28"/>
        <v>5.6487695749440716</v>
      </c>
      <c r="E112" s="106">
        <f>SUM(E114)</f>
        <v>8</v>
      </c>
      <c r="F112" s="257">
        <f t="shared" si="20"/>
        <v>7.9207920792079207</v>
      </c>
      <c r="G112" s="106">
        <f>SUM(G114)</f>
        <v>3</v>
      </c>
      <c r="H112" s="257">
        <f t="shared" si="21"/>
        <v>2.9702970297029703</v>
      </c>
      <c r="J112" s="106">
        <f>SUM(J114)</f>
        <v>12</v>
      </c>
      <c r="K112" s="257">
        <f t="shared" si="22"/>
        <v>11.881188118811881</v>
      </c>
      <c r="L112" s="106">
        <f>SUM(L114)</f>
        <v>8</v>
      </c>
      <c r="M112" s="257">
        <f t="shared" si="23"/>
        <v>7.9207920792079207</v>
      </c>
      <c r="O112" s="106">
        <f>SUM(O114)</f>
        <v>25</v>
      </c>
      <c r="P112" s="257">
        <f t="shared" si="24"/>
        <v>24.752475247524753</v>
      </c>
      <c r="Q112" s="106">
        <f>SUM(Q114)</f>
        <v>20</v>
      </c>
      <c r="R112" s="257">
        <f t="shared" si="25"/>
        <v>19.801980198019802</v>
      </c>
      <c r="T112" s="106">
        <f>SUM(T114)</f>
        <v>16</v>
      </c>
      <c r="U112" s="257">
        <f t="shared" si="26"/>
        <v>15.841584158415841</v>
      </c>
      <c r="V112" s="106">
        <f>SUM(V114)</f>
        <v>9</v>
      </c>
      <c r="W112" s="257">
        <f t="shared" si="27"/>
        <v>8.9108910891089099</v>
      </c>
      <c r="X112" s="453"/>
    </row>
    <row r="113" spans="1:24" ht="6.75" customHeight="1">
      <c r="A113" s="4"/>
      <c r="B113" s="106" t="str">
        <f t="shared" si="19"/>
        <v/>
      </c>
      <c r="C113" s="257"/>
      <c r="E113" s="106"/>
      <c r="F113" s="257" t="str">
        <f t="shared" si="20"/>
        <v/>
      </c>
      <c r="H113" s="257" t="str">
        <f t="shared" si="21"/>
        <v/>
      </c>
      <c r="J113" s="106"/>
      <c r="K113" s="257" t="str">
        <f t="shared" si="22"/>
        <v/>
      </c>
      <c r="L113" s="106"/>
      <c r="M113" s="257" t="str">
        <f t="shared" si="23"/>
        <v/>
      </c>
      <c r="O113" s="106"/>
      <c r="P113" s="257" t="str">
        <f t="shared" si="24"/>
        <v/>
      </c>
      <c r="Q113" s="106"/>
      <c r="R113" s="257" t="str">
        <f t="shared" si="25"/>
        <v/>
      </c>
      <c r="T113" s="106"/>
      <c r="U113" s="257" t="str">
        <f t="shared" si="26"/>
        <v/>
      </c>
      <c r="V113" s="106"/>
      <c r="W113" s="257" t="str">
        <f t="shared" si="27"/>
        <v/>
      </c>
      <c r="X113" s="453"/>
    </row>
    <row r="114" spans="1:24">
      <c r="A114" s="4" t="s">
        <v>1277</v>
      </c>
      <c r="B114" s="106">
        <f t="shared" si="19"/>
        <v>101</v>
      </c>
      <c r="C114" s="257">
        <f t="shared" ref="C114:C165" si="29">IF(A114&lt;&gt;0,B114/$B$13*100,"")</f>
        <v>5.6487695749440716</v>
      </c>
      <c r="E114" s="325">
        <f>SUM(E115:E119)</f>
        <v>8</v>
      </c>
      <c r="F114" s="257">
        <f t="shared" si="20"/>
        <v>7.9207920792079207</v>
      </c>
      <c r="G114" s="325">
        <f>SUM(G115:G119)</f>
        <v>3</v>
      </c>
      <c r="H114" s="257">
        <f t="shared" si="21"/>
        <v>2.9702970297029703</v>
      </c>
      <c r="J114" s="325">
        <f>SUM(J115:J119)</f>
        <v>12</v>
      </c>
      <c r="K114" s="257">
        <f t="shared" si="22"/>
        <v>11.881188118811881</v>
      </c>
      <c r="L114" s="325">
        <f>SUM(L115:L119)</f>
        <v>8</v>
      </c>
      <c r="M114" s="257">
        <f t="shared" si="23"/>
        <v>7.9207920792079207</v>
      </c>
      <c r="O114" s="325">
        <f>SUM(O115:O119)</f>
        <v>25</v>
      </c>
      <c r="P114" s="257">
        <f t="shared" si="24"/>
        <v>24.752475247524753</v>
      </c>
      <c r="Q114" s="325">
        <f>SUM(Q115:Q119)</f>
        <v>20</v>
      </c>
      <c r="R114" s="257">
        <f t="shared" si="25"/>
        <v>19.801980198019802</v>
      </c>
      <c r="T114" s="325">
        <f>SUM(T115:T119)</f>
        <v>16</v>
      </c>
      <c r="U114" s="257">
        <f t="shared" si="26"/>
        <v>15.841584158415841</v>
      </c>
      <c r="V114" s="325">
        <f>SUM(V115:V119)</f>
        <v>9</v>
      </c>
      <c r="W114" s="257">
        <f t="shared" si="27"/>
        <v>8.9108910891089099</v>
      </c>
    </row>
    <row r="115" spans="1:24">
      <c r="A115" s="4" t="s">
        <v>1278</v>
      </c>
      <c r="B115" s="106">
        <f t="shared" si="19"/>
        <v>1</v>
      </c>
      <c r="C115" s="257">
        <f t="shared" si="29"/>
        <v>5.5928411633109618E-2</v>
      </c>
      <c r="E115" s="4">
        <v>0</v>
      </c>
      <c r="F115" s="257">
        <f t="shared" si="20"/>
        <v>0</v>
      </c>
      <c r="G115" s="4">
        <v>0</v>
      </c>
      <c r="H115" s="257">
        <f t="shared" si="21"/>
        <v>0</v>
      </c>
      <c r="J115" s="4">
        <v>0</v>
      </c>
      <c r="K115" s="257">
        <f t="shared" si="22"/>
        <v>0</v>
      </c>
      <c r="L115" s="4">
        <v>0</v>
      </c>
      <c r="M115" s="257">
        <f t="shared" si="23"/>
        <v>0</v>
      </c>
      <c r="O115" s="4">
        <v>0</v>
      </c>
      <c r="P115" s="257">
        <f t="shared" si="24"/>
        <v>0</v>
      </c>
      <c r="Q115" s="4">
        <v>1</v>
      </c>
      <c r="R115" s="257">
        <f t="shared" si="25"/>
        <v>100</v>
      </c>
      <c r="T115" s="4">
        <v>0</v>
      </c>
      <c r="U115" s="257">
        <f t="shared" si="26"/>
        <v>0</v>
      </c>
      <c r="V115" s="4">
        <v>0</v>
      </c>
      <c r="W115" s="257">
        <f t="shared" si="27"/>
        <v>0</v>
      </c>
      <c r="X115" s="453"/>
    </row>
    <row r="116" spans="1:24">
      <c r="A116" s="4" t="s">
        <v>70</v>
      </c>
      <c r="B116" s="106">
        <f t="shared" si="19"/>
        <v>19</v>
      </c>
      <c r="C116" s="257">
        <f>IF(A116&lt;&gt;0,B116/$B$13*100,"")</f>
        <v>1.0626398210290828</v>
      </c>
      <c r="E116" s="4">
        <v>5</v>
      </c>
      <c r="F116" s="257">
        <f t="shared" si="20"/>
        <v>26.315789473684209</v>
      </c>
      <c r="G116" s="4">
        <v>0</v>
      </c>
      <c r="H116" s="257">
        <f t="shared" si="21"/>
        <v>0</v>
      </c>
      <c r="J116" s="4">
        <v>0</v>
      </c>
      <c r="K116" s="257">
        <f t="shared" si="22"/>
        <v>0</v>
      </c>
      <c r="L116" s="4">
        <v>1</v>
      </c>
      <c r="M116" s="257">
        <f t="shared" si="23"/>
        <v>5.2631578947368416</v>
      </c>
      <c r="O116" s="4">
        <v>7</v>
      </c>
      <c r="P116" s="257">
        <f t="shared" si="24"/>
        <v>36.84210526315789</v>
      </c>
      <c r="Q116" s="4">
        <v>4</v>
      </c>
      <c r="R116" s="257">
        <f t="shared" si="25"/>
        <v>21.052631578947366</v>
      </c>
      <c r="T116" s="4">
        <v>2</v>
      </c>
      <c r="U116" s="257">
        <f t="shared" si="26"/>
        <v>10.526315789473683</v>
      </c>
      <c r="V116" s="4">
        <v>0</v>
      </c>
      <c r="W116" s="257">
        <f>IF($A116&lt;&gt;"",V116/$B116*100,"")</f>
        <v>0</v>
      </c>
      <c r="X116" s="453"/>
    </row>
    <row r="117" spans="1:24">
      <c r="A117" s="4" t="s">
        <v>71</v>
      </c>
      <c r="B117" s="106">
        <f t="shared" si="19"/>
        <v>37</v>
      </c>
      <c r="C117" s="257">
        <f t="shared" si="29"/>
        <v>2.0693512304250561</v>
      </c>
      <c r="E117" s="4">
        <v>2</v>
      </c>
      <c r="F117" s="257">
        <f t="shared" si="20"/>
        <v>5.4054054054054053</v>
      </c>
      <c r="G117" s="4">
        <v>1</v>
      </c>
      <c r="H117" s="257">
        <f t="shared" si="21"/>
        <v>2.7027027027027026</v>
      </c>
      <c r="J117" s="4">
        <v>4</v>
      </c>
      <c r="K117" s="257">
        <f t="shared" si="22"/>
        <v>10.810810810810811</v>
      </c>
      <c r="L117" s="4">
        <v>1</v>
      </c>
      <c r="M117" s="257">
        <f t="shared" si="23"/>
        <v>2.7027027027027026</v>
      </c>
      <c r="O117" s="4">
        <v>9</v>
      </c>
      <c r="P117" s="257">
        <f t="shared" si="24"/>
        <v>24.324324324324326</v>
      </c>
      <c r="Q117" s="4">
        <v>3</v>
      </c>
      <c r="R117" s="257">
        <f t="shared" si="25"/>
        <v>8.1081081081081088</v>
      </c>
      <c r="T117" s="4">
        <v>13</v>
      </c>
      <c r="U117" s="257">
        <f t="shared" si="26"/>
        <v>35.135135135135137</v>
      </c>
      <c r="V117" s="4">
        <v>4</v>
      </c>
      <c r="W117" s="257">
        <f t="shared" si="27"/>
        <v>10.810810810810811</v>
      </c>
      <c r="X117" s="453"/>
    </row>
    <row r="118" spans="1:24">
      <c r="A118" s="4" t="s">
        <v>72</v>
      </c>
      <c r="B118" s="106">
        <f t="shared" si="19"/>
        <v>22</v>
      </c>
      <c r="C118" s="257">
        <f t="shared" si="29"/>
        <v>1.2304250559284116</v>
      </c>
      <c r="E118" s="4">
        <v>1</v>
      </c>
      <c r="F118" s="257">
        <f t="shared" si="20"/>
        <v>4.5454545454545459</v>
      </c>
      <c r="G118" s="4">
        <v>1</v>
      </c>
      <c r="H118" s="257">
        <f t="shared" si="21"/>
        <v>4.5454545454545459</v>
      </c>
      <c r="J118" s="4">
        <v>7</v>
      </c>
      <c r="K118" s="257">
        <f t="shared" si="22"/>
        <v>31.818181818181817</v>
      </c>
      <c r="L118" s="4">
        <v>0</v>
      </c>
      <c r="M118" s="257">
        <f t="shared" si="23"/>
        <v>0</v>
      </c>
      <c r="O118" s="4">
        <v>7</v>
      </c>
      <c r="P118" s="257">
        <f t="shared" si="24"/>
        <v>31.818181818181817</v>
      </c>
      <c r="Q118" s="4">
        <v>3</v>
      </c>
      <c r="R118" s="257">
        <f t="shared" si="25"/>
        <v>13.636363636363635</v>
      </c>
      <c r="T118" s="4">
        <v>1</v>
      </c>
      <c r="U118" s="257">
        <f t="shared" si="26"/>
        <v>4.5454545454545459</v>
      </c>
      <c r="V118" s="4">
        <v>2</v>
      </c>
      <c r="W118" s="257">
        <f t="shared" si="27"/>
        <v>9.0909090909090917</v>
      </c>
      <c r="X118" s="453"/>
    </row>
    <row r="119" spans="1:24">
      <c r="A119" s="4" t="s">
        <v>73</v>
      </c>
      <c r="B119" s="106">
        <f>IF(A119&lt;&gt;"",E119+G119+J119+L119+O119+Q119+T119+V119,"")</f>
        <v>22</v>
      </c>
      <c r="C119" s="257">
        <f t="shared" si="29"/>
        <v>1.2304250559284116</v>
      </c>
      <c r="E119" s="4">
        <v>0</v>
      </c>
      <c r="F119" s="257">
        <f t="shared" si="20"/>
        <v>0</v>
      </c>
      <c r="G119" s="4">
        <v>1</v>
      </c>
      <c r="H119" s="257">
        <f t="shared" si="21"/>
        <v>4.5454545454545459</v>
      </c>
      <c r="J119" s="4">
        <v>1</v>
      </c>
      <c r="K119" s="257">
        <f t="shared" si="22"/>
        <v>4.5454545454545459</v>
      </c>
      <c r="L119" s="4">
        <v>6</v>
      </c>
      <c r="M119" s="257">
        <f t="shared" si="23"/>
        <v>27.27272727272727</v>
      </c>
      <c r="O119" s="4">
        <v>2</v>
      </c>
      <c r="P119" s="257">
        <f t="shared" si="24"/>
        <v>9.0909090909090917</v>
      </c>
      <c r="Q119" s="4">
        <v>9</v>
      </c>
      <c r="R119" s="257">
        <f t="shared" si="25"/>
        <v>40.909090909090914</v>
      </c>
      <c r="T119" s="4">
        <v>0</v>
      </c>
      <c r="U119" s="257">
        <f t="shared" si="26"/>
        <v>0</v>
      </c>
      <c r="V119" s="4">
        <v>3</v>
      </c>
      <c r="W119" s="257">
        <f t="shared" si="27"/>
        <v>13.636363636363635</v>
      </c>
      <c r="X119" s="453"/>
    </row>
    <row r="120" spans="1:24" ht="6.75" customHeight="1">
      <c r="A120" s="4"/>
      <c r="B120" s="106" t="str">
        <f t="shared" si="19"/>
        <v/>
      </c>
      <c r="C120" s="257" t="str">
        <f t="shared" si="29"/>
        <v/>
      </c>
      <c r="F120" s="257" t="str">
        <f t="shared" si="20"/>
        <v/>
      </c>
      <c r="G120" s="4"/>
      <c r="H120" s="257" t="str">
        <f t="shared" si="21"/>
        <v/>
      </c>
      <c r="K120" s="257" t="str">
        <f t="shared" si="22"/>
        <v/>
      </c>
      <c r="L120" s="4"/>
      <c r="M120" s="257" t="str">
        <f t="shared" si="23"/>
        <v/>
      </c>
      <c r="P120" s="257" t="str">
        <f t="shared" si="24"/>
        <v/>
      </c>
      <c r="R120" s="257" t="str">
        <f t="shared" si="25"/>
        <v/>
      </c>
      <c r="U120" s="257" t="str">
        <f t="shared" si="26"/>
        <v/>
      </c>
      <c r="W120" s="257" t="str">
        <f t="shared" si="27"/>
        <v/>
      </c>
      <c r="X120" s="453"/>
    </row>
    <row r="121" spans="1:24">
      <c r="A121" s="4" t="s">
        <v>1157</v>
      </c>
      <c r="B121" s="106">
        <f t="shared" si="19"/>
        <v>26</v>
      </c>
      <c r="C121" s="257">
        <f t="shared" si="29"/>
        <v>1.4541387024608501</v>
      </c>
      <c r="E121" s="4">
        <v>1</v>
      </c>
      <c r="F121" s="257">
        <f t="shared" si="20"/>
        <v>3.8461538461538463</v>
      </c>
      <c r="G121" s="4">
        <v>0</v>
      </c>
      <c r="H121" s="257">
        <f t="shared" si="21"/>
        <v>0</v>
      </c>
      <c r="J121" s="4">
        <v>1</v>
      </c>
      <c r="K121" s="257">
        <f t="shared" si="22"/>
        <v>3.8461538461538463</v>
      </c>
      <c r="L121" s="4">
        <v>0</v>
      </c>
      <c r="M121" s="257">
        <f t="shared" si="23"/>
        <v>0</v>
      </c>
      <c r="O121" s="4">
        <v>5</v>
      </c>
      <c r="P121" s="257">
        <f t="shared" si="24"/>
        <v>19.230769230769234</v>
      </c>
      <c r="Q121" s="4">
        <v>6</v>
      </c>
      <c r="R121" s="257">
        <f t="shared" si="25"/>
        <v>23.076923076923077</v>
      </c>
      <c r="T121" s="4">
        <v>7</v>
      </c>
      <c r="U121" s="257">
        <f t="shared" si="26"/>
        <v>26.923076923076923</v>
      </c>
      <c r="V121" s="4">
        <v>6</v>
      </c>
      <c r="W121" s="257">
        <f t="shared" si="27"/>
        <v>23.076923076923077</v>
      </c>
      <c r="X121" s="453"/>
    </row>
    <row r="122" spans="1:24">
      <c r="A122" s="4" t="s">
        <v>340</v>
      </c>
      <c r="B122" s="106">
        <f t="shared" si="19"/>
        <v>7</v>
      </c>
      <c r="C122" s="257">
        <f t="shared" si="29"/>
        <v>0.39149888143176736</v>
      </c>
      <c r="E122" s="4">
        <v>0</v>
      </c>
      <c r="F122" s="257">
        <f t="shared" si="20"/>
        <v>0</v>
      </c>
      <c r="G122" s="4">
        <v>0</v>
      </c>
      <c r="H122" s="257">
        <f t="shared" si="21"/>
        <v>0</v>
      </c>
      <c r="J122" s="4">
        <v>2</v>
      </c>
      <c r="K122" s="257">
        <f t="shared" si="22"/>
        <v>28.571428571428569</v>
      </c>
      <c r="L122" s="4">
        <v>2</v>
      </c>
      <c r="M122" s="257">
        <f t="shared" si="23"/>
        <v>28.571428571428569</v>
      </c>
      <c r="O122" s="4">
        <v>0</v>
      </c>
      <c r="P122" s="257">
        <f t="shared" si="24"/>
        <v>0</v>
      </c>
      <c r="Q122" s="4">
        <v>1</v>
      </c>
      <c r="R122" s="257">
        <f t="shared" si="25"/>
        <v>14.285714285714285</v>
      </c>
      <c r="T122" s="4">
        <v>1</v>
      </c>
      <c r="U122" s="257">
        <f t="shared" si="26"/>
        <v>14.285714285714285</v>
      </c>
      <c r="V122" s="4">
        <v>1</v>
      </c>
      <c r="W122" s="257"/>
      <c r="X122" s="453"/>
    </row>
    <row r="123" spans="1:24" ht="6.75" customHeight="1">
      <c r="A123" s="4"/>
      <c r="B123" s="106" t="str">
        <f t="shared" si="19"/>
        <v/>
      </c>
      <c r="C123" s="257" t="str">
        <f t="shared" si="29"/>
        <v/>
      </c>
      <c r="E123" s="106"/>
      <c r="F123" s="257" t="str">
        <f t="shared" si="20"/>
        <v/>
      </c>
      <c r="H123" s="257" t="str">
        <f t="shared" si="21"/>
        <v/>
      </c>
      <c r="J123" s="106"/>
      <c r="K123" s="257" t="str">
        <f t="shared" si="22"/>
        <v/>
      </c>
      <c r="L123" s="106"/>
      <c r="M123" s="257" t="str">
        <f t="shared" si="23"/>
        <v/>
      </c>
      <c r="O123" s="106"/>
      <c r="P123" s="257" t="str">
        <f t="shared" si="24"/>
        <v/>
      </c>
      <c r="Q123" s="106"/>
      <c r="R123" s="257" t="str">
        <f t="shared" si="25"/>
        <v/>
      </c>
      <c r="T123" s="106"/>
      <c r="U123" s="257" t="str">
        <f t="shared" si="26"/>
        <v/>
      </c>
      <c r="V123" s="106"/>
      <c r="W123" s="257" t="str">
        <f t="shared" si="27"/>
        <v/>
      </c>
      <c r="X123" s="453"/>
    </row>
    <row r="124" spans="1:24">
      <c r="A124" s="9" t="s">
        <v>1279</v>
      </c>
      <c r="B124" s="106">
        <f t="shared" si="19"/>
        <v>496</v>
      </c>
      <c r="C124" s="257">
        <f t="shared" si="29"/>
        <v>27.740492170022375</v>
      </c>
      <c r="E124" s="325">
        <f>SUM(E126+E134+E203)</f>
        <v>68</v>
      </c>
      <c r="F124" s="257">
        <f t="shared" si="20"/>
        <v>13.709677419354838</v>
      </c>
      <c r="G124" s="325">
        <f>SUM(G126+G134+G203)</f>
        <v>50</v>
      </c>
      <c r="H124" s="257">
        <f t="shared" si="21"/>
        <v>10.080645161290322</v>
      </c>
      <c r="J124" s="325">
        <f>SUM(J126+J134+J203)</f>
        <v>73</v>
      </c>
      <c r="K124" s="257">
        <f t="shared" si="22"/>
        <v>14.717741935483872</v>
      </c>
      <c r="L124" s="106">
        <f>SUM(L126+L134+L203)</f>
        <v>81</v>
      </c>
      <c r="M124" s="257">
        <f t="shared" si="23"/>
        <v>16.33064516129032</v>
      </c>
      <c r="O124" s="106">
        <f>SUM(O126+O134+O203)</f>
        <v>58</v>
      </c>
      <c r="P124" s="257">
        <f t="shared" si="24"/>
        <v>11.693548387096774</v>
      </c>
      <c r="Q124" s="106">
        <f>SUM(Q126+Q134+Q203)</f>
        <v>72</v>
      </c>
      <c r="R124" s="257">
        <f t="shared" si="25"/>
        <v>14.516129032258066</v>
      </c>
      <c r="T124" s="106">
        <f>SUM(T126+T134+T203)</f>
        <v>57</v>
      </c>
      <c r="U124" s="257">
        <f t="shared" si="26"/>
        <v>11.491935483870968</v>
      </c>
      <c r="V124" s="106">
        <f>SUM(V126+V134+V203)</f>
        <v>37</v>
      </c>
      <c r="W124" s="257">
        <f t="shared" si="27"/>
        <v>7.459677419354839</v>
      </c>
      <c r="X124" s="453"/>
    </row>
    <row r="125" spans="1:24" ht="6.75" customHeight="1">
      <c r="A125" s="4"/>
      <c r="B125" s="106" t="str">
        <f t="shared" si="19"/>
        <v/>
      </c>
      <c r="C125" s="257" t="str">
        <f t="shared" si="29"/>
        <v/>
      </c>
      <c r="E125" s="106"/>
      <c r="F125" s="257" t="str">
        <f t="shared" si="20"/>
        <v/>
      </c>
      <c r="H125" s="257" t="str">
        <f t="shared" si="21"/>
        <v/>
      </c>
      <c r="J125" s="106"/>
      <c r="K125" s="257" t="str">
        <f t="shared" si="22"/>
        <v/>
      </c>
      <c r="L125" s="106"/>
      <c r="M125" s="257" t="str">
        <f t="shared" si="23"/>
        <v/>
      </c>
      <c r="O125" s="106"/>
      <c r="P125" s="257" t="str">
        <f t="shared" si="24"/>
        <v/>
      </c>
      <c r="Q125" s="106"/>
      <c r="R125" s="257" t="str">
        <f t="shared" si="25"/>
        <v/>
      </c>
      <c r="T125" s="106"/>
      <c r="U125" s="257" t="str">
        <f t="shared" si="26"/>
        <v/>
      </c>
      <c r="V125" s="106"/>
      <c r="W125" s="257" t="str">
        <f t="shared" si="27"/>
        <v/>
      </c>
      <c r="X125" s="453"/>
    </row>
    <row r="126" spans="1:24">
      <c r="A126" s="4" t="s">
        <v>1159</v>
      </c>
      <c r="B126" s="106">
        <f t="shared" si="19"/>
        <v>54</v>
      </c>
      <c r="C126" s="257">
        <f t="shared" si="29"/>
        <v>3.0201342281879198</v>
      </c>
      <c r="E126" s="325">
        <f>SUM(E127:E132)</f>
        <v>5</v>
      </c>
      <c r="F126" s="257">
        <f t="shared" si="20"/>
        <v>9.2592592592592595</v>
      </c>
      <c r="G126" s="325">
        <f>SUM(G127:G132)</f>
        <v>4</v>
      </c>
      <c r="H126" s="257">
        <f t="shared" si="21"/>
        <v>7.4074074074074066</v>
      </c>
      <c r="J126" s="325">
        <f>SUM(J127:J132)</f>
        <v>13</v>
      </c>
      <c r="K126" s="257">
        <f t="shared" si="22"/>
        <v>24.074074074074073</v>
      </c>
      <c r="L126" s="325">
        <f>SUM(L127:L132)</f>
        <v>3</v>
      </c>
      <c r="M126" s="257">
        <f t="shared" si="23"/>
        <v>5.5555555555555554</v>
      </c>
      <c r="O126" s="325">
        <f>SUM(O127:O132)</f>
        <v>12</v>
      </c>
      <c r="P126" s="257">
        <f t="shared" si="24"/>
        <v>22.222222222222221</v>
      </c>
      <c r="Q126" s="325">
        <f>SUM(Q127:Q132)</f>
        <v>4</v>
      </c>
      <c r="R126" s="257">
        <f t="shared" si="25"/>
        <v>7.4074074074074066</v>
      </c>
      <c r="T126" s="325">
        <f>SUM(T127:T132)</f>
        <v>12</v>
      </c>
      <c r="U126" s="257">
        <f t="shared" si="26"/>
        <v>22.222222222222221</v>
      </c>
      <c r="V126" s="325">
        <f>SUM(V127:V132)</f>
        <v>1</v>
      </c>
      <c r="W126" s="257">
        <f t="shared" si="27"/>
        <v>1.8518518518518516</v>
      </c>
      <c r="X126" s="453"/>
    </row>
    <row r="127" spans="1:24">
      <c r="A127" s="4" t="s">
        <v>1160</v>
      </c>
      <c r="B127" s="106">
        <f t="shared" si="19"/>
        <v>4</v>
      </c>
      <c r="C127" s="257">
        <f t="shared" si="29"/>
        <v>0.22371364653243847</v>
      </c>
      <c r="E127" s="4">
        <v>0</v>
      </c>
      <c r="F127" s="257">
        <f t="shared" si="20"/>
        <v>0</v>
      </c>
      <c r="G127" s="4">
        <v>0</v>
      </c>
      <c r="H127" s="257">
        <f t="shared" si="21"/>
        <v>0</v>
      </c>
      <c r="J127" s="4">
        <v>1</v>
      </c>
      <c r="K127" s="257">
        <f t="shared" si="22"/>
        <v>25</v>
      </c>
      <c r="L127" s="4">
        <v>1</v>
      </c>
      <c r="M127" s="257">
        <f t="shared" si="23"/>
        <v>25</v>
      </c>
      <c r="O127" s="4">
        <v>1</v>
      </c>
      <c r="P127" s="257">
        <f t="shared" si="24"/>
        <v>25</v>
      </c>
      <c r="Q127" s="4">
        <v>0</v>
      </c>
      <c r="R127" s="257">
        <f t="shared" si="25"/>
        <v>0</v>
      </c>
      <c r="T127" s="4">
        <v>1</v>
      </c>
      <c r="U127" s="257">
        <f t="shared" si="26"/>
        <v>25</v>
      </c>
      <c r="V127" s="4">
        <v>0</v>
      </c>
      <c r="W127" s="257">
        <f t="shared" si="27"/>
        <v>0</v>
      </c>
      <c r="X127" s="453"/>
    </row>
    <row r="128" spans="1:24">
      <c r="A128" s="4" t="s">
        <v>1161</v>
      </c>
      <c r="B128" s="106">
        <f t="shared" si="19"/>
        <v>16</v>
      </c>
      <c r="C128" s="257">
        <f t="shared" si="29"/>
        <v>0.89485458612975388</v>
      </c>
      <c r="E128" s="4">
        <v>0</v>
      </c>
      <c r="F128" s="257">
        <f t="shared" si="20"/>
        <v>0</v>
      </c>
      <c r="G128" s="4">
        <v>1</v>
      </c>
      <c r="H128" s="257">
        <f t="shared" si="21"/>
        <v>6.25</v>
      </c>
      <c r="J128" s="4">
        <v>6</v>
      </c>
      <c r="K128" s="257">
        <f t="shared" si="22"/>
        <v>37.5</v>
      </c>
      <c r="L128" s="4">
        <v>1</v>
      </c>
      <c r="M128" s="257">
        <f t="shared" si="23"/>
        <v>6.25</v>
      </c>
      <c r="O128" s="4">
        <v>3</v>
      </c>
      <c r="P128" s="257">
        <f t="shared" si="24"/>
        <v>18.75</v>
      </c>
      <c r="Q128" s="4">
        <v>1</v>
      </c>
      <c r="R128" s="257">
        <f t="shared" si="25"/>
        <v>6.25</v>
      </c>
      <c r="T128" s="4">
        <v>4</v>
      </c>
      <c r="U128" s="257">
        <f t="shared" si="26"/>
        <v>25</v>
      </c>
      <c r="V128" s="4">
        <v>0</v>
      </c>
      <c r="W128" s="257">
        <f t="shared" si="27"/>
        <v>0</v>
      </c>
      <c r="X128" s="453"/>
    </row>
    <row r="129" spans="1:24">
      <c r="A129" s="4" t="s">
        <v>1162</v>
      </c>
      <c r="B129" s="106">
        <f t="shared" si="19"/>
        <v>4</v>
      </c>
      <c r="C129" s="257">
        <f t="shared" si="29"/>
        <v>0.22371364653243847</v>
      </c>
      <c r="E129" s="4">
        <v>2</v>
      </c>
      <c r="F129" s="257">
        <f t="shared" si="20"/>
        <v>50</v>
      </c>
      <c r="G129" s="4">
        <v>0</v>
      </c>
      <c r="H129" s="257">
        <f t="shared" si="21"/>
        <v>0</v>
      </c>
      <c r="J129" s="4">
        <v>0</v>
      </c>
      <c r="K129" s="257">
        <f t="shared" si="22"/>
        <v>0</v>
      </c>
      <c r="L129" s="4">
        <v>0</v>
      </c>
      <c r="M129" s="257">
        <f t="shared" si="23"/>
        <v>0</v>
      </c>
      <c r="O129" s="4">
        <v>0</v>
      </c>
      <c r="P129" s="257">
        <f t="shared" si="24"/>
        <v>0</v>
      </c>
      <c r="Q129" s="4">
        <v>0</v>
      </c>
      <c r="R129" s="257">
        <f t="shared" si="25"/>
        <v>0</v>
      </c>
      <c r="T129" s="4">
        <v>1</v>
      </c>
      <c r="U129" s="257">
        <f t="shared" si="26"/>
        <v>25</v>
      </c>
      <c r="V129" s="4">
        <v>1</v>
      </c>
      <c r="W129" s="257">
        <f t="shared" si="27"/>
        <v>25</v>
      </c>
      <c r="X129" s="453"/>
    </row>
    <row r="130" spans="1:24">
      <c r="A130" s="4" t="s">
        <v>491</v>
      </c>
      <c r="B130" s="106">
        <f t="shared" si="19"/>
        <v>9</v>
      </c>
      <c r="C130" s="257">
        <f t="shared" si="29"/>
        <v>0.50335570469798652</v>
      </c>
      <c r="E130" s="4">
        <v>1</v>
      </c>
      <c r="F130" s="257">
        <f t="shared" si="20"/>
        <v>11.111111111111111</v>
      </c>
      <c r="G130" s="4">
        <v>3</v>
      </c>
      <c r="H130" s="257">
        <f t="shared" si="21"/>
        <v>33.333333333333329</v>
      </c>
      <c r="J130" s="4">
        <v>0</v>
      </c>
      <c r="K130" s="257">
        <f t="shared" si="22"/>
        <v>0</v>
      </c>
      <c r="L130" s="4">
        <v>0</v>
      </c>
      <c r="M130" s="257">
        <f t="shared" si="23"/>
        <v>0</v>
      </c>
      <c r="O130" s="4">
        <v>3</v>
      </c>
      <c r="P130" s="257">
        <f t="shared" si="24"/>
        <v>33.333333333333329</v>
      </c>
      <c r="Q130" s="4">
        <v>0</v>
      </c>
      <c r="R130" s="257">
        <f t="shared" si="25"/>
        <v>0</v>
      </c>
      <c r="T130" s="4">
        <v>2</v>
      </c>
      <c r="U130" s="257">
        <f t="shared" si="26"/>
        <v>22.222222222222221</v>
      </c>
      <c r="V130" s="4">
        <v>0</v>
      </c>
      <c r="W130" s="257">
        <f t="shared" si="27"/>
        <v>0</v>
      </c>
      <c r="X130" s="453"/>
    </row>
    <row r="131" spans="1:24" hidden="1">
      <c r="A131" s="4" t="s">
        <v>1253</v>
      </c>
      <c r="B131" s="106">
        <f t="shared" si="19"/>
        <v>0</v>
      </c>
      <c r="C131" s="257">
        <f t="shared" si="29"/>
        <v>0</v>
      </c>
      <c r="F131" s="257" t="e">
        <f t="shared" si="20"/>
        <v>#DIV/0!</v>
      </c>
      <c r="G131" s="4"/>
      <c r="H131" s="257" t="e">
        <f t="shared" si="21"/>
        <v>#DIV/0!</v>
      </c>
      <c r="K131" s="257" t="e">
        <f t="shared" si="22"/>
        <v>#DIV/0!</v>
      </c>
      <c r="L131" s="4"/>
      <c r="M131" s="257" t="e">
        <f t="shared" si="23"/>
        <v>#DIV/0!</v>
      </c>
      <c r="P131" s="257" t="e">
        <f t="shared" si="24"/>
        <v>#DIV/0!</v>
      </c>
      <c r="R131" s="257" t="e">
        <f t="shared" si="25"/>
        <v>#DIV/0!</v>
      </c>
      <c r="U131" s="257" t="e">
        <f t="shared" si="26"/>
        <v>#DIV/0!</v>
      </c>
      <c r="W131" s="257" t="e">
        <f t="shared" si="27"/>
        <v>#DIV/0!</v>
      </c>
      <c r="X131" s="453"/>
    </row>
    <row r="132" spans="1:24">
      <c r="A132" s="4" t="s">
        <v>1263</v>
      </c>
      <c r="B132" s="106">
        <f>IF(A132&lt;&gt;"",E132+G132+J132+L132+O132+Q132+T132+V132,"")</f>
        <v>21</v>
      </c>
      <c r="C132" s="257">
        <f>IF(A132&lt;&gt;0,B132/$B$13*100,"")</f>
        <v>1.174496644295302</v>
      </c>
      <c r="E132" s="4">
        <v>2</v>
      </c>
      <c r="F132" s="257">
        <f t="shared" si="20"/>
        <v>9.5238095238095237</v>
      </c>
      <c r="G132" s="4">
        <v>0</v>
      </c>
      <c r="H132" s="257">
        <f t="shared" si="21"/>
        <v>0</v>
      </c>
      <c r="J132" s="4">
        <v>6</v>
      </c>
      <c r="K132" s="257">
        <f t="shared" si="22"/>
        <v>28.571428571428569</v>
      </c>
      <c r="L132" s="4">
        <v>1</v>
      </c>
      <c r="M132" s="257">
        <f t="shared" si="23"/>
        <v>4.7619047619047619</v>
      </c>
      <c r="O132" s="4">
        <v>5</v>
      </c>
      <c r="P132" s="257">
        <f t="shared" si="24"/>
        <v>23.809523809523807</v>
      </c>
      <c r="Q132" s="4">
        <v>3</v>
      </c>
      <c r="R132" s="257">
        <f t="shared" si="25"/>
        <v>14.285714285714285</v>
      </c>
      <c r="T132" s="4">
        <v>4</v>
      </c>
      <c r="U132" s="257">
        <f t="shared" si="26"/>
        <v>19.047619047619047</v>
      </c>
      <c r="V132" s="4">
        <v>0</v>
      </c>
      <c r="W132" s="257">
        <f>IF($A132&lt;&gt;"",V132/$B132*100,"")</f>
        <v>0</v>
      </c>
      <c r="X132" s="453"/>
    </row>
    <row r="133" spans="1:24" ht="6.75" customHeight="1">
      <c r="A133" s="4"/>
      <c r="B133" s="106" t="str">
        <f t="shared" si="19"/>
        <v/>
      </c>
      <c r="C133" s="257" t="str">
        <f t="shared" si="29"/>
        <v/>
      </c>
      <c r="E133" s="106"/>
      <c r="F133" s="257" t="str">
        <f t="shared" si="20"/>
        <v/>
      </c>
      <c r="H133" s="257" t="str">
        <f t="shared" si="21"/>
        <v/>
      </c>
      <c r="J133" s="106"/>
      <c r="K133" s="257" t="str">
        <f t="shared" si="22"/>
        <v/>
      </c>
      <c r="L133" s="106"/>
      <c r="M133" s="257" t="str">
        <f t="shared" si="23"/>
        <v/>
      </c>
      <c r="O133" s="106"/>
      <c r="P133" s="257" t="str">
        <f t="shared" si="24"/>
        <v/>
      </c>
      <c r="Q133" s="106"/>
      <c r="R133" s="257" t="str">
        <f t="shared" si="25"/>
        <v/>
      </c>
      <c r="T133" s="106"/>
      <c r="U133" s="257" t="str">
        <f t="shared" si="26"/>
        <v/>
      </c>
      <c r="V133" s="106"/>
      <c r="W133" s="257" t="str">
        <f t="shared" si="27"/>
        <v/>
      </c>
    </row>
    <row r="134" spans="1:24">
      <c r="A134" s="4" t="s">
        <v>2138</v>
      </c>
      <c r="B134" s="106">
        <f t="shared" si="19"/>
        <v>438</v>
      </c>
      <c r="C134" s="257">
        <f t="shared" si="29"/>
        <v>24.496644295302016</v>
      </c>
      <c r="E134" s="107">
        <f>SUM(E135:E201)</f>
        <v>63</v>
      </c>
      <c r="F134" s="257">
        <f t="shared" si="20"/>
        <v>14.383561643835616</v>
      </c>
      <c r="G134" s="106">
        <f>SUM(G135:G201)</f>
        <v>46</v>
      </c>
      <c r="H134" s="257">
        <f t="shared" si="21"/>
        <v>10.50228310502283</v>
      </c>
      <c r="J134" s="106">
        <f>SUM(J135:J201)</f>
        <v>60</v>
      </c>
      <c r="K134" s="257">
        <f t="shared" si="22"/>
        <v>13.698630136986301</v>
      </c>
      <c r="L134" s="106">
        <f>SUM(L135:L201)</f>
        <v>77</v>
      </c>
      <c r="M134" s="257">
        <f t="shared" si="23"/>
        <v>17.579908675799086</v>
      </c>
      <c r="O134" s="106">
        <f>SUM(O135:O201)</f>
        <v>46</v>
      </c>
      <c r="P134" s="257">
        <f t="shared" si="24"/>
        <v>10.50228310502283</v>
      </c>
      <c r="Q134" s="106">
        <f>SUM(Q135:Q201)</f>
        <v>65</v>
      </c>
      <c r="R134" s="257">
        <f t="shared" si="25"/>
        <v>14.840182648401825</v>
      </c>
      <c r="T134" s="106">
        <f>SUM(T135:T201)</f>
        <v>45</v>
      </c>
      <c r="U134" s="257">
        <f t="shared" si="26"/>
        <v>10.273972602739725</v>
      </c>
      <c r="V134" s="106">
        <f>SUM(V135:V201)</f>
        <v>36</v>
      </c>
      <c r="W134" s="257">
        <f t="shared" si="27"/>
        <v>8.2191780821917799</v>
      </c>
      <c r="X134" s="453"/>
    </row>
    <row r="135" spans="1:24">
      <c r="A135" s="4" t="s">
        <v>1165</v>
      </c>
      <c r="B135" s="106">
        <f t="shared" si="19"/>
        <v>1</v>
      </c>
      <c r="C135" s="257">
        <f t="shared" si="29"/>
        <v>5.5928411633109618E-2</v>
      </c>
      <c r="E135" s="4">
        <v>0</v>
      </c>
      <c r="F135" s="257">
        <f t="shared" si="20"/>
        <v>0</v>
      </c>
      <c r="G135" s="4">
        <v>0</v>
      </c>
      <c r="H135" s="257">
        <f t="shared" si="21"/>
        <v>0</v>
      </c>
      <c r="J135" s="4">
        <v>0</v>
      </c>
      <c r="K135" s="257">
        <f t="shared" si="22"/>
        <v>0</v>
      </c>
      <c r="L135" s="4">
        <v>0</v>
      </c>
      <c r="M135" s="257">
        <f t="shared" si="23"/>
        <v>0</v>
      </c>
      <c r="O135" s="4">
        <v>1</v>
      </c>
      <c r="P135" s="257">
        <f t="shared" si="24"/>
        <v>100</v>
      </c>
      <c r="Q135" s="4">
        <v>0</v>
      </c>
      <c r="R135" s="257">
        <f t="shared" si="25"/>
        <v>0</v>
      </c>
      <c r="T135" s="4">
        <v>0</v>
      </c>
      <c r="U135" s="257">
        <f t="shared" si="26"/>
        <v>0</v>
      </c>
      <c r="V135" s="4">
        <v>0</v>
      </c>
      <c r="W135" s="257">
        <f t="shared" si="27"/>
        <v>0</v>
      </c>
      <c r="X135" s="453"/>
    </row>
    <row r="136" spans="1:24">
      <c r="A136" s="4" t="s">
        <v>1166</v>
      </c>
      <c r="B136" s="106">
        <f t="shared" si="19"/>
        <v>2</v>
      </c>
      <c r="C136" s="257">
        <f t="shared" si="29"/>
        <v>0.11185682326621924</v>
      </c>
      <c r="E136" s="4">
        <v>0</v>
      </c>
      <c r="F136" s="257">
        <f t="shared" si="20"/>
        <v>0</v>
      </c>
      <c r="G136" s="4">
        <v>0</v>
      </c>
      <c r="H136" s="257">
        <f t="shared" si="21"/>
        <v>0</v>
      </c>
      <c r="J136" s="4">
        <v>1</v>
      </c>
      <c r="K136" s="257">
        <f t="shared" si="22"/>
        <v>50</v>
      </c>
      <c r="L136" s="4">
        <v>0</v>
      </c>
      <c r="M136" s="257">
        <f t="shared" si="23"/>
        <v>0</v>
      </c>
      <c r="O136" s="4">
        <v>0</v>
      </c>
      <c r="P136" s="257">
        <f t="shared" si="24"/>
        <v>0</v>
      </c>
      <c r="Q136" s="4">
        <v>0</v>
      </c>
      <c r="R136" s="257">
        <f t="shared" si="25"/>
        <v>0</v>
      </c>
      <c r="T136" s="4">
        <v>1</v>
      </c>
      <c r="U136" s="257">
        <f t="shared" si="26"/>
        <v>50</v>
      </c>
      <c r="V136" s="4">
        <v>0</v>
      </c>
      <c r="W136" s="257">
        <f t="shared" si="27"/>
        <v>0</v>
      </c>
      <c r="X136" s="453"/>
    </row>
    <row r="137" spans="1:24">
      <c r="A137" s="4" t="s">
        <v>1169</v>
      </c>
      <c r="B137" s="106">
        <f t="shared" si="19"/>
        <v>15</v>
      </c>
      <c r="C137" s="257">
        <f t="shared" si="29"/>
        <v>0.83892617449664431</v>
      </c>
      <c r="E137" s="4">
        <v>2</v>
      </c>
      <c r="F137" s="257">
        <f t="shared" si="20"/>
        <v>13.333333333333334</v>
      </c>
      <c r="G137" s="4">
        <v>0</v>
      </c>
      <c r="H137" s="257">
        <f t="shared" si="21"/>
        <v>0</v>
      </c>
      <c r="J137" s="4">
        <v>4</v>
      </c>
      <c r="K137" s="257">
        <f t="shared" si="22"/>
        <v>26.666666666666668</v>
      </c>
      <c r="L137" s="4">
        <v>2</v>
      </c>
      <c r="M137" s="257">
        <f t="shared" si="23"/>
        <v>13.333333333333334</v>
      </c>
      <c r="O137" s="4">
        <v>2</v>
      </c>
      <c r="P137" s="257">
        <f t="shared" si="24"/>
        <v>13.333333333333334</v>
      </c>
      <c r="Q137" s="4">
        <v>3</v>
      </c>
      <c r="R137" s="257">
        <f t="shared" si="25"/>
        <v>20</v>
      </c>
      <c r="T137" s="4">
        <v>1</v>
      </c>
      <c r="U137" s="257">
        <f t="shared" si="26"/>
        <v>6.666666666666667</v>
      </c>
      <c r="V137" s="4">
        <v>1</v>
      </c>
      <c r="W137" s="257">
        <f t="shared" si="27"/>
        <v>6.666666666666667</v>
      </c>
      <c r="X137" s="453"/>
    </row>
    <row r="138" spans="1:24">
      <c r="A138" s="4" t="s">
        <v>1171</v>
      </c>
      <c r="B138" s="106">
        <f t="shared" si="19"/>
        <v>33</v>
      </c>
      <c r="C138" s="257">
        <f t="shared" si="29"/>
        <v>1.8456375838926176</v>
      </c>
      <c r="E138" s="4">
        <v>4</v>
      </c>
      <c r="F138" s="257">
        <f t="shared" si="20"/>
        <v>12.121212121212121</v>
      </c>
      <c r="G138" s="4">
        <v>4</v>
      </c>
      <c r="H138" s="257">
        <f t="shared" si="21"/>
        <v>12.121212121212121</v>
      </c>
      <c r="J138" s="4">
        <v>3</v>
      </c>
      <c r="K138" s="257">
        <f t="shared" si="22"/>
        <v>9.0909090909090917</v>
      </c>
      <c r="L138" s="4">
        <v>4</v>
      </c>
      <c r="M138" s="257">
        <f t="shared" si="23"/>
        <v>12.121212121212121</v>
      </c>
      <c r="O138" s="4">
        <v>2</v>
      </c>
      <c r="P138" s="257">
        <f t="shared" si="24"/>
        <v>6.0606060606060606</v>
      </c>
      <c r="Q138" s="4">
        <v>12</v>
      </c>
      <c r="R138" s="257">
        <f t="shared" si="25"/>
        <v>36.363636363636367</v>
      </c>
      <c r="T138" s="4">
        <v>4</v>
      </c>
      <c r="U138" s="257">
        <f t="shared" si="26"/>
        <v>12.121212121212121</v>
      </c>
      <c r="V138" s="4">
        <v>0</v>
      </c>
      <c r="W138" s="257">
        <f t="shared" si="27"/>
        <v>0</v>
      </c>
      <c r="X138" s="453"/>
    </row>
    <row r="139" spans="1:24">
      <c r="A139" s="4" t="s">
        <v>1172</v>
      </c>
      <c r="B139" s="106">
        <f t="shared" si="19"/>
        <v>30</v>
      </c>
      <c r="C139" s="257">
        <f t="shared" si="29"/>
        <v>1.6778523489932886</v>
      </c>
      <c r="E139" s="4">
        <v>6</v>
      </c>
      <c r="F139" s="257">
        <f t="shared" si="20"/>
        <v>20</v>
      </c>
      <c r="G139" s="4">
        <v>3</v>
      </c>
      <c r="H139" s="257">
        <f t="shared" si="21"/>
        <v>10</v>
      </c>
      <c r="J139" s="4">
        <v>7</v>
      </c>
      <c r="K139" s="257">
        <f t="shared" si="22"/>
        <v>23.333333333333332</v>
      </c>
      <c r="L139" s="4">
        <v>6</v>
      </c>
      <c r="M139" s="257">
        <f t="shared" si="23"/>
        <v>20</v>
      </c>
      <c r="O139" s="4">
        <v>1</v>
      </c>
      <c r="P139" s="257">
        <f t="shared" si="24"/>
        <v>3.3333333333333335</v>
      </c>
      <c r="Q139" s="4">
        <v>4</v>
      </c>
      <c r="R139" s="257">
        <f t="shared" si="25"/>
        <v>13.333333333333334</v>
      </c>
      <c r="T139" s="4">
        <v>1</v>
      </c>
      <c r="U139" s="257">
        <f t="shared" si="26"/>
        <v>3.3333333333333335</v>
      </c>
      <c r="V139" s="4">
        <v>2</v>
      </c>
      <c r="W139" s="257">
        <f t="shared" si="27"/>
        <v>6.666666666666667</v>
      </c>
      <c r="X139" s="453"/>
    </row>
    <row r="140" spans="1:24">
      <c r="A140" s="4" t="s">
        <v>1256</v>
      </c>
      <c r="B140" s="106">
        <f t="shared" si="19"/>
        <v>1</v>
      </c>
      <c r="C140" s="257">
        <f t="shared" si="29"/>
        <v>5.5928411633109618E-2</v>
      </c>
      <c r="E140" s="4">
        <v>0</v>
      </c>
      <c r="F140" s="257">
        <f t="shared" si="20"/>
        <v>0</v>
      </c>
      <c r="G140" s="4">
        <v>0</v>
      </c>
      <c r="H140" s="257">
        <f t="shared" si="21"/>
        <v>0</v>
      </c>
      <c r="J140" s="4">
        <v>0</v>
      </c>
      <c r="K140" s="257">
        <f t="shared" si="22"/>
        <v>0</v>
      </c>
      <c r="L140" s="4">
        <v>0</v>
      </c>
      <c r="M140" s="257">
        <f t="shared" si="23"/>
        <v>0</v>
      </c>
      <c r="O140" s="4">
        <v>1</v>
      </c>
      <c r="P140" s="257">
        <f t="shared" si="24"/>
        <v>100</v>
      </c>
      <c r="Q140" s="4">
        <v>0</v>
      </c>
      <c r="R140" s="257">
        <f t="shared" si="25"/>
        <v>0</v>
      </c>
      <c r="T140" s="4">
        <v>0</v>
      </c>
      <c r="U140" s="257">
        <f t="shared" si="26"/>
        <v>0</v>
      </c>
      <c r="V140" s="4">
        <v>0</v>
      </c>
      <c r="W140" s="257">
        <f t="shared" si="27"/>
        <v>0</v>
      </c>
      <c r="X140" s="453"/>
    </row>
    <row r="141" spans="1:24">
      <c r="A141" s="4" t="s">
        <v>1173</v>
      </c>
      <c r="B141" s="106">
        <f t="shared" si="19"/>
        <v>1</v>
      </c>
      <c r="C141" s="257">
        <f t="shared" si="29"/>
        <v>5.5928411633109618E-2</v>
      </c>
      <c r="E141" s="4">
        <v>0</v>
      </c>
      <c r="F141" s="257">
        <f t="shared" si="20"/>
        <v>0</v>
      </c>
      <c r="G141" s="4">
        <v>1</v>
      </c>
      <c r="H141" s="257">
        <f t="shared" si="21"/>
        <v>100</v>
      </c>
      <c r="J141" s="4">
        <v>0</v>
      </c>
      <c r="K141" s="257">
        <f t="shared" si="22"/>
        <v>0</v>
      </c>
      <c r="L141" s="4">
        <v>0</v>
      </c>
      <c r="M141" s="257">
        <f t="shared" si="23"/>
        <v>0</v>
      </c>
      <c r="O141" s="4">
        <v>0</v>
      </c>
      <c r="P141" s="257">
        <f t="shared" si="24"/>
        <v>0</v>
      </c>
      <c r="Q141" s="4">
        <v>0</v>
      </c>
      <c r="R141" s="257">
        <f t="shared" si="25"/>
        <v>0</v>
      </c>
      <c r="T141" s="4">
        <v>0</v>
      </c>
      <c r="U141" s="257">
        <f t="shared" si="26"/>
        <v>0</v>
      </c>
      <c r="V141" s="4">
        <v>0</v>
      </c>
      <c r="W141" s="257">
        <f t="shared" si="27"/>
        <v>0</v>
      </c>
      <c r="X141" s="453"/>
    </row>
    <row r="142" spans="1:24">
      <c r="A142" s="4" t="s">
        <v>1174</v>
      </c>
      <c r="B142" s="106">
        <f t="shared" si="19"/>
        <v>1</v>
      </c>
      <c r="C142" s="257">
        <f t="shared" si="29"/>
        <v>5.5928411633109618E-2</v>
      </c>
      <c r="E142" s="4">
        <v>0</v>
      </c>
      <c r="F142" s="257">
        <f t="shared" si="20"/>
        <v>0</v>
      </c>
      <c r="G142" s="4">
        <v>0</v>
      </c>
      <c r="H142" s="257">
        <f t="shared" si="21"/>
        <v>0</v>
      </c>
      <c r="J142" s="4">
        <v>0</v>
      </c>
      <c r="K142" s="257">
        <f t="shared" si="22"/>
        <v>0</v>
      </c>
      <c r="L142" s="4">
        <v>0</v>
      </c>
      <c r="M142" s="257">
        <f t="shared" si="23"/>
        <v>0</v>
      </c>
      <c r="O142" s="4">
        <v>0</v>
      </c>
      <c r="P142" s="257">
        <f t="shared" si="24"/>
        <v>0</v>
      </c>
      <c r="Q142" s="4">
        <v>0</v>
      </c>
      <c r="R142" s="257">
        <f t="shared" si="25"/>
        <v>0</v>
      </c>
      <c r="T142" s="4">
        <v>1</v>
      </c>
      <c r="U142" s="257">
        <f t="shared" si="26"/>
        <v>100</v>
      </c>
      <c r="V142" s="4">
        <v>0</v>
      </c>
      <c r="W142" s="257">
        <f t="shared" si="27"/>
        <v>0</v>
      </c>
      <c r="X142" s="453"/>
    </row>
    <row r="143" spans="1:24">
      <c r="A143" s="4" t="s">
        <v>1257</v>
      </c>
      <c r="B143" s="106">
        <f t="shared" si="19"/>
        <v>3</v>
      </c>
      <c r="C143" s="257">
        <f t="shared" si="29"/>
        <v>0.16778523489932887</v>
      </c>
      <c r="E143" s="4">
        <v>0</v>
      </c>
      <c r="F143" s="257">
        <f t="shared" si="20"/>
        <v>0</v>
      </c>
      <c r="G143" s="4">
        <v>0</v>
      </c>
      <c r="H143" s="257">
        <f t="shared" si="21"/>
        <v>0</v>
      </c>
      <c r="J143" s="4">
        <v>0</v>
      </c>
      <c r="K143" s="257">
        <f t="shared" si="22"/>
        <v>0</v>
      </c>
      <c r="L143" s="4">
        <v>0</v>
      </c>
      <c r="M143" s="257">
        <f t="shared" si="23"/>
        <v>0</v>
      </c>
      <c r="O143" s="4">
        <v>1</v>
      </c>
      <c r="P143" s="257">
        <f t="shared" si="24"/>
        <v>33.333333333333329</v>
      </c>
      <c r="Q143" s="4">
        <v>2</v>
      </c>
      <c r="R143" s="257">
        <f t="shared" si="25"/>
        <v>66.666666666666657</v>
      </c>
      <c r="T143" s="4">
        <v>0</v>
      </c>
      <c r="U143" s="257">
        <f t="shared" si="26"/>
        <v>0</v>
      </c>
      <c r="V143" s="4">
        <v>0</v>
      </c>
      <c r="W143" s="257">
        <f t="shared" si="27"/>
        <v>0</v>
      </c>
      <c r="X143" s="453"/>
    </row>
    <row r="144" spans="1:24">
      <c r="A144" s="4" t="s">
        <v>1280</v>
      </c>
      <c r="B144" s="106">
        <f t="shared" si="19"/>
        <v>1</v>
      </c>
      <c r="C144" s="257">
        <f t="shared" si="29"/>
        <v>5.5928411633109618E-2</v>
      </c>
      <c r="E144" s="4">
        <v>0</v>
      </c>
      <c r="F144" s="257">
        <f t="shared" si="20"/>
        <v>0</v>
      </c>
      <c r="G144" s="4">
        <v>0</v>
      </c>
      <c r="H144" s="257">
        <f t="shared" si="21"/>
        <v>0</v>
      </c>
      <c r="J144" s="4">
        <v>0</v>
      </c>
      <c r="K144" s="257">
        <f t="shared" si="22"/>
        <v>0</v>
      </c>
      <c r="L144" s="4">
        <v>0</v>
      </c>
      <c r="M144" s="257">
        <f t="shared" si="23"/>
        <v>0</v>
      </c>
      <c r="O144" s="4">
        <v>1</v>
      </c>
      <c r="P144" s="257">
        <f t="shared" si="24"/>
        <v>100</v>
      </c>
      <c r="Q144" s="4">
        <v>0</v>
      </c>
      <c r="R144" s="257">
        <f t="shared" si="25"/>
        <v>0</v>
      </c>
      <c r="T144" s="4">
        <v>0</v>
      </c>
      <c r="U144" s="257">
        <f t="shared" si="26"/>
        <v>0</v>
      </c>
      <c r="V144" s="4">
        <v>0</v>
      </c>
      <c r="W144" s="257"/>
      <c r="X144" s="453"/>
    </row>
    <row r="145" spans="1:24" hidden="1">
      <c r="A145" s="4" t="s">
        <v>1177</v>
      </c>
      <c r="B145" s="106">
        <f t="shared" si="19"/>
        <v>0</v>
      </c>
      <c r="C145" s="257">
        <f t="shared" si="29"/>
        <v>0</v>
      </c>
      <c r="F145" s="257" t="e">
        <f t="shared" si="20"/>
        <v>#DIV/0!</v>
      </c>
      <c r="G145" s="4"/>
      <c r="H145" s="257" t="e">
        <f t="shared" si="21"/>
        <v>#DIV/0!</v>
      </c>
      <c r="K145" s="257" t="e">
        <f t="shared" si="22"/>
        <v>#DIV/0!</v>
      </c>
      <c r="L145" s="4"/>
      <c r="M145" s="257" t="e">
        <f t="shared" si="23"/>
        <v>#DIV/0!</v>
      </c>
      <c r="P145" s="257" t="e">
        <f t="shared" si="24"/>
        <v>#DIV/0!</v>
      </c>
      <c r="R145" s="257" t="e">
        <f t="shared" si="25"/>
        <v>#DIV/0!</v>
      </c>
      <c r="U145" s="257" t="e">
        <f t="shared" si="26"/>
        <v>#DIV/0!</v>
      </c>
      <c r="W145" s="257" t="e">
        <f t="shared" si="27"/>
        <v>#DIV/0!</v>
      </c>
      <c r="X145" s="453"/>
    </row>
    <row r="146" spans="1:24">
      <c r="A146" s="4" t="s">
        <v>1259</v>
      </c>
      <c r="B146" s="106">
        <f t="shared" si="19"/>
        <v>2</v>
      </c>
      <c r="C146" s="257">
        <f t="shared" si="29"/>
        <v>0.11185682326621924</v>
      </c>
      <c r="E146" s="4">
        <v>0</v>
      </c>
      <c r="F146" s="257">
        <f t="shared" si="20"/>
        <v>0</v>
      </c>
      <c r="G146" s="4">
        <v>0</v>
      </c>
      <c r="H146" s="257">
        <f t="shared" si="21"/>
        <v>0</v>
      </c>
      <c r="J146" s="4">
        <v>2</v>
      </c>
      <c r="K146" s="257">
        <f t="shared" si="22"/>
        <v>100</v>
      </c>
      <c r="L146" s="4">
        <v>0</v>
      </c>
      <c r="M146" s="257">
        <f t="shared" si="23"/>
        <v>0</v>
      </c>
      <c r="O146" s="4">
        <v>0</v>
      </c>
      <c r="P146" s="257">
        <f t="shared" si="24"/>
        <v>0</v>
      </c>
      <c r="Q146" s="4">
        <v>0</v>
      </c>
      <c r="R146" s="257">
        <f t="shared" si="25"/>
        <v>0</v>
      </c>
      <c r="T146" s="4">
        <v>0</v>
      </c>
      <c r="U146" s="257">
        <f t="shared" si="26"/>
        <v>0</v>
      </c>
      <c r="V146" s="4">
        <v>0</v>
      </c>
      <c r="W146" s="257">
        <f t="shared" si="27"/>
        <v>0</v>
      </c>
      <c r="X146" s="453"/>
    </row>
    <row r="147" spans="1:24">
      <c r="A147" s="4" t="s">
        <v>1181</v>
      </c>
      <c r="B147" s="106">
        <f t="shared" si="19"/>
        <v>7</v>
      </c>
      <c r="C147" s="257">
        <f t="shared" si="29"/>
        <v>0.39149888143176736</v>
      </c>
      <c r="E147" s="4">
        <v>0</v>
      </c>
      <c r="F147" s="257">
        <f t="shared" si="20"/>
        <v>0</v>
      </c>
      <c r="G147" s="4">
        <v>1</v>
      </c>
      <c r="H147" s="257">
        <f t="shared" si="21"/>
        <v>14.285714285714285</v>
      </c>
      <c r="J147" s="4">
        <v>0</v>
      </c>
      <c r="K147" s="257">
        <f t="shared" si="22"/>
        <v>0</v>
      </c>
      <c r="L147" s="4">
        <v>3</v>
      </c>
      <c r="M147" s="257">
        <f t="shared" si="23"/>
        <v>42.857142857142854</v>
      </c>
      <c r="O147" s="4">
        <v>0</v>
      </c>
      <c r="P147" s="257">
        <f t="shared" si="24"/>
        <v>0</v>
      </c>
      <c r="Q147" s="4">
        <v>3</v>
      </c>
      <c r="R147" s="257">
        <f t="shared" si="25"/>
        <v>42.857142857142854</v>
      </c>
      <c r="T147" s="4">
        <v>0</v>
      </c>
      <c r="U147" s="257">
        <f t="shared" si="26"/>
        <v>0</v>
      </c>
      <c r="V147" s="4">
        <v>0</v>
      </c>
      <c r="W147" s="257">
        <f t="shared" si="27"/>
        <v>0</v>
      </c>
      <c r="X147" s="453"/>
    </row>
    <row r="148" spans="1:24">
      <c r="A148" s="4" t="s">
        <v>1182</v>
      </c>
      <c r="B148" s="106">
        <f t="shared" si="19"/>
        <v>15</v>
      </c>
      <c r="C148" s="257">
        <f t="shared" si="29"/>
        <v>0.83892617449664431</v>
      </c>
      <c r="E148" s="4">
        <v>4</v>
      </c>
      <c r="F148" s="257">
        <f t="shared" si="20"/>
        <v>26.666666666666668</v>
      </c>
      <c r="G148" s="4">
        <v>1</v>
      </c>
      <c r="H148" s="257">
        <f t="shared" si="21"/>
        <v>6.666666666666667</v>
      </c>
      <c r="J148" s="4">
        <v>2</v>
      </c>
      <c r="K148" s="257">
        <f t="shared" si="22"/>
        <v>13.333333333333334</v>
      </c>
      <c r="L148" s="4">
        <v>2</v>
      </c>
      <c r="M148" s="257">
        <f t="shared" si="23"/>
        <v>13.333333333333334</v>
      </c>
      <c r="O148" s="4">
        <v>2</v>
      </c>
      <c r="P148" s="257">
        <f t="shared" si="24"/>
        <v>13.333333333333334</v>
      </c>
      <c r="Q148" s="4">
        <v>3</v>
      </c>
      <c r="R148" s="257">
        <f t="shared" si="25"/>
        <v>20</v>
      </c>
      <c r="T148" s="4">
        <v>1</v>
      </c>
      <c r="U148" s="257">
        <f t="shared" si="26"/>
        <v>6.666666666666667</v>
      </c>
      <c r="V148" s="4">
        <v>0</v>
      </c>
      <c r="W148" s="257">
        <f t="shared" si="27"/>
        <v>0</v>
      </c>
      <c r="X148" s="453"/>
    </row>
    <row r="149" spans="1:24">
      <c r="A149" s="4" t="s">
        <v>1180</v>
      </c>
      <c r="B149" s="106">
        <f t="shared" si="19"/>
        <v>3</v>
      </c>
      <c r="C149" s="257">
        <f t="shared" si="29"/>
        <v>0.16778523489932887</v>
      </c>
      <c r="E149" s="4">
        <v>0</v>
      </c>
      <c r="F149" s="257">
        <f t="shared" si="20"/>
        <v>0</v>
      </c>
      <c r="G149" s="4">
        <v>0</v>
      </c>
      <c r="H149" s="257">
        <f t="shared" si="21"/>
        <v>0</v>
      </c>
      <c r="J149" s="4">
        <v>2</v>
      </c>
      <c r="K149" s="257">
        <f t="shared" si="22"/>
        <v>66.666666666666657</v>
      </c>
      <c r="L149" s="4">
        <v>1</v>
      </c>
      <c r="M149" s="257">
        <f t="shared" si="23"/>
        <v>33.333333333333329</v>
      </c>
      <c r="O149" s="4">
        <v>0</v>
      </c>
      <c r="P149" s="257">
        <f t="shared" si="24"/>
        <v>0</v>
      </c>
      <c r="Q149" s="4">
        <v>0</v>
      </c>
      <c r="R149" s="257">
        <f t="shared" si="25"/>
        <v>0</v>
      </c>
      <c r="T149" s="4">
        <v>0</v>
      </c>
      <c r="U149" s="257">
        <f t="shared" si="26"/>
        <v>0</v>
      </c>
      <c r="V149" s="4">
        <v>0</v>
      </c>
      <c r="W149" s="257">
        <f t="shared" si="27"/>
        <v>0</v>
      </c>
      <c r="X149" s="453"/>
    </row>
    <row r="150" spans="1:24">
      <c r="A150" s="4" t="s">
        <v>1183</v>
      </c>
      <c r="B150" s="106">
        <f t="shared" si="19"/>
        <v>9</v>
      </c>
      <c r="C150" s="257">
        <f t="shared" si="29"/>
        <v>0.50335570469798652</v>
      </c>
      <c r="E150" s="4">
        <v>1</v>
      </c>
      <c r="F150" s="257">
        <f t="shared" si="20"/>
        <v>11.111111111111111</v>
      </c>
      <c r="G150" s="4">
        <v>1</v>
      </c>
      <c r="H150" s="257">
        <f t="shared" si="21"/>
        <v>11.111111111111111</v>
      </c>
      <c r="J150" s="4">
        <v>1</v>
      </c>
      <c r="K150" s="257">
        <f t="shared" si="22"/>
        <v>11.111111111111111</v>
      </c>
      <c r="L150" s="4">
        <v>3</v>
      </c>
      <c r="M150" s="257">
        <f t="shared" si="23"/>
        <v>33.333333333333329</v>
      </c>
      <c r="O150" s="4">
        <v>0</v>
      </c>
      <c r="P150" s="257">
        <f t="shared" si="24"/>
        <v>0</v>
      </c>
      <c r="Q150" s="4">
        <v>1</v>
      </c>
      <c r="R150" s="257">
        <f t="shared" si="25"/>
        <v>11.111111111111111</v>
      </c>
      <c r="T150" s="4">
        <v>0</v>
      </c>
      <c r="U150" s="257">
        <f t="shared" si="26"/>
        <v>0</v>
      </c>
      <c r="V150" s="4">
        <v>2</v>
      </c>
      <c r="W150" s="257">
        <f t="shared" si="27"/>
        <v>22.222222222222221</v>
      </c>
      <c r="X150" s="453"/>
    </row>
    <row r="151" spans="1:24">
      <c r="A151" s="4" t="s">
        <v>1184</v>
      </c>
      <c r="B151" s="106">
        <f t="shared" si="19"/>
        <v>5</v>
      </c>
      <c r="C151" s="257">
        <f t="shared" si="29"/>
        <v>0.2796420581655481</v>
      </c>
      <c r="E151" s="4">
        <v>0</v>
      </c>
      <c r="F151" s="257">
        <f t="shared" si="20"/>
        <v>0</v>
      </c>
      <c r="G151" s="4">
        <v>2</v>
      </c>
      <c r="H151" s="257">
        <f t="shared" si="21"/>
        <v>40</v>
      </c>
      <c r="J151" s="4">
        <v>1</v>
      </c>
      <c r="K151" s="257">
        <f t="shared" si="22"/>
        <v>20</v>
      </c>
      <c r="L151" s="4">
        <v>1</v>
      </c>
      <c r="M151" s="257">
        <f t="shared" si="23"/>
        <v>20</v>
      </c>
      <c r="O151" s="4">
        <v>1</v>
      </c>
      <c r="P151" s="257">
        <f t="shared" si="24"/>
        <v>20</v>
      </c>
      <c r="Q151" s="4">
        <v>0</v>
      </c>
      <c r="R151" s="257">
        <f t="shared" si="25"/>
        <v>0</v>
      </c>
      <c r="T151" s="4">
        <v>0</v>
      </c>
      <c r="U151" s="257">
        <f t="shared" si="26"/>
        <v>0</v>
      </c>
      <c r="V151" s="4">
        <v>0</v>
      </c>
      <c r="W151" s="257">
        <f t="shared" si="27"/>
        <v>0</v>
      </c>
      <c r="X151" s="453"/>
    </row>
    <row r="152" spans="1:24">
      <c r="A152" s="4" t="s">
        <v>1185</v>
      </c>
      <c r="B152" s="106">
        <f t="shared" si="19"/>
        <v>8</v>
      </c>
      <c r="C152" s="257">
        <f t="shared" si="29"/>
        <v>0.44742729306487694</v>
      </c>
      <c r="E152" s="4">
        <v>3</v>
      </c>
      <c r="F152" s="257">
        <f t="shared" si="20"/>
        <v>37.5</v>
      </c>
      <c r="G152" s="4">
        <v>1</v>
      </c>
      <c r="H152" s="257">
        <f t="shared" si="21"/>
        <v>12.5</v>
      </c>
      <c r="J152" s="4">
        <v>0</v>
      </c>
      <c r="K152" s="257">
        <f t="shared" si="22"/>
        <v>0</v>
      </c>
      <c r="L152" s="4">
        <v>1</v>
      </c>
      <c r="M152" s="257">
        <f t="shared" si="23"/>
        <v>12.5</v>
      </c>
      <c r="O152" s="4">
        <v>1</v>
      </c>
      <c r="P152" s="257">
        <f t="shared" si="24"/>
        <v>12.5</v>
      </c>
      <c r="Q152" s="4">
        <v>0</v>
      </c>
      <c r="R152" s="257">
        <f t="shared" si="25"/>
        <v>0</v>
      </c>
      <c r="T152" s="4">
        <v>1</v>
      </c>
      <c r="U152" s="257">
        <f t="shared" si="26"/>
        <v>12.5</v>
      </c>
      <c r="V152" s="4">
        <v>1</v>
      </c>
      <c r="W152" s="257">
        <f t="shared" si="27"/>
        <v>12.5</v>
      </c>
      <c r="X152" s="453"/>
    </row>
    <row r="153" spans="1:24">
      <c r="A153" s="4" t="s">
        <v>1186</v>
      </c>
      <c r="B153" s="106">
        <f t="shared" si="19"/>
        <v>15</v>
      </c>
      <c r="C153" s="257">
        <f t="shared" si="29"/>
        <v>0.83892617449664431</v>
      </c>
      <c r="E153" s="4">
        <v>2</v>
      </c>
      <c r="F153" s="257">
        <f t="shared" si="20"/>
        <v>13.333333333333334</v>
      </c>
      <c r="G153" s="4">
        <v>3</v>
      </c>
      <c r="H153" s="257">
        <f t="shared" si="21"/>
        <v>20</v>
      </c>
      <c r="J153" s="4">
        <v>3</v>
      </c>
      <c r="K153" s="257">
        <f t="shared" si="22"/>
        <v>20</v>
      </c>
      <c r="L153" s="4">
        <v>3</v>
      </c>
      <c r="M153" s="257">
        <f t="shared" si="23"/>
        <v>20</v>
      </c>
      <c r="O153" s="4">
        <v>0</v>
      </c>
      <c r="P153" s="257">
        <f t="shared" si="24"/>
        <v>0</v>
      </c>
      <c r="Q153" s="4">
        <v>1</v>
      </c>
      <c r="R153" s="257">
        <f t="shared" si="25"/>
        <v>6.666666666666667</v>
      </c>
      <c r="T153" s="4">
        <v>2</v>
      </c>
      <c r="U153" s="257">
        <f t="shared" si="26"/>
        <v>13.333333333333334</v>
      </c>
      <c r="V153" s="4">
        <v>1</v>
      </c>
      <c r="W153" s="257">
        <f t="shared" si="27"/>
        <v>6.666666666666667</v>
      </c>
      <c r="X153" s="453"/>
    </row>
    <row r="154" spans="1:24">
      <c r="A154" s="4" t="s">
        <v>1187</v>
      </c>
      <c r="B154" s="106">
        <f t="shared" si="19"/>
        <v>19</v>
      </c>
      <c r="C154" s="257">
        <f t="shared" si="29"/>
        <v>1.0626398210290828</v>
      </c>
      <c r="E154" s="4">
        <v>6</v>
      </c>
      <c r="F154" s="257">
        <f t="shared" si="20"/>
        <v>31.578947368421051</v>
      </c>
      <c r="G154" s="4">
        <v>3</v>
      </c>
      <c r="H154" s="257">
        <f t="shared" si="21"/>
        <v>15.789473684210526</v>
      </c>
      <c r="J154" s="4">
        <v>1</v>
      </c>
      <c r="K154" s="257">
        <f t="shared" si="22"/>
        <v>5.2631578947368416</v>
      </c>
      <c r="L154" s="4">
        <v>0</v>
      </c>
      <c r="M154" s="257">
        <f t="shared" si="23"/>
        <v>0</v>
      </c>
      <c r="O154" s="4">
        <v>2</v>
      </c>
      <c r="P154" s="257">
        <f t="shared" si="24"/>
        <v>10.526315789473683</v>
      </c>
      <c r="Q154" s="4">
        <v>1</v>
      </c>
      <c r="R154" s="257">
        <f t="shared" si="25"/>
        <v>5.2631578947368416</v>
      </c>
      <c r="T154" s="4">
        <v>2</v>
      </c>
      <c r="U154" s="257">
        <f t="shared" si="26"/>
        <v>10.526315789473683</v>
      </c>
      <c r="V154" s="4">
        <v>4</v>
      </c>
      <c r="W154" s="257">
        <f t="shared" si="27"/>
        <v>21.052631578947366</v>
      </c>
      <c r="X154" s="453"/>
    </row>
    <row r="155" spans="1:24">
      <c r="A155" s="4" t="s">
        <v>1188</v>
      </c>
      <c r="B155" s="106">
        <f t="shared" si="19"/>
        <v>5</v>
      </c>
      <c r="C155" s="257">
        <f t="shared" si="29"/>
        <v>0.2796420581655481</v>
      </c>
      <c r="E155" s="4">
        <v>1</v>
      </c>
      <c r="F155" s="257">
        <f t="shared" si="20"/>
        <v>20</v>
      </c>
      <c r="G155" s="4">
        <v>0</v>
      </c>
      <c r="H155" s="257">
        <f t="shared" si="21"/>
        <v>0</v>
      </c>
      <c r="J155" s="4">
        <v>2</v>
      </c>
      <c r="K155" s="257">
        <f t="shared" si="22"/>
        <v>40</v>
      </c>
      <c r="L155" s="4">
        <v>1</v>
      </c>
      <c r="M155" s="257">
        <f t="shared" si="23"/>
        <v>20</v>
      </c>
      <c r="O155" s="4">
        <v>0</v>
      </c>
      <c r="P155" s="257">
        <f t="shared" si="24"/>
        <v>0</v>
      </c>
      <c r="Q155" s="4">
        <v>1</v>
      </c>
      <c r="R155" s="257">
        <f t="shared" si="25"/>
        <v>20</v>
      </c>
      <c r="T155" s="4">
        <v>0</v>
      </c>
      <c r="U155" s="257">
        <f t="shared" si="26"/>
        <v>0</v>
      </c>
      <c r="V155" s="4">
        <v>0</v>
      </c>
      <c r="W155" s="257">
        <f t="shared" si="27"/>
        <v>0</v>
      </c>
      <c r="X155" s="453"/>
    </row>
    <row r="156" spans="1:24">
      <c r="A156" s="4" t="s">
        <v>1189</v>
      </c>
      <c r="B156" s="106">
        <f t="shared" si="19"/>
        <v>10</v>
      </c>
      <c r="C156" s="257">
        <f t="shared" si="29"/>
        <v>0.5592841163310962</v>
      </c>
      <c r="E156" s="4">
        <v>0</v>
      </c>
      <c r="F156" s="257">
        <f t="shared" si="20"/>
        <v>0</v>
      </c>
      <c r="G156" s="4">
        <v>4</v>
      </c>
      <c r="H156" s="257">
        <f t="shared" si="21"/>
        <v>40</v>
      </c>
      <c r="J156" s="4">
        <v>0</v>
      </c>
      <c r="K156" s="257">
        <f t="shared" si="22"/>
        <v>0</v>
      </c>
      <c r="L156" s="4">
        <v>0</v>
      </c>
      <c r="M156" s="257">
        <f t="shared" si="23"/>
        <v>0</v>
      </c>
      <c r="O156" s="4">
        <v>1</v>
      </c>
      <c r="P156" s="257">
        <f t="shared" si="24"/>
        <v>10</v>
      </c>
      <c r="Q156" s="4">
        <v>2</v>
      </c>
      <c r="R156" s="257">
        <f t="shared" si="25"/>
        <v>20</v>
      </c>
      <c r="T156" s="4">
        <v>1</v>
      </c>
      <c r="U156" s="257">
        <f t="shared" si="26"/>
        <v>10</v>
      </c>
      <c r="V156" s="4">
        <v>2</v>
      </c>
      <c r="W156" s="257">
        <f t="shared" si="27"/>
        <v>20</v>
      </c>
      <c r="X156" s="453"/>
    </row>
    <row r="157" spans="1:24">
      <c r="A157" s="4" t="s">
        <v>1190</v>
      </c>
      <c r="B157" s="106">
        <f t="shared" si="19"/>
        <v>10</v>
      </c>
      <c r="C157" s="257">
        <f t="shared" si="29"/>
        <v>0.5592841163310962</v>
      </c>
      <c r="E157" s="4">
        <v>1</v>
      </c>
      <c r="F157" s="257">
        <f t="shared" si="20"/>
        <v>10</v>
      </c>
      <c r="G157" s="4">
        <v>3</v>
      </c>
      <c r="H157" s="257">
        <f t="shared" si="21"/>
        <v>30</v>
      </c>
      <c r="J157" s="4">
        <v>1</v>
      </c>
      <c r="K157" s="257">
        <f t="shared" si="22"/>
        <v>10</v>
      </c>
      <c r="L157" s="4">
        <v>1</v>
      </c>
      <c r="M157" s="257">
        <f t="shared" si="23"/>
        <v>10</v>
      </c>
      <c r="O157" s="4">
        <v>0</v>
      </c>
      <c r="P157" s="257">
        <f t="shared" si="24"/>
        <v>0</v>
      </c>
      <c r="Q157" s="4">
        <v>0</v>
      </c>
      <c r="R157" s="257">
        <f t="shared" si="25"/>
        <v>0</v>
      </c>
      <c r="T157" s="4">
        <v>1</v>
      </c>
      <c r="U157" s="257">
        <f t="shared" si="26"/>
        <v>10</v>
      </c>
      <c r="V157" s="4">
        <v>3</v>
      </c>
      <c r="W157" s="257">
        <f t="shared" si="27"/>
        <v>30</v>
      </c>
      <c r="X157" s="453"/>
    </row>
    <row r="158" spans="1:24">
      <c r="A158" s="4" t="s">
        <v>1198</v>
      </c>
      <c r="B158" s="106">
        <f t="shared" si="19"/>
        <v>1</v>
      </c>
      <c r="C158" s="257">
        <f t="shared" si="29"/>
        <v>5.5928411633109618E-2</v>
      </c>
      <c r="E158" s="4">
        <v>0</v>
      </c>
      <c r="F158" s="257">
        <f t="shared" si="20"/>
        <v>0</v>
      </c>
      <c r="G158" s="4">
        <v>0</v>
      </c>
      <c r="H158" s="257">
        <f t="shared" si="21"/>
        <v>0</v>
      </c>
      <c r="J158" s="4">
        <v>1</v>
      </c>
      <c r="K158" s="257">
        <f t="shared" si="22"/>
        <v>100</v>
      </c>
      <c r="L158" s="4">
        <v>0</v>
      </c>
      <c r="M158" s="257">
        <f t="shared" si="23"/>
        <v>0</v>
      </c>
      <c r="O158" s="4">
        <v>0</v>
      </c>
      <c r="P158" s="257">
        <f t="shared" si="24"/>
        <v>0</v>
      </c>
      <c r="Q158" s="4">
        <v>0</v>
      </c>
      <c r="R158" s="257">
        <f t="shared" si="25"/>
        <v>0</v>
      </c>
      <c r="T158" s="4">
        <v>0</v>
      </c>
      <c r="U158" s="257">
        <f t="shared" si="26"/>
        <v>0</v>
      </c>
      <c r="V158" s="4">
        <v>0</v>
      </c>
      <c r="W158" s="257">
        <f t="shared" si="27"/>
        <v>0</v>
      </c>
      <c r="X158" s="453"/>
    </row>
    <row r="159" spans="1:24">
      <c r="A159" s="4" t="s">
        <v>1191</v>
      </c>
      <c r="B159" s="106">
        <f t="shared" si="19"/>
        <v>6</v>
      </c>
      <c r="C159" s="257">
        <f t="shared" si="29"/>
        <v>0.33557046979865773</v>
      </c>
      <c r="E159" s="4">
        <v>1</v>
      </c>
      <c r="F159" s="257">
        <f t="shared" si="20"/>
        <v>16.666666666666664</v>
      </c>
      <c r="G159" s="4">
        <v>1</v>
      </c>
      <c r="H159" s="257">
        <f t="shared" si="21"/>
        <v>16.666666666666664</v>
      </c>
      <c r="J159" s="4">
        <v>3</v>
      </c>
      <c r="K159" s="257">
        <f t="shared" si="22"/>
        <v>50</v>
      </c>
      <c r="L159" s="4">
        <v>1</v>
      </c>
      <c r="M159" s="257">
        <f t="shared" si="23"/>
        <v>16.666666666666664</v>
      </c>
      <c r="O159" s="4">
        <v>0</v>
      </c>
      <c r="P159" s="257">
        <f t="shared" si="24"/>
        <v>0</v>
      </c>
      <c r="Q159" s="4">
        <v>0</v>
      </c>
      <c r="R159" s="257">
        <f t="shared" si="25"/>
        <v>0</v>
      </c>
      <c r="T159" s="4">
        <v>0</v>
      </c>
      <c r="U159" s="257">
        <f t="shared" si="26"/>
        <v>0</v>
      </c>
      <c r="V159" s="4">
        <v>0</v>
      </c>
      <c r="W159" s="257">
        <f t="shared" si="27"/>
        <v>0</v>
      </c>
      <c r="X159" s="453"/>
    </row>
    <row r="160" spans="1:24">
      <c r="A160" s="4" t="s">
        <v>1261</v>
      </c>
      <c r="B160" s="106">
        <f t="shared" si="19"/>
        <v>3</v>
      </c>
      <c r="C160" s="257">
        <f t="shared" si="29"/>
        <v>0.16778523489932887</v>
      </c>
      <c r="E160" s="4">
        <v>0</v>
      </c>
      <c r="F160" s="257">
        <f t="shared" si="20"/>
        <v>0</v>
      </c>
      <c r="G160" s="4">
        <v>0</v>
      </c>
      <c r="H160" s="257">
        <f t="shared" si="21"/>
        <v>0</v>
      </c>
      <c r="J160" s="4">
        <v>1</v>
      </c>
      <c r="K160" s="257">
        <f t="shared" si="22"/>
        <v>33.333333333333329</v>
      </c>
      <c r="L160" s="4">
        <v>0</v>
      </c>
      <c r="M160" s="257">
        <f t="shared" si="23"/>
        <v>0</v>
      </c>
      <c r="O160" s="4">
        <v>2</v>
      </c>
      <c r="P160" s="257">
        <f t="shared" si="24"/>
        <v>66.666666666666657</v>
      </c>
      <c r="Q160" s="4">
        <v>0</v>
      </c>
      <c r="R160" s="257">
        <f t="shared" si="25"/>
        <v>0</v>
      </c>
      <c r="T160" s="4">
        <v>0</v>
      </c>
      <c r="U160" s="257">
        <f t="shared" si="26"/>
        <v>0</v>
      </c>
      <c r="V160" s="4">
        <v>0</v>
      </c>
      <c r="W160" s="257">
        <f t="shared" si="27"/>
        <v>0</v>
      </c>
      <c r="X160" s="453"/>
    </row>
    <row r="161" spans="1:24">
      <c r="A161" s="4" t="s">
        <v>1192</v>
      </c>
      <c r="B161" s="106">
        <f t="shared" si="19"/>
        <v>1</v>
      </c>
      <c r="C161" s="257">
        <f t="shared" si="29"/>
        <v>5.5928411633109618E-2</v>
      </c>
      <c r="E161" s="4">
        <v>0</v>
      </c>
      <c r="F161" s="257">
        <f t="shared" si="20"/>
        <v>0</v>
      </c>
      <c r="G161" s="4">
        <v>0</v>
      </c>
      <c r="H161" s="257">
        <f t="shared" si="21"/>
        <v>0</v>
      </c>
      <c r="J161" s="4">
        <v>0</v>
      </c>
      <c r="K161" s="257">
        <f t="shared" si="22"/>
        <v>0</v>
      </c>
      <c r="L161" s="4">
        <v>0</v>
      </c>
      <c r="M161" s="257">
        <f t="shared" si="23"/>
        <v>0</v>
      </c>
      <c r="O161" s="4">
        <v>0</v>
      </c>
      <c r="P161" s="257">
        <f t="shared" si="24"/>
        <v>0</v>
      </c>
      <c r="Q161" s="4">
        <v>0</v>
      </c>
      <c r="R161" s="257">
        <f t="shared" si="25"/>
        <v>0</v>
      </c>
      <c r="T161" s="4">
        <v>1</v>
      </c>
      <c r="U161" s="257">
        <f t="shared" si="26"/>
        <v>100</v>
      </c>
      <c r="V161" s="4">
        <v>0</v>
      </c>
      <c r="W161" s="257">
        <f t="shared" si="27"/>
        <v>0</v>
      </c>
      <c r="X161" s="453"/>
    </row>
    <row r="162" spans="1:24">
      <c r="A162" s="4" t="s">
        <v>1193</v>
      </c>
      <c r="B162" s="106">
        <f>IF(A162&lt;&gt;"",E162+G162+J162+L162+O162+Q162+T162+V162,"")</f>
        <v>1</v>
      </c>
      <c r="C162" s="257">
        <f>IF(A162&lt;&gt;0,B162/$B$13*100,"")</f>
        <v>5.5928411633109618E-2</v>
      </c>
      <c r="E162" s="4">
        <v>1</v>
      </c>
      <c r="F162" s="257">
        <f t="shared" ref="F162:H165" si="30">IF($A162&lt;&gt;"",E162/$B162*100,"")</f>
        <v>100</v>
      </c>
      <c r="G162" s="4">
        <v>0</v>
      </c>
      <c r="H162" s="257">
        <f t="shared" ref="H162:H164" si="31">IF($A162&lt;&gt;"",G162/$B162*100,"")</f>
        <v>0</v>
      </c>
      <c r="J162" s="4">
        <v>0</v>
      </c>
      <c r="K162" s="257">
        <f t="shared" ref="K162:K165" si="32">IF($A162&lt;&gt;"",J162/$B162*100,"")</f>
        <v>0</v>
      </c>
      <c r="L162" s="4">
        <v>0</v>
      </c>
      <c r="M162" s="257">
        <f t="shared" ref="M162:M165" si="33">IF($A162&lt;&gt;"",L162/$B162*100,"")</f>
        <v>0</v>
      </c>
      <c r="O162" s="4">
        <v>0</v>
      </c>
      <c r="P162" s="257">
        <f t="shared" ref="P162:P165" si="34">IF($A162&lt;&gt;"",O162/$B162*100,"")</f>
        <v>0</v>
      </c>
      <c r="Q162" s="4">
        <v>0</v>
      </c>
      <c r="R162" s="257">
        <f t="shared" ref="R162:R165" si="35">IF($A162&lt;&gt;"",Q162/$B162*100,"")</f>
        <v>0</v>
      </c>
      <c r="T162" s="4">
        <v>0</v>
      </c>
      <c r="U162" s="257">
        <f t="shared" ref="U162:U165" si="36">IF($A162&lt;&gt;"",T162/$B162*100,"")</f>
        <v>0</v>
      </c>
      <c r="V162" s="4">
        <v>0</v>
      </c>
      <c r="W162" s="257">
        <f t="shared" si="27"/>
        <v>0</v>
      </c>
      <c r="X162" s="453"/>
    </row>
    <row r="163" spans="1:24">
      <c r="A163" s="4" t="s">
        <v>1194</v>
      </c>
      <c r="B163" s="106">
        <f>IF(A163&lt;&gt;"",E163+G163+J163+L163+O163+Q163+T163+V163,"")</f>
        <v>3</v>
      </c>
      <c r="C163" s="257">
        <f t="shared" si="29"/>
        <v>0.16778523489932887</v>
      </c>
      <c r="E163" s="4">
        <v>0</v>
      </c>
      <c r="F163" s="257">
        <f t="shared" si="30"/>
        <v>0</v>
      </c>
      <c r="G163" s="4">
        <v>0</v>
      </c>
      <c r="H163" s="257">
        <f t="shared" si="31"/>
        <v>0</v>
      </c>
      <c r="J163" s="4">
        <v>0</v>
      </c>
      <c r="K163" s="257">
        <f t="shared" si="32"/>
        <v>0</v>
      </c>
      <c r="L163" s="4">
        <v>3</v>
      </c>
      <c r="M163" s="257">
        <f t="shared" si="33"/>
        <v>100</v>
      </c>
      <c r="O163" s="4">
        <v>0</v>
      </c>
      <c r="P163" s="257">
        <f t="shared" si="34"/>
        <v>0</v>
      </c>
      <c r="Q163" s="4">
        <v>0</v>
      </c>
      <c r="R163" s="257">
        <f t="shared" si="35"/>
        <v>0</v>
      </c>
      <c r="T163" s="4">
        <v>0</v>
      </c>
      <c r="U163" s="257">
        <f t="shared" si="36"/>
        <v>0</v>
      </c>
      <c r="V163" s="4">
        <v>0</v>
      </c>
      <c r="W163" s="257">
        <f>IF($A163&lt;&gt;"",V163/$B163*100,"")</f>
        <v>0</v>
      </c>
      <c r="X163" s="453"/>
    </row>
    <row r="164" spans="1:24">
      <c r="A164" s="4" t="s">
        <v>1195</v>
      </c>
      <c r="B164" s="106">
        <f>IF(A164&lt;&gt;"",E164+G164+J164+L164+O164+Q164+T164+V164,"")</f>
        <v>22</v>
      </c>
      <c r="C164" s="257">
        <f t="shared" si="29"/>
        <v>1.2304250559284116</v>
      </c>
      <c r="E164" s="4">
        <v>2</v>
      </c>
      <c r="F164" s="257">
        <f t="shared" si="30"/>
        <v>9.0909090909090917</v>
      </c>
      <c r="G164" s="4">
        <v>1</v>
      </c>
      <c r="H164" s="257">
        <f t="shared" si="31"/>
        <v>4.5454545454545459</v>
      </c>
      <c r="J164" s="4">
        <v>2</v>
      </c>
      <c r="K164" s="257">
        <f t="shared" si="32"/>
        <v>9.0909090909090917</v>
      </c>
      <c r="L164" s="4">
        <v>11</v>
      </c>
      <c r="M164" s="257">
        <f t="shared" si="33"/>
        <v>50</v>
      </c>
      <c r="O164" s="4">
        <v>0</v>
      </c>
      <c r="P164" s="257">
        <f t="shared" si="34"/>
        <v>0</v>
      </c>
      <c r="Q164" s="4">
        <v>3</v>
      </c>
      <c r="R164" s="257">
        <f t="shared" si="35"/>
        <v>13.636363636363635</v>
      </c>
      <c r="T164" s="4">
        <v>2</v>
      </c>
      <c r="U164" s="257">
        <f t="shared" si="36"/>
        <v>9.0909090909090917</v>
      </c>
      <c r="V164" s="4">
        <v>1</v>
      </c>
      <c r="W164" s="257">
        <f>IF($A164&lt;&gt;"",V164/$B164*100,"")</f>
        <v>4.5454545454545459</v>
      </c>
      <c r="X164" s="453"/>
    </row>
    <row r="165" spans="1:24">
      <c r="A165" s="4" t="s">
        <v>1262</v>
      </c>
      <c r="B165" s="106">
        <f>IF(A165&lt;&gt;"",E165+G165+J165+L165+O165+Q165+T165+V165,"")</f>
        <v>11</v>
      </c>
      <c r="C165" s="257">
        <f t="shared" si="29"/>
        <v>0.61521252796420578</v>
      </c>
      <c r="E165" s="4">
        <v>5</v>
      </c>
      <c r="F165" s="257">
        <f t="shared" si="30"/>
        <v>45.454545454545453</v>
      </c>
      <c r="G165" s="4">
        <v>0</v>
      </c>
      <c r="H165" s="257">
        <f t="shared" si="30"/>
        <v>0</v>
      </c>
      <c r="J165" s="4">
        <v>0</v>
      </c>
      <c r="K165" s="257">
        <f t="shared" si="32"/>
        <v>0</v>
      </c>
      <c r="L165" s="4">
        <v>0</v>
      </c>
      <c r="M165" s="257">
        <f t="shared" si="33"/>
        <v>0</v>
      </c>
      <c r="O165" s="4">
        <v>4</v>
      </c>
      <c r="P165" s="257">
        <f t="shared" si="34"/>
        <v>36.363636363636367</v>
      </c>
      <c r="Q165" s="4">
        <v>1</v>
      </c>
      <c r="R165" s="257">
        <f t="shared" si="35"/>
        <v>9.0909090909090917</v>
      </c>
      <c r="T165" s="4">
        <v>0</v>
      </c>
      <c r="U165" s="257">
        <f t="shared" si="36"/>
        <v>0</v>
      </c>
      <c r="V165" s="4">
        <v>1</v>
      </c>
      <c r="W165" s="257">
        <f>IF($A165&lt;&gt;"",V165/$B165*100,"")</f>
        <v>9.0909090909090917</v>
      </c>
      <c r="X165" s="453"/>
    </row>
    <row r="166" spans="1:24" ht="13.5" thickBot="1">
      <c r="A166" s="165"/>
      <c r="B166" s="163"/>
      <c r="C166" s="504"/>
      <c r="D166" s="165"/>
      <c r="E166" s="165"/>
      <c r="F166" s="163"/>
      <c r="G166" s="163"/>
      <c r="H166" s="163"/>
      <c r="I166" s="165"/>
      <c r="J166" s="165"/>
      <c r="K166" s="546"/>
      <c r="L166" s="546"/>
      <c r="M166" s="504"/>
      <c r="N166" s="165"/>
      <c r="O166" s="165"/>
      <c r="P166" s="165"/>
      <c r="Q166" s="165"/>
      <c r="R166" s="504"/>
      <c r="S166" s="165"/>
      <c r="T166" s="165"/>
      <c r="U166" s="165"/>
      <c r="V166" s="165"/>
      <c r="W166" s="504"/>
      <c r="X166" s="503"/>
    </row>
    <row r="167" spans="1:24">
      <c r="A167" s="97"/>
      <c r="B167" s="107"/>
      <c r="C167" s="413"/>
      <c r="D167" s="97"/>
      <c r="E167" s="97"/>
      <c r="F167" s="107"/>
      <c r="G167" s="107"/>
      <c r="H167" s="257" t="str">
        <f t="shared" ref="H167:H180" si="37">IF($A167&lt;&gt;"",G167/$B167*100,"")</f>
        <v/>
      </c>
      <c r="I167" s="97"/>
      <c r="J167" s="97"/>
      <c r="K167" s="513"/>
      <c r="L167" s="513"/>
      <c r="M167" s="413"/>
      <c r="N167" s="97"/>
      <c r="O167" s="97"/>
      <c r="P167" s="97"/>
      <c r="Q167" s="97"/>
      <c r="R167" s="413"/>
      <c r="S167" s="97"/>
      <c r="T167" s="97"/>
      <c r="U167" s="97"/>
      <c r="V167" s="97"/>
      <c r="W167" s="413"/>
      <c r="X167" s="453"/>
    </row>
    <row r="168" spans="1:24">
      <c r="A168" s="97"/>
      <c r="B168" s="107"/>
      <c r="C168" s="413"/>
      <c r="D168" s="97"/>
      <c r="E168" s="97"/>
      <c r="F168" s="107"/>
      <c r="G168" s="107"/>
      <c r="H168" s="257" t="str">
        <f t="shared" si="37"/>
        <v/>
      </c>
      <c r="I168" s="97"/>
      <c r="J168" s="97"/>
      <c r="K168" s="513"/>
      <c r="L168" s="513"/>
      <c r="M168" s="413"/>
      <c r="N168" s="97"/>
      <c r="O168" s="97"/>
      <c r="P168" s="97"/>
      <c r="Q168" s="97"/>
      <c r="R168" s="413"/>
      <c r="S168" s="97"/>
      <c r="T168" s="97"/>
      <c r="U168" s="97"/>
      <c r="V168" s="97"/>
      <c r="W168" s="413"/>
      <c r="X168" s="453"/>
    </row>
    <row r="169" spans="1:24">
      <c r="A169" s="97"/>
      <c r="B169" s="107"/>
      <c r="C169" s="413"/>
      <c r="D169" s="97"/>
      <c r="E169" s="97"/>
      <c r="F169" s="107"/>
      <c r="G169" s="107"/>
      <c r="H169" s="257" t="str">
        <f t="shared" si="37"/>
        <v/>
      </c>
      <c r="I169" s="97"/>
      <c r="J169" s="97"/>
      <c r="K169" s="513"/>
      <c r="L169" s="513"/>
      <c r="M169" s="413"/>
      <c r="N169" s="97"/>
      <c r="O169" s="97"/>
      <c r="P169" s="97"/>
      <c r="Q169" s="97"/>
      <c r="R169" s="413"/>
      <c r="S169" s="97"/>
      <c r="T169" s="97"/>
      <c r="U169" s="97"/>
      <c r="V169" s="97"/>
      <c r="W169" s="413"/>
      <c r="X169" s="453"/>
    </row>
    <row r="170" spans="1:24">
      <c r="A170" s="97"/>
      <c r="B170" s="107"/>
      <c r="C170" s="413"/>
      <c r="D170" s="97"/>
      <c r="E170" s="97"/>
      <c r="F170" s="107"/>
      <c r="G170" s="107"/>
      <c r="H170" s="257" t="str">
        <f t="shared" si="37"/>
        <v/>
      </c>
      <c r="I170" s="97"/>
      <c r="J170" s="97"/>
      <c r="K170" s="513"/>
      <c r="L170" s="513"/>
      <c r="M170" s="413"/>
      <c r="N170" s="97"/>
      <c r="O170" s="97"/>
      <c r="P170" s="97"/>
      <c r="Q170" s="97"/>
      <c r="R170" s="413"/>
      <c r="S170" s="97"/>
      <c r="T170" s="97"/>
      <c r="U170" s="97"/>
      <c r="V170" s="97"/>
      <c r="W170" s="413"/>
      <c r="X170" s="453"/>
    </row>
    <row r="171" spans="1:24">
      <c r="A171" s="97"/>
      <c r="B171" s="107"/>
      <c r="C171" s="413"/>
      <c r="D171" s="97"/>
      <c r="E171" s="97"/>
      <c r="F171" s="107"/>
      <c r="G171" s="107"/>
      <c r="H171" s="257" t="str">
        <f t="shared" si="37"/>
        <v/>
      </c>
      <c r="I171" s="97"/>
      <c r="J171" s="97"/>
      <c r="K171" s="513"/>
      <c r="L171" s="513"/>
      <c r="M171" s="413"/>
      <c r="N171" s="97"/>
      <c r="O171" s="97"/>
      <c r="P171" s="97"/>
      <c r="Q171" s="97"/>
      <c r="R171" s="413"/>
      <c r="S171" s="97"/>
      <c r="T171" s="97"/>
      <c r="U171" s="97"/>
      <c r="V171" s="97"/>
      <c r="W171" s="413"/>
      <c r="X171" s="453"/>
    </row>
    <row r="172" spans="1:24">
      <c r="A172" s="97"/>
      <c r="B172" s="107"/>
      <c r="C172" s="413"/>
      <c r="D172" s="97"/>
      <c r="E172" s="97"/>
      <c r="F172" s="107"/>
      <c r="G172" s="107"/>
      <c r="H172" s="257" t="str">
        <f t="shared" si="37"/>
        <v/>
      </c>
      <c r="I172" s="97"/>
      <c r="J172" s="97"/>
      <c r="K172" s="513"/>
      <c r="L172" s="513"/>
      <c r="M172" s="413"/>
      <c r="N172" s="97"/>
      <c r="O172" s="97"/>
      <c r="P172" s="97"/>
      <c r="Q172" s="97"/>
      <c r="R172" s="413"/>
      <c r="S172" s="97"/>
      <c r="T172" s="97"/>
      <c r="U172" s="97"/>
      <c r="V172" s="97"/>
      <c r="W172" s="413"/>
      <c r="X172" s="453"/>
    </row>
    <row r="173" spans="1:24">
      <c r="A173" s="97"/>
      <c r="B173" s="107"/>
      <c r="C173" s="413"/>
      <c r="D173" s="97"/>
      <c r="E173" s="97"/>
      <c r="F173" s="107"/>
      <c r="G173" s="107"/>
      <c r="H173" s="257" t="str">
        <f t="shared" si="37"/>
        <v/>
      </c>
      <c r="I173" s="97"/>
      <c r="J173" s="97"/>
      <c r="K173" s="513"/>
      <c r="L173" s="513"/>
      <c r="M173" s="413"/>
      <c r="N173" s="97"/>
      <c r="O173" s="97"/>
      <c r="P173" s="97"/>
      <c r="Q173" s="97"/>
      <c r="R173" s="413"/>
      <c r="S173" s="97"/>
      <c r="T173" s="97"/>
      <c r="U173" s="97"/>
      <c r="V173" s="97"/>
      <c r="W173" s="413"/>
      <c r="X173" s="453"/>
    </row>
    <row r="174" spans="1:24">
      <c r="A174" s="97"/>
      <c r="B174" s="107"/>
      <c r="C174" s="413"/>
      <c r="D174" s="97"/>
      <c r="E174" s="97"/>
      <c r="F174" s="107"/>
      <c r="G174" s="107"/>
      <c r="H174" s="257" t="str">
        <f t="shared" si="37"/>
        <v/>
      </c>
      <c r="I174" s="97"/>
      <c r="J174" s="97"/>
      <c r="K174" s="513"/>
      <c r="L174" s="513"/>
      <c r="M174" s="413"/>
      <c r="N174" s="97"/>
      <c r="O174" s="97"/>
      <c r="P174" s="97"/>
      <c r="Q174" s="97"/>
      <c r="R174" s="413"/>
      <c r="S174" s="97"/>
      <c r="T174" s="97"/>
      <c r="U174" s="97"/>
      <c r="V174" s="97"/>
      <c r="W174" s="413"/>
      <c r="X174" s="453"/>
    </row>
    <row r="175" spans="1:24">
      <c r="A175" s="97"/>
      <c r="B175" s="107"/>
      <c r="C175" s="413"/>
      <c r="D175" s="97"/>
      <c r="E175" s="97"/>
      <c r="F175" s="107"/>
      <c r="G175" s="107"/>
      <c r="H175" s="257" t="str">
        <f t="shared" si="37"/>
        <v/>
      </c>
      <c r="I175" s="97"/>
      <c r="J175" s="97"/>
      <c r="K175" s="513"/>
      <c r="L175" s="513"/>
      <c r="M175" s="413"/>
      <c r="N175" s="97"/>
      <c r="O175" s="97"/>
      <c r="P175" s="97"/>
      <c r="Q175" s="97"/>
      <c r="R175" s="413"/>
      <c r="S175" s="97"/>
      <c r="T175" s="97"/>
      <c r="U175" s="97"/>
      <c r="V175" s="97"/>
      <c r="W175" s="413"/>
      <c r="X175" s="453"/>
    </row>
    <row r="176" spans="1:24">
      <c r="A176" s="97"/>
      <c r="B176" s="107"/>
      <c r="C176" s="413"/>
      <c r="D176" s="97"/>
      <c r="E176" s="97"/>
      <c r="F176" s="107"/>
      <c r="G176" s="107"/>
      <c r="H176" s="257" t="str">
        <f t="shared" si="37"/>
        <v/>
      </c>
      <c r="I176" s="97"/>
      <c r="J176" s="97"/>
      <c r="K176" s="513"/>
      <c r="L176" s="513"/>
      <c r="M176" s="413"/>
      <c r="N176" s="97"/>
      <c r="O176" s="97"/>
      <c r="P176" s="97"/>
      <c r="Q176" s="97"/>
      <c r="R176" s="413"/>
      <c r="S176" s="97"/>
      <c r="T176" s="97"/>
      <c r="U176" s="97"/>
      <c r="V176" s="97"/>
      <c r="W176" s="413"/>
      <c r="X176" s="453"/>
    </row>
    <row r="177" spans="1:25">
      <c r="A177" s="97"/>
      <c r="B177" s="107"/>
      <c r="C177" s="413"/>
      <c r="D177" s="97"/>
      <c r="E177" s="97"/>
      <c r="F177" s="107"/>
      <c r="G177" s="107"/>
      <c r="H177" s="257" t="str">
        <f t="shared" si="37"/>
        <v/>
      </c>
      <c r="I177" s="97"/>
      <c r="J177" s="97"/>
      <c r="K177" s="513"/>
      <c r="L177" s="513"/>
      <c r="M177" s="413"/>
      <c r="N177" s="97"/>
      <c r="O177" s="97"/>
      <c r="P177" s="97"/>
      <c r="Q177" s="97"/>
      <c r="R177" s="413"/>
      <c r="S177" s="97"/>
      <c r="T177" s="97"/>
      <c r="U177" s="97"/>
      <c r="V177" s="97"/>
      <c r="W177" s="413"/>
      <c r="X177" s="453"/>
    </row>
    <row r="178" spans="1:25">
      <c r="A178" s="97"/>
      <c r="B178" s="107"/>
      <c r="C178" s="413"/>
      <c r="D178" s="97"/>
      <c r="E178" s="97"/>
      <c r="F178" s="107"/>
      <c r="G178" s="107"/>
      <c r="H178" s="257" t="str">
        <f t="shared" si="37"/>
        <v/>
      </c>
      <c r="I178" s="97"/>
      <c r="J178" s="97"/>
      <c r="K178" s="513"/>
      <c r="L178" s="513"/>
      <c r="M178" s="413"/>
      <c r="N178" s="97"/>
      <c r="O178" s="97"/>
      <c r="P178" s="97"/>
      <c r="Q178" s="97"/>
      <c r="R178" s="413"/>
      <c r="S178" s="97"/>
      <c r="T178" s="97"/>
      <c r="U178" s="97"/>
      <c r="V178" s="97"/>
      <c r="W178" s="413"/>
      <c r="X178" s="453"/>
    </row>
    <row r="179" spans="1:25">
      <c r="A179" s="97"/>
      <c r="B179" s="107"/>
      <c r="C179" s="413"/>
      <c r="D179" s="97"/>
      <c r="E179" s="97"/>
      <c r="F179" s="107"/>
      <c r="G179" s="107"/>
      <c r="H179" s="257" t="str">
        <f t="shared" si="37"/>
        <v/>
      </c>
      <c r="I179" s="97"/>
      <c r="J179" s="97"/>
      <c r="K179" s="513"/>
      <c r="L179" s="513"/>
      <c r="M179" s="413"/>
      <c r="N179" s="97"/>
      <c r="O179" s="97"/>
      <c r="P179" s="97"/>
      <c r="Q179" s="97"/>
      <c r="R179" s="413"/>
      <c r="S179" s="97"/>
      <c r="T179" s="97"/>
      <c r="U179" s="97"/>
      <c r="V179" s="97"/>
      <c r="W179" s="413"/>
      <c r="X179" s="453"/>
    </row>
    <row r="180" spans="1:25" ht="13.5" thickBot="1">
      <c r="B180" s="482"/>
      <c r="C180" s="78"/>
      <c r="D180" s="78"/>
      <c r="E180" s="78"/>
      <c r="F180" s="482"/>
      <c r="G180" s="482"/>
      <c r="H180" s="257" t="str">
        <f t="shared" si="37"/>
        <v/>
      </c>
      <c r="I180" s="78"/>
      <c r="J180" s="78"/>
      <c r="K180" s="541"/>
      <c r="L180" s="541"/>
      <c r="M180" s="483"/>
      <c r="N180" s="78"/>
      <c r="O180" s="78"/>
      <c r="P180" s="78"/>
      <c r="Q180" s="78"/>
      <c r="R180" s="78"/>
      <c r="S180" s="78"/>
      <c r="T180" s="78"/>
      <c r="U180" s="78"/>
      <c r="V180" s="78"/>
    </row>
    <row r="181" spans="1:25">
      <c r="A181" s="237"/>
      <c r="B181" s="484"/>
      <c r="C181" s="463"/>
      <c r="D181" s="463"/>
      <c r="E181" s="463"/>
      <c r="F181" s="484"/>
      <c r="G181" s="484"/>
      <c r="H181" s="485"/>
      <c r="I181" s="463"/>
      <c r="J181" s="463"/>
      <c r="K181" s="527"/>
      <c r="L181" s="527"/>
      <c r="M181" s="485"/>
      <c r="N181" s="463"/>
      <c r="O181" s="463"/>
      <c r="P181" s="463"/>
      <c r="Q181" s="463"/>
      <c r="R181" s="463"/>
      <c r="S181" s="463"/>
      <c r="T181" s="463"/>
      <c r="U181" s="463"/>
      <c r="V181" s="463"/>
      <c r="W181" s="463"/>
      <c r="X181" s="486"/>
    </row>
    <row r="182" spans="1:25" ht="14.25">
      <c r="A182" s="42" t="s">
        <v>1266</v>
      </c>
      <c r="B182" s="1282" t="s">
        <v>1244</v>
      </c>
      <c r="C182" s="1282"/>
      <c r="D182" s="97"/>
      <c r="E182" s="1300" t="s">
        <v>758</v>
      </c>
      <c r="F182" s="1300"/>
      <c r="G182" s="1300"/>
      <c r="H182" s="1300"/>
      <c r="I182" s="97"/>
      <c r="J182" s="1300" t="s">
        <v>759</v>
      </c>
      <c r="K182" s="1300"/>
      <c r="L182" s="1300"/>
      <c r="M182" s="1300"/>
      <c r="N182" s="97"/>
      <c r="O182" s="1300" t="s">
        <v>1267</v>
      </c>
      <c r="P182" s="1300"/>
      <c r="Q182" s="1300"/>
      <c r="R182" s="1300"/>
      <c r="S182" s="97"/>
      <c r="T182" s="1300" t="s">
        <v>785</v>
      </c>
      <c r="U182" s="1300"/>
      <c r="V182" s="1300"/>
      <c r="W182" s="1300"/>
      <c r="X182" s="453"/>
    </row>
    <row r="183" spans="1:25">
      <c r="A183" s="95" t="s">
        <v>1268</v>
      </c>
      <c r="B183" s="488" t="s">
        <v>1140</v>
      </c>
      <c r="C183" s="492" t="s">
        <v>324</v>
      </c>
      <c r="D183" s="115"/>
      <c r="E183" s="1302" t="s">
        <v>1269</v>
      </c>
      <c r="F183" s="1302"/>
      <c r="G183" s="1301" t="s">
        <v>1270</v>
      </c>
      <c r="H183" s="1301"/>
      <c r="I183" s="115"/>
      <c r="J183" s="1302" t="s">
        <v>1269</v>
      </c>
      <c r="K183" s="1302"/>
      <c r="L183" s="1301" t="s">
        <v>1270</v>
      </c>
      <c r="M183" s="1301"/>
      <c r="N183" s="115"/>
      <c r="O183" s="1302" t="s">
        <v>1269</v>
      </c>
      <c r="P183" s="1302"/>
      <c r="Q183" s="1301" t="s">
        <v>1270</v>
      </c>
      <c r="R183" s="1301"/>
      <c r="S183" s="115"/>
      <c r="T183" s="1302" t="s">
        <v>1269</v>
      </c>
      <c r="U183" s="1302"/>
      <c r="V183" s="1301" t="s">
        <v>1270</v>
      </c>
      <c r="W183" s="1301"/>
      <c r="X183" s="453"/>
    </row>
    <row r="184" spans="1:25">
      <c r="A184" s="95"/>
      <c r="B184" s="542"/>
      <c r="C184" s="115"/>
      <c r="D184" s="115"/>
      <c r="E184" s="528" t="s">
        <v>1140</v>
      </c>
      <c r="F184" s="489" t="s">
        <v>324</v>
      </c>
      <c r="G184" s="528" t="s">
        <v>1140</v>
      </c>
      <c r="H184" s="489" t="s">
        <v>324</v>
      </c>
      <c r="I184" s="115"/>
      <c r="J184" s="528" t="s">
        <v>1140</v>
      </c>
      <c r="K184" s="489" t="s">
        <v>324</v>
      </c>
      <c r="L184" s="528" t="s">
        <v>1140</v>
      </c>
      <c r="M184" s="489" t="s">
        <v>324</v>
      </c>
      <c r="N184" s="115"/>
      <c r="O184" s="528" t="s">
        <v>1140</v>
      </c>
      <c r="P184" s="489" t="s">
        <v>324</v>
      </c>
      <c r="Q184" s="528" t="s">
        <v>1140</v>
      </c>
      <c r="R184" s="489" t="s">
        <v>324</v>
      </c>
      <c r="S184" s="115"/>
      <c r="T184" s="528" t="s">
        <v>1140</v>
      </c>
      <c r="U184" s="489" t="s">
        <v>324</v>
      </c>
      <c r="V184" s="528" t="s">
        <v>1140</v>
      </c>
      <c r="W184" s="489" t="s">
        <v>324</v>
      </c>
      <c r="X184" s="453"/>
    </row>
    <row r="185" spans="1:25" ht="13.5" thickBot="1">
      <c r="A185" s="249"/>
      <c r="B185" s="507"/>
      <c r="C185" s="495"/>
      <c r="D185" s="495"/>
      <c r="E185" s="495"/>
      <c r="F185" s="507"/>
      <c r="G185" s="507"/>
      <c r="H185" s="494"/>
      <c r="I185" s="495"/>
      <c r="J185" s="495"/>
      <c r="K185" s="530"/>
      <c r="L185" s="530"/>
      <c r="M185" s="494"/>
      <c r="N185" s="495"/>
      <c r="O185" s="495"/>
      <c r="P185" s="495"/>
      <c r="Q185" s="511"/>
      <c r="R185" s="495"/>
      <c r="S185" s="495"/>
      <c r="T185" s="495"/>
      <c r="U185" s="495"/>
      <c r="V185" s="511"/>
      <c r="W185" s="495"/>
      <c r="X185" s="496"/>
    </row>
    <row r="186" spans="1:25" ht="9" customHeight="1">
      <c r="A186" s="4"/>
      <c r="C186" s="257"/>
      <c r="F186" s="257"/>
      <c r="J186" s="106"/>
      <c r="K186" s="257"/>
      <c r="L186" s="106"/>
      <c r="O186" s="106"/>
      <c r="P186" s="257"/>
      <c r="Q186" s="106"/>
      <c r="R186" s="257"/>
      <c r="T186" s="106"/>
      <c r="U186" s="257"/>
      <c r="V186" s="106"/>
      <c r="W186" s="257"/>
      <c r="X186" s="453"/>
    </row>
    <row r="187" spans="1:25">
      <c r="A187" s="97" t="s">
        <v>1200</v>
      </c>
      <c r="B187" s="106">
        <f t="shared" ref="B187:B228" si="38">IF(A187&lt;&gt;"",E187+G187+J187+L187+O187+Q187+T187+V187,"")</f>
        <v>5</v>
      </c>
      <c r="C187" s="257">
        <f t="shared" ref="C187:C210" si="39">IF(A187&lt;&gt;0,B187/$B$13*100,"")</f>
        <v>0.2796420581655481</v>
      </c>
      <c r="E187" s="4">
        <v>0</v>
      </c>
      <c r="F187" s="257">
        <f t="shared" ref="F187:F228" si="40">IF($A187&lt;&gt;"",E187/$B187*100,"")</f>
        <v>0</v>
      </c>
      <c r="G187" s="4">
        <v>0</v>
      </c>
      <c r="H187" s="257">
        <f t="shared" ref="H187:H228" si="41">IF($A187&lt;&gt;"",G187/$B187*100,"")</f>
        <v>0</v>
      </c>
      <c r="J187" s="4">
        <v>0</v>
      </c>
      <c r="K187" s="257">
        <f t="shared" ref="K187:K228" si="42">IF($A187&lt;&gt;"",J187/$B187*100,"")</f>
        <v>0</v>
      </c>
      <c r="L187" s="4">
        <v>0</v>
      </c>
      <c r="M187" s="257">
        <f t="shared" ref="M187:M228" si="43">IF($A187&lt;&gt;"",L187/$B187*100,"")</f>
        <v>0</v>
      </c>
      <c r="O187" s="4">
        <v>0</v>
      </c>
      <c r="P187" s="257">
        <f t="shared" ref="P187:P228" si="44">IF($A187&lt;&gt;"",O187/$B187*100,"")</f>
        <v>0</v>
      </c>
      <c r="Q187" s="4">
        <v>0</v>
      </c>
      <c r="R187" s="257">
        <f t="shared" ref="R187:R228" si="45">IF($A187&lt;&gt;"",Q187/$B187*100,"")</f>
        <v>0</v>
      </c>
      <c r="T187" s="4">
        <v>4</v>
      </c>
      <c r="U187" s="257">
        <f t="shared" ref="U187:U228" si="46">IF($A187&lt;&gt;"",T187/$B187*100,"")</f>
        <v>80</v>
      </c>
      <c r="V187" s="4">
        <v>1</v>
      </c>
      <c r="W187" s="257">
        <f t="shared" ref="W187:W228" si="47">IF($A187&lt;&gt;"",V187/$B187*100,"")</f>
        <v>20</v>
      </c>
      <c r="X187" s="453"/>
    </row>
    <row r="188" spans="1:25">
      <c r="A188" s="97" t="s">
        <v>1201</v>
      </c>
      <c r="B188" s="106">
        <f t="shared" si="38"/>
        <v>17</v>
      </c>
      <c r="C188" s="257">
        <f t="shared" si="39"/>
        <v>0.95078299776286346</v>
      </c>
      <c r="E188" s="4">
        <v>4</v>
      </c>
      <c r="F188" s="257">
        <f t="shared" si="40"/>
        <v>23.52941176470588</v>
      </c>
      <c r="G188" s="4">
        <v>1</v>
      </c>
      <c r="H188" s="257">
        <f t="shared" si="41"/>
        <v>5.8823529411764701</v>
      </c>
      <c r="J188" s="4">
        <v>1</v>
      </c>
      <c r="K188" s="257">
        <f t="shared" si="42"/>
        <v>5.8823529411764701</v>
      </c>
      <c r="L188" s="4">
        <v>1</v>
      </c>
      <c r="M188" s="257">
        <f t="shared" si="43"/>
        <v>5.8823529411764701</v>
      </c>
      <c r="O188" s="4">
        <v>2</v>
      </c>
      <c r="P188" s="257">
        <f t="shared" si="44"/>
        <v>11.76470588235294</v>
      </c>
      <c r="Q188" s="4">
        <v>4</v>
      </c>
      <c r="R188" s="257">
        <f t="shared" si="45"/>
        <v>23.52941176470588</v>
      </c>
      <c r="T188" s="4">
        <v>2</v>
      </c>
      <c r="U188" s="257">
        <f t="shared" si="46"/>
        <v>11.76470588235294</v>
      </c>
      <c r="V188" s="4">
        <v>2</v>
      </c>
      <c r="W188" s="257">
        <f t="shared" si="47"/>
        <v>11.76470588235294</v>
      </c>
      <c r="X188" s="453"/>
      <c r="Y188" s="454"/>
    </row>
    <row r="189" spans="1:25">
      <c r="A189" s="97" t="s">
        <v>1202</v>
      </c>
      <c r="B189" s="106">
        <f t="shared" si="38"/>
        <v>5</v>
      </c>
      <c r="C189" s="257">
        <f t="shared" si="39"/>
        <v>0.2796420581655481</v>
      </c>
      <c r="E189" s="4">
        <v>1</v>
      </c>
      <c r="F189" s="257">
        <f t="shared" si="40"/>
        <v>20</v>
      </c>
      <c r="G189" s="4">
        <v>0</v>
      </c>
      <c r="H189" s="257">
        <f t="shared" si="41"/>
        <v>0</v>
      </c>
      <c r="J189" s="4">
        <v>1</v>
      </c>
      <c r="K189" s="257">
        <f t="shared" si="42"/>
        <v>20</v>
      </c>
      <c r="L189" s="4">
        <v>1</v>
      </c>
      <c r="M189" s="257">
        <f t="shared" si="43"/>
        <v>20</v>
      </c>
      <c r="O189" s="4">
        <v>0</v>
      </c>
      <c r="P189" s="257">
        <f t="shared" si="44"/>
        <v>0</v>
      </c>
      <c r="Q189" s="4">
        <v>1</v>
      </c>
      <c r="R189" s="257">
        <f t="shared" si="45"/>
        <v>20</v>
      </c>
      <c r="T189" s="4">
        <v>1</v>
      </c>
      <c r="U189" s="257">
        <f t="shared" si="46"/>
        <v>20</v>
      </c>
      <c r="V189" s="4">
        <v>0</v>
      </c>
      <c r="W189" s="257">
        <f t="shared" si="47"/>
        <v>0</v>
      </c>
      <c r="X189" s="453"/>
    </row>
    <row r="190" spans="1:25">
      <c r="A190" s="97" t="s">
        <v>1203</v>
      </c>
      <c r="B190" s="106">
        <f t="shared" si="38"/>
        <v>17</v>
      </c>
      <c r="C190" s="257">
        <f t="shared" si="39"/>
        <v>0.95078299776286346</v>
      </c>
      <c r="E190" s="4">
        <v>5</v>
      </c>
      <c r="F190" s="257">
        <f t="shared" si="40"/>
        <v>29.411764705882355</v>
      </c>
      <c r="G190" s="4">
        <v>3</v>
      </c>
      <c r="H190" s="257">
        <f t="shared" si="41"/>
        <v>17.647058823529413</v>
      </c>
      <c r="J190" s="4">
        <v>3</v>
      </c>
      <c r="K190" s="257">
        <f t="shared" si="42"/>
        <v>17.647058823529413</v>
      </c>
      <c r="L190" s="4">
        <v>1</v>
      </c>
      <c r="M190" s="257">
        <f t="shared" si="43"/>
        <v>5.8823529411764701</v>
      </c>
      <c r="O190" s="4">
        <v>3</v>
      </c>
      <c r="P190" s="257">
        <f t="shared" si="44"/>
        <v>17.647058823529413</v>
      </c>
      <c r="Q190" s="4">
        <v>0</v>
      </c>
      <c r="R190" s="257">
        <f t="shared" si="45"/>
        <v>0</v>
      </c>
      <c r="T190" s="4">
        <v>1</v>
      </c>
      <c r="U190" s="257">
        <f t="shared" si="46"/>
        <v>5.8823529411764701</v>
      </c>
      <c r="V190" s="4">
        <v>1</v>
      </c>
      <c r="W190" s="257">
        <f t="shared" si="47"/>
        <v>5.8823529411764701</v>
      </c>
      <c r="X190" s="453"/>
    </row>
    <row r="191" spans="1:25">
      <c r="A191" s="97" t="s">
        <v>1204</v>
      </c>
      <c r="B191" s="106">
        <f t="shared" si="38"/>
        <v>5</v>
      </c>
      <c r="C191" s="257">
        <f t="shared" si="39"/>
        <v>0.2796420581655481</v>
      </c>
      <c r="E191" s="4">
        <v>0</v>
      </c>
      <c r="F191" s="257">
        <f t="shared" si="40"/>
        <v>0</v>
      </c>
      <c r="G191" s="4">
        <v>1</v>
      </c>
      <c r="H191" s="257">
        <f t="shared" si="41"/>
        <v>20</v>
      </c>
      <c r="J191" s="4">
        <v>0</v>
      </c>
      <c r="K191" s="257">
        <f t="shared" si="42"/>
        <v>0</v>
      </c>
      <c r="L191" s="4">
        <v>0</v>
      </c>
      <c r="M191" s="257">
        <f t="shared" si="43"/>
        <v>0</v>
      </c>
      <c r="O191" s="4">
        <v>2</v>
      </c>
      <c r="P191" s="257">
        <f t="shared" si="44"/>
        <v>40</v>
      </c>
      <c r="Q191" s="4">
        <v>1</v>
      </c>
      <c r="R191" s="257">
        <f t="shared" si="45"/>
        <v>20</v>
      </c>
      <c r="T191" s="4">
        <v>1</v>
      </c>
      <c r="U191" s="257">
        <f t="shared" si="46"/>
        <v>20</v>
      </c>
      <c r="V191" s="4">
        <v>0</v>
      </c>
      <c r="W191" s="257">
        <f t="shared" si="47"/>
        <v>0</v>
      </c>
      <c r="X191" s="453"/>
    </row>
    <row r="192" spans="1:25">
      <c r="A192" s="97" t="s">
        <v>1208</v>
      </c>
      <c r="B192" s="106">
        <f t="shared" si="38"/>
        <v>28</v>
      </c>
      <c r="C192" s="257">
        <f t="shared" si="39"/>
        <v>1.5659955257270695</v>
      </c>
      <c r="E192" s="4">
        <v>2</v>
      </c>
      <c r="F192" s="257">
        <f t="shared" si="40"/>
        <v>7.1428571428571423</v>
      </c>
      <c r="G192" s="4">
        <v>2</v>
      </c>
      <c r="H192" s="257">
        <f t="shared" si="41"/>
        <v>7.1428571428571423</v>
      </c>
      <c r="J192" s="4">
        <v>2</v>
      </c>
      <c r="K192" s="257">
        <f t="shared" si="42"/>
        <v>7.1428571428571423</v>
      </c>
      <c r="L192" s="4">
        <v>7</v>
      </c>
      <c r="M192" s="257">
        <f t="shared" si="43"/>
        <v>25</v>
      </c>
      <c r="O192" s="4">
        <v>4</v>
      </c>
      <c r="P192" s="257">
        <f t="shared" si="44"/>
        <v>14.285714285714285</v>
      </c>
      <c r="Q192" s="4">
        <v>4</v>
      </c>
      <c r="R192" s="257">
        <f t="shared" si="45"/>
        <v>14.285714285714285</v>
      </c>
      <c r="T192" s="4">
        <v>1</v>
      </c>
      <c r="U192" s="257">
        <f t="shared" si="46"/>
        <v>3.5714285714285712</v>
      </c>
      <c r="V192" s="4">
        <v>6</v>
      </c>
      <c r="W192" s="257">
        <f t="shared" si="47"/>
        <v>21.428571428571427</v>
      </c>
      <c r="X192" s="453"/>
    </row>
    <row r="193" spans="1:24">
      <c r="A193" s="97" t="s">
        <v>1205</v>
      </c>
      <c r="B193" s="106">
        <f t="shared" si="38"/>
        <v>22</v>
      </c>
      <c r="C193" s="257">
        <f t="shared" si="39"/>
        <v>1.2304250559284116</v>
      </c>
      <c r="E193" s="4">
        <v>3</v>
      </c>
      <c r="F193" s="257">
        <f t="shared" si="40"/>
        <v>13.636363636363635</v>
      </c>
      <c r="G193" s="4">
        <v>2</v>
      </c>
      <c r="H193" s="257">
        <f t="shared" si="41"/>
        <v>9.0909090909090917</v>
      </c>
      <c r="J193" s="4">
        <v>0</v>
      </c>
      <c r="K193" s="257">
        <f t="shared" si="42"/>
        <v>0</v>
      </c>
      <c r="L193" s="4">
        <v>3</v>
      </c>
      <c r="M193" s="257">
        <f t="shared" si="43"/>
        <v>13.636363636363635</v>
      </c>
      <c r="O193" s="4">
        <v>3</v>
      </c>
      <c r="P193" s="257">
        <f t="shared" si="44"/>
        <v>13.636363636363635</v>
      </c>
      <c r="Q193" s="4">
        <v>3</v>
      </c>
      <c r="R193" s="257">
        <f t="shared" si="45"/>
        <v>13.636363636363635</v>
      </c>
      <c r="T193" s="4">
        <v>4</v>
      </c>
      <c r="U193" s="257">
        <f t="shared" si="46"/>
        <v>18.181818181818183</v>
      </c>
      <c r="V193" s="4">
        <v>4</v>
      </c>
      <c r="W193" s="257">
        <f t="shared" si="47"/>
        <v>18.181818181818183</v>
      </c>
      <c r="X193" s="453"/>
    </row>
    <row r="194" spans="1:24">
      <c r="A194" s="97" t="s">
        <v>1206</v>
      </c>
      <c r="B194" s="106">
        <f t="shared" si="38"/>
        <v>25</v>
      </c>
      <c r="C194" s="257">
        <f t="shared" si="39"/>
        <v>1.3982102908277405</v>
      </c>
      <c r="E194" s="4">
        <v>2</v>
      </c>
      <c r="F194" s="257">
        <f t="shared" si="40"/>
        <v>8</v>
      </c>
      <c r="G194" s="4">
        <v>4</v>
      </c>
      <c r="H194" s="257">
        <f t="shared" si="41"/>
        <v>16</v>
      </c>
      <c r="J194" s="4">
        <v>2</v>
      </c>
      <c r="K194" s="257">
        <f t="shared" si="42"/>
        <v>8</v>
      </c>
      <c r="L194" s="4">
        <v>3</v>
      </c>
      <c r="M194" s="257">
        <f t="shared" si="43"/>
        <v>12</v>
      </c>
      <c r="O194" s="4">
        <v>2</v>
      </c>
      <c r="P194" s="257">
        <f t="shared" si="44"/>
        <v>8</v>
      </c>
      <c r="Q194" s="4">
        <v>6</v>
      </c>
      <c r="R194" s="257">
        <f t="shared" si="45"/>
        <v>24</v>
      </c>
      <c r="T194" s="4">
        <v>4</v>
      </c>
      <c r="U194" s="257">
        <f t="shared" si="46"/>
        <v>16</v>
      </c>
      <c r="V194" s="4">
        <v>2</v>
      </c>
      <c r="W194" s="257">
        <f t="shared" si="47"/>
        <v>8</v>
      </c>
      <c r="X194" s="453"/>
    </row>
    <row r="195" spans="1:24" hidden="1">
      <c r="A195" s="97" t="s">
        <v>1207</v>
      </c>
      <c r="B195" s="106">
        <f t="shared" si="38"/>
        <v>0</v>
      </c>
      <c r="C195" s="257">
        <f t="shared" si="39"/>
        <v>0</v>
      </c>
      <c r="F195" s="257" t="e">
        <f t="shared" si="40"/>
        <v>#DIV/0!</v>
      </c>
      <c r="G195" s="4"/>
      <c r="H195" s="257" t="e">
        <f t="shared" si="41"/>
        <v>#DIV/0!</v>
      </c>
      <c r="K195" s="257" t="e">
        <f t="shared" si="42"/>
        <v>#DIV/0!</v>
      </c>
      <c r="L195" s="4"/>
      <c r="M195" s="257" t="e">
        <f t="shared" si="43"/>
        <v>#DIV/0!</v>
      </c>
      <c r="P195" s="257" t="e">
        <f t="shared" si="44"/>
        <v>#DIV/0!</v>
      </c>
      <c r="R195" s="257" t="e">
        <f t="shared" si="45"/>
        <v>#DIV/0!</v>
      </c>
      <c r="U195" s="257" t="e">
        <f t="shared" si="46"/>
        <v>#DIV/0!</v>
      </c>
      <c r="W195" s="257" t="e">
        <f t="shared" si="47"/>
        <v>#DIV/0!</v>
      </c>
      <c r="X195" s="453"/>
    </row>
    <row r="196" spans="1:24">
      <c r="A196" s="97" t="s">
        <v>1209</v>
      </c>
      <c r="B196" s="106">
        <f t="shared" si="38"/>
        <v>17</v>
      </c>
      <c r="C196" s="257">
        <f t="shared" si="39"/>
        <v>0.95078299776286346</v>
      </c>
      <c r="E196" s="4">
        <v>2</v>
      </c>
      <c r="F196" s="257">
        <f t="shared" si="40"/>
        <v>11.76470588235294</v>
      </c>
      <c r="G196" s="4">
        <v>1</v>
      </c>
      <c r="H196" s="257">
        <f t="shared" si="41"/>
        <v>5.8823529411764701</v>
      </c>
      <c r="J196" s="4">
        <v>4</v>
      </c>
      <c r="K196" s="257">
        <f t="shared" si="42"/>
        <v>23.52941176470588</v>
      </c>
      <c r="L196" s="4">
        <v>3</v>
      </c>
      <c r="M196" s="257">
        <f t="shared" si="43"/>
        <v>17.647058823529413</v>
      </c>
      <c r="O196" s="4">
        <v>1</v>
      </c>
      <c r="P196" s="257">
        <f t="shared" si="44"/>
        <v>5.8823529411764701</v>
      </c>
      <c r="Q196" s="4">
        <v>2</v>
      </c>
      <c r="R196" s="257">
        <f t="shared" si="45"/>
        <v>11.76470588235294</v>
      </c>
      <c r="T196" s="4">
        <v>4</v>
      </c>
      <c r="U196" s="257">
        <f t="shared" si="46"/>
        <v>23.52941176470588</v>
      </c>
      <c r="V196" s="4">
        <v>0</v>
      </c>
      <c r="W196" s="257">
        <f t="shared" si="47"/>
        <v>0</v>
      </c>
      <c r="X196" s="453"/>
    </row>
    <row r="197" spans="1:24">
      <c r="A197" s="97" t="s">
        <v>1210</v>
      </c>
      <c r="B197" s="106">
        <f t="shared" si="38"/>
        <v>19</v>
      </c>
      <c r="C197" s="257">
        <f t="shared" si="39"/>
        <v>1.0626398210290828</v>
      </c>
      <c r="E197" s="4">
        <v>2</v>
      </c>
      <c r="F197" s="257">
        <f t="shared" si="40"/>
        <v>10.526315789473683</v>
      </c>
      <c r="G197" s="4">
        <v>0</v>
      </c>
      <c r="H197" s="257">
        <f t="shared" si="41"/>
        <v>0</v>
      </c>
      <c r="J197" s="4">
        <v>0</v>
      </c>
      <c r="K197" s="257">
        <f t="shared" si="42"/>
        <v>0</v>
      </c>
      <c r="L197" s="4">
        <v>3</v>
      </c>
      <c r="M197" s="257">
        <f t="shared" si="43"/>
        <v>15.789473684210526</v>
      </c>
      <c r="O197" s="4">
        <v>2</v>
      </c>
      <c r="P197" s="257">
        <f t="shared" si="44"/>
        <v>10.526315789473683</v>
      </c>
      <c r="Q197" s="4">
        <v>7</v>
      </c>
      <c r="R197" s="257">
        <f t="shared" si="45"/>
        <v>36.84210526315789</v>
      </c>
      <c r="T197" s="4">
        <v>3</v>
      </c>
      <c r="U197" s="257">
        <f t="shared" si="46"/>
        <v>15.789473684210526</v>
      </c>
      <c r="V197" s="4">
        <v>2</v>
      </c>
      <c r="W197" s="257">
        <f t="shared" si="47"/>
        <v>10.526315789473683</v>
      </c>
      <c r="X197" s="453"/>
    </row>
    <row r="198" spans="1:24">
      <c r="A198" s="97" t="s">
        <v>1211</v>
      </c>
      <c r="B198" s="106">
        <f t="shared" si="38"/>
        <v>2</v>
      </c>
      <c r="C198" s="257">
        <f t="shared" si="39"/>
        <v>0.11185682326621924</v>
      </c>
      <c r="E198" s="4">
        <v>0</v>
      </c>
      <c r="F198" s="257">
        <f t="shared" si="40"/>
        <v>0</v>
      </c>
      <c r="G198" s="4">
        <v>0</v>
      </c>
      <c r="H198" s="257">
        <f t="shared" si="41"/>
        <v>0</v>
      </c>
      <c r="J198" s="4">
        <v>0</v>
      </c>
      <c r="K198" s="257">
        <f t="shared" si="42"/>
        <v>0</v>
      </c>
      <c r="L198" s="4">
        <v>1</v>
      </c>
      <c r="M198" s="257">
        <f t="shared" si="43"/>
        <v>50</v>
      </c>
      <c r="O198" s="4">
        <v>1</v>
      </c>
      <c r="P198" s="257">
        <f t="shared" si="44"/>
        <v>50</v>
      </c>
      <c r="Q198" s="4">
        <v>0</v>
      </c>
      <c r="R198" s="257">
        <f t="shared" si="45"/>
        <v>0</v>
      </c>
      <c r="T198" s="4">
        <v>0</v>
      </c>
      <c r="U198" s="257">
        <f t="shared" si="46"/>
        <v>0</v>
      </c>
      <c r="V198" s="4">
        <v>0</v>
      </c>
      <c r="W198" s="257">
        <f t="shared" si="47"/>
        <v>0</v>
      </c>
      <c r="X198" s="453"/>
    </row>
    <row r="199" spans="1:24">
      <c r="A199" s="97" t="s">
        <v>1212</v>
      </c>
      <c r="B199" s="106">
        <f t="shared" si="38"/>
        <v>5</v>
      </c>
      <c r="C199" s="257">
        <f t="shared" si="39"/>
        <v>0.2796420581655481</v>
      </c>
      <c r="E199" s="4">
        <v>1</v>
      </c>
      <c r="F199" s="257">
        <f t="shared" si="40"/>
        <v>20</v>
      </c>
      <c r="G199" s="4">
        <v>0</v>
      </c>
      <c r="H199" s="257">
        <f t="shared" si="41"/>
        <v>0</v>
      </c>
      <c r="J199" s="4">
        <v>1</v>
      </c>
      <c r="K199" s="257">
        <f t="shared" si="42"/>
        <v>20</v>
      </c>
      <c r="L199" s="4">
        <v>0</v>
      </c>
      <c r="M199" s="257">
        <f t="shared" si="43"/>
        <v>0</v>
      </c>
      <c r="O199" s="4">
        <v>3</v>
      </c>
      <c r="P199" s="257">
        <f t="shared" si="44"/>
        <v>60</v>
      </c>
      <c r="Q199" s="4">
        <v>0</v>
      </c>
      <c r="R199" s="257">
        <f t="shared" si="45"/>
        <v>0</v>
      </c>
      <c r="T199" s="4">
        <v>0</v>
      </c>
      <c r="U199" s="257">
        <f t="shared" si="46"/>
        <v>0</v>
      </c>
      <c r="V199" s="4">
        <v>0</v>
      </c>
      <c r="W199" s="257">
        <f t="shared" si="47"/>
        <v>0</v>
      </c>
      <c r="X199" s="453"/>
    </row>
    <row r="200" spans="1:24">
      <c r="A200" s="97" t="s">
        <v>1213</v>
      </c>
      <c r="B200" s="106">
        <f t="shared" si="38"/>
        <v>5</v>
      </c>
      <c r="C200" s="257">
        <f t="shared" si="39"/>
        <v>0.2796420581655481</v>
      </c>
      <c r="E200" s="4">
        <v>0</v>
      </c>
      <c r="F200" s="257">
        <f t="shared" si="40"/>
        <v>0</v>
      </c>
      <c r="G200" s="4">
        <v>2</v>
      </c>
      <c r="H200" s="257">
        <f t="shared" si="41"/>
        <v>40</v>
      </c>
      <c r="J200" s="4">
        <v>2</v>
      </c>
      <c r="K200" s="257">
        <f t="shared" si="42"/>
        <v>40</v>
      </c>
      <c r="L200" s="4">
        <v>0</v>
      </c>
      <c r="M200" s="257">
        <f t="shared" si="43"/>
        <v>0</v>
      </c>
      <c r="O200" s="4">
        <v>1</v>
      </c>
      <c r="P200" s="257">
        <f t="shared" si="44"/>
        <v>20</v>
      </c>
      <c r="Q200" s="4">
        <v>0</v>
      </c>
      <c r="R200" s="257">
        <f t="shared" si="45"/>
        <v>0</v>
      </c>
      <c r="T200" s="4">
        <v>0</v>
      </c>
      <c r="U200" s="257">
        <f t="shared" si="46"/>
        <v>0</v>
      </c>
      <c r="V200" s="4">
        <v>0</v>
      </c>
      <c r="W200" s="257">
        <f t="shared" si="47"/>
        <v>0</v>
      </c>
      <c r="X200" s="453"/>
    </row>
    <row r="201" spans="1:24">
      <c r="A201" s="4" t="s">
        <v>1281</v>
      </c>
      <c r="B201" s="106">
        <f t="shared" si="38"/>
        <v>22</v>
      </c>
      <c r="C201" s="257">
        <f t="shared" si="39"/>
        <v>1.2304250559284116</v>
      </c>
      <c r="E201" s="4">
        <v>2</v>
      </c>
      <c r="F201" s="257">
        <f t="shared" si="40"/>
        <v>9.0909090909090917</v>
      </c>
      <c r="G201" s="4">
        <v>1</v>
      </c>
      <c r="H201" s="257">
        <f t="shared" si="41"/>
        <v>4.5454545454545459</v>
      </c>
      <c r="J201" s="4">
        <v>7</v>
      </c>
      <c r="K201" s="257">
        <f t="shared" si="42"/>
        <v>31.818181818181817</v>
      </c>
      <c r="L201" s="4">
        <v>11</v>
      </c>
      <c r="M201" s="257">
        <f t="shared" si="43"/>
        <v>50</v>
      </c>
      <c r="O201" s="4">
        <v>0</v>
      </c>
      <c r="P201" s="257">
        <f t="shared" si="44"/>
        <v>0</v>
      </c>
      <c r="Q201" s="4">
        <v>0</v>
      </c>
      <c r="R201" s="257">
        <f t="shared" si="45"/>
        <v>0</v>
      </c>
      <c r="T201" s="4">
        <v>1</v>
      </c>
      <c r="U201" s="257">
        <f t="shared" si="46"/>
        <v>4.5454545454545459</v>
      </c>
      <c r="V201" s="4">
        <v>0</v>
      </c>
      <c r="W201" s="257">
        <f t="shared" si="47"/>
        <v>0</v>
      </c>
      <c r="X201" s="453"/>
    </row>
    <row r="202" spans="1:24" ht="6.75" customHeight="1">
      <c r="A202" s="4"/>
      <c r="B202" s="106" t="str">
        <f t="shared" si="38"/>
        <v/>
      </c>
      <c r="C202" s="257" t="str">
        <f t="shared" si="39"/>
        <v/>
      </c>
      <c r="F202" s="257" t="str">
        <f t="shared" si="40"/>
        <v/>
      </c>
      <c r="H202" s="257" t="str">
        <f t="shared" si="41"/>
        <v/>
      </c>
      <c r="J202" s="106"/>
      <c r="K202" s="257" t="str">
        <f t="shared" si="42"/>
        <v/>
      </c>
      <c r="L202" s="106"/>
      <c r="M202" s="257" t="str">
        <f t="shared" si="43"/>
        <v/>
      </c>
      <c r="O202" s="106"/>
      <c r="P202" s="257" t="str">
        <f t="shared" si="44"/>
        <v/>
      </c>
      <c r="Q202" s="106"/>
      <c r="R202" s="257" t="str">
        <f t="shared" si="45"/>
        <v/>
      </c>
      <c r="T202" s="106"/>
      <c r="U202" s="257" t="str">
        <f t="shared" si="46"/>
        <v/>
      </c>
      <c r="V202" s="106"/>
      <c r="W202" s="257" t="str">
        <f t="shared" si="47"/>
        <v/>
      </c>
      <c r="X202" s="453"/>
    </row>
    <row r="203" spans="1:24">
      <c r="A203" s="4" t="s">
        <v>1215</v>
      </c>
      <c r="B203" s="106">
        <f t="shared" si="38"/>
        <v>4</v>
      </c>
      <c r="C203" s="257">
        <f t="shared" si="39"/>
        <v>0.22371364653243847</v>
      </c>
      <c r="E203" s="106">
        <f>SUM(E204:E205)</f>
        <v>0</v>
      </c>
      <c r="F203" s="257">
        <f t="shared" si="40"/>
        <v>0</v>
      </c>
      <c r="G203" s="106">
        <f>SUM(G204:G205)</f>
        <v>0</v>
      </c>
      <c r="H203" s="257">
        <f t="shared" si="41"/>
        <v>0</v>
      </c>
      <c r="J203" s="106">
        <f>SUM(J204:J205)</f>
        <v>0</v>
      </c>
      <c r="K203" s="257">
        <f t="shared" si="42"/>
        <v>0</v>
      </c>
      <c r="L203" s="106">
        <f>SUM(L204:L205)</f>
        <v>1</v>
      </c>
      <c r="M203" s="257">
        <f t="shared" si="43"/>
        <v>25</v>
      </c>
      <c r="O203" s="106">
        <f>SUM(O204:O205)</f>
        <v>0</v>
      </c>
      <c r="P203" s="257">
        <f t="shared" si="44"/>
        <v>0</v>
      </c>
      <c r="Q203" s="106">
        <f>SUM(Q204:Q205)</f>
        <v>3</v>
      </c>
      <c r="R203" s="257">
        <f t="shared" si="45"/>
        <v>75</v>
      </c>
      <c r="T203" s="106">
        <f>SUM(T204:T205)</f>
        <v>0</v>
      </c>
      <c r="U203" s="257">
        <f t="shared" si="46"/>
        <v>0</v>
      </c>
      <c r="V203" s="106">
        <f>SUM(V204:V205)</f>
        <v>0</v>
      </c>
      <c r="W203" s="257">
        <f t="shared" si="47"/>
        <v>0</v>
      </c>
      <c r="X203" s="453"/>
    </row>
    <row r="204" spans="1:24" ht="6.75" customHeight="1">
      <c r="A204" s="4"/>
      <c r="B204" s="106" t="str">
        <f t="shared" si="38"/>
        <v/>
      </c>
      <c r="C204" s="257" t="str">
        <f t="shared" si="39"/>
        <v/>
      </c>
      <c r="E204" s="106"/>
      <c r="F204" s="257" t="str">
        <f t="shared" si="40"/>
        <v/>
      </c>
      <c r="H204" s="257" t="str">
        <f t="shared" si="41"/>
        <v/>
      </c>
      <c r="J204" s="106"/>
      <c r="K204" s="257" t="str">
        <f t="shared" si="42"/>
        <v/>
      </c>
      <c r="L204" s="106"/>
      <c r="M204" s="257" t="str">
        <f t="shared" si="43"/>
        <v/>
      </c>
      <c r="O204" s="106"/>
      <c r="P204" s="257" t="str">
        <f t="shared" si="44"/>
        <v/>
      </c>
      <c r="Q204" s="106"/>
      <c r="R204" s="257" t="str">
        <f t="shared" si="45"/>
        <v/>
      </c>
      <c r="T204" s="106"/>
      <c r="U204" s="257" t="str">
        <f t="shared" si="46"/>
        <v/>
      </c>
      <c r="V204" s="106"/>
      <c r="W204" s="257" t="str">
        <f t="shared" si="47"/>
        <v/>
      </c>
      <c r="X204" s="453"/>
    </row>
    <row r="205" spans="1:24">
      <c r="A205" s="4" t="s">
        <v>1216</v>
      </c>
      <c r="B205" s="106">
        <f>IF(A205&lt;&gt;"",E205+G205+J205+L205+O205+Q205+T205+V205,"")</f>
        <v>4</v>
      </c>
      <c r="C205" s="257">
        <f t="shared" si="39"/>
        <v>0.22371364653243847</v>
      </c>
      <c r="E205" s="4">
        <v>0</v>
      </c>
      <c r="F205" s="257">
        <f t="shared" si="40"/>
        <v>0</v>
      </c>
      <c r="G205" s="4">
        <v>0</v>
      </c>
      <c r="H205" s="257">
        <f t="shared" si="41"/>
        <v>0</v>
      </c>
      <c r="J205" s="4">
        <v>0</v>
      </c>
      <c r="K205" s="257">
        <f t="shared" si="42"/>
        <v>0</v>
      </c>
      <c r="L205" s="4">
        <v>1</v>
      </c>
      <c r="M205" s="257">
        <f t="shared" si="43"/>
        <v>25</v>
      </c>
      <c r="O205" s="4">
        <v>0</v>
      </c>
      <c r="P205" s="257">
        <f t="shared" si="44"/>
        <v>0</v>
      </c>
      <c r="Q205" s="4">
        <v>3</v>
      </c>
      <c r="R205" s="257">
        <f t="shared" si="45"/>
        <v>75</v>
      </c>
      <c r="T205" s="4">
        <v>0</v>
      </c>
      <c r="U205" s="257">
        <f t="shared" si="46"/>
        <v>0</v>
      </c>
      <c r="V205" s="4">
        <v>0</v>
      </c>
      <c r="W205" s="257">
        <f t="shared" si="47"/>
        <v>0</v>
      </c>
      <c r="X205" s="453"/>
    </row>
    <row r="206" spans="1:24" ht="6.75" customHeight="1">
      <c r="A206" s="4"/>
      <c r="B206" s="106" t="str">
        <f t="shared" si="38"/>
        <v/>
      </c>
      <c r="C206" s="257" t="str">
        <f t="shared" si="39"/>
        <v/>
      </c>
      <c r="E206" s="106"/>
      <c r="F206" s="257" t="str">
        <f t="shared" si="40"/>
        <v/>
      </c>
      <c r="H206" s="257" t="str">
        <f t="shared" si="41"/>
        <v/>
      </c>
      <c r="J206" s="106"/>
      <c r="K206" s="257" t="str">
        <f t="shared" si="42"/>
        <v/>
      </c>
      <c r="L206" s="106"/>
      <c r="M206" s="257" t="str">
        <f t="shared" si="43"/>
        <v/>
      </c>
      <c r="O206" s="106"/>
      <c r="P206" s="257" t="str">
        <f t="shared" si="44"/>
        <v/>
      </c>
      <c r="Q206" s="106"/>
      <c r="R206" s="257" t="str">
        <f t="shared" si="45"/>
        <v/>
      </c>
      <c r="T206" s="106"/>
      <c r="U206" s="257" t="str">
        <f t="shared" si="46"/>
        <v/>
      </c>
      <c r="V206" s="106"/>
      <c r="W206" s="257" t="str">
        <f t="shared" si="47"/>
        <v/>
      </c>
      <c r="X206" s="453"/>
    </row>
    <row r="207" spans="1:24">
      <c r="A207" s="9" t="s">
        <v>1282</v>
      </c>
      <c r="B207" s="106">
        <f t="shared" si="38"/>
        <v>42</v>
      </c>
      <c r="C207" s="257">
        <f t="shared" si="39"/>
        <v>2.348993288590604</v>
      </c>
      <c r="E207" s="106">
        <f>SUM(E209)</f>
        <v>2</v>
      </c>
      <c r="F207" s="257">
        <f t="shared" si="40"/>
        <v>4.7619047619047619</v>
      </c>
      <c r="G207" s="106">
        <f>SUM(G209)</f>
        <v>2</v>
      </c>
      <c r="H207" s="257">
        <f t="shared" si="41"/>
        <v>4.7619047619047619</v>
      </c>
      <c r="J207" s="106">
        <f>SUM(J209)</f>
        <v>6</v>
      </c>
      <c r="K207" s="257">
        <f t="shared" si="42"/>
        <v>14.285714285714285</v>
      </c>
      <c r="L207" s="106">
        <f>SUM(L209)</f>
        <v>9</v>
      </c>
      <c r="M207" s="257">
        <f t="shared" si="43"/>
        <v>21.428571428571427</v>
      </c>
      <c r="O207" s="106">
        <f>SUM(O209)</f>
        <v>8</v>
      </c>
      <c r="P207" s="257">
        <f t="shared" si="44"/>
        <v>19.047619047619047</v>
      </c>
      <c r="Q207" s="106">
        <f>SUM(Q209)</f>
        <v>9</v>
      </c>
      <c r="R207" s="257">
        <f t="shared" si="45"/>
        <v>21.428571428571427</v>
      </c>
      <c r="T207" s="106">
        <f>SUM(T209)</f>
        <v>2</v>
      </c>
      <c r="U207" s="257">
        <f t="shared" si="46"/>
        <v>4.7619047619047619</v>
      </c>
      <c r="V207" s="106">
        <f>SUM(V209)</f>
        <v>4</v>
      </c>
      <c r="W207" s="257">
        <f t="shared" si="47"/>
        <v>9.5238095238095237</v>
      </c>
    </row>
    <row r="208" spans="1:24" ht="6.75" customHeight="1">
      <c r="A208" s="4"/>
      <c r="B208" s="106" t="str">
        <f t="shared" si="38"/>
        <v/>
      </c>
      <c r="C208" s="257" t="str">
        <f t="shared" si="39"/>
        <v/>
      </c>
      <c r="E208" s="106"/>
      <c r="F208" s="257" t="str">
        <f t="shared" si="40"/>
        <v/>
      </c>
      <c r="H208" s="257" t="str">
        <f t="shared" si="41"/>
        <v/>
      </c>
      <c r="J208" s="106"/>
      <c r="K208" s="257" t="str">
        <f t="shared" si="42"/>
        <v/>
      </c>
      <c r="L208" s="106"/>
      <c r="M208" s="257" t="str">
        <f t="shared" si="43"/>
        <v/>
      </c>
      <c r="O208" s="106"/>
      <c r="P208" s="257" t="str">
        <f t="shared" si="44"/>
        <v/>
      </c>
      <c r="Q208" s="106"/>
      <c r="R208" s="257" t="str">
        <f t="shared" si="45"/>
        <v/>
      </c>
      <c r="T208" s="106"/>
      <c r="U208" s="257" t="str">
        <f t="shared" si="46"/>
        <v/>
      </c>
      <c r="V208" s="106"/>
      <c r="W208" s="257" t="str">
        <f t="shared" si="47"/>
        <v/>
      </c>
    </row>
    <row r="209" spans="1:24">
      <c r="A209" s="4" t="s">
        <v>1283</v>
      </c>
      <c r="B209" s="106">
        <f t="shared" si="38"/>
        <v>42</v>
      </c>
      <c r="C209" s="257">
        <f t="shared" si="39"/>
        <v>2.348993288590604</v>
      </c>
      <c r="E209" s="325">
        <f>SUM(E210:E221)</f>
        <v>2</v>
      </c>
      <c r="F209" s="257">
        <f t="shared" si="40"/>
        <v>4.7619047619047619</v>
      </c>
      <c r="G209" s="325">
        <f t="shared" ref="G209:V209" si="48">SUM(G210:G221)</f>
        <v>2</v>
      </c>
      <c r="H209" s="257">
        <f t="shared" si="41"/>
        <v>4.7619047619047619</v>
      </c>
      <c r="I209" s="325">
        <f t="shared" si="48"/>
        <v>0</v>
      </c>
      <c r="J209" s="325">
        <f t="shared" si="48"/>
        <v>6</v>
      </c>
      <c r="K209" s="257">
        <f t="shared" si="42"/>
        <v>14.285714285714285</v>
      </c>
      <c r="L209" s="325">
        <f t="shared" si="48"/>
        <v>9</v>
      </c>
      <c r="M209" s="257">
        <f t="shared" si="43"/>
        <v>21.428571428571427</v>
      </c>
      <c r="N209" s="325">
        <f t="shared" si="48"/>
        <v>0</v>
      </c>
      <c r="O209" s="325">
        <f t="shared" si="48"/>
        <v>8</v>
      </c>
      <c r="P209" s="257">
        <f t="shared" si="44"/>
        <v>19.047619047619047</v>
      </c>
      <c r="Q209" s="325">
        <f t="shared" si="48"/>
        <v>9</v>
      </c>
      <c r="R209" s="257">
        <f t="shared" si="45"/>
        <v>21.428571428571427</v>
      </c>
      <c r="S209" s="325">
        <f t="shared" si="48"/>
        <v>0</v>
      </c>
      <c r="T209" s="325">
        <f t="shared" si="48"/>
        <v>2</v>
      </c>
      <c r="U209" s="257">
        <f t="shared" si="46"/>
        <v>4.7619047619047619</v>
      </c>
      <c r="V209" s="325">
        <f t="shared" si="48"/>
        <v>4</v>
      </c>
      <c r="W209" s="257">
        <f t="shared" si="47"/>
        <v>9.5238095238095237</v>
      </c>
    </row>
    <row r="210" spans="1:24">
      <c r="A210" s="97" t="s">
        <v>1284</v>
      </c>
      <c r="B210" s="106">
        <f t="shared" si="38"/>
        <v>2</v>
      </c>
      <c r="C210" s="257">
        <f t="shared" si="39"/>
        <v>0.11185682326621924</v>
      </c>
      <c r="E210" s="4">
        <v>0</v>
      </c>
      <c r="F210" s="257">
        <f t="shared" si="40"/>
        <v>0</v>
      </c>
      <c r="G210" s="4">
        <v>0</v>
      </c>
      <c r="H210" s="257">
        <f t="shared" si="41"/>
        <v>0</v>
      </c>
      <c r="J210" s="4">
        <v>0</v>
      </c>
      <c r="K210" s="257">
        <f t="shared" si="42"/>
        <v>0</v>
      </c>
      <c r="L210" s="4">
        <v>0</v>
      </c>
      <c r="M210" s="257">
        <f t="shared" si="43"/>
        <v>0</v>
      </c>
      <c r="O210" s="4">
        <v>2</v>
      </c>
      <c r="P210" s="257">
        <f t="shared" si="44"/>
        <v>100</v>
      </c>
      <c r="Q210" s="4">
        <v>0</v>
      </c>
      <c r="R210" s="257">
        <f t="shared" si="45"/>
        <v>0</v>
      </c>
      <c r="T210" s="4">
        <v>0</v>
      </c>
      <c r="U210" s="257">
        <f t="shared" si="46"/>
        <v>0</v>
      </c>
      <c r="V210" s="4">
        <v>0</v>
      </c>
      <c r="W210" s="257">
        <f t="shared" si="47"/>
        <v>0</v>
      </c>
    </row>
    <row r="211" spans="1:24">
      <c r="A211" s="97" t="s">
        <v>1285</v>
      </c>
      <c r="B211" s="106">
        <f t="shared" si="38"/>
        <v>3</v>
      </c>
      <c r="C211" s="257">
        <f>IF(A211&lt;&gt;0,B211/$B$13*100,"")</f>
        <v>0.16778523489932887</v>
      </c>
      <c r="E211" s="4">
        <v>0</v>
      </c>
      <c r="F211" s="257">
        <f t="shared" si="40"/>
        <v>0</v>
      </c>
      <c r="G211" s="4">
        <v>0</v>
      </c>
      <c r="H211" s="257">
        <f t="shared" si="41"/>
        <v>0</v>
      </c>
      <c r="J211" s="4">
        <v>0</v>
      </c>
      <c r="K211" s="257">
        <f t="shared" si="42"/>
        <v>0</v>
      </c>
      <c r="L211" s="4">
        <v>0</v>
      </c>
      <c r="M211" s="257">
        <f t="shared" si="43"/>
        <v>0</v>
      </c>
      <c r="O211" s="4">
        <v>0</v>
      </c>
      <c r="P211" s="257">
        <f t="shared" si="44"/>
        <v>0</v>
      </c>
      <c r="Q211" s="4">
        <v>2</v>
      </c>
      <c r="R211" s="257">
        <f t="shared" si="45"/>
        <v>66.666666666666657</v>
      </c>
      <c r="T211" s="4">
        <v>0</v>
      </c>
      <c r="U211" s="257">
        <f t="shared" si="46"/>
        <v>0</v>
      </c>
      <c r="V211" s="4">
        <v>1</v>
      </c>
      <c r="W211" s="257">
        <f t="shared" si="47"/>
        <v>33.333333333333329</v>
      </c>
    </row>
    <row r="212" spans="1:24" hidden="1">
      <c r="A212" s="97" t="s">
        <v>1286</v>
      </c>
      <c r="B212" s="106">
        <f t="shared" si="38"/>
        <v>0</v>
      </c>
      <c r="C212" s="257">
        <f t="shared" ref="C212:C223" si="49">IF(A212&lt;&gt;0,B212/$B$13*100,"")</f>
        <v>0</v>
      </c>
      <c r="F212" s="257" t="e">
        <f t="shared" si="40"/>
        <v>#DIV/0!</v>
      </c>
      <c r="G212" s="4"/>
      <c r="H212" s="257" t="e">
        <f t="shared" si="41"/>
        <v>#DIV/0!</v>
      </c>
      <c r="K212" s="257" t="e">
        <f t="shared" si="42"/>
        <v>#DIV/0!</v>
      </c>
      <c r="L212" s="4"/>
      <c r="M212" s="257" t="e">
        <f t="shared" si="43"/>
        <v>#DIV/0!</v>
      </c>
      <c r="P212" s="257" t="e">
        <f t="shared" si="44"/>
        <v>#DIV/0!</v>
      </c>
      <c r="R212" s="257" t="e">
        <f t="shared" si="45"/>
        <v>#DIV/0!</v>
      </c>
      <c r="U212" s="257" t="e">
        <f t="shared" si="46"/>
        <v>#DIV/0!</v>
      </c>
      <c r="W212" s="257" t="e">
        <f t="shared" si="47"/>
        <v>#DIV/0!</v>
      </c>
    </row>
    <row r="213" spans="1:24">
      <c r="A213" s="97" t="s">
        <v>1287</v>
      </c>
      <c r="B213" s="106">
        <f t="shared" si="38"/>
        <v>3</v>
      </c>
      <c r="C213" s="257">
        <f t="shared" si="49"/>
        <v>0.16778523489932887</v>
      </c>
      <c r="E213" s="4">
        <v>2</v>
      </c>
      <c r="F213" s="257">
        <f t="shared" si="40"/>
        <v>66.666666666666657</v>
      </c>
      <c r="G213" s="4">
        <v>1</v>
      </c>
      <c r="H213" s="257">
        <f t="shared" si="41"/>
        <v>33.333333333333329</v>
      </c>
      <c r="J213" s="4">
        <v>0</v>
      </c>
      <c r="K213" s="257">
        <f t="shared" si="42"/>
        <v>0</v>
      </c>
      <c r="L213" s="4">
        <v>0</v>
      </c>
      <c r="M213" s="257">
        <f t="shared" si="43"/>
        <v>0</v>
      </c>
      <c r="O213" s="4">
        <v>0</v>
      </c>
      <c r="P213" s="257">
        <f t="shared" si="44"/>
        <v>0</v>
      </c>
      <c r="Q213" s="4">
        <v>0</v>
      </c>
      <c r="R213" s="257">
        <f t="shared" si="45"/>
        <v>0</v>
      </c>
      <c r="T213" s="4">
        <v>0</v>
      </c>
      <c r="U213" s="257">
        <f t="shared" si="46"/>
        <v>0</v>
      </c>
      <c r="V213" s="4">
        <v>0</v>
      </c>
      <c r="W213" s="257">
        <f t="shared" si="47"/>
        <v>0</v>
      </c>
    </row>
    <row r="214" spans="1:24">
      <c r="A214" s="97" t="s">
        <v>1218</v>
      </c>
      <c r="B214" s="106">
        <f t="shared" si="38"/>
        <v>22</v>
      </c>
      <c r="C214" s="257">
        <f t="shared" si="49"/>
        <v>1.2304250559284116</v>
      </c>
      <c r="E214" s="4">
        <v>0</v>
      </c>
      <c r="F214" s="257">
        <f t="shared" si="40"/>
        <v>0</v>
      </c>
      <c r="G214" s="4">
        <v>1</v>
      </c>
      <c r="H214" s="257">
        <f t="shared" si="41"/>
        <v>4.5454545454545459</v>
      </c>
      <c r="J214" s="4">
        <v>2</v>
      </c>
      <c r="K214" s="257">
        <f t="shared" si="42"/>
        <v>9.0909090909090917</v>
      </c>
      <c r="L214" s="4">
        <v>6</v>
      </c>
      <c r="M214" s="257">
        <f t="shared" si="43"/>
        <v>27.27272727272727</v>
      </c>
      <c r="O214" s="4">
        <v>6</v>
      </c>
      <c r="P214" s="257">
        <f t="shared" si="44"/>
        <v>27.27272727272727</v>
      </c>
      <c r="Q214" s="4">
        <v>4</v>
      </c>
      <c r="R214" s="257">
        <f t="shared" si="45"/>
        <v>18.181818181818183</v>
      </c>
      <c r="T214" s="4">
        <v>1</v>
      </c>
      <c r="U214" s="257">
        <f t="shared" si="46"/>
        <v>4.5454545454545459</v>
      </c>
      <c r="V214" s="4">
        <v>2</v>
      </c>
      <c r="W214" s="257">
        <f t="shared" si="47"/>
        <v>9.0909090909090917</v>
      </c>
    </row>
    <row r="215" spans="1:24">
      <c r="A215" s="97" t="s">
        <v>1288</v>
      </c>
      <c r="B215" s="106">
        <f t="shared" si="38"/>
        <v>5</v>
      </c>
      <c r="C215" s="257">
        <f t="shared" si="49"/>
        <v>0.2796420581655481</v>
      </c>
      <c r="E215" s="4">
        <v>0</v>
      </c>
      <c r="F215" s="257">
        <f t="shared" si="40"/>
        <v>0</v>
      </c>
      <c r="G215" s="4">
        <v>0</v>
      </c>
      <c r="H215" s="257">
        <f t="shared" si="41"/>
        <v>0</v>
      </c>
      <c r="J215" s="4">
        <v>2</v>
      </c>
      <c r="K215" s="257">
        <f t="shared" si="42"/>
        <v>40</v>
      </c>
      <c r="L215" s="4">
        <v>1</v>
      </c>
      <c r="M215" s="257">
        <f t="shared" si="43"/>
        <v>20</v>
      </c>
      <c r="O215" s="4">
        <v>0</v>
      </c>
      <c r="P215" s="257">
        <f t="shared" si="44"/>
        <v>0</v>
      </c>
      <c r="Q215" s="4">
        <v>2</v>
      </c>
      <c r="R215" s="257">
        <f t="shared" si="45"/>
        <v>40</v>
      </c>
      <c r="T215" s="4">
        <v>0</v>
      </c>
      <c r="U215" s="257">
        <f t="shared" si="46"/>
        <v>0</v>
      </c>
      <c r="V215" s="4">
        <v>0</v>
      </c>
      <c r="W215" s="257">
        <f t="shared" si="47"/>
        <v>0</v>
      </c>
    </row>
    <row r="216" spans="1:24">
      <c r="A216" s="97" t="s">
        <v>1289</v>
      </c>
      <c r="B216" s="106">
        <f t="shared" si="38"/>
        <v>1</v>
      </c>
      <c r="C216" s="257">
        <f t="shared" si="49"/>
        <v>5.5928411633109618E-2</v>
      </c>
      <c r="E216" s="4">
        <v>0</v>
      </c>
      <c r="F216" s="257">
        <f t="shared" si="40"/>
        <v>0</v>
      </c>
      <c r="G216" s="4">
        <v>0</v>
      </c>
      <c r="H216" s="257">
        <f t="shared" si="41"/>
        <v>0</v>
      </c>
      <c r="J216" s="4">
        <v>0</v>
      </c>
      <c r="K216" s="257">
        <f t="shared" si="42"/>
        <v>0</v>
      </c>
      <c r="L216" s="4">
        <v>0</v>
      </c>
      <c r="M216" s="257">
        <f t="shared" si="43"/>
        <v>0</v>
      </c>
      <c r="O216" s="4">
        <v>0</v>
      </c>
      <c r="P216" s="257">
        <f t="shared" si="44"/>
        <v>0</v>
      </c>
      <c r="Q216" s="4">
        <v>0</v>
      </c>
      <c r="R216" s="257">
        <f t="shared" si="45"/>
        <v>0</v>
      </c>
      <c r="T216" s="4">
        <v>1</v>
      </c>
      <c r="U216" s="257">
        <f t="shared" si="46"/>
        <v>100</v>
      </c>
      <c r="V216" s="4">
        <v>0</v>
      </c>
      <c r="W216" s="257">
        <f t="shared" si="47"/>
        <v>0</v>
      </c>
      <c r="X216" s="453"/>
    </row>
    <row r="217" spans="1:24">
      <c r="A217" s="97" t="s">
        <v>1290</v>
      </c>
      <c r="B217" s="106">
        <f t="shared" si="38"/>
        <v>1</v>
      </c>
      <c r="C217" s="257">
        <f t="shared" si="49"/>
        <v>5.5928411633109618E-2</v>
      </c>
      <c r="E217" s="4">
        <v>0</v>
      </c>
      <c r="F217" s="257">
        <f t="shared" si="40"/>
        <v>0</v>
      </c>
      <c r="G217" s="4">
        <v>0</v>
      </c>
      <c r="H217" s="257">
        <f t="shared" si="41"/>
        <v>0</v>
      </c>
      <c r="J217" s="4">
        <v>1</v>
      </c>
      <c r="K217" s="257">
        <f t="shared" si="42"/>
        <v>100</v>
      </c>
      <c r="L217" s="4">
        <v>0</v>
      </c>
      <c r="M217" s="257">
        <f t="shared" si="43"/>
        <v>0</v>
      </c>
      <c r="O217" s="4">
        <v>0</v>
      </c>
      <c r="P217" s="257">
        <f t="shared" si="44"/>
        <v>0</v>
      </c>
      <c r="Q217" s="4">
        <v>0</v>
      </c>
      <c r="R217" s="257">
        <f t="shared" si="45"/>
        <v>0</v>
      </c>
      <c r="T217" s="4">
        <v>0</v>
      </c>
      <c r="U217" s="257">
        <f t="shared" si="46"/>
        <v>0</v>
      </c>
      <c r="V217" s="4">
        <v>0</v>
      </c>
      <c r="W217" s="257">
        <f t="shared" si="47"/>
        <v>0</v>
      </c>
      <c r="X217" s="453"/>
    </row>
    <row r="218" spans="1:24">
      <c r="A218" s="97" t="s">
        <v>1291</v>
      </c>
      <c r="B218" s="106">
        <f t="shared" si="38"/>
        <v>1</v>
      </c>
      <c r="C218" s="257">
        <f t="shared" si="49"/>
        <v>5.5928411633109618E-2</v>
      </c>
      <c r="E218" s="4">
        <v>0</v>
      </c>
      <c r="F218" s="257">
        <f t="shared" si="40"/>
        <v>0</v>
      </c>
      <c r="G218" s="4">
        <v>0</v>
      </c>
      <c r="H218" s="257">
        <f t="shared" si="41"/>
        <v>0</v>
      </c>
      <c r="J218" s="4">
        <v>0</v>
      </c>
      <c r="K218" s="257">
        <f t="shared" si="42"/>
        <v>0</v>
      </c>
      <c r="L218" s="4">
        <v>0</v>
      </c>
      <c r="M218" s="257">
        <f t="shared" si="43"/>
        <v>0</v>
      </c>
      <c r="O218" s="4">
        <v>0</v>
      </c>
      <c r="P218" s="257">
        <f t="shared" si="44"/>
        <v>0</v>
      </c>
      <c r="Q218" s="4">
        <v>1</v>
      </c>
      <c r="R218" s="257">
        <f t="shared" si="45"/>
        <v>100</v>
      </c>
      <c r="T218" s="4">
        <v>0</v>
      </c>
      <c r="U218" s="257">
        <f t="shared" si="46"/>
        <v>0</v>
      </c>
      <c r="V218" s="4">
        <v>0</v>
      </c>
      <c r="W218" s="257">
        <f t="shared" si="47"/>
        <v>0</v>
      </c>
      <c r="X218" s="453"/>
    </row>
    <row r="219" spans="1:24">
      <c r="A219" s="97" t="s">
        <v>1292</v>
      </c>
      <c r="B219" s="106">
        <f t="shared" si="38"/>
        <v>1</v>
      </c>
      <c r="C219" s="257">
        <f t="shared" si="49"/>
        <v>5.5928411633109618E-2</v>
      </c>
      <c r="E219" s="4">
        <v>0</v>
      </c>
      <c r="F219" s="257">
        <f t="shared" si="40"/>
        <v>0</v>
      </c>
      <c r="G219" s="4">
        <v>0</v>
      </c>
      <c r="H219" s="257">
        <f t="shared" si="41"/>
        <v>0</v>
      </c>
      <c r="J219" s="4">
        <v>0</v>
      </c>
      <c r="K219" s="257">
        <f t="shared" si="42"/>
        <v>0</v>
      </c>
      <c r="L219" s="4">
        <v>0</v>
      </c>
      <c r="M219" s="257">
        <f t="shared" si="43"/>
        <v>0</v>
      </c>
      <c r="O219" s="4">
        <v>0</v>
      </c>
      <c r="P219" s="257">
        <f t="shared" si="44"/>
        <v>0</v>
      </c>
      <c r="Q219" s="4">
        <v>0</v>
      </c>
      <c r="R219" s="257">
        <f t="shared" si="45"/>
        <v>0</v>
      </c>
      <c r="T219" s="4">
        <v>0</v>
      </c>
      <c r="U219" s="257">
        <f t="shared" si="46"/>
        <v>0</v>
      </c>
      <c r="V219" s="4">
        <v>1</v>
      </c>
      <c r="W219" s="257">
        <f t="shared" si="47"/>
        <v>100</v>
      </c>
      <c r="X219" s="453"/>
    </row>
    <row r="220" spans="1:24">
      <c r="A220" s="97" t="s">
        <v>1293</v>
      </c>
      <c r="B220" s="106">
        <f t="shared" si="38"/>
        <v>2</v>
      </c>
      <c r="C220" s="257">
        <f t="shared" si="49"/>
        <v>0.11185682326621924</v>
      </c>
      <c r="E220" s="4">
        <v>0</v>
      </c>
      <c r="F220" s="257">
        <f t="shared" si="40"/>
        <v>0</v>
      </c>
      <c r="G220" s="4">
        <v>0</v>
      </c>
      <c r="H220" s="257">
        <f t="shared" si="41"/>
        <v>0</v>
      </c>
      <c r="J220" s="4">
        <v>1</v>
      </c>
      <c r="K220" s="257">
        <f t="shared" si="42"/>
        <v>50</v>
      </c>
      <c r="L220" s="4">
        <v>1</v>
      </c>
      <c r="M220" s="257">
        <f t="shared" si="43"/>
        <v>50</v>
      </c>
      <c r="O220" s="4">
        <v>0</v>
      </c>
      <c r="P220" s="257">
        <f t="shared" si="44"/>
        <v>0</v>
      </c>
      <c r="Q220" s="4">
        <v>0</v>
      </c>
      <c r="R220" s="257">
        <f t="shared" si="45"/>
        <v>0</v>
      </c>
      <c r="T220" s="4">
        <v>0</v>
      </c>
      <c r="U220" s="257">
        <f t="shared" si="46"/>
        <v>0</v>
      </c>
      <c r="V220" s="4">
        <v>0</v>
      </c>
      <c r="W220" s="257">
        <f t="shared" si="47"/>
        <v>0</v>
      </c>
      <c r="X220" s="453"/>
    </row>
    <row r="221" spans="1:24">
      <c r="A221" s="97" t="s">
        <v>1294</v>
      </c>
      <c r="B221" s="106">
        <f t="shared" si="38"/>
        <v>1</v>
      </c>
      <c r="C221" s="257">
        <f t="shared" si="49"/>
        <v>5.5928411633109618E-2</v>
      </c>
      <c r="E221" s="4">
        <v>0</v>
      </c>
      <c r="F221" s="257">
        <f t="shared" si="40"/>
        <v>0</v>
      </c>
      <c r="G221" s="4">
        <v>0</v>
      </c>
      <c r="H221" s="257">
        <f t="shared" si="41"/>
        <v>0</v>
      </c>
      <c r="J221" s="4">
        <v>0</v>
      </c>
      <c r="K221" s="257">
        <f t="shared" si="42"/>
        <v>0</v>
      </c>
      <c r="L221" s="4">
        <v>1</v>
      </c>
      <c r="M221" s="257">
        <f t="shared" si="43"/>
        <v>100</v>
      </c>
      <c r="O221" s="4">
        <v>0</v>
      </c>
      <c r="P221" s="257">
        <f t="shared" si="44"/>
        <v>0</v>
      </c>
      <c r="Q221" s="4">
        <v>0</v>
      </c>
      <c r="R221" s="257">
        <f t="shared" si="45"/>
        <v>0</v>
      </c>
      <c r="T221" s="4">
        <v>0</v>
      </c>
      <c r="U221" s="257">
        <f t="shared" si="46"/>
        <v>0</v>
      </c>
      <c r="V221" s="4">
        <v>0</v>
      </c>
      <c r="W221" s="257">
        <f t="shared" si="47"/>
        <v>0</v>
      </c>
      <c r="X221" s="453"/>
    </row>
    <row r="222" spans="1:24" ht="9" customHeight="1">
      <c r="A222" s="97" t="s">
        <v>1219</v>
      </c>
      <c r="C222" s="257"/>
      <c r="E222" s="106"/>
      <c r="F222" s="257"/>
      <c r="J222" s="106"/>
      <c r="K222" s="257"/>
      <c r="L222" s="106"/>
      <c r="O222" s="106"/>
      <c r="P222" s="257"/>
      <c r="Q222" s="106"/>
      <c r="R222" s="257"/>
      <c r="T222" s="106"/>
      <c r="U222" s="257"/>
      <c r="V222" s="106"/>
      <c r="W222" s="257"/>
      <c r="X222" s="453"/>
    </row>
    <row r="223" spans="1:24">
      <c r="A223" s="9" t="s">
        <v>1295</v>
      </c>
      <c r="B223" s="106">
        <f t="shared" si="38"/>
        <v>145</v>
      </c>
      <c r="C223" s="257">
        <f t="shared" si="49"/>
        <v>8.1096196868008956</v>
      </c>
      <c r="D223" s="257"/>
      <c r="E223" s="106">
        <f>SUM(E224:E228)</f>
        <v>9</v>
      </c>
      <c r="F223" s="257">
        <f t="shared" si="40"/>
        <v>6.2068965517241379</v>
      </c>
      <c r="G223" s="106">
        <f>SUM(G224:G228)</f>
        <v>1</v>
      </c>
      <c r="H223" s="257">
        <f t="shared" si="41"/>
        <v>0.68965517241379315</v>
      </c>
      <c r="I223" s="257"/>
      <c r="J223" s="106">
        <f>SUM(J224:J228)</f>
        <v>18</v>
      </c>
      <c r="K223" s="257">
        <f t="shared" si="42"/>
        <v>12.413793103448276</v>
      </c>
      <c r="L223" s="106">
        <f>SUM(L224:L228)</f>
        <v>15</v>
      </c>
      <c r="M223" s="257">
        <f t="shared" si="43"/>
        <v>10.344827586206897</v>
      </c>
      <c r="N223" s="257"/>
      <c r="O223" s="106">
        <f>SUM(O224:O228)</f>
        <v>37</v>
      </c>
      <c r="P223" s="257">
        <f t="shared" si="44"/>
        <v>25.517241379310345</v>
      </c>
      <c r="Q223" s="106">
        <f>SUM(Q224:Q228)</f>
        <v>46</v>
      </c>
      <c r="R223" s="257">
        <f t="shared" si="45"/>
        <v>31.724137931034484</v>
      </c>
      <c r="S223" s="257"/>
      <c r="T223" s="106">
        <f>SUM(T224:T228)</f>
        <v>13</v>
      </c>
      <c r="U223" s="257">
        <f t="shared" si="46"/>
        <v>8.9655172413793096</v>
      </c>
      <c r="V223" s="106">
        <f>SUM(V224:V228)</f>
        <v>6</v>
      </c>
      <c r="W223" s="257">
        <f t="shared" si="47"/>
        <v>4.1379310344827589</v>
      </c>
      <c r="X223" s="453"/>
    </row>
    <row r="224" spans="1:24">
      <c r="A224" s="4" t="s">
        <v>347</v>
      </c>
      <c r="B224" s="106">
        <f t="shared" si="38"/>
        <v>69</v>
      </c>
      <c r="C224" s="257">
        <f>IF(A224&lt;&gt;0,B224/$B$13*100,"")</f>
        <v>3.8590604026845639</v>
      </c>
      <c r="D224" s="257"/>
      <c r="E224" s="4">
        <v>4</v>
      </c>
      <c r="F224" s="257">
        <f t="shared" si="40"/>
        <v>5.7971014492753623</v>
      </c>
      <c r="G224" s="4">
        <v>0</v>
      </c>
      <c r="H224" s="257">
        <f t="shared" si="41"/>
        <v>0</v>
      </c>
      <c r="J224" s="4">
        <v>4</v>
      </c>
      <c r="K224" s="257">
        <f t="shared" si="42"/>
        <v>5.7971014492753623</v>
      </c>
      <c r="L224" s="4">
        <v>6</v>
      </c>
      <c r="M224" s="257">
        <f t="shared" si="43"/>
        <v>8.695652173913043</v>
      </c>
      <c r="O224" s="4">
        <v>19</v>
      </c>
      <c r="P224" s="257">
        <f t="shared" si="44"/>
        <v>27.536231884057973</v>
      </c>
      <c r="Q224" s="4">
        <v>24</v>
      </c>
      <c r="R224" s="257">
        <f t="shared" si="45"/>
        <v>34.782608695652172</v>
      </c>
      <c r="T224" s="4">
        <v>8</v>
      </c>
      <c r="U224" s="257">
        <f t="shared" si="46"/>
        <v>11.594202898550725</v>
      </c>
      <c r="V224" s="4">
        <v>4</v>
      </c>
      <c r="W224" s="257">
        <f t="shared" si="47"/>
        <v>5.7971014492753623</v>
      </c>
      <c r="X224" s="453"/>
    </row>
    <row r="225" spans="1:24">
      <c r="A225" s="4" t="s">
        <v>348</v>
      </c>
      <c r="B225" s="106">
        <f t="shared" si="38"/>
        <v>22</v>
      </c>
      <c r="C225" s="257">
        <f>IF(A225&lt;&gt;0,B225/$B$13*100,"")</f>
        <v>1.2304250559284116</v>
      </c>
      <c r="D225" s="257"/>
      <c r="E225" s="4">
        <v>0</v>
      </c>
      <c r="F225" s="257">
        <f t="shared" si="40"/>
        <v>0</v>
      </c>
      <c r="G225" s="4">
        <v>0</v>
      </c>
      <c r="H225" s="257">
        <f t="shared" si="41"/>
        <v>0</v>
      </c>
      <c r="J225" s="4">
        <v>5</v>
      </c>
      <c r="K225" s="257">
        <f t="shared" si="42"/>
        <v>22.727272727272727</v>
      </c>
      <c r="L225" s="4">
        <v>2</v>
      </c>
      <c r="M225" s="257">
        <f t="shared" si="43"/>
        <v>9.0909090909090917</v>
      </c>
      <c r="O225" s="4">
        <v>3</v>
      </c>
      <c r="P225" s="257">
        <f t="shared" si="44"/>
        <v>13.636363636363635</v>
      </c>
      <c r="Q225" s="4">
        <v>9</v>
      </c>
      <c r="R225" s="257">
        <f t="shared" si="45"/>
        <v>40.909090909090914</v>
      </c>
      <c r="T225" s="4">
        <v>1</v>
      </c>
      <c r="U225" s="257">
        <f t="shared" si="46"/>
        <v>4.5454545454545459</v>
      </c>
      <c r="V225" s="4">
        <v>2</v>
      </c>
      <c r="W225" s="257">
        <f t="shared" si="47"/>
        <v>9.0909090909090917</v>
      </c>
      <c r="X225" s="453"/>
    </row>
    <row r="226" spans="1:24">
      <c r="A226" s="4" t="s">
        <v>349</v>
      </c>
      <c r="B226" s="106">
        <f t="shared" si="38"/>
        <v>19</v>
      </c>
      <c r="C226" s="257">
        <f>IF(A226&lt;&gt;0,B226/$B$13*100,"")</f>
        <v>1.0626398210290828</v>
      </c>
      <c r="D226" s="257"/>
      <c r="E226" s="4">
        <v>2</v>
      </c>
      <c r="F226" s="257">
        <f t="shared" si="40"/>
        <v>10.526315789473683</v>
      </c>
      <c r="G226" s="4">
        <v>0</v>
      </c>
      <c r="H226" s="257">
        <f t="shared" si="41"/>
        <v>0</v>
      </c>
      <c r="J226" s="4">
        <v>2</v>
      </c>
      <c r="K226" s="257">
        <f t="shared" si="42"/>
        <v>10.526315789473683</v>
      </c>
      <c r="L226" s="4">
        <v>3</v>
      </c>
      <c r="M226" s="257">
        <f t="shared" si="43"/>
        <v>15.789473684210526</v>
      </c>
      <c r="O226" s="4">
        <v>6</v>
      </c>
      <c r="P226" s="257">
        <f t="shared" si="44"/>
        <v>31.578947368421051</v>
      </c>
      <c r="Q226" s="4">
        <v>4</v>
      </c>
      <c r="R226" s="257">
        <f t="shared" si="45"/>
        <v>21.052631578947366</v>
      </c>
      <c r="T226" s="4">
        <v>2</v>
      </c>
      <c r="U226" s="257">
        <f t="shared" si="46"/>
        <v>10.526315789473683</v>
      </c>
      <c r="V226" s="4">
        <v>0</v>
      </c>
      <c r="W226" s="257">
        <f t="shared" si="47"/>
        <v>0</v>
      </c>
      <c r="X226" s="453"/>
    </row>
    <row r="227" spans="1:24">
      <c r="A227" s="4" t="s">
        <v>378</v>
      </c>
      <c r="B227" s="106">
        <f t="shared" si="38"/>
        <v>14</v>
      </c>
      <c r="C227" s="257">
        <f>IF(A227&lt;&gt;0,B227/$B$13*100,"")</f>
        <v>0.78299776286353473</v>
      </c>
      <c r="D227" s="257"/>
      <c r="E227" s="4">
        <v>2</v>
      </c>
      <c r="F227" s="257">
        <f t="shared" si="40"/>
        <v>14.285714285714285</v>
      </c>
      <c r="G227" s="4">
        <v>0</v>
      </c>
      <c r="H227" s="257">
        <f t="shared" si="41"/>
        <v>0</v>
      </c>
      <c r="J227" s="4">
        <v>1</v>
      </c>
      <c r="K227" s="257">
        <f t="shared" si="42"/>
        <v>7.1428571428571423</v>
      </c>
      <c r="L227" s="4">
        <v>3</v>
      </c>
      <c r="M227" s="257">
        <f t="shared" si="43"/>
        <v>21.428571428571427</v>
      </c>
      <c r="O227" s="4">
        <v>5</v>
      </c>
      <c r="P227" s="257">
        <f t="shared" si="44"/>
        <v>35.714285714285715</v>
      </c>
      <c r="Q227" s="4">
        <v>2</v>
      </c>
      <c r="R227" s="257">
        <f t="shared" si="45"/>
        <v>14.285714285714285</v>
      </c>
      <c r="T227" s="4">
        <v>1</v>
      </c>
      <c r="U227" s="257">
        <f t="shared" si="46"/>
        <v>7.1428571428571423</v>
      </c>
      <c r="V227" s="4">
        <v>0</v>
      </c>
      <c r="W227" s="257">
        <f t="shared" si="47"/>
        <v>0</v>
      </c>
      <c r="X227" s="453"/>
    </row>
    <row r="228" spans="1:24">
      <c r="A228" s="4" t="s">
        <v>808</v>
      </c>
      <c r="B228" s="106">
        <f t="shared" si="38"/>
        <v>21</v>
      </c>
      <c r="C228" s="257">
        <f>IF(A228&lt;&gt;0,B228/$B$13*100,"")</f>
        <v>1.174496644295302</v>
      </c>
      <c r="D228" s="257"/>
      <c r="E228" s="4">
        <v>1</v>
      </c>
      <c r="F228" s="257">
        <f t="shared" si="40"/>
        <v>4.7619047619047619</v>
      </c>
      <c r="G228" s="4">
        <v>1</v>
      </c>
      <c r="H228" s="257">
        <f t="shared" si="41"/>
        <v>4.7619047619047619</v>
      </c>
      <c r="J228" s="4">
        <v>6</v>
      </c>
      <c r="K228" s="257">
        <f t="shared" si="42"/>
        <v>28.571428571428569</v>
      </c>
      <c r="L228" s="4">
        <v>1</v>
      </c>
      <c r="M228" s="257">
        <f t="shared" si="43"/>
        <v>4.7619047619047619</v>
      </c>
      <c r="O228" s="4">
        <v>4</v>
      </c>
      <c r="P228" s="257">
        <f t="shared" si="44"/>
        <v>19.047619047619047</v>
      </c>
      <c r="Q228" s="4">
        <v>7</v>
      </c>
      <c r="R228" s="257">
        <f t="shared" si="45"/>
        <v>33.333333333333329</v>
      </c>
      <c r="T228" s="4">
        <v>1</v>
      </c>
      <c r="U228" s="257">
        <f t="shared" si="46"/>
        <v>4.7619047619047619</v>
      </c>
      <c r="V228" s="4">
        <v>0</v>
      </c>
      <c r="W228" s="257">
        <f t="shared" si="47"/>
        <v>0</v>
      </c>
      <c r="X228" s="453"/>
    </row>
    <row r="229" spans="1:24" ht="6.75" customHeight="1" thickBot="1">
      <c r="A229" s="4"/>
      <c r="C229" s="4"/>
      <c r="F229" s="257" t="str">
        <f>IF($A229&lt;&gt;"",E229/$B229*100,"")</f>
        <v/>
      </c>
      <c r="X229" s="4"/>
    </row>
    <row r="230" spans="1:24" ht="6.75" customHeight="1">
      <c r="A230" s="463"/>
      <c r="B230" s="484"/>
      <c r="C230" s="463"/>
      <c r="D230" s="463"/>
      <c r="E230" s="463"/>
      <c r="F230" s="484"/>
      <c r="G230" s="484"/>
      <c r="H230" s="485"/>
      <c r="I230" s="463"/>
      <c r="J230" s="463"/>
      <c r="K230" s="527"/>
      <c r="L230" s="527"/>
      <c r="M230" s="485"/>
      <c r="N230" s="463"/>
      <c r="O230" s="463"/>
      <c r="P230" s="463"/>
      <c r="Q230" s="463"/>
      <c r="R230" s="463"/>
      <c r="S230" s="463"/>
      <c r="T230" s="463"/>
      <c r="U230" s="463"/>
      <c r="V230" s="463"/>
      <c r="W230" s="463"/>
      <c r="X230" s="463"/>
    </row>
    <row r="231" spans="1:24">
      <c r="A231" s="97" t="s">
        <v>1296</v>
      </c>
      <c r="B231" s="107"/>
      <c r="C231" s="97"/>
      <c r="D231" s="97"/>
      <c r="E231" s="97"/>
      <c r="F231" s="107"/>
      <c r="G231" s="107"/>
      <c r="H231" s="413"/>
      <c r="I231" s="97"/>
      <c r="J231" s="97"/>
      <c r="K231" s="513"/>
      <c r="L231" s="513"/>
      <c r="M231" s="413"/>
      <c r="N231" s="97"/>
      <c r="O231" s="97"/>
      <c r="P231" s="97"/>
      <c r="Q231" s="97"/>
      <c r="R231" s="97"/>
      <c r="S231" s="97"/>
      <c r="T231" s="97"/>
      <c r="U231" s="97"/>
      <c r="V231" s="97"/>
      <c r="W231" s="97"/>
      <c r="X231" s="97"/>
    </row>
    <row r="232" spans="1:24" ht="6.75" customHeight="1">
      <c r="A232" s="97"/>
      <c r="B232" s="107"/>
      <c r="C232" s="97"/>
      <c r="D232" s="97"/>
      <c r="E232" s="97"/>
      <c r="F232" s="107"/>
      <c r="G232" s="107"/>
      <c r="H232" s="413"/>
      <c r="I232" s="97"/>
      <c r="J232" s="97"/>
      <c r="K232" s="513"/>
      <c r="L232" s="513"/>
      <c r="M232" s="413"/>
      <c r="N232" s="97"/>
      <c r="O232" s="97"/>
      <c r="P232" s="97"/>
      <c r="Q232" s="97"/>
      <c r="R232" s="97"/>
      <c r="S232" s="97"/>
      <c r="T232" s="97"/>
      <c r="U232" s="97"/>
      <c r="V232" s="97"/>
      <c r="W232" s="97"/>
      <c r="X232" s="97"/>
    </row>
    <row r="233" spans="1:24" ht="14.25">
      <c r="A233" s="22" t="s">
        <v>1297</v>
      </c>
    </row>
    <row r="234" spans="1:24" ht="6.75" customHeight="1"/>
    <row r="235" spans="1:24">
      <c r="A235" s="42" t="s">
        <v>1228</v>
      </c>
    </row>
    <row r="236" spans="1:24">
      <c r="A236" s="42" t="s">
        <v>365</v>
      </c>
      <c r="E236" s="547"/>
      <c r="F236" s="455"/>
      <c r="G236" s="547"/>
      <c r="H236" s="455"/>
      <c r="I236" s="455"/>
      <c r="J236" s="547"/>
      <c r="K236" s="455"/>
      <c r="L236" s="547"/>
      <c r="M236" s="455"/>
      <c r="N236" s="455"/>
      <c r="O236" s="547"/>
      <c r="P236" s="455"/>
      <c r="Q236" s="547"/>
      <c r="R236" s="455"/>
      <c r="S236" s="455"/>
      <c r="T236" s="547"/>
      <c r="U236" s="455"/>
      <c r="V236" s="547"/>
      <c r="W236" s="434"/>
      <c r="X236" s="434"/>
    </row>
  </sheetData>
  <mergeCells count="39">
    <mergeCell ref="T183:U183"/>
    <mergeCell ref="V183:W183"/>
    <mergeCell ref="E183:F183"/>
    <mergeCell ref="G183:H183"/>
    <mergeCell ref="J183:K183"/>
    <mergeCell ref="L183:M183"/>
    <mergeCell ref="O183:P183"/>
    <mergeCell ref="Q183:R183"/>
    <mergeCell ref="T94:U94"/>
    <mergeCell ref="V94:W94"/>
    <mergeCell ref="B182:C182"/>
    <mergeCell ref="E182:H182"/>
    <mergeCell ref="J182:M182"/>
    <mergeCell ref="O182:R182"/>
    <mergeCell ref="T182:W182"/>
    <mergeCell ref="E94:F94"/>
    <mergeCell ref="G94:H94"/>
    <mergeCell ref="J94:K94"/>
    <mergeCell ref="L94:M94"/>
    <mergeCell ref="O94:P94"/>
    <mergeCell ref="Q94:R94"/>
    <mergeCell ref="Q9:R9"/>
    <mergeCell ref="T9:U9"/>
    <mergeCell ref="V9:W9"/>
    <mergeCell ref="B93:C93"/>
    <mergeCell ref="E93:H93"/>
    <mergeCell ref="J93:M93"/>
    <mergeCell ref="O93:R93"/>
    <mergeCell ref="T93:W93"/>
    <mergeCell ref="E9:F9"/>
    <mergeCell ref="G9:H9"/>
    <mergeCell ref="J9:K9"/>
    <mergeCell ref="L9:M9"/>
    <mergeCell ref="O9:P9"/>
    <mergeCell ref="B8:C8"/>
    <mergeCell ref="E8:H8"/>
    <mergeCell ref="J8:M8"/>
    <mergeCell ref="O8:R8"/>
    <mergeCell ref="T8:W8"/>
  </mergeCells>
  <printOptions horizontalCentered="1" verticalCentered="1"/>
  <pageMargins left="0" right="0" top="0" bottom="0" header="0.31496062992125984" footer="0.31496062992125984"/>
  <pageSetup paperSize="9" scale="61" orientation="landscape" r:id="rId1"/>
  <drawing r:id="rId2"/>
</worksheet>
</file>

<file path=xl/worksheets/sheet71.xml><?xml version="1.0" encoding="utf-8"?>
<worksheet xmlns="http://schemas.openxmlformats.org/spreadsheetml/2006/main" xmlns:r="http://schemas.openxmlformats.org/officeDocument/2006/relationships">
  <sheetPr>
    <tabColor theme="5" tint="0.59999389629810485"/>
  </sheetPr>
  <dimension ref="B2:J6"/>
  <sheetViews>
    <sheetView workbookViewId="0">
      <selection activeCell="B3" sqref="B3"/>
    </sheetView>
  </sheetViews>
  <sheetFormatPr baseColWidth="10" defaultRowHeight="15"/>
  <sheetData>
    <row r="2" spans="2:10">
      <c r="C2" t="s">
        <v>1270</v>
      </c>
      <c r="D2" t="s">
        <v>1269</v>
      </c>
    </row>
    <row r="3" spans="2:10">
      <c r="B3" t="s">
        <v>299</v>
      </c>
      <c r="C3">
        <v>66</v>
      </c>
      <c r="D3">
        <v>115</v>
      </c>
      <c r="G3" s="42"/>
      <c r="H3" s="42"/>
      <c r="I3" s="42"/>
      <c r="J3" s="42"/>
    </row>
    <row r="4" spans="2:10">
      <c r="B4" t="s">
        <v>304</v>
      </c>
      <c r="C4">
        <v>178</v>
      </c>
      <c r="D4">
        <v>343</v>
      </c>
      <c r="G4" s="497"/>
      <c r="H4" s="497"/>
      <c r="I4" s="497"/>
      <c r="J4" s="497"/>
    </row>
    <row r="5" spans="2:10">
      <c r="B5" t="s">
        <v>296</v>
      </c>
      <c r="C5">
        <v>212</v>
      </c>
      <c r="D5">
        <v>206</v>
      </c>
    </row>
    <row r="6" spans="2:10">
      <c r="B6" s="42" t="s">
        <v>303</v>
      </c>
      <c r="C6">
        <v>365</v>
      </c>
      <c r="D6">
        <v>303</v>
      </c>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72.xml><?xml version="1.0" encoding="utf-8"?>
<worksheet xmlns="http://schemas.openxmlformats.org/spreadsheetml/2006/main" xmlns:r="http://schemas.openxmlformats.org/officeDocument/2006/relationships">
  <dimension ref="A1:F56"/>
  <sheetViews>
    <sheetView topLeftCell="A2" workbookViewId="0">
      <selection activeCell="J52" sqref="J52"/>
    </sheetView>
  </sheetViews>
  <sheetFormatPr baseColWidth="10" defaultColWidth="8.85546875" defaultRowHeight="15"/>
  <cols>
    <col min="1" max="1" width="39.85546875" customWidth="1"/>
    <col min="2" max="2" width="10.42578125" customWidth="1"/>
    <col min="3" max="3" width="10.7109375" style="41" customWidth="1"/>
    <col min="4" max="4" width="8.85546875" style="41" customWidth="1"/>
    <col min="5" max="5" width="14.85546875" customWidth="1"/>
    <col min="6" max="6" width="2.5703125" customWidth="1"/>
    <col min="257" max="257" width="39.85546875" customWidth="1"/>
    <col min="258" max="258" width="10.42578125" customWidth="1"/>
    <col min="259" max="259" width="10.7109375" customWidth="1"/>
    <col min="260" max="260" width="8.85546875" customWidth="1"/>
    <col min="261" max="261" width="14.85546875" customWidth="1"/>
    <col min="262" max="262" width="2.5703125" customWidth="1"/>
    <col min="513" max="513" width="39.85546875" customWidth="1"/>
    <col min="514" max="514" width="10.42578125" customWidth="1"/>
    <col min="515" max="515" width="10.7109375" customWidth="1"/>
    <col min="516" max="516" width="8.85546875" customWidth="1"/>
    <col min="517" max="517" width="14.85546875" customWidth="1"/>
    <col min="518" max="518" width="2.5703125" customWidth="1"/>
    <col min="769" max="769" width="39.85546875" customWidth="1"/>
    <col min="770" max="770" width="10.42578125" customWidth="1"/>
    <col min="771" max="771" width="10.7109375" customWidth="1"/>
    <col min="772" max="772" width="8.85546875" customWidth="1"/>
    <col min="773" max="773" width="14.85546875" customWidth="1"/>
    <col min="774" max="774" width="2.5703125" customWidth="1"/>
    <col min="1025" max="1025" width="39.85546875" customWidth="1"/>
    <col min="1026" max="1026" width="10.42578125" customWidth="1"/>
    <col min="1027" max="1027" width="10.7109375" customWidth="1"/>
    <col min="1028" max="1028" width="8.85546875" customWidth="1"/>
    <col min="1029" max="1029" width="14.85546875" customWidth="1"/>
    <col min="1030" max="1030" width="2.5703125" customWidth="1"/>
    <col min="1281" max="1281" width="39.85546875" customWidth="1"/>
    <col min="1282" max="1282" width="10.42578125" customWidth="1"/>
    <col min="1283" max="1283" width="10.7109375" customWidth="1"/>
    <col min="1284" max="1284" width="8.85546875" customWidth="1"/>
    <col min="1285" max="1285" width="14.85546875" customWidth="1"/>
    <col min="1286" max="1286" width="2.5703125" customWidth="1"/>
    <col min="1537" max="1537" width="39.85546875" customWidth="1"/>
    <col min="1538" max="1538" width="10.42578125" customWidth="1"/>
    <col min="1539" max="1539" width="10.7109375" customWidth="1"/>
    <col min="1540" max="1540" width="8.85546875" customWidth="1"/>
    <col min="1541" max="1541" width="14.85546875" customWidth="1"/>
    <col min="1542" max="1542" width="2.5703125" customWidth="1"/>
    <col min="1793" max="1793" width="39.85546875" customWidth="1"/>
    <col min="1794" max="1794" width="10.42578125" customWidth="1"/>
    <col min="1795" max="1795" width="10.7109375" customWidth="1"/>
    <col min="1796" max="1796" width="8.85546875" customWidth="1"/>
    <col min="1797" max="1797" width="14.85546875" customWidth="1"/>
    <col min="1798" max="1798" width="2.5703125" customWidth="1"/>
    <col min="2049" max="2049" width="39.85546875" customWidth="1"/>
    <col min="2050" max="2050" width="10.42578125" customWidth="1"/>
    <col min="2051" max="2051" width="10.7109375" customWidth="1"/>
    <col min="2052" max="2052" width="8.85546875" customWidth="1"/>
    <col min="2053" max="2053" width="14.85546875" customWidth="1"/>
    <col min="2054" max="2054" width="2.5703125" customWidth="1"/>
    <col min="2305" max="2305" width="39.85546875" customWidth="1"/>
    <col min="2306" max="2306" width="10.42578125" customWidth="1"/>
    <col min="2307" max="2307" width="10.7109375" customWidth="1"/>
    <col min="2308" max="2308" width="8.85546875" customWidth="1"/>
    <col min="2309" max="2309" width="14.85546875" customWidth="1"/>
    <col min="2310" max="2310" width="2.5703125" customWidth="1"/>
    <col min="2561" max="2561" width="39.85546875" customWidth="1"/>
    <col min="2562" max="2562" width="10.42578125" customWidth="1"/>
    <col min="2563" max="2563" width="10.7109375" customWidth="1"/>
    <col min="2564" max="2564" width="8.85546875" customWidth="1"/>
    <col min="2565" max="2565" width="14.85546875" customWidth="1"/>
    <col min="2566" max="2566" width="2.5703125" customWidth="1"/>
    <col min="2817" max="2817" width="39.85546875" customWidth="1"/>
    <col min="2818" max="2818" width="10.42578125" customWidth="1"/>
    <col min="2819" max="2819" width="10.7109375" customWidth="1"/>
    <col min="2820" max="2820" width="8.85546875" customWidth="1"/>
    <col min="2821" max="2821" width="14.85546875" customWidth="1"/>
    <col min="2822" max="2822" width="2.5703125" customWidth="1"/>
    <col min="3073" max="3073" width="39.85546875" customWidth="1"/>
    <col min="3074" max="3074" width="10.42578125" customWidth="1"/>
    <col min="3075" max="3075" width="10.7109375" customWidth="1"/>
    <col min="3076" max="3076" width="8.85546875" customWidth="1"/>
    <col min="3077" max="3077" width="14.85546875" customWidth="1"/>
    <col min="3078" max="3078" width="2.5703125" customWidth="1"/>
    <col min="3329" max="3329" width="39.85546875" customWidth="1"/>
    <col min="3330" max="3330" width="10.42578125" customWidth="1"/>
    <col min="3331" max="3331" width="10.7109375" customWidth="1"/>
    <col min="3332" max="3332" width="8.85546875" customWidth="1"/>
    <col min="3333" max="3333" width="14.85546875" customWidth="1"/>
    <col min="3334" max="3334" width="2.5703125" customWidth="1"/>
    <col min="3585" max="3585" width="39.85546875" customWidth="1"/>
    <col min="3586" max="3586" width="10.42578125" customWidth="1"/>
    <col min="3587" max="3587" width="10.7109375" customWidth="1"/>
    <col min="3588" max="3588" width="8.85546875" customWidth="1"/>
    <col min="3589" max="3589" width="14.85546875" customWidth="1"/>
    <col min="3590" max="3590" width="2.5703125" customWidth="1"/>
    <col min="3841" max="3841" width="39.85546875" customWidth="1"/>
    <col min="3842" max="3842" width="10.42578125" customWidth="1"/>
    <col min="3843" max="3843" width="10.7109375" customWidth="1"/>
    <col min="3844" max="3844" width="8.85546875" customWidth="1"/>
    <col min="3845" max="3845" width="14.85546875" customWidth="1"/>
    <col min="3846" max="3846" width="2.5703125" customWidth="1"/>
    <col min="4097" max="4097" width="39.85546875" customWidth="1"/>
    <col min="4098" max="4098" width="10.42578125" customWidth="1"/>
    <col min="4099" max="4099" width="10.7109375" customWidth="1"/>
    <col min="4100" max="4100" width="8.85546875" customWidth="1"/>
    <col min="4101" max="4101" width="14.85546875" customWidth="1"/>
    <col min="4102" max="4102" width="2.5703125" customWidth="1"/>
    <col min="4353" max="4353" width="39.85546875" customWidth="1"/>
    <col min="4354" max="4354" width="10.42578125" customWidth="1"/>
    <col min="4355" max="4355" width="10.7109375" customWidth="1"/>
    <col min="4356" max="4356" width="8.85546875" customWidth="1"/>
    <col min="4357" max="4357" width="14.85546875" customWidth="1"/>
    <col min="4358" max="4358" width="2.5703125" customWidth="1"/>
    <col min="4609" max="4609" width="39.85546875" customWidth="1"/>
    <col min="4610" max="4610" width="10.42578125" customWidth="1"/>
    <col min="4611" max="4611" width="10.7109375" customWidth="1"/>
    <col min="4612" max="4612" width="8.85546875" customWidth="1"/>
    <col min="4613" max="4613" width="14.85546875" customWidth="1"/>
    <col min="4614" max="4614" width="2.5703125" customWidth="1"/>
    <col min="4865" max="4865" width="39.85546875" customWidth="1"/>
    <col min="4866" max="4866" width="10.42578125" customWidth="1"/>
    <col min="4867" max="4867" width="10.7109375" customWidth="1"/>
    <col min="4868" max="4868" width="8.85546875" customWidth="1"/>
    <col min="4869" max="4869" width="14.85546875" customWidth="1"/>
    <col min="4870" max="4870" width="2.5703125" customWidth="1"/>
    <col min="5121" max="5121" width="39.85546875" customWidth="1"/>
    <col min="5122" max="5122" width="10.42578125" customWidth="1"/>
    <col min="5123" max="5123" width="10.7109375" customWidth="1"/>
    <col min="5124" max="5124" width="8.85546875" customWidth="1"/>
    <col min="5125" max="5125" width="14.85546875" customWidth="1"/>
    <col min="5126" max="5126" width="2.5703125" customWidth="1"/>
    <col min="5377" max="5377" width="39.85546875" customWidth="1"/>
    <col min="5378" max="5378" width="10.42578125" customWidth="1"/>
    <col min="5379" max="5379" width="10.7109375" customWidth="1"/>
    <col min="5380" max="5380" width="8.85546875" customWidth="1"/>
    <col min="5381" max="5381" width="14.85546875" customWidth="1"/>
    <col min="5382" max="5382" width="2.5703125" customWidth="1"/>
    <col min="5633" max="5633" width="39.85546875" customWidth="1"/>
    <col min="5634" max="5634" width="10.42578125" customWidth="1"/>
    <col min="5635" max="5635" width="10.7109375" customWidth="1"/>
    <col min="5636" max="5636" width="8.85546875" customWidth="1"/>
    <col min="5637" max="5637" width="14.85546875" customWidth="1"/>
    <col min="5638" max="5638" width="2.5703125" customWidth="1"/>
    <col min="5889" max="5889" width="39.85546875" customWidth="1"/>
    <col min="5890" max="5890" width="10.42578125" customWidth="1"/>
    <col min="5891" max="5891" width="10.7109375" customWidth="1"/>
    <col min="5892" max="5892" width="8.85546875" customWidth="1"/>
    <col min="5893" max="5893" width="14.85546875" customWidth="1"/>
    <col min="5894" max="5894" width="2.5703125" customWidth="1"/>
    <col min="6145" max="6145" width="39.85546875" customWidth="1"/>
    <col min="6146" max="6146" width="10.42578125" customWidth="1"/>
    <col min="6147" max="6147" width="10.7109375" customWidth="1"/>
    <col min="6148" max="6148" width="8.85546875" customWidth="1"/>
    <col min="6149" max="6149" width="14.85546875" customWidth="1"/>
    <col min="6150" max="6150" width="2.5703125" customWidth="1"/>
    <col min="6401" max="6401" width="39.85546875" customWidth="1"/>
    <col min="6402" max="6402" width="10.42578125" customWidth="1"/>
    <col min="6403" max="6403" width="10.7109375" customWidth="1"/>
    <col min="6404" max="6404" width="8.85546875" customWidth="1"/>
    <col min="6405" max="6405" width="14.85546875" customWidth="1"/>
    <col min="6406" max="6406" width="2.5703125" customWidth="1"/>
    <col min="6657" max="6657" width="39.85546875" customWidth="1"/>
    <col min="6658" max="6658" width="10.42578125" customWidth="1"/>
    <col min="6659" max="6659" width="10.7109375" customWidth="1"/>
    <col min="6660" max="6660" width="8.85546875" customWidth="1"/>
    <col min="6661" max="6661" width="14.85546875" customWidth="1"/>
    <col min="6662" max="6662" width="2.5703125" customWidth="1"/>
    <col min="6913" max="6913" width="39.85546875" customWidth="1"/>
    <col min="6914" max="6914" width="10.42578125" customWidth="1"/>
    <col min="6915" max="6915" width="10.7109375" customWidth="1"/>
    <col min="6916" max="6916" width="8.85546875" customWidth="1"/>
    <col min="6917" max="6917" width="14.85546875" customWidth="1"/>
    <col min="6918" max="6918" width="2.5703125" customWidth="1"/>
    <col min="7169" max="7169" width="39.85546875" customWidth="1"/>
    <col min="7170" max="7170" width="10.42578125" customWidth="1"/>
    <col min="7171" max="7171" width="10.7109375" customWidth="1"/>
    <col min="7172" max="7172" width="8.85546875" customWidth="1"/>
    <col min="7173" max="7173" width="14.85546875" customWidth="1"/>
    <col min="7174" max="7174" width="2.5703125" customWidth="1"/>
    <col min="7425" max="7425" width="39.85546875" customWidth="1"/>
    <col min="7426" max="7426" width="10.42578125" customWidth="1"/>
    <col min="7427" max="7427" width="10.7109375" customWidth="1"/>
    <col min="7428" max="7428" width="8.85546875" customWidth="1"/>
    <col min="7429" max="7429" width="14.85546875" customWidth="1"/>
    <col min="7430" max="7430" width="2.5703125" customWidth="1"/>
    <col min="7681" max="7681" width="39.85546875" customWidth="1"/>
    <col min="7682" max="7682" width="10.42578125" customWidth="1"/>
    <col min="7683" max="7683" width="10.7109375" customWidth="1"/>
    <col min="7684" max="7684" width="8.85546875" customWidth="1"/>
    <col min="7685" max="7685" width="14.85546875" customWidth="1"/>
    <col min="7686" max="7686" width="2.5703125" customWidth="1"/>
    <col min="7937" max="7937" width="39.85546875" customWidth="1"/>
    <col min="7938" max="7938" width="10.42578125" customWidth="1"/>
    <col min="7939" max="7939" width="10.7109375" customWidth="1"/>
    <col min="7940" max="7940" width="8.85546875" customWidth="1"/>
    <col min="7941" max="7941" width="14.85546875" customWidth="1"/>
    <col min="7942" max="7942" width="2.5703125" customWidth="1"/>
    <col min="8193" max="8193" width="39.85546875" customWidth="1"/>
    <col min="8194" max="8194" width="10.42578125" customWidth="1"/>
    <col min="8195" max="8195" width="10.7109375" customWidth="1"/>
    <col min="8196" max="8196" width="8.85546875" customWidth="1"/>
    <col min="8197" max="8197" width="14.85546875" customWidth="1"/>
    <col min="8198" max="8198" width="2.5703125" customWidth="1"/>
    <col min="8449" max="8449" width="39.85546875" customWidth="1"/>
    <col min="8450" max="8450" width="10.42578125" customWidth="1"/>
    <col min="8451" max="8451" width="10.7109375" customWidth="1"/>
    <col min="8452" max="8452" width="8.85546875" customWidth="1"/>
    <col min="8453" max="8453" width="14.85546875" customWidth="1"/>
    <col min="8454" max="8454" width="2.5703125" customWidth="1"/>
    <col min="8705" max="8705" width="39.85546875" customWidth="1"/>
    <col min="8706" max="8706" width="10.42578125" customWidth="1"/>
    <col min="8707" max="8707" width="10.7109375" customWidth="1"/>
    <col min="8708" max="8708" width="8.85546875" customWidth="1"/>
    <col min="8709" max="8709" width="14.85546875" customWidth="1"/>
    <col min="8710" max="8710" width="2.5703125" customWidth="1"/>
    <col min="8961" max="8961" width="39.85546875" customWidth="1"/>
    <col min="8962" max="8962" width="10.42578125" customWidth="1"/>
    <col min="8963" max="8963" width="10.7109375" customWidth="1"/>
    <col min="8964" max="8964" width="8.85546875" customWidth="1"/>
    <col min="8965" max="8965" width="14.85546875" customWidth="1"/>
    <col min="8966" max="8966" width="2.5703125" customWidth="1"/>
    <col min="9217" max="9217" width="39.85546875" customWidth="1"/>
    <col min="9218" max="9218" width="10.42578125" customWidth="1"/>
    <col min="9219" max="9219" width="10.7109375" customWidth="1"/>
    <col min="9220" max="9220" width="8.85546875" customWidth="1"/>
    <col min="9221" max="9221" width="14.85546875" customWidth="1"/>
    <col min="9222" max="9222" width="2.5703125" customWidth="1"/>
    <col min="9473" max="9473" width="39.85546875" customWidth="1"/>
    <col min="9474" max="9474" width="10.42578125" customWidth="1"/>
    <col min="9475" max="9475" width="10.7109375" customWidth="1"/>
    <col min="9476" max="9476" width="8.85546875" customWidth="1"/>
    <col min="9477" max="9477" width="14.85546875" customWidth="1"/>
    <col min="9478" max="9478" width="2.5703125" customWidth="1"/>
    <col min="9729" max="9729" width="39.85546875" customWidth="1"/>
    <col min="9730" max="9730" width="10.42578125" customWidth="1"/>
    <col min="9731" max="9731" width="10.7109375" customWidth="1"/>
    <col min="9732" max="9732" width="8.85546875" customWidth="1"/>
    <col min="9733" max="9733" width="14.85546875" customWidth="1"/>
    <col min="9734" max="9734" width="2.5703125" customWidth="1"/>
    <col min="9985" max="9985" width="39.85546875" customWidth="1"/>
    <col min="9986" max="9986" width="10.42578125" customWidth="1"/>
    <col min="9987" max="9987" width="10.7109375" customWidth="1"/>
    <col min="9988" max="9988" width="8.85546875" customWidth="1"/>
    <col min="9989" max="9989" width="14.85546875" customWidth="1"/>
    <col min="9990" max="9990" width="2.5703125" customWidth="1"/>
    <col min="10241" max="10241" width="39.85546875" customWidth="1"/>
    <col min="10242" max="10242" width="10.42578125" customWidth="1"/>
    <col min="10243" max="10243" width="10.7109375" customWidth="1"/>
    <col min="10244" max="10244" width="8.85546875" customWidth="1"/>
    <col min="10245" max="10245" width="14.85546875" customWidth="1"/>
    <col min="10246" max="10246" width="2.5703125" customWidth="1"/>
    <col min="10497" max="10497" width="39.85546875" customWidth="1"/>
    <col min="10498" max="10498" width="10.42578125" customWidth="1"/>
    <col min="10499" max="10499" width="10.7109375" customWidth="1"/>
    <col min="10500" max="10500" width="8.85546875" customWidth="1"/>
    <col min="10501" max="10501" width="14.85546875" customWidth="1"/>
    <col min="10502" max="10502" width="2.5703125" customWidth="1"/>
    <col min="10753" max="10753" width="39.85546875" customWidth="1"/>
    <col min="10754" max="10754" width="10.42578125" customWidth="1"/>
    <col min="10755" max="10755" width="10.7109375" customWidth="1"/>
    <col min="10756" max="10756" width="8.85546875" customWidth="1"/>
    <col min="10757" max="10757" width="14.85546875" customWidth="1"/>
    <col min="10758" max="10758" width="2.5703125" customWidth="1"/>
    <col min="11009" max="11009" width="39.85546875" customWidth="1"/>
    <col min="11010" max="11010" width="10.42578125" customWidth="1"/>
    <col min="11011" max="11011" width="10.7109375" customWidth="1"/>
    <col min="11012" max="11012" width="8.85546875" customWidth="1"/>
    <col min="11013" max="11013" width="14.85546875" customWidth="1"/>
    <col min="11014" max="11014" width="2.5703125" customWidth="1"/>
    <col min="11265" max="11265" width="39.85546875" customWidth="1"/>
    <col min="11266" max="11266" width="10.42578125" customWidth="1"/>
    <col min="11267" max="11267" width="10.7109375" customWidth="1"/>
    <col min="11268" max="11268" width="8.85546875" customWidth="1"/>
    <col min="11269" max="11269" width="14.85546875" customWidth="1"/>
    <col min="11270" max="11270" width="2.5703125" customWidth="1"/>
    <col min="11521" max="11521" width="39.85546875" customWidth="1"/>
    <col min="11522" max="11522" width="10.42578125" customWidth="1"/>
    <col min="11523" max="11523" width="10.7109375" customWidth="1"/>
    <col min="11524" max="11524" width="8.85546875" customWidth="1"/>
    <col min="11525" max="11525" width="14.85546875" customWidth="1"/>
    <col min="11526" max="11526" width="2.5703125" customWidth="1"/>
    <col min="11777" max="11777" width="39.85546875" customWidth="1"/>
    <col min="11778" max="11778" width="10.42578125" customWidth="1"/>
    <col min="11779" max="11779" width="10.7109375" customWidth="1"/>
    <col min="11780" max="11780" width="8.85546875" customWidth="1"/>
    <col min="11781" max="11781" width="14.85546875" customWidth="1"/>
    <col min="11782" max="11782" width="2.5703125" customWidth="1"/>
    <col min="12033" max="12033" width="39.85546875" customWidth="1"/>
    <col min="12034" max="12034" width="10.42578125" customWidth="1"/>
    <col min="12035" max="12035" width="10.7109375" customWidth="1"/>
    <col min="12036" max="12036" width="8.85546875" customWidth="1"/>
    <col min="12037" max="12037" width="14.85546875" customWidth="1"/>
    <col min="12038" max="12038" width="2.5703125" customWidth="1"/>
    <col min="12289" max="12289" width="39.85546875" customWidth="1"/>
    <col min="12290" max="12290" width="10.42578125" customWidth="1"/>
    <col min="12291" max="12291" width="10.7109375" customWidth="1"/>
    <col min="12292" max="12292" width="8.85546875" customWidth="1"/>
    <col min="12293" max="12293" width="14.85546875" customWidth="1"/>
    <col min="12294" max="12294" width="2.5703125" customWidth="1"/>
    <col min="12545" max="12545" width="39.85546875" customWidth="1"/>
    <col min="12546" max="12546" width="10.42578125" customWidth="1"/>
    <col min="12547" max="12547" width="10.7109375" customWidth="1"/>
    <col min="12548" max="12548" width="8.85546875" customWidth="1"/>
    <col min="12549" max="12549" width="14.85546875" customWidth="1"/>
    <col min="12550" max="12550" width="2.5703125" customWidth="1"/>
    <col min="12801" max="12801" width="39.85546875" customWidth="1"/>
    <col min="12802" max="12802" width="10.42578125" customWidth="1"/>
    <col min="12803" max="12803" width="10.7109375" customWidth="1"/>
    <col min="12804" max="12804" width="8.85546875" customWidth="1"/>
    <col min="12805" max="12805" width="14.85546875" customWidth="1"/>
    <col min="12806" max="12806" width="2.5703125" customWidth="1"/>
    <col min="13057" max="13057" width="39.85546875" customWidth="1"/>
    <col min="13058" max="13058" width="10.42578125" customWidth="1"/>
    <col min="13059" max="13059" width="10.7109375" customWidth="1"/>
    <col min="13060" max="13060" width="8.85546875" customWidth="1"/>
    <col min="13061" max="13061" width="14.85546875" customWidth="1"/>
    <col min="13062" max="13062" width="2.5703125" customWidth="1"/>
    <col min="13313" max="13313" width="39.85546875" customWidth="1"/>
    <col min="13314" max="13314" width="10.42578125" customWidth="1"/>
    <col min="13315" max="13315" width="10.7109375" customWidth="1"/>
    <col min="13316" max="13316" width="8.85546875" customWidth="1"/>
    <col min="13317" max="13317" width="14.85546875" customWidth="1"/>
    <col min="13318" max="13318" width="2.5703125" customWidth="1"/>
    <col min="13569" max="13569" width="39.85546875" customWidth="1"/>
    <col min="13570" max="13570" width="10.42578125" customWidth="1"/>
    <col min="13571" max="13571" width="10.7109375" customWidth="1"/>
    <col min="13572" max="13572" width="8.85546875" customWidth="1"/>
    <col min="13573" max="13573" width="14.85546875" customWidth="1"/>
    <col min="13574" max="13574" width="2.5703125" customWidth="1"/>
    <col min="13825" max="13825" width="39.85546875" customWidth="1"/>
    <col min="13826" max="13826" width="10.42578125" customWidth="1"/>
    <col min="13827" max="13827" width="10.7109375" customWidth="1"/>
    <col min="13828" max="13828" width="8.85546875" customWidth="1"/>
    <col min="13829" max="13829" width="14.85546875" customWidth="1"/>
    <col min="13830" max="13830" width="2.5703125" customWidth="1"/>
    <col min="14081" max="14081" width="39.85546875" customWidth="1"/>
    <col min="14082" max="14082" width="10.42578125" customWidth="1"/>
    <col min="14083" max="14083" width="10.7109375" customWidth="1"/>
    <col min="14084" max="14084" width="8.85546875" customWidth="1"/>
    <col min="14085" max="14085" width="14.85546875" customWidth="1"/>
    <col min="14086" max="14086" width="2.5703125" customWidth="1"/>
    <col min="14337" max="14337" width="39.85546875" customWidth="1"/>
    <col min="14338" max="14338" width="10.42578125" customWidth="1"/>
    <col min="14339" max="14339" width="10.7109375" customWidth="1"/>
    <col min="14340" max="14340" width="8.85546875" customWidth="1"/>
    <col min="14341" max="14341" width="14.85546875" customWidth="1"/>
    <col min="14342" max="14342" width="2.5703125" customWidth="1"/>
    <col min="14593" max="14593" width="39.85546875" customWidth="1"/>
    <col min="14594" max="14594" width="10.42578125" customWidth="1"/>
    <col min="14595" max="14595" width="10.7109375" customWidth="1"/>
    <col min="14596" max="14596" width="8.85546875" customWidth="1"/>
    <col min="14597" max="14597" width="14.85546875" customWidth="1"/>
    <col min="14598" max="14598" width="2.5703125" customWidth="1"/>
    <col min="14849" max="14849" width="39.85546875" customWidth="1"/>
    <col min="14850" max="14850" width="10.42578125" customWidth="1"/>
    <col min="14851" max="14851" width="10.7109375" customWidth="1"/>
    <col min="14852" max="14852" width="8.85546875" customWidth="1"/>
    <col min="14853" max="14853" width="14.85546875" customWidth="1"/>
    <col min="14854" max="14854" width="2.5703125" customWidth="1"/>
    <col min="15105" max="15105" width="39.85546875" customWidth="1"/>
    <col min="15106" max="15106" width="10.42578125" customWidth="1"/>
    <col min="15107" max="15107" width="10.7109375" customWidth="1"/>
    <col min="15108" max="15108" width="8.85546875" customWidth="1"/>
    <col min="15109" max="15109" width="14.85546875" customWidth="1"/>
    <col min="15110" max="15110" width="2.5703125" customWidth="1"/>
    <col min="15361" max="15361" width="39.85546875" customWidth="1"/>
    <col min="15362" max="15362" width="10.42578125" customWidth="1"/>
    <col min="15363" max="15363" width="10.7109375" customWidth="1"/>
    <col min="15364" max="15364" width="8.85546875" customWidth="1"/>
    <col min="15365" max="15365" width="14.85546875" customWidth="1"/>
    <col min="15366" max="15366" width="2.5703125" customWidth="1"/>
    <col min="15617" max="15617" width="39.85546875" customWidth="1"/>
    <col min="15618" max="15618" width="10.42578125" customWidth="1"/>
    <col min="15619" max="15619" width="10.7109375" customWidth="1"/>
    <col min="15620" max="15620" width="8.85546875" customWidth="1"/>
    <col min="15621" max="15621" width="14.85546875" customWidth="1"/>
    <col min="15622" max="15622" width="2.5703125" customWidth="1"/>
    <col min="15873" max="15873" width="39.85546875" customWidth="1"/>
    <col min="15874" max="15874" width="10.42578125" customWidth="1"/>
    <col min="15875" max="15875" width="10.7109375" customWidth="1"/>
    <col min="15876" max="15876" width="8.85546875" customWidth="1"/>
    <col min="15877" max="15877" width="14.85546875" customWidth="1"/>
    <col min="15878" max="15878" width="2.5703125" customWidth="1"/>
    <col min="16129" max="16129" width="39.85546875" customWidth="1"/>
    <col min="16130" max="16130" width="10.42578125" customWidth="1"/>
    <col min="16131" max="16131" width="10.7109375" customWidth="1"/>
    <col min="16132" max="16132" width="8.85546875" customWidth="1"/>
    <col min="16133" max="16133" width="14.85546875" customWidth="1"/>
    <col min="16134" max="16134" width="2.5703125" customWidth="1"/>
  </cols>
  <sheetData>
    <row r="1" spans="1:6" ht="13.15" hidden="1" customHeight="1">
      <c r="A1" s="550">
        <f ca="1">TODAY()</f>
        <v>43375</v>
      </c>
      <c r="B1" s="551" t="s">
        <v>1305</v>
      </c>
      <c r="C1" s="552"/>
      <c r="D1" s="552"/>
      <c r="E1" s="551"/>
      <c r="F1" s="551"/>
    </row>
    <row r="2" spans="1:6" ht="15.75">
      <c r="A2" s="339" t="s">
        <v>936</v>
      </c>
      <c r="B2" s="339"/>
      <c r="C2" s="553"/>
      <c r="D2" s="553"/>
      <c r="E2" s="339"/>
    </row>
    <row r="3" spans="1:6" ht="15.75">
      <c r="A3" s="339" t="s">
        <v>937</v>
      </c>
      <c r="B3" s="339"/>
      <c r="C3" s="553"/>
      <c r="D3" s="553"/>
      <c r="E3" s="339"/>
    </row>
    <row r="4" spans="1:6" ht="11.25" customHeight="1">
      <c r="A4" s="339"/>
      <c r="B4" s="339"/>
      <c r="C4" s="553"/>
      <c r="D4" s="553"/>
      <c r="E4" s="339"/>
    </row>
    <row r="5" spans="1:6" ht="15.75">
      <c r="A5" s="339" t="s">
        <v>1306</v>
      </c>
      <c r="B5" s="339"/>
      <c r="C5" s="553"/>
      <c r="D5" s="553"/>
      <c r="E5" s="339"/>
    </row>
    <row r="6" spans="1:6" ht="10.5" customHeight="1" thickBot="1">
      <c r="A6" s="339"/>
      <c r="B6" s="339"/>
      <c r="C6" s="553"/>
      <c r="D6" s="553"/>
      <c r="E6" s="339"/>
    </row>
    <row r="7" spans="1:6" ht="14.25" customHeight="1">
      <c r="A7" s="340"/>
      <c r="B7" s="340"/>
      <c r="C7" s="554"/>
      <c r="D7" s="554"/>
      <c r="E7" s="340"/>
      <c r="F7" s="340"/>
    </row>
    <row r="8" spans="1:6" ht="14.25" customHeight="1">
      <c r="A8" s="337" t="s">
        <v>1307</v>
      </c>
      <c r="B8" s="339"/>
      <c r="C8" s="1303" t="s">
        <v>1308</v>
      </c>
      <c r="D8" s="1303"/>
      <c r="E8" s="1303"/>
    </row>
    <row r="9" spans="1:6" ht="14.25" customHeight="1">
      <c r="A9" s="339" t="s">
        <v>1309</v>
      </c>
      <c r="B9" s="339"/>
      <c r="C9" s="555" t="s">
        <v>1140</v>
      </c>
      <c r="D9" s="555"/>
      <c r="E9" s="556" t="s">
        <v>976</v>
      </c>
    </row>
    <row r="10" spans="1:6" ht="14.25" customHeight="1" thickBot="1">
      <c r="A10" s="345"/>
      <c r="B10" s="345"/>
      <c r="C10" s="557"/>
      <c r="D10" s="557"/>
      <c r="E10" s="345"/>
    </row>
    <row r="11" spans="1:6" ht="15.75">
      <c r="A11" s="339"/>
      <c r="B11" s="339"/>
      <c r="C11" s="553"/>
      <c r="D11" s="553"/>
      <c r="E11" s="339"/>
      <c r="F11" s="340"/>
    </row>
    <row r="12" spans="1:6" ht="15" customHeight="1">
      <c r="A12" s="348" t="s">
        <v>1310</v>
      </c>
      <c r="B12" s="339"/>
      <c r="C12" s="558">
        <f>SUM(C14:C41)</f>
        <v>9099</v>
      </c>
      <c r="D12" s="559"/>
      <c r="E12" s="560">
        <f>SUM(E14:E41)</f>
        <v>100</v>
      </c>
    </row>
    <row r="13" spans="1:6" ht="9.75" customHeight="1">
      <c r="A13" s="339"/>
      <c r="B13" s="339"/>
      <c r="C13" s="561"/>
      <c r="D13" s="553"/>
      <c r="E13" s="339"/>
    </row>
    <row r="14" spans="1:6" ht="19.5" customHeight="1">
      <c r="A14" s="339" t="s">
        <v>1311</v>
      </c>
      <c r="B14" s="339"/>
      <c r="C14" s="561">
        <v>192</v>
      </c>
      <c r="D14" s="553"/>
      <c r="E14" s="363">
        <f t="shared" ref="E14:E41" si="0">C14/$C$12*100</f>
        <v>2.1101219914276292</v>
      </c>
    </row>
    <row r="15" spans="1:6" ht="19.5" customHeight="1">
      <c r="A15" s="339" t="s">
        <v>1312</v>
      </c>
      <c r="B15" s="339"/>
      <c r="C15" s="561">
        <v>690</v>
      </c>
      <c r="D15" s="553"/>
      <c r="E15" s="363">
        <f t="shared" si="0"/>
        <v>7.5832509066930429</v>
      </c>
    </row>
    <row r="16" spans="1:6" ht="19.5" hidden="1" customHeight="1">
      <c r="A16" s="339" t="s">
        <v>1313</v>
      </c>
      <c r="B16" s="339"/>
      <c r="C16" s="561"/>
      <c r="D16" s="553"/>
      <c r="E16" s="363">
        <f t="shared" si="0"/>
        <v>0</v>
      </c>
    </row>
    <row r="17" spans="1:5" ht="19.5" customHeight="1">
      <c r="A17" s="339" t="s">
        <v>1314</v>
      </c>
      <c r="B17" s="339"/>
      <c r="C17" s="561">
        <v>284</v>
      </c>
      <c r="D17" s="553"/>
      <c r="E17" s="363">
        <f t="shared" si="0"/>
        <v>3.121222112320035</v>
      </c>
    </row>
    <row r="18" spans="1:5" ht="19.5" customHeight="1">
      <c r="A18" s="339" t="s">
        <v>1315</v>
      </c>
      <c r="B18" s="339"/>
      <c r="C18" s="561">
        <v>1481</v>
      </c>
      <c r="D18" s="553"/>
      <c r="E18" s="363">
        <f t="shared" si="0"/>
        <v>16.276513902626665</v>
      </c>
    </row>
    <row r="19" spans="1:5" ht="19.5" customHeight="1">
      <c r="A19" s="339" t="s">
        <v>1316</v>
      </c>
      <c r="B19" s="339"/>
      <c r="C19" s="561">
        <v>494</v>
      </c>
      <c r="D19" s="553"/>
      <c r="E19" s="363">
        <f t="shared" si="0"/>
        <v>5.4291680404440044</v>
      </c>
    </row>
    <row r="20" spans="1:5" ht="19.5" customHeight="1">
      <c r="A20" s="339" t="s">
        <v>1317</v>
      </c>
      <c r="B20" s="339"/>
      <c r="C20" s="561">
        <v>1946</v>
      </c>
      <c r="D20" s="553"/>
      <c r="E20" s="363">
        <f t="shared" si="0"/>
        <v>21.386965600615451</v>
      </c>
    </row>
    <row r="21" spans="1:5" ht="19.5" hidden="1" customHeight="1">
      <c r="A21" s="339" t="s">
        <v>1318</v>
      </c>
      <c r="B21" s="339"/>
      <c r="C21" s="561"/>
      <c r="D21" s="553"/>
      <c r="E21" s="363">
        <f t="shared" si="0"/>
        <v>0</v>
      </c>
    </row>
    <row r="22" spans="1:5" ht="19.5" customHeight="1">
      <c r="A22" s="339" t="s">
        <v>2139</v>
      </c>
      <c r="B22" s="339"/>
      <c r="C22" s="561">
        <v>196</v>
      </c>
      <c r="D22" s="553"/>
      <c r="E22" s="363">
        <f t="shared" si="0"/>
        <v>2.1540828662490386</v>
      </c>
    </row>
    <row r="23" spans="1:5" ht="19.5" hidden="1" customHeight="1">
      <c r="A23" s="341" t="s">
        <v>1319</v>
      </c>
      <c r="B23" s="341"/>
      <c r="C23" s="562"/>
      <c r="D23" s="563"/>
      <c r="E23" s="363">
        <f t="shared" si="0"/>
        <v>0</v>
      </c>
    </row>
    <row r="24" spans="1:5" ht="19.5" hidden="1" customHeight="1">
      <c r="A24" s="341" t="s">
        <v>1320</v>
      </c>
      <c r="B24" s="341"/>
      <c r="C24" s="562"/>
      <c r="D24" s="563"/>
      <c r="E24" s="363">
        <f t="shared" si="0"/>
        <v>0</v>
      </c>
    </row>
    <row r="25" spans="1:5" ht="19.5" customHeight="1">
      <c r="A25" s="339" t="s">
        <v>1321</v>
      </c>
      <c r="B25" s="339"/>
      <c r="C25" s="561">
        <v>78</v>
      </c>
      <c r="D25" s="553"/>
      <c r="E25" s="363">
        <f t="shared" si="0"/>
        <v>0.85723705901747449</v>
      </c>
    </row>
    <row r="26" spans="1:5" ht="19.5" hidden="1" customHeight="1">
      <c r="A26" s="339" t="s">
        <v>1322</v>
      </c>
      <c r="B26" s="339"/>
      <c r="C26" s="561"/>
      <c r="D26" s="553"/>
      <c r="E26" s="363">
        <f t="shared" si="0"/>
        <v>0</v>
      </c>
    </row>
    <row r="27" spans="1:5" ht="19.5" customHeight="1">
      <c r="A27" s="339" t="s">
        <v>1323</v>
      </c>
      <c r="B27" s="339"/>
      <c r="C27" s="561">
        <v>253</v>
      </c>
      <c r="D27" s="553"/>
      <c r="E27" s="363">
        <f t="shared" si="0"/>
        <v>2.7805253324541161</v>
      </c>
    </row>
    <row r="28" spans="1:5" ht="19.5" customHeight="1">
      <c r="A28" s="339" t="s">
        <v>1324</v>
      </c>
      <c r="B28" s="339"/>
      <c r="C28" s="561">
        <v>689</v>
      </c>
      <c r="D28" s="553"/>
      <c r="E28" s="363">
        <f t="shared" si="0"/>
        <v>7.5722606879876908</v>
      </c>
    </row>
    <row r="29" spans="1:5" ht="19.5" customHeight="1">
      <c r="A29" s="339" t="s">
        <v>1325</v>
      </c>
      <c r="B29" s="339"/>
      <c r="C29" s="561">
        <v>549</v>
      </c>
      <c r="D29" s="553"/>
      <c r="E29" s="363">
        <f t="shared" si="0"/>
        <v>6.0336300692383782</v>
      </c>
    </row>
    <row r="30" spans="1:5" ht="19.5" hidden="1" customHeight="1">
      <c r="A30" s="339" t="s">
        <v>1326</v>
      </c>
      <c r="B30" s="339"/>
      <c r="C30" s="561"/>
      <c r="D30" s="553"/>
      <c r="E30" s="363">
        <f t="shared" si="0"/>
        <v>0</v>
      </c>
    </row>
    <row r="31" spans="1:5" ht="19.5" hidden="1" customHeight="1">
      <c r="A31" s="339" t="s">
        <v>1327</v>
      </c>
      <c r="B31" s="339"/>
      <c r="C31" s="561"/>
      <c r="D31" s="553"/>
      <c r="E31" s="363">
        <f t="shared" si="0"/>
        <v>0</v>
      </c>
    </row>
    <row r="32" spans="1:5" ht="19.5" hidden="1" customHeight="1">
      <c r="A32" s="339" t="s">
        <v>1328</v>
      </c>
      <c r="B32" s="339"/>
      <c r="C32" s="561"/>
      <c r="D32" s="553"/>
      <c r="E32" s="363">
        <f t="shared" si="0"/>
        <v>0</v>
      </c>
    </row>
    <row r="33" spans="1:5" ht="19.5" customHeight="1">
      <c r="A33" s="339" t="s">
        <v>1329</v>
      </c>
      <c r="B33" s="339"/>
      <c r="C33" s="561">
        <v>77</v>
      </c>
      <c r="D33" s="553"/>
      <c r="E33" s="363">
        <f t="shared" si="0"/>
        <v>0.84624684031212227</v>
      </c>
    </row>
    <row r="34" spans="1:5" ht="19.5" customHeight="1">
      <c r="A34" s="339" t="s">
        <v>1330</v>
      </c>
      <c r="B34" s="339"/>
      <c r="C34" s="561">
        <v>557</v>
      </c>
      <c r="D34" s="553"/>
      <c r="E34" s="363">
        <f t="shared" si="0"/>
        <v>6.1215518188811959</v>
      </c>
    </row>
    <row r="35" spans="1:5" ht="19.5" hidden="1" customHeight="1">
      <c r="A35" s="339" t="s">
        <v>1331</v>
      </c>
      <c r="B35" s="339"/>
      <c r="C35" s="561"/>
      <c r="D35" s="553"/>
      <c r="E35" s="363">
        <f t="shared" si="0"/>
        <v>0</v>
      </c>
    </row>
    <row r="36" spans="1:5" ht="19.5" customHeight="1">
      <c r="A36" s="339" t="s">
        <v>1332</v>
      </c>
      <c r="B36" s="339"/>
      <c r="C36" s="561">
        <v>375</v>
      </c>
      <c r="D36" s="553"/>
      <c r="E36" s="363">
        <f t="shared" si="0"/>
        <v>4.1213320145070886</v>
      </c>
    </row>
    <row r="37" spans="1:5" ht="19.5" customHeight="1">
      <c r="A37" s="339" t="s">
        <v>1333</v>
      </c>
      <c r="B37" s="339"/>
      <c r="C37" s="561">
        <v>301</v>
      </c>
      <c r="D37" s="553"/>
      <c r="E37" s="363">
        <f t="shared" si="0"/>
        <v>3.3080558303110235</v>
      </c>
    </row>
    <row r="38" spans="1:5" ht="19.5" customHeight="1">
      <c r="A38" s="341" t="s">
        <v>1334</v>
      </c>
      <c r="B38" s="341"/>
      <c r="C38" s="562">
        <v>464</v>
      </c>
      <c r="D38" s="563"/>
      <c r="E38" s="363">
        <f t="shared" si="0"/>
        <v>5.0994614792834376</v>
      </c>
    </row>
    <row r="39" spans="1:5" ht="19.5" customHeight="1">
      <c r="A39" s="341" t="s">
        <v>1335</v>
      </c>
      <c r="B39" s="341"/>
      <c r="C39" s="562">
        <v>246</v>
      </c>
      <c r="D39" s="563"/>
      <c r="E39" s="363">
        <f t="shared" si="0"/>
        <v>2.7035938015166501</v>
      </c>
    </row>
    <row r="40" spans="1:5" ht="19.5" customHeight="1">
      <c r="A40" s="341" t="s">
        <v>1336</v>
      </c>
      <c r="B40" s="341"/>
      <c r="C40" s="562">
        <v>227</v>
      </c>
      <c r="D40" s="563"/>
      <c r="E40" s="363">
        <f t="shared" si="0"/>
        <v>2.4947796461149578</v>
      </c>
    </row>
    <row r="41" spans="1:5" ht="15.75" hidden="1" customHeight="1">
      <c r="A41" s="341" t="s">
        <v>1337</v>
      </c>
      <c r="B41" s="341"/>
      <c r="C41" s="562"/>
      <c r="D41" s="563"/>
      <c r="E41" s="363">
        <f t="shared" si="0"/>
        <v>0</v>
      </c>
    </row>
    <row r="42" spans="1:5" ht="14.25" hidden="1" customHeight="1">
      <c r="A42" s="341"/>
      <c r="B42" s="341"/>
      <c r="C42" s="562"/>
      <c r="D42" s="563"/>
      <c r="E42" s="363"/>
    </row>
    <row r="43" spans="1:5" ht="14.25" hidden="1" customHeight="1">
      <c r="A43" s="341" t="s">
        <v>1317</v>
      </c>
      <c r="B43" s="341"/>
      <c r="C43" s="562"/>
      <c r="D43" s="563"/>
      <c r="E43" s="363" t="e">
        <f>C43/#REF!*100</f>
        <v>#REF!</v>
      </c>
    </row>
    <row r="44" spans="1:5" ht="14.25" hidden="1" customHeight="1">
      <c r="A44" s="341" t="s">
        <v>1338</v>
      </c>
      <c r="B44" s="341"/>
      <c r="C44" s="562"/>
      <c r="D44" s="563"/>
      <c r="E44" s="363" t="e">
        <f>C44/#REF!*100</f>
        <v>#REF!</v>
      </c>
    </row>
    <row r="45" spans="1:5" ht="14.25" hidden="1" customHeight="1">
      <c r="A45" s="341" t="s">
        <v>1339</v>
      </c>
      <c r="B45" s="341"/>
      <c r="C45" s="562"/>
      <c r="D45" s="563"/>
      <c r="E45" s="363" t="e">
        <f>C45/#REF!*100</f>
        <v>#REF!</v>
      </c>
    </row>
    <row r="46" spans="1:5" ht="14.25" hidden="1" customHeight="1">
      <c r="A46" s="341" t="s">
        <v>1340</v>
      </c>
      <c r="B46" s="341"/>
      <c r="C46" s="562"/>
      <c r="D46" s="563"/>
      <c r="E46" s="363" t="e">
        <f>C46/#REF!*100</f>
        <v>#REF!</v>
      </c>
    </row>
    <row r="47" spans="1:5" ht="14.25" hidden="1" customHeight="1">
      <c r="A47" s="341" t="s">
        <v>1341</v>
      </c>
      <c r="B47" s="341"/>
      <c r="C47" s="562"/>
      <c r="D47" s="563"/>
      <c r="E47" s="363" t="e">
        <f>C47/#REF!*100</f>
        <v>#REF!</v>
      </c>
    </row>
    <row r="48" spans="1:5" ht="14.25" hidden="1" customHeight="1">
      <c r="A48" s="341" t="s">
        <v>1342</v>
      </c>
      <c r="B48" s="341"/>
      <c r="C48" s="562"/>
      <c r="D48" s="563"/>
      <c r="E48" s="363" t="e">
        <f>C48/#REF!*100</f>
        <v>#REF!</v>
      </c>
    </row>
    <row r="49" spans="1:6" ht="14.25" hidden="1" customHeight="1">
      <c r="A49" s="341" t="s">
        <v>1343</v>
      </c>
      <c r="B49" s="341"/>
      <c r="C49" s="562"/>
      <c r="D49" s="563"/>
      <c r="E49" s="363" t="e">
        <f>C49/#REF!*100</f>
        <v>#REF!</v>
      </c>
    </row>
    <row r="50" spans="1:6" ht="14.25" hidden="1" customHeight="1">
      <c r="A50" s="341" t="s">
        <v>1332</v>
      </c>
      <c r="B50" s="341"/>
      <c r="C50" s="562"/>
      <c r="D50" s="563"/>
      <c r="E50" s="363" t="e">
        <f>C50/#REF!*100</f>
        <v>#REF!</v>
      </c>
    </row>
    <row r="51" spans="1:6" ht="14.25" hidden="1" customHeight="1">
      <c r="A51" s="341" t="s">
        <v>1344</v>
      </c>
      <c r="B51" s="341"/>
      <c r="C51" s="562"/>
      <c r="D51" s="563"/>
      <c r="E51" s="363" t="e">
        <f>C51/#REF!*100</f>
        <v>#REF!</v>
      </c>
    </row>
    <row r="52" spans="1:6" ht="9.75" customHeight="1" thickBot="1">
      <c r="A52" s="345"/>
      <c r="B52" s="345"/>
      <c r="C52" s="557"/>
      <c r="D52" s="557"/>
      <c r="E52" s="564"/>
    </row>
    <row r="53" spans="1:6" ht="8.25" customHeight="1">
      <c r="A53" s="341"/>
      <c r="B53" s="341"/>
      <c r="C53" s="563"/>
      <c r="D53" s="563"/>
      <c r="E53" s="563"/>
      <c r="F53" s="340"/>
    </row>
    <row r="54" spans="1:6" ht="14.25" customHeight="1">
      <c r="A54" s="339" t="s">
        <v>1345</v>
      </c>
      <c r="B54" s="339"/>
      <c r="C54" s="553"/>
      <c r="D54" s="93"/>
      <c r="E54" s="42"/>
    </row>
    <row r="55" spans="1:6" ht="14.25" customHeight="1">
      <c r="A55" s="339" t="s">
        <v>1346</v>
      </c>
      <c r="B55" s="339"/>
      <c r="C55" s="553"/>
      <c r="D55" s="93"/>
      <c r="E55" s="42"/>
    </row>
    <row r="56" spans="1:6" ht="14.25" customHeight="1">
      <c r="A56" s="339" t="s">
        <v>385</v>
      </c>
      <c r="B56" s="339"/>
      <c r="C56" s="553"/>
      <c r="D56" s="93"/>
      <c r="E56" s="42"/>
    </row>
  </sheetData>
  <mergeCells count="1">
    <mergeCell ref="C8:E8"/>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dimension ref="A1:J36"/>
  <sheetViews>
    <sheetView workbookViewId="0">
      <selection activeCell="A5" sqref="A5"/>
    </sheetView>
  </sheetViews>
  <sheetFormatPr baseColWidth="10" defaultColWidth="8.85546875" defaultRowHeight="15"/>
  <cols>
    <col min="1" max="1" width="31.85546875" customWidth="1"/>
    <col min="2" max="3" width="9" customWidth="1"/>
    <col min="4" max="4" width="2.5703125" customWidth="1"/>
    <col min="5" max="5" width="9.42578125" customWidth="1"/>
    <col min="6" max="6" width="10.7109375" customWidth="1"/>
    <col min="7" max="7" width="2.7109375" customWidth="1"/>
    <col min="8" max="8" width="10" customWidth="1"/>
    <col min="9" max="9" width="10.140625" customWidth="1"/>
    <col min="10" max="10" width="3.140625" customWidth="1"/>
    <col min="257" max="257" width="31.85546875" customWidth="1"/>
    <col min="258" max="259" width="9" customWidth="1"/>
    <col min="260" max="260" width="2.5703125" customWidth="1"/>
    <col min="261" max="261" width="9.42578125" customWidth="1"/>
    <col min="262" max="262" width="10.7109375" customWidth="1"/>
    <col min="263" max="263" width="2.7109375" customWidth="1"/>
    <col min="264" max="264" width="10" customWidth="1"/>
    <col min="265" max="265" width="10.140625" customWidth="1"/>
    <col min="266" max="266" width="3.140625" customWidth="1"/>
    <col min="513" max="513" width="31.85546875" customWidth="1"/>
    <col min="514" max="515" width="9" customWidth="1"/>
    <col min="516" max="516" width="2.5703125" customWidth="1"/>
    <col min="517" max="517" width="9.42578125" customWidth="1"/>
    <col min="518" max="518" width="10.7109375" customWidth="1"/>
    <col min="519" max="519" width="2.7109375" customWidth="1"/>
    <col min="520" max="520" width="10" customWidth="1"/>
    <col min="521" max="521" width="10.140625" customWidth="1"/>
    <col min="522" max="522" width="3.140625" customWidth="1"/>
    <col min="769" max="769" width="31.85546875" customWidth="1"/>
    <col min="770" max="771" width="9" customWidth="1"/>
    <col min="772" max="772" width="2.5703125" customWidth="1"/>
    <col min="773" max="773" width="9.42578125" customWidth="1"/>
    <col min="774" max="774" width="10.7109375" customWidth="1"/>
    <col min="775" max="775" width="2.7109375" customWidth="1"/>
    <col min="776" max="776" width="10" customWidth="1"/>
    <col min="777" max="777" width="10.140625" customWidth="1"/>
    <col min="778" max="778" width="3.140625" customWidth="1"/>
    <col min="1025" max="1025" width="31.85546875" customWidth="1"/>
    <col min="1026" max="1027" width="9" customWidth="1"/>
    <col min="1028" max="1028" width="2.5703125" customWidth="1"/>
    <col min="1029" max="1029" width="9.42578125" customWidth="1"/>
    <col min="1030" max="1030" width="10.7109375" customWidth="1"/>
    <col min="1031" max="1031" width="2.7109375" customWidth="1"/>
    <col min="1032" max="1032" width="10" customWidth="1"/>
    <col min="1033" max="1033" width="10.140625" customWidth="1"/>
    <col min="1034" max="1034" width="3.140625" customWidth="1"/>
    <col min="1281" max="1281" width="31.85546875" customWidth="1"/>
    <col min="1282" max="1283" width="9" customWidth="1"/>
    <col min="1284" max="1284" width="2.5703125" customWidth="1"/>
    <col min="1285" max="1285" width="9.42578125" customWidth="1"/>
    <col min="1286" max="1286" width="10.7109375" customWidth="1"/>
    <col min="1287" max="1287" width="2.7109375" customWidth="1"/>
    <col min="1288" max="1288" width="10" customWidth="1"/>
    <col min="1289" max="1289" width="10.140625" customWidth="1"/>
    <col min="1290" max="1290" width="3.140625" customWidth="1"/>
    <col min="1537" max="1537" width="31.85546875" customWidth="1"/>
    <col min="1538" max="1539" width="9" customWidth="1"/>
    <col min="1540" max="1540" width="2.5703125" customWidth="1"/>
    <col min="1541" max="1541" width="9.42578125" customWidth="1"/>
    <col min="1542" max="1542" width="10.7109375" customWidth="1"/>
    <col min="1543" max="1543" width="2.7109375" customWidth="1"/>
    <col min="1544" max="1544" width="10" customWidth="1"/>
    <col min="1545" max="1545" width="10.140625" customWidth="1"/>
    <col min="1546" max="1546" width="3.140625" customWidth="1"/>
    <col min="1793" max="1793" width="31.85546875" customWidth="1"/>
    <col min="1794" max="1795" width="9" customWidth="1"/>
    <col min="1796" max="1796" width="2.5703125" customWidth="1"/>
    <col min="1797" max="1797" width="9.42578125" customWidth="1"/>
    <col min="1798" max="1798" width="10.7109375" customWidth="1"/>
    <col min="1799" max="1799" width="2.7109375" customWidth="1"/>
    <col min="1800" max="1800" width="10" customWidth="1"/>
    <col min="1801" max="1801" width="10.140625" customWidth="1"/>
    <col min="1802" max="1802" width="3.140625" customWidth="1"/>
    <col min="2049" max="2049" width="31.85546875" customWidth="1"/>
    <col min="2050" max="2051" width="9" customWidth="1"/>
    <col min="2052" max="2052" width="2.5703125" customWidth="1"/>
    <col min="2053" max="2053" width="9.42578125" customWidth="1"/>
    <col min="2054" max="2054" width="10.7109375" customWidth="1"/>
    <col min="2055" max="2055" width="2.7109375" customWidth="1"/>
    <col min="2056" max="2056" width="10" customWidth="1"/>
    <col min="2057" max="2057" width="10.140625" customWidth="1"/>
    <col min="2058" max="2058" width="3.140625" customWidth="1"/>
    <col min="2305" max="2305" width="31.85546875" customWidth="1"/>
    <col min="2306" max="2307" width="9" customWidth="1"/>
    <col min="2308" max="2308" width="2.5703125" customWidth="1"/>
    <col min="2309" max="2309" width="9.42578125" customWidth="1"/>
    <col min="2310" max="2310" width="10.7109375" customWidth="1"/>
    <col min="2311" max="2311" width="2.7109375" customWidth="1"/>
    <col min="2312" max="2312" width="10" customWidth="1"/>
    <col min="2313" max="2313" width="10.140625" customWidth="1"/>
    <col min="2314" max="2314" width="3.140625" customWidth="1"/>
    <col min="2561" max="2561" width="31.85546875" customWidth="1"/>
    <col min="2562" max="2563" width="9" customWidth="1"/>
    <col min="2564" max="2564" width="2.5703125" customWidth="1"/>
    <col min="2565" max="2565" width="9.42578125" customWidth="1"/>
    <col min="2566" max="2566" width="10.7109375" customWidth="1"/>
    <col min="2567" max="2567" width="2.7109375" customWidth="1"/>
    <col min="2568" max="2568" width="10" customWidth="1"/>
    <col min="2569" max="2569" width="10.140625" customWidth="1"/>
    <col min="2570" max="2570" width="3.140625" customWidth="1"/>
    <col min="2817" max="2817" width="31.85546875" customWidth="1"/>
    <col min="2818" max="2819" width="9" customWidth="1"/>
    <col min="2820" max="2820" width="2.5703125" customWidth="1"/>
    <col min="2821" max="2821" width="9.42578125" customWidth="1"/>
    <col min="2822" max="2822" width="10.7109375" customWidth="1"/>
    <col min="2823" max="2823" width="2.7109375" customWidth="1"/>
    <col min="2824" max="2824" width="10" customWidth="1"/>
    <col min="2825" max="2825" width="10.140625" customWidth="1"/>
    <col min="2826" max="2826" width="3.140625" customWidth="1"/>
    <col min="3073" max="3073" width="31.85546875" customWidth="1"/>
    <col min="3074" max="3075" width="9" customWidth="1"/>
    <col min="3076" max="3076" width="2.5703125" customWidth="1"/>
    <col min="3077" max="3077" width="9.42578125" customWidth="1"/>
    <col min="3078" max="3078" width="10.7109375" customWidth="1"/>
    <col min="3079" max="3079" width="2.7109375" customWidth="1"/>
    <col min="3080" max="3080" width="10" customWidth="1"/>
    <col min="3081" max="3081" width="10.140625" customWidth="1"/>
    <col min="3082" max="3082" width="3.140625" customWidth="1"/>
    <col min="3329" max="3329" width="31.85546875" customWidth="1"/>
    <col min="3330" max="3331" width="9" customWidth="1"/>
    <col min="3332" max="3332" width="2.5703125" customWidth="1"/>
    <col min="3333" max="3333" width="9.42578125" customWidth="1"/>
    <col min="3334" max="3334" width="10.7109375" customWidth="1"/>
    <col min="3335" max="3335" width="2.7109375" customWidth="1"/>
    <col min="3336" max="3336" width="10" customWidth="1"/>
    <col min="3337" max="3337" width="10.140625" customWidth="1"/>
    <col min="3338" max="3338" width="3.140625" customWidth="1"/>
    <col min="3585" max="3585" width="31.85546875" customWidth="1"/>
    <col min="3586" max="3587" width="9" customWidth="1"/>
    <col min="3588" max="3588" width="2.5703125" customWidth="1"/>
    <col min="3589" max="3589" width="9.42578125" customWidth="1"/>
    <col min="3590" max="3590" width="10.7109375" customWidth="1"/>
    <col min="3591" max="3591" width="2.7109375" customWidth="1"/>
    <col min="3592" max="3592" width="10" customWidth="1"/>
    <col min="3593" max="3593" width="10.140625" customWidth="1"/>
    <col min="3594" max="3594" width="3.140625" customWidth="1"/>
    <col min="3841" max="3841" width="31.85546875" customWidth="1"/>
    <col min="3842" max="3843" width="9" customWidth="1"/>
    <col min="3844" max="3844" width="2.5703125" customWidth="1"/>
    <col min="3845" max="3845" width="9.42578125" customWidth="1"/>
    <col min="3846" max="3846" width="10.7109375" customWidth="1"/>
    <col min="3847" max="3847" width="2.7109375" customWidth="1"/>
    <col min="3848" max="3848" width="10" customWidth="1"/>
    <col min="3849" max="3849" width="10.140625" customWidth="1"/>
    <col min="3850" max="3850" width="3.140625" customWidth="1"/>
    <col min="4097" max="4097" width="31.85546875" customWidth="1"/>
    <col min="4098" max="4099" width="9" customWidth="1"/>
    <col min="4100" max="4100" width="2.5703125" customWidth="1"/>
    <col min="4101" max="4101" width="9.42578125" customWidth="1"/>
    <col min="4102" max="4102" width="10.7109375" customWidth="1"/>
    <col min="4103" max="4103" width="2.7109375" customWidth="1"/>
    <col min="4104" max="4104" width="10" customWidth="1"/>
    <col min="4105" max="4105" width="10.140625" customWidth="1"/>
    <col min="4106" max="4106" width="3.140625" customWidth="1"/>
    <col min="4353" max="4353" width="31.85546875" customWidth="1"/>
    <col min="4354" max="4355" width="9" customWidth="1"/>
    <col min="4356" max="4356" width="2.5703125" customWidth="1"/>
    <col min="4357" max="4357" width="9.42578125" customWidth="1"/>
    <col min="4358" max="4358" width="10.7109375" customWidth="1"/>
    <col min="4359" max="4359" width="2.7109375" customWidth="1"/>
    <col min="4360" max="4360" width="10" customWidth="1"/>
    <col min="4361" max="4361" width="10.140625" customWidth="1"/>
    <col min="4362" max="4362" width="3.140625" customWidth="1"/>
    <col min="4609" max="4609" width="31.85546875" customWidth="1"/>
    <col min="4610" max="4611" width="9" customWidth="1"/>
    <col min="4612" max="4612" width="2.5703125" customWidth="1"/>
    <col min="4613" max="4613" width="9.42578125" customWidth="1"/>
    <col min="4614" max="4614" width="10.7109375" customWidth="1"/>
    <col min="4615" max="4615" width="2.7109375" customWidth="1"/>
    <col min="4616" max="4616" width="10" customWidth="1"/>
    <col min="4617" max="4617" width="10.140625" customWidth="1"/>
    <col min="4618" max="4618" width="3.140625" customWidth="1"/>
    <col min="4865" max="4865" width="31.85546875" customWidth="1"/>
    <col min="4866" max="4867" width="9" customWidth="1"/>
    <col min="4868" max="4868" width="2.5703125" customWidth="1"/>
    <col min="4869" max="4869" width="9.42578125" customWidth="1"/>
    <col min="4870" max="4870" width="10.7109375" customWidth="1"/>
    <col min="4871" max="4871" width="2.7109375" customWidth="1"/>
    <col min="4872" max="4872" width="10" customWidth="1"/>
    <col min="4873" max="4873" width="10.140625" customWidth="1"/>
    <col min="4874" max="4874" width="3.140625" customWidth="1"/>
    <col min="5121" max="5121" width="31.85546875" customWidth="1"/>
    <col min="5122" max="5123" width="9" customWidth="1"/>
    <col min="5124" max="5124" width="2.5703125" customWidth="1"/>
    <col min="5125" max="5125" width="9.42578125" customWidth="1"/>
    <col min="5126" max="5126" width="10.7109375" customWidth="1"/>
    <col min="5127" max="5127" width="2.7109375" customWidth="1"/>
    <col min="5128" max="5128" width="10" customWidth="1"/>
    <col min="5129" max="5129" width="10.140625" customWidth="1"/>
    <col min="5130" max="5130" width="3.140625" customWidth="1"/>
    <col min="5377" max="5377" width="31.85546875" customWidth="1"/>
    <col min="5378" max="5379" width="9" customWidth="1"/>
    <col min="5380" max="5380" width="2.5703125" customWidth="1"/>
    <col min="5381" max="5381" width="9.42578125" customWidth="1"/>
    <col min="5382" max="5382" width="10.7109375" customWidth="1"/>
    <col min="5383" max="5383" width="2.7109375" customWidth="1"/>
    <col min="5384" max="5384" width="10" customWidth="1"/>
    <col min="5385" max="5385" width="10.140625" customWidth="1"/>
    <col min="5386" max="5386" width="3.140625" customWidth="1"/>
    <col min="5633" max="5633" width="31.85546875" customWidth="1"/>
    <col min="5634" max="5635" width="9" customWidth="1"/>
    <col min="5636" max="5636" width="2.5703125" customWidth="1"/>
    <col min="5637" max="5637" width="9.42578125" customWidth="1"/>
    <col min="5638" max="5638" width="10.7109375" customWidth="1"/>
    <col min="5639" max="5639" width="2.7109375" customWidth="1"/>
    <col min="5640" max="5640" width="10" customWidth="1"/>
    <col min="5641" max="5641" width="10.140625" customWidth="1"/>
    <col min="5642" max="5642" width="3.140625" customWidth="1"/>
    <col min="5889" max="5889" width="31.85546875" customWidth="1"/>
    <col min="5890" max="5891" width="9" customWidth="1"/>
    <col min="5892" max="5892" width="2.5703125" customWidth="1"/>
    <col min="5893" max="5893" width="9.42578125" customWidth="1"/>
    <col min="5894" max="5894" width="10.7109375" customWidth="1"/>
    <col min="5895" max="5895" width="2.7109375" customWidth="1"/>
    <col min="5896" max="5896" width="10" customWidth="1"/>
    <col min="5897" max="5897" width="10.140625" customWidth="1"/>
    <col min="5898" max="5898" width="3.140625" customWidth="1"/>
    <col min="6145" max="6145" width="31.85546875" customWidth="1"/>
    <col min="6146" max="6147" width="9" customWidth="1"/>
    <col min="6148" max="6148" width="2.5703125" customWidth="1"/>
    <col min="6149" max="6149" width="9.42578125" customWidth="1"/>
    <col min="6150" max="6150" width="10.7109375" customWidth="1"/>
    <col min="6151" max="6151" width="2.7109375" customWidth="1"/>
    <col min="6152" max="6152" width="10" customWidth="1"/>
    <col min="6153" max="6153" width="10.140625" customWidth="1"/>
    <col min="6154" max="6154" width="3.140625" customWidth="1"/>
    <col min="6401" max="6401" width="31.85546875" customWidth="1"/>
    <col min="6402" max="6403" width="9" customWidth="1"/>
    <col min="6404" max="6404" width="2.5703125" customWidth="1"/>
    <col min="6405" max="6405" width="9.42578125" customWidth="1"/>
    <col min="6406" max="6406" width="10.7109375" customWidth="1"/>
    <col min="6407" max="6407" width="2.7109375" customWidth="1"/>
    <col min="6408" max="6408" width="10" customWidth="1"/>
    <col min="6409" max="6409" width="10.140625" customWidth="1"/>
    <col min="6410" max="6410" width="3.140625" customWidth="1"/>
    <col min="6657" max="6657" width="31.85546875" customWidth="1"/>
    <col min="6658" max="6659" width="9" customWidth="1"/>
    <col min="6660" max="6660" width="2.5703125" customWidth="1"/>
    <col min="6661" max="6661" width="9.42578125" customWidth="1"/>
    <col min="6662" max="6662" width="10.7109375" customWidth="1"/>
    <col min="6663" max="6663" width="2.7109375" customWidth="1"/>
    <col min="6664" max="6664" width="10" customWidth="1"/>
    <col min="6665" max="6665" width="10.140625" customWidth="1"/>
    <col min="6666" max="6666" width="3.140625" customWidth="1"/>
    <col min="6913" max="6913" width="31.85546875" customWidth="1"/>
    <col min="6914" max="6915" width="9" customWidth="1"/>
    <col min="6916" max="6916" width="2.5703125" customWidth="1"/>
    <col min="6917" max="6917" width="9.42578125" customWidth="1"/>
    <col min="6918" max="6918" width="10.7109375" customWidth="1"/>
    <col min="6919" max="6919" width="2.7109375" customWidth="1"/>
    <col min="6920" max="6920" width="10" customWidth="1"/>
    <col min="6921" max="6921" width="10.140625" customWidth="1"/>
    <col min="6922" max="6922" width="3.140625" customWidth="1"/>
    <col min="7169" max="7169" width="31.85546875" customWidth="1"/>
    <col min="7170" max="7171" width="9" customWidth="1"/>
    <col min="7172" max="7172" width="2.5703125" customWidth="1"/>
    <col min="7173" max="7173" width="9.42578125" customWidth="1"/>
    <col min="7174" max="7174" width="10.7109375" customWidth="1"/>
    <col min="7175" max="7175" width="2.7109375" customWidth="1"/>
    <col min="7176" max="7176" width="10" customWidth="1"/>
    <col min="7177" max="7177" width="10.140625" customWidth="1"/>
    <col min="7178" max="7178" width="3.140625" customWidth="1"/>
    <col min="7425" max="7425" width="31.85546875" customWidth="1"/>
    <col min="7426" max="7427" width="9" customWidth="1"/>
    <col min="7428" max="7428" width="2.5703125" customWidth="1"/>
    <col min="7429" max="7429" width="9.42578125" customWidth="1"/>
    <col min="7430" max="7430" width="10.7109375" customWidth="1"/>
    <col min="7431" max="7431" width="2.7109375" customWidth="1"/>
    <col min="7432" max="7432" width="10" customWidth="1"/>
    <col min="7433" max="7433" width="10.140625" customWidth="1"/>
    <col min="7434" max="7434" width="3.140625" customWidth="1"/>
    <col min="7681" max="7681" width="31.85546875" customWidth="1"/>
    <col min="7682" max="7683" width="9" customWidth="1"/>
    <col min="7684" max="7684" width="2.5703125" customWidth="1"/>
    <col min="7685" max="7685" width="9.42578125" customWidth="1"/>
    <col min="7686" max="7686" width="10.7109375" customWidth="1"/>
    <col min="7687" max="7687" width="2.7109375" customWidth="1"/>
    <col min="7688" max="7688" width="10" customWidth="1"/>
    <col min="7689" max="7689" width="10.140625" customWidth="1"/>
    <col min="7690" max="7690" width="3.140625" customWidth="1"/>
    <col min="7937" max="7937" width="31.85546875" customWidth="1"/>
    <col min="7938" max="7939" width="9" customWidth="1"/>
    <col min="7940" max="7940" width="2.5703125" customWidth="1"/>
    <col min="7941" max="7941" width="9.42578125" customWidth="1"/>
    <col min="7942" max="7942" width="10.7109375" customWidth="1"/>
    <col min="7943" max="7943" width="2.7109375" customWidth="1"/>
    <col min="7944" max="7944" width="10" customWidth="1"/>
    <col min="7945" max="7945" width="10.140625" customWidth="1"/>
    <col min="7946" max="7946" width="3.140625" customWidth="1"/>
    <col min="8193" max="8193" width="31.85546875" customWidth="1"/>
    <col min="8194" max="8195" width="9" customWidth="1"/>
    <col min="8196" max="8196" width="2.5703125" customWidth="1"/>
    <col min="8197" max="8197" width="9.42578125" customWidth="1"/>
    <col min="8198" max="8198" width="10.7109375" customWidth="1"/>
    <col min="8199" max="8199" width="2.7109375" customWidth="1"/>
    <col min="8200" max="8200" width="10" customWidth="1"/>
    <col min="8201" max="8201" width="10.140625" customWidth="1"/>
    <col min="8202" max="8202" width="3.140625" customWidth="1"/>
    <col min="8449" max="8449" width="31.85546875" customWidth="1"/>
    <col min="8450" max="8451" width="9" customWidth="1"/>
    <col min="8452" max="8452" width="2.5703125" customWidth="1"/>
    <col min="8453" max="8453" width="9.42578125" customWidth="1"/>
    <col min="8454" max="8454" width="10.7109375" customWidth="1"/>
    <col min="8455" max="8455" width="2.7109375" customWidth="1"/>
    <col min="8456" max="8456" width="10" customWidth="1"/>
    <col min="8457" max="8457" width="10.140625" customWidth="1"/>
    <col min="8458" max="8458" width="3.140625" customWidth="1"/>
    <col min="8705" max="8705" width="31.85546875" customWidth="1"/>
    <col min="8706" max="8707" width="9" customWidth="1"/>
    <col min="8708" max="8708" width="2.5703125" customWidth="1"/>
    <col min="8709" max="8709" width="9.42578125" customWidth="1"/>
    <col min="8710" max="8710" width="10.7109375" customWidth="1"/>
    <col min="8711" max="8711" width="2.7109375" customWidth="1"/>
    <col min="8712" max="8712" width="10" customWidth="1"/>
    <col min="8713" max="8713" width="10.140625" customWidth="1"/>
    <col min="8714" max="8714" width="3.140625" customWidth="1"/>
    <col min="8961" max="8961" width="31.85546875" customWidth="1"/>
    <col min="8962" max="8963" width="9" customWidth="1"/>
    <col min="8964" max="8964" width="2.5703125" customWidth="1"/>
    <col min="8965" max="8965" width="9.42578125" customWidth="1"/>
    <col min="8966" max="8966" width="10.7109375" customWidth="1"/>
    <col min="8967" max="8967" width="2.7109375" customWidth="1"/>
    <col min="8968" max="8968" width="10" customWidth="1"/>
    <col min="8969" max="8969" width="10.140625" customWidth="1"/>
    <col min="8970" max="8970" width="3.140625" customWidth="1"/>
    <col min="9217" max="9217" width="31.85546875" customWidth="1"/>
    <col min="9218" max="9219" width="9" customWidth="1"/>
    <col min="9220" max="9220" width="2.5703125" customWidth="1"/>
    <col min="9221" max="9221" width="9.42578125" customWidth="1"/>
    <col min="9222" max="9222" width="10.7109375" customWidth="1"/>
    <col min="9223" max="9223" width="2.7109375" customWidth="1"/>
    <col min="9224" max="9224" width="10" customWidth="1"/>
    <col min="9225" max="9225" width="10.140625" customWidth="1"/>
    <col min="9226" max="9226" width="3.140625" customWidth="1"/>
    <col min="9473" max="9473" width="31.85546875" customWidth="1"/>
    <col min="9474" max="9475" width="9" customWidth="1"/>
    <col min="9476" max="9476" width="2.5703125" customWidth="1"/>
    <col min="9477" max="9477" width="9.42578125" customWidth="1"/>
    <col min="9478" max="9478" width="10.7109375" customWidth="1"/>
    <col min="9479" max="9479" width="2.7109375" customWidth="1"/>
    <col min="9480" max="9480" width="10" customWidth="1"/>
    <col min="9481" max="9481" width="10.140625" customWidth="1"/>
    <col min="9482" max="9482" width="3.140625" customWidth="1"/>
    <col min="9729" max="9729" width="31.85546875" customWidth="1"/>
    <col min="9730" max="9731" width="9" customWidth="1"/>
    <col min="9732" max="9732" width="2.5703125" customWidth="1"/>
    <col min="9733" max="9733" width="9.42578125" customWidth="1"/>
    <col min="9734" max="9734" width="10.7109375" customWidth="1"/>
    <col min="9735" max="9735" width="2.7109375" customWidth="1"/>
    <col min="9736" max="9736" width="10" customWidth="1"/>
    <col min="9737" max="9737" width="10.140625" customWidth="1"/>
    <col min="9738" max="9738" width="3.140625" customWidth="1"/>
    <col min="9985" max="9985" width="31.85546875" customWidth="1"/>
    <col min="9986" max="9987" width="9" customWidth="1"/>
    <col min="9988" max="9988" width="2.5703125" customWidth="1"/>
    <col min="9989" max="9989" width="9.42578125" customWidth="1"/>
    <col min="9990" max="9990" width="10.7109375" customWidth="1"/>
    <col min="9991" max="9991" width="2.7109375" customWidth="1"/>
    <col min="9992" max="9992" width="10" customWidth="1"/>
    <col min="9993" max="9993" width="10.140625" customWidth="1"/>
    <col min="9994" max="9994" width="3.140625" customWidth="1"/>
    <col min="10241" max="10241" width="31.85546875" customWidth="1"/>
    <col min="10242" max="10243" width="9" customWidth="1"/>
    <col min="10244" max="10244" width="2.5703125" customWidth="1"/>
    <col min="10245" max="10245" width="9.42578125" customWidth="1"/>
    <col min="10246" max="10246" width="10.7109375" customWidth="1"/>
    <col min="10247" max="10247" width="2.7109375" customWidth="1"/>
    <col min="10248" max="10248" width="10" customWidth="1"/>
    <col min="10249" max="10249" width="10.140625" customWidth="1"/>
    <col min="10250" max="10250" width="3.140625" customWidth="1"/>
    <col min="10497" max="10497" width="31.85546875" customWidth="1"/>
    <col min="10498" max="10499" width="9" customWidth="1"/>
    <col min="10500" max="10500" width="2.5703125" customWidth="1"/>
    <col min="10501" max="10501" width="9.42578125" customWidth="1"/>
    <col min="10502" max="10502" width="10.7109375" customWidth="1"/>
    <col min="10503" max="10503" width="2.7109375" customWidth="1"/>
    <col min="10504" max="10504" width="10" customWidth="1"/>
    <col min="10505" max="10505" width="10.140625" customWidth="1"/>
    <col min="10506" max="10506" width="3.140625" customWidth="1"/>
    <col min="10753" max="10753" width="31.85546875" customWidth="1"/>
    <col min="10754" max="10755" width="9" customWidth="1"/>
    <col min="10756" max="10756" width="2.5703125" customWidth="1"/>
    <col min="10757" max="10757" width="9.42578125" customWidth="1"/>
    <col min="10758" max="10758" width="10.7109375" customWidth="1"/>
    <col min="10759" max="10759" width="2.7109375" customWidth="1"/>
    <col min="10760" max="10760" width="10" customWidth="1"/>
    <col min="10761" max="10761" width="10.140625" customWidth="1"/>
    <col min="10762" max="10762" width="3.140625" customWidth="1"/>
    <col min="11009" max="11009" width="31.85546875" customWidth="1"/>
    <col min="11010" max="11011" width="9" customWidth="1"/>
    <col min="11012" max="11012" width="2.5703125" customWidth="1"/>
    <col min="11013" max="11013" width="9.42578125" customWidth="1"/>
    <col min="11014" max="11014" width="10.7109375" customWidth="1"/>
    <col min="11015" max="11015" width="2.7109375" customWidth="1"/>
    <col min="11016" max="11016" width="10" customWidth="1"/>
    <col min="11017" max="11017" width="10.140625" customWidth="1"/>
    <col min="11018" max="11018" width="3.140625" customWidth="1"/>
    <col min="11265" max="11265" width="31.85546875" customWidth="1"/>
    <col min="11266" max="11267" width="9" customWidth="1"/>
    <col min="11268" max="11268" width="2.5703125" customWidth="1"/>
    <col min="11269" max="11269" width="9.42578125" customWidth="1"/>
    <col min="11270" max="11270" width="10.7109375" customWidth="1"/>
    <col min="11271" max="11271" width="2.7109375" customWidth="1"/>
    <col min="11272" max="11272" width="10" customWidth="1"/>
    <col min="11273" max="11273" width="10.140625" customWidth="1"/>
    <col min="11274" max="11274" width="3.140625" customWidth="1"/>
    <col min="11521" max="11521" width="31.85546875" customWidth="1"/>
    <col min="11522" max="11523" width="9" customWidth="1"/>
    <col min="11524" max="11524" width="2.5703125" customWidth="1"/>
    <col min="11525" max="11525" width="9.42578125" customWidth="1"/>
    <col min="11526" max="11526" width="10.7109375" customWidth="1"/>
    <col min="11527" max="11527" width="2.7109375" customWidth="1"/>
    <col min="11528" max="11528" width="10" customWidth="1"/>
    <col min="11529" max="11529" width="10.140625" customWidth="1"/>
    <col min="11530" max="11530" width="3.140625" customWidth="1"/>
    <col min="11777" max="11777" width="31.85546875" customWidth="1"/>
    <col min="11778" max="11779" width="9" customWidth="1"/>
    <col min="11780" max="11780" width="2.5703125" customWidth="1"/>
    <col min="11781" max="11781" width="9.42578125" customWidth="1"/>
    <col min="11782" max="11782" width="10.7109375" customWidth="1"/>
    <col min="11783" max="11783" width="2.7109375" customWidth="1"/>
    <col min="11784" max="11784" width="10" customWidth="1"/>
    <col min="11785" max="11785" width="10.140625" customWidth="1"/>
    <col min="11786" max="11786" width="3.140625" customWidth="1"/>
    <col min="12033" max="12033" width="31.85546875" customWidth="1"/>
    <col min="12034" max="12035" width="9" customWidth="1"/>
    <col min="12036" max="12036" width="2.5703125" customWidth="1"/>
    <col min="12037" max="12037" width="9.42578125" customWidth="1"/>
    <col min="12038" max="12038" width="10.7109375" customWidth="1"/>
    <col min="12039" max="12039" width="2.7109375" customWidth="1"/>
    <col min="12040" max="12040" width="10" customWidth="1"/>
    <col min="12041" max="12041" width="10.140625" customWidth="1"/>
    <col min="12042" max="12042" width="3.140625" customWidth="1"/>
    <col min="12289" max="12289" width="31.85546875" customWidth="1"/>
    <col min="12290" max="12291" width="9" customWidth="1"/>
    <col min="12292" max="12292" width="2.5703125" customWidth="1"/>
    <col min="12293" max="12293" width="9.42578125" customWidth="1"/>
    <col min="12294" max="12294" width="10.7109375" customWidth="1"/>
    <col min="12295" max="12295" width="2.7109375" customWidth="1"/>
    <col min="12296" max="12296" width="10" customWidth="1"/>
    <col min="12297" max="12297" width="10.140625" customWidth="1"/>
    <col min="12298" max="12298" width="3.140625" customWidth="1"/>
    <col min="12545" max="12545" width="31.85546875" customWidth="1"/>
    <col min="12546" max="12547" width="9" customWidth="1"/>
    <col min="12548" max="12548" width="2.5703125" customWidth="1"/>
    <col min="12549" max="12549" width="9.42578125" customWidth="1"/>
    <col min="12550" max="12550" width="10.7109375" customWidth="1"/>
    <col min="12551" max="12551" width="2.7109375" customWidth="1"/>
    <col min="12552" max="12552" width="10" customWidth="1"/>
    <col min="12553" max="12553" width="10.140625" customWidth="1"/>
    <col min="12554" max="12554" width="3.140625" customWidth="1"/>
    <col min="12801" max="12801" width="31.85546875" customWidth="1"/>
    <col min="12802" max="12803" width="9" customWidth="1"/>
    <col min="12804" max="12804" width="2.5703125" customWidth="1"/>
    <col min="12805" max="12805" width="9.42578125" customWidth="1"/>
    <col min="12806" max="12806" width="10.7109375" customWidth="1"/>
    <col min="12807" max="12807" width="2.7109375" customWidth="1"/>
    <col min="12808" max="12808" width="10" customWidth="1"/>
    <col min="12809" max="12809" width="10.140625" customWidth="1"/>
    <col min="12810" max="12810" width="3.140625" customWidth="1"/>
    <col min="13057" max="13057" width="31.85546875" customWidth="1"/>
    <col min="13058" max="13059" width="9" customWidth="1"/>
    <col min="13060" max="13060" width="2.5703125" customWidth="1"/>
    <col min="13061" max="13061" width="9.42578125" customWidth="1"/>
    <col min="13062" max="13062" width="10.7109375" customWidth="1"/>
    <col min="13063" max="13063" width="2.7109375" customWidth="1"/>
    <col min="13064" max="13064" width="10" customWidth="1"/>
    <col min="13065" max="13065" width="10.140625" customWidth="1"/>
    <col min="13066" max="13066" width="3.140625" customWidth="1"/>
    <col min="13313" max="13313" width="31.85546875" customWidth="1"/>
    <col min="13314" max="13315" width="9" customWidth="1"/>
    <col min="13316" max="13316" width="2.5703125" customWidth="1"/>
    <col min="13317" max="13317" width="9.42578125" customWidth="1"/>
    <col min="13318" max="13318" width="10.7109375" customWidth="1"/>
    <col min="13319" max="13319" width="2.7109375" customWidth="1"/>
    <col min="13320" max="13320" width="10" customWidth="1"/>
    <col min="13321" max="13321" width="10.140625" customWidth="1"/>
    <col min="13322" max="13322" width="3.140625" customWidth="1"/>
    <col min="13569" max="13569" width="31.85546875" customWidth="1"/>
    <col min="13570" max="13571" width="9" customWidth="1"/>
    <col min="13572" max="13572" width="2.5703125" customWidth="1"/>
    <col min="13573" max="13573" width="9.42578125" customWidth="1"/>
    <col min="13574" max="13574" width="10.7109375" customWidth="1"/>
    <col min="13575" max="13575" width="2.7109375" customWidth="1"/>
    <col min="13576" max="13576" width="10" customWidth="1"/>
    <col min="13577" max="13577" width="10.140625" customWidth="1"/>
    <col min="13578" max="13578" width="3.140625" customWidth="1"/>
    <col min="13825" max="13825" width="31.85546875" customWidth="1"/>
    <col min="13826" max="13827" width="9" customWidth="1"/>
    <col min="13828" max="13828" width="2.5703125" customWidth="1"/>
    <col min="13829" max="13829" width="9.42578125" customWidth="1"/>
    <col min="13830" max="13830" width="10.7109375" customWidth="1"/>
    <col min="13831" max="13831" width="2.7109375" customWidth="1"/>
    <col min="13832" max="13832" width="10" customWidth="1"/>
    <col min="13833" max="13833" width="10.140625" customWidth="1"/>
    <col min="13834" max="13834" width="3.140625" customWidth="1"/>
    <col min="14081" max="14081" width="31.85546875" customWidth="1"/>
    <col min="14082" max="14083" width="9" customWidth="1"/>
    <col min="14084" max="14084" width="2.5703125" customWidth="1"/>
    <col min="14085" max="14085" width="9.42578125" customWidth="1"/>
    <col min="14086" max="14086" width="10.7109375" customWidth="1"/>
    <col min="14087" max="14087" width="2.7109375" customWidth="1"/>
    <col min="14088" max="14088" width="10" customWidth="1"/>
    <col min="14089" max="14089" width="10.140625" customWidth="1"/>
    <col min="14090" max="14090" width="3.140625" customWidth="1"/>
    <col min="14337" max="14337" width="31.85546875" customWidth="1"/>
    <col min="14338" max="14339" width="9" customWidth="1"/>
    <col min="14340" max="14340" width="2.5703125" customWidth="1"/>
    <col min="14341" max="14341" width="9.42578125" customWidth="1"/>
    <col min="14342" max="14342" width="10.7109375" customWidth="1"/>
    <col min="14343" max="14343" width="2.7109375" customWidth="1"/>
    <col min="14344" max="14344" width="10" customWidth="1"/>
    <col min="14345" max="14345" width="10.140625" customWidth="1"/>
    <col min="14346" max="14346" width="3.140625" customWidth="1"/>
    <col min="14593" max="14593" width="31.85546875" customWidth="1"/>
    <col min="14594" max="14595" width="9" customWidth="1"/>
    <col min="14596" max="14596" width="2.5703125" customWidth="1"/>
    <col min="14597" max="14597" width="9.42578125" customWidth="1"/>
    <col min="14598" max="14598" width="10.7109375" customWidth="1"/>
    <col min="14599" max="14599" width="2.7109375" customWidth="1"/>
    <col min="14600" max="14600" width="10" customWidth="1"/>
    <col min="14601" max="14601" width="10.140625" customWidth="1"/>
    <col min="14602" max="14602" width="3.140625" customWidth="1"/>
    <col min="14849" max="14849" width="31.85546875" customWidth="1"/>
    <col min="14850" max="14851" width="9" customWidth="1"/>
    <col min="14852" max="14852" width="2.5703125" customWidth="1"/>
    <col min="14853" max="14853" width="9.42578125" customWidth="1"/>
    <col min="14854" max="14854" width="10.7109375" customWidth="1"/>
    <col min="14855" max="14855" width="2.7109375" customWidth="1"/>
    <col min="14856" max="14856" width="10" customWidth="1"/>
    <col min="14857" max="14857" width="10.140625" customWidth="1"/>
    <col min="14858" max="14858" width="3.140625" customWidth="1"/>
    <col min="15105" max="15105" width="31.85546875" customWidth="1"/>
    <col min="15106" max="15107" width="9" customWidth="1"/>
    <col min="15108" max="15108" width="2.5703125" customWidth="1"/>
    <col min="15109" max="15109" width="9.42578125" customWidth="1"/>
    <col min="15110" max="15110" width="10.7109375" customWidth="1"/>
    <col min="15111" max="15111" width="2.7109375" customWidth="1"/>
    <col min="15112" max="15112" width="10" customWidth="1"/>
    <col min="15113" max="15113" width="10.140625" customWidth="1"/>
    <col min="15114" max="15114" width="3.140625" customWidth="1"/>
    <col min="15361" max="15361" width="31.85546875" customWidth="1"/>
    <col min="15362" max="15363" width="9" customWidth="1"/>
    <col min="15364" max="15364" width="2.5703125" customWidth="1"/>
    <col min="15365" max="15365" width="9.42578125" customWidth="1"/>
    <col min="15366" max="15366" width="10.7109375" customWidth="1"/>
    <col min="15367" max="15367" width="2.7109375" customWidth="1"/>
    <col min="15368" max="15368" width="10" customWidth="1"/>
    <col min="15369" max="15369" width="10.140625" customWidth="1"/>
    <col min="15370" max="15370" width="3.140625" customWidth="1"/>
    <col min="15617" max="15617" width="31.85546875" customWidth="1"/>
    <col min="15618" max="15619" width="9" customWidth="1"/>
    <col min="15620" max="15620" width="2.5703125" customWidth="1"/>
    <col min="15621" max="15621" width="9.42578125" customWidth="1"/>
    <col min="15622" max="15622" width="10.7109375" customWidth="1"/>
    <col min="15623" max="15623" width="2.7109375" customWidth="1"/>
    <col min="15624" max="15624" width="10" customWidth="1"/>
    <col min="15625" max="15625" width="10.140625" customWidth="1"/>
    <col min="15626" max="15626" width="3.140625" customWidth="1"/>
    <col min="15873" max="15873" width="31.85546875" customWidth="1"/>
    <col min="15874" max="15875" width="9" customWidth="1"/>
    <col min="15876" max="15876" width="2.5703125" customWidth="1"/>
    <col min="15877" max="15877" width="9.42578125" customWidth="1"/>
    <col min="15878" max="15878" width="10.7109375" customWidth="1"/>
    <col min="15879" max="15879" width="2.7109375" customWidth="1"/>
    <col min="15880" max="15880" width="10" customWidth="1"/>
    <col min="15881" max="15881" width="10.140625" customWidth="1"/>
    <col min="15882" max="15882" width="3.140625" customWidth="1"/>
    <col min="16129" max="16129" width="31.85546875" customWidth="1"/>
    <col min="16130" max="16131" width="9" customWidth="1"/>
    <col min="16132" max="16132" width="2.5703125" customWidth="1"/>
    <col min="16133" max="16133" width="9.42578125" customWidth="1"/>
    <col min="16134" max="16134" width="10.7109375" customWidth="1"/>
    <col min="16135" max="16135" width="2.7109375" customWidth="1"/>
    <col min="16136" max="16136" width="10" customWidth="1"/>
    <col min="16137" max="16137" width="10.140625" customWidth="1"/>
    <col min="16138" max="16138" width="3.140625" customWidth="1"/>
  </cols>
  <sheetData>
    <row r="1" spans="1:10">
      <c r="A1" s="42" t="s">
        <v>796</v>
      </c>
      <c r="B1" s="42"/>
      <c r="C1" s="42"/>
      <c r="D1" s="42"/>
      <c r="E1" s="42"/>
    </row>
    <row r="2" spans="1:10">
      <c r="A2" s="42" t="s">
        <v>797</v>
      </c>
      <c r="B2" s="42"/>
      <c r="C2" s="42"/>
      <c r="D2" s="42"/>
      <c r="E2" s="42"/>
    </row>
    <row r="3" spans="1:10">
      <c r="A3" s="42"/>
      <c r="B3" s="42"/>
      <c r="C3" s="42"/>
      <c r="D3" s="42"/>
      <c r="E3" s="42"/>
    </row>
    <row r="4" spans="1:10">
      <c r="A4" s="42" t="s">
        <v>2205</v>
      </c>
      <c r="B4" s="42"/>
      <c r="C4" s="42"/>
      <c r="D4" s="42"/>
      <c r="E4" s="42"/>
    </row>
    <row r="5" spans="1:10" ht="15.75" thickBot="1">
      <c r="A5" s="42"/>
      <c r="B5" s="42"/>
      <c r="C5" s="42"/>
      <c r="D5" s="42"/>
      <c r="E5" s="42"/>
    </row>
    <row r="6" spans="1:10">
      <c r="A6" s="237"/>
      <c r="B6" s="237"/>
      <c r="C6" s="237"/>
      <c r="D6" s="237"/>
      <c r="E6" s="237"/>
      <c r="F6" s="6"/>
      <c r="G6" s="6"/>
      <c r="H6" s="6"/>
      <c r="I6" s="6"/>
      <c r="J6" s="6"/>
    </row>
    <row r="7" spans="1:10">
      <c r="A7" s="180"/>
      <c r="B7" s="95"/>
      <c r="C7" s="95"/>
      <c r="D7" s="95"/>
      <c r="E7" s="1288" t="s">
        <v>1347</v>
      </c>
      <c r="F7" s="1288"/>
      <c r="G7" s="1288"/>
      <c r="H7" s="1288"/>
      <c r="I7" s="1288"/>
      <c r="J7" s="36"/>
    </row>
    <row r="8" spans="1:10">
      <c r="A8" s="42" t="s">
        <v>1348</v>
      </c>
      <c r="B8" s="1288" t="s">
        <v>413</v>
      </c>
      <c r="C8" s="1288"/>
      <c r="D8" s="469"/>
      <c r="E8" s="1304" t="s">
        <v>1349</v>
      </c>
      <c r="F8" s="1304"/>
      <c r="H8" s="1304" t="s">
        <v>1350</v>
      </c>
      <c r="I8" s="1304"/>
    </row>
    <row r="9" spans="1:10">
      <c r="B9" t="s">
        <v>1140</v>
      </c>
      <c r="C9" t="s">
        <v>976</v>
      </c>
      <c r="E9" t="s">
        <v>1140</v>
      </c>
      <c r="F9" t="s">
        <v>976</v>
      </c>
      <c r="H9" t="s">
        <v>1140</v>
      </c>
      <c r="I9" t="s">
        <v>976</v>
      </c>
    </row>
    <row r="10" spans="1:10" s="36" customFormat="1" ht="15.75" thickBot="1">
      <c r="A10" s="249"/>
      <c r="B10" s="15"/>
      <c r="C10" s="15"/>
      <c r="D10" s="15"/>
      <c r="E10" s="15"/>
      <c r="F10" s="15"/>
      <c r="G10" s="15"/>
      <c r="H10" s="15"/>
      <c r="I10" s="15"/>
      <c r="J10" s="15"/>
    </row>
    <row r="11" spans="1:10">
      <c r="A11" s="42"/>
      <c r="B11" s="42"/>
      <c r="C11" s="42"/>
      <c r="D11" s="42"/>
      <c r="E11" s="42"/>
    </row>
    <row r="12" spans="1:10">
      <c r="A12" s="63" t="s">
        <v>5</v>
      </c>
      <c r="B12" s="42">
        <f>SUM(B13:B18)</f>
        <v>172</v>
      </c>
      <c r="C12" s="94">
        <f>SUM(C14:C17)</f>
        <v>100.00000000000001</v>
      </c>
      <c r="D12" s="94"/>
      <c r="E12" s="42">
        <f>SUM(E13:E18)</f>
        <v>76</v>
      </c>
      <c r="F12" s="43">
        <f>E12/$B$12*100</f>
        <v>44.186046511627907</v>
      </c>
      <c r="H12" s="42">
        <f>SUM(H13:H18)</f>
        <v>96</v>
      </c>
      <c r="I12" s="43">
        <f>H12/$B$12*100</f>
        <v>55.813953488372093</v>
      </c>
    </row>
    <row r="13" spans="1:10">
      <c r="A13" s="42"/>
      <c r="B13" s="42"/>
      <c r="C13" s="94"/>
      <c r="D13" s="42"/>
      <c r="F13" s="43"/>
      <c r="I13" s="43"/>
    </row>
    <row r="14" spans="1:10" ht="18" customHeight="1">
      <c r="A14" s="42" t="s">
        <v>1351</v>
      </c>
      <c r="B14" s="42">
        <f>E14+H14</f>
        <v>36</v>
      </c>
      <c r="C14" s="94">
        <f>IF(A14&lt;&gt;0,B14/$B$12*100,"")</f>
        <v>20.930232558139537</v>
      </c>
      <c r="D14" s="94"/>
      <c r="E14">
        <v>33</v>
      </c>
      <c r="F14" s="43">
        <f>E14/B14*100</f>
        <v>91.666666666666657</v>
      </c>
      <c r="H14">
        <v>3</v>
      </c>
      <c r="I14" s="43">
        <f>IF(A14&lt;&gt;"",H14/B14*100,"")</f>
        <v>8.3333333333333321</v>
      </c>
    </row>
    <row r="15" spans="1:10" ht="18" customHeight="1">
      <c r="A15" s="42" t="s">
        <v>1352</v>
      </c>
      <c r="B15" s="42">
        <f>E15+H15</f>
        <v>118</v>
      </c>
      <c r="C15" s="94">
        <f>IF(A15&lt;&gt;0,B15/$B$12*100,"")</f>
        <v>68.604651162790702</v>
      </c>
      <c r="D15" s="94"/>
      <c r="E15">
        <v>28</v>
      </c>
      <c r="F15" s="43">
        <f>E15/B15*100</f>
        <v>23.728813559322035</v>
      </c>
      <c r="H15">
        <v>90</v>
      </c>
      <c r="I15" s="43">
        <f>IF(A15&lt;&gt;"",H15/B15*100,"")</f>
        <v>76.271186440677965</v>
      </c>
    </row>
    <row r="16" spans="1:10" ht="18" customHeight="1">
      <c r="A16" s="42" t="s">
        <v>1353</v>
      </c>
      <c r="B16" s="42">
        <f>E16+H16</f>
        <v>9</v>
      </c>
      <c r="C16" s="94">
        <f>IF(A16&lt;&gt;0,B16/$B$12*100,"")</f>
        <v>5.2325581395348841</v>
      </c>
      <c r="D16" s="94"/>
      <c r="E16">
        <v>6</v>
      </c>
      <c r="F16" s="43">
        <f>E16/B16*100</f>
        <v>66.666666666666657</v>
      </c>
      <c r="H16">
        <v>3</v>
      </c>
      <c r="I16" s="43">
        <f>IF(A16&lt;&gt;"",H16/B16*100,"")</f>
        <v>33.333333333333329</v>
      </c>
    </row>
    <row r="17" spans="1:10" ht="18" customHeight="1">
      <c r="A17" s="42" t="s">
        <v>1354</v>
      </c>
      <c r="B17" s="42">
        <f>E17+H17</f>
        <v>9</v>
      </c>
      <c r="C17" s="94">
        <f>IF(A17&lt;&gt;0,B17/$B$12*100,"")</f>
        <v>5.2325581395348841</v>
      </c>
      <c r="D17" s="94"/>
      <c r="E17">
        <v>9</v>
      </c>
      <c r="F17" s="43">
        <f>E17/B17*100</f>
        <v>100</v>
      </c>
      <c r="I17" s="43">
        <f>IF(A17&lt;&gt;"",H17/B17*100,"")</f>
        <v>0</v>
      </c>
    </row>
    <row r="18" spans="1:10" ht="15.75" thickBot="1">
      <c r="A18" s="249"/>
      <c r="B18" s="249"/>
      <c r="C18" s="248" t="str">
        <f>IF(A18&lt;&gt;0,B18/$B$12*100,"")</f>
        <v/>
      </c>
      <c r="D18" s="248"/>
      <c r="E18" s="15"/>
      <c r="F18" s="60"/>
      <c r="G18" s="15"/>
      <c r="H18" s="15"/>
      <c r="I18" s="60"/>
      <c r="J18" s="15"/>
    </row>
    <row r="19" spans="1:10">
      <c r="A19" s="42"/>
      <c r="B19" s="42"/>
      <c r="C19" s="42"/>
      <c r="D19" s="42"/>
      <c r="E19" s="42"/>
      <c r="F19" s="43"/>
      <c r="I19" s="43"/>
    </row>
    <row r="20" spans="1:10">
      <c r="A20" s="256" t="s">
        <v>1355</v>
      </c>
      <c r="B20" s="42"/>
      <c r="C20" s="42"/>
      <c r="D20" s="42"/>
      <c r="E20" s="42"/>
      <c r="F20" s="43"/>
      <c r="I20" s="43"/>
    </row>
    <row r="21" spans="1:10">
      <c r="A21" s="256" t="s">
        <v>1356</v>
      </c>
      <c r="B21" s="42"/>
      <c r="C21" s="42"/>
      <c r="D21" s="42"/>
      <c r="E21" s="42"/>
      <c r="F21" s="43"/>
      <c r="I21" s="43"/>
    </row>
    <row r="22" spans="1:10">
      <c r="A22" s="256" t="s">
        <v>1357</v>
      </c>
      <c r="B22" s="42"/>
      <c r="C22" s="42"/>
      <c r="D22" s="42"/>
      <c r="E22" s="42"/>
      <c r="F22" s="43"/>
      <c r="I22" s="43"/>
    </row>
    <row r="23" spans="1:10">
      <c r="A23" s="256" t="s">
        <v>1358</v>
      </c>
      <c r="B23" s="42"/>
      <c r="C23" s="42"/>
      <c r="D23" s="42"/>
      <c r="E23" s="42"/>
      <c r="F23" s="43"/>
      <c r="I23" s="43"/>
    </row>
    <row r="24" spans="1:10">
      <c r="A24" s="256" t="s">
        <v>1359</v>
      </c>
      <c r="B24" s="42"/>
      <c r="C24" s="42"/>
      <c r="D24" s="42"/>
      <c r="E24" s="42"/>
      <c r="F24" s="43"/>
      <c r="I24" s="43"/>
    </row>
    <row r="25" spans="1:10">
      <c r="A25" s="256" t="s">
        <v>1360</v>
      </c>
      <c r="B25" s="42"/>
      <c r="C25" s="42"/>
      <c r="D25" s="42"/>
      <c r="E25" s="42"/>
      <c r="F25" s="43"/>
      <c r="I25" s="43"/>
    </row>
    <row r="26" spans="1:10">
      <c r="A26" s="256" t="s">
        <v>1361</v>
      </c>
      <c r="B26" s="42"/>
      <c r="C26" s="42"/>
      <c r="D26" s="42"/>
      <c r="E26" s="42"/>
      <c r="F26" s="43"/>
      <c r="I26" s="43"/>
    </row>
    <row r="27" spans="1:10">
      <c r="A27" s="42"/>
      <c r="B27" s="42"/>
      <c r="C27" s="42"/>
      <c r="D27" s="42"/>
      <c r="E27" s="42"/>
      <c r="F27" s="43"/>
      <c r="I27" s="43"/>
    </row>
    <row r="28" spans="1:10">
      <c r="A28" s="42" t="s">
        <v>1362</v>
      </c>
      <c r="B28" s="42"/>
      <c r="C28" s="42"/>
      <c r="D28" s="42"/>
      <c r="E28" s="42"/>
      <c r="F28" s="43"/>
      <c r="I28" s="43"/>
    </row>
    <row r="29" spans="1:10">
      <c r="A29" s="42" t="s">
        <v>365</v>
      </c>
      <c r="B29" s="42"/>
      <c r="C29" s="42"/>
      <c r="D29" s="42"/>
      <c r="E29" s="42"/>
      <c r="F29" s="43"/>
      <c r="I29" s="43"/>
    </row>
    <row r="30" spans="1:10">
      <c r="F30" s="43"/>
      <c r="I30" s="43"/>
    </row>
    <row r="31" spans="1:10">
      <c r="F31" s="43"/>
      <c r="I31" s="43"/>
    </row>
    <row r="32" spans="1:10">
      <c r="F32" s="43"/>
      <c r="I32" s="43"/>
    </row>
    <row r="33" spans="6:9">
      <c r="F33" s="43"/>
      <c r="I33" s="43"/>
    </row>
    <row r="34" spans="6:9">
      <c r="F34" s="43"/>
      <c r="I34" s="43"/>
    </row>
    <row r="35" spans="6:9">
      <c r="F35" s="43"/>
      <c r="I35" s="43"/>
    </row>
    <row r="36" spans="6:9">
      <c r="F36" s="43"/>
      <c r="I36" s="43"/>
    </row>
  </sheetData>
  <mergeCells count="4">
    <mergeCell ref="E7:I7"/>
    <mergeCell ref="B8:C8"/>
    <mergeCell ref="E8:F8"/>
    <mergeCell ref="H8:I8"/>
  </mergeCell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74.xml><?xml version="1.0" encoding="utf-8"?>
<worksheet xmlns="http://schemas.openxmlformats.org/spreadsheetml/2006/main" xmlns:r="http://schemas.openxmlformats.org/officeDocument/2006/relationships">
  <dimension ref="A1:X55"/>
  <sheetViews>
    <sheetView workbookViewId="0">
      <selection activeCell="B36" sqref="B36"/>
    </sheetView>
  </sheetViews>
  <sheetFormatPr baseColWidth="10" defaultColWidth="9.140625" defaultRowHeight="15"/>
  <cols>
    <col min="1" max="1" width="34" customWidth="1"/>
    <col min="2" max="2" width="10" style="41" customWidth="1"/>
    <col min="3" max="3" width="9.140625" customWidth="1"/>
    <col min="4" max="4" width="2.7109375" customWidth="1"/>
    <col min="5" max="5" width="8.85546875" style="41" customWidth="1"/>
    <col min="6" max="6" width="9.140625" customWidth="1"/>
    <col min="7" max="7" width="2.7109375" customWidth="1"/>
    <col min="8" max="8" width="8.85546875" style="41" customWidth="1"/>
    <col min="9" max="9" width="1.7109375" style="41" customWidth="1"/>
    <col min="10" max="10" width="9.140625" customWidth="1"/>
    <col min="11" max="11" width="2.7109375" customWidth="1"/>
    <col min="12" max="12" width="8.85546875" style="41" customWidth="1"/>
    <col min="13" max="13" width="1.5703125" customWidth="1"/>
    <col min="14" max="14" width="9.140625" customWidth="1"/>
    <col min="15" max="15" width="2.7109375" customWidth="1"/>
    <col min="16" max="16" width="10.7109375" customWidth="1"/>
    <col min="17" max="17" width="2" customWidth="1"/>
    <col min="18" max="18" width="10.28515625" customWidth="1"/>
    <col min="19" max="19" width="3" customWidth="1"/>
    <col min="20" max="20" width="10.140625" customWidth="1"/>
    <col min="21" max="21" width="2" customWidth="1"/>
    <col min="22" max="22" width="10" customWidth="1"/>
    <col min="23" max="23" width="3" customWidth="1"/>
    <col min="24" max="24" width="25.140625" customWidth="1"/>
    <col min="257" max="257" width="34" customWidth="1"/>
    <col min="258" max="258" width="10" customWidth="1"/>
    <col min="259" max="259" width="9.140625" customWidth="1"/>
    <col min="260" max="260" width="2.7109375" customWidth="1"/>
    <col min="261" max="261" width="8.85546875" customWidth="1"/>
    <col min="262" max="262" width="9.140625" customWidth="1"/>
    <col min="263" max="263" width="2.7109375" customWidth="1"/>
    <col min="264" max="264" width="8.85546875" customWidth="1"/>
    <col min="265" max="265" width="1.7109375" customWidth="1"/>
    <col min="266" max="266" width="9.140625" customWidth="1"/>
    <col min="267" max="267" width="2.7109375" customWidth="1"/>
    <col min="268" max="268" width="8.85546875" customWidth="1"/>
    <col min="269" max="269" width="1.5703125" customWidth="1"/>
    <col min="270" max="270" width="9.140625" customWidth="1"/>
    <col min="271" max="271" width="2.7109375" customWidth="1"/>
    <col min="272" max="272" width="10.7109375" customWidth="1"/>
    <col min="273" max="273" width="2" customWidth="1"/>
    <col min="274" max="274" width="10.28515625" customWidth="1"/>
    <col min="275" max="275" width="3" customWidth="1"/>
    <col min="276" max="276" width="10.140625" customWidth="1"/>
    <col min="277" max="277" width="2" customWidth="1"/>
    <col min="278" max="278" width="10" customWidth="1"/>
    <col min="279" max="279" width="3" customWidth="1"/>
    <col min="280" max="280" width="25.140625" customWidth="1"/>
    <col min="513" max="513" width="34" customWidth="1"/>
    <col min="514" max="514" width="10" customWidth="1"/>
    <col min="515" max="515" width="9.140625" customWidth="1"/>
    <col min="516" max="516" width="2.7109375" customWidth="1"/>
    <col min="517" max="517" width="8.85546875" customWidth="1"/>
    <col min="518" max="518" width="9.140625" customWidth="1"/>
    <col min="519" max="519" width="2.7109375" customWidth="1"/>
    <col min="520" max="520" width="8.85546875" customWidth="1"/>
    <col min="521" max="521" width="1.7109375" customWidth="1"/>
    <col min="522" max="522" width="9.140625" customWidth="1"/>
    <col min="523" max="523" width="2.7109375" customWidth="1"/>
    <col min="524" max="524" width="8.85546875" customWidth="1"/>
    <col min="525" max="525" width="1.5703125" customWidth="1"/>
    <col min="526" max="526" width="9.140625" customWidth="1"/>
    <col min="527" max="527" width="2.7109375" customWidth="1"/>
    <col min="528" max="528" width="10.7109375" customWidth="1"/>
    <col min="529" max="529" width="2" customWidth="1"/>
    <col min="530" max="530" width="10.28515625" customWidth="1"/>
    <col min="531" max="531" width="3" customWidth="1"/>
    <col min="532" max="532" width="10.140625" customWidth="1"/>
    <col min="533" max="533" width="2" customWidth="1"/>
    <col min="534" max="534" width="10" customWidth="1"/>
    <col min="535" max="535" width="3" customWidth="1"/>
    <col min="536" max="536" width="25.140625" customWidth="1"/>
    <col min="769" max="769" width="34" customWidth="1"/>
    <col min="770" max="770" width="10" customWidth="1"/>
    <col min="771" max="771" width="9.140625" customWidth="1"/>
    <col min="772" max="772" width="2.7109375" customWidth="1"/>
    <col min="773" max="773" width="8.85546875" customWidth="1"/>
    <col min="774" max="774" width="9.140625" customWidth="1"/>
    <col min="775" max="775" width="2.7109375" customWidth="1"/>
    <col min="776" max="776" width="8.85546875" customWidth="1"/>
    <col min="777" max="777" width="1.7109375" customWidth="1"/>
    <col min="778" max="778" width="9.140625" customWidth="1"/>
    <col min="779" max="779" width="2.7109375" customWidth="1"/>
    <col min="780" max="780" width="8.85546875" customWidth="1"/>
    <col min="781" max="781" width="1.5703125" customWidth="1"/>
    <col min="782" max="782" width="9.140625" customWidth="1"/>
    <col min="783" max="783" width="2.7109375" customWidth="1"/>
    <col min="784" max="784" width="10.7109375" customWidth="1"/>
    <col min="785" max="785" width="2" customWidth="1"/>
    <col min="786" max="786" width="10.28515625" customWidth="1"/>
    <col min="787" max="787" width="3" customWidth="1"/>
    <col min="788" max="788" width="10.140625" customWidth="1"/>
    <col min="789" max="789" width="2" customWidth="1"/>
    <col min="790" max="790" width="10" customWidth="1"/>
    <col min="791" max="791" width="3" customWidth="1"/>
    <col min="792" max="792" width="25.140625" customWidth="1"/>
    <col min="1025" max="1025" width="34" customWidth="1"/>
    <col min="1026" max="1026" width="10" customWidth="1"/>
    <col min="1027" max="1027" width="9.140625" customWidth="1"/>
    <col min="1028" max="1028" width="2.7109375" customWidth="1"/>
    <col min="1029" max="1029" width="8.85546875" customWidth="1"/>
    <col min="1030" max="1030" width="9.140625" customWidth="1"/>
    <col min="1031" max="1031" width="2.7109375" customWidth="1"/>
    <col min="1032" max="1032" width="8.85546875" customWidth="1"/>
    <col min="1033" max="1033" width="1.7109375" customWidth="1"/>
    <col min="1034" max="1034" width="9.140625" customWidth="1"/>
    <col min="1035" max="1035" width="2.7109375" customWidth="1"/>
    <col min="1036" max="1036" width="8.85546875" customWidth="1"/>
    <col min="1037" max="1037" width="1.5703125" customWidth="1"/>
    <col min="1038" max="1038" width="9.140625" customWidth="1"/>
    <col min="1039" max="1039" width="2.7109375" customWidth="1"/>
    <col min="1040" max="1040" width="10.7109375" customWidth="1"/>
    <col min="1041" max="1041" width="2" customWidth="1"/>
    <col min="1042" max="1042" width="10.28515625" customWidth="1"/>
    <col min="1043" max="1043" width="3" customWidth="1"/>
    <col min="1044" max="1044" width="10.140625" customWidth="1"/>
    <col min="1045" max="1045" width="2" customWidth="1"/>
    <col min="1046" max="1046" width="10" customWidth="1"/>
    <col min="1047" max="1047" width="3" customWidth="1"/>
    <col min="1048" max="1048" width="25.140625" customWidth="1"/>
    <col min="1281" max="1281" width="34" customWidth="1"/>
    <col min="1282" max="1282" width="10" customWidth="1"/>
    <col min="1283" max="1283" width="9.140625" customWidth="1"/>
    <col min="1284" max="1284" width="2.7109375" customWidth="1"/>
    <col min="1285" max="1285" width="8.85546875" customWidth="1"/>
    <col min="1286" max="1286" width="9.140625" customWidth="1"/>
    <col min="1287" max="1287" width="2.7109375" customWidth="1"/>
    <col min="1288" max="1288" width="8.85546875" customWidth="1"/>
    <col min="1289" max="1289" width="1.7109375" customWidth="1"/>
    <col min="1290" max="1290" width="9.140625" customWidth="1"/>
    <col min="1291" max="1291" width="2.7109375" customWidth="1"/>
    <col min="1292" max="1292" width="8.85546875" customWidth="1"/>
    <col min="1293" max="1293" width="1.5703125" customWidth="1"/>
    <col min="1294" max="1294" width="9.140625" customWidth="1"/>
    <col min="1295" max="1295" width="2.7109375" customWidth="1"/>
    <col min="1296" max="1296" width="10.7109375" customWidth="1"/>
    <col min="1297" max="1297" width="2" customWidth="1"/>
    <col min="1298" max="1298" width="10.28515625" customWidth="1"/>
    <col min="1299" max="1299" width="3" customWidth="1"/>
    <col min="1300" max="1300" width="10.140625" customWidth="1"/>
    <col min="1301" max="1301" width="2" customWidth="1"/>
    <col min="1302" max="1302" width="10" customWidth="1"/>
    <col min="1303" max="1303" width="3" customWidth="1"/>
    <col min="1304" max="1304" width="25.140625" customWidth="1"/>
    <col min="1537" max="1537" width="34" customWidth="1"/>
    <col min="1538" max="1538" width="10" customWidth="1"/>
    <col min="1539" max="1539" width="9.140625" customWidth="1"/>
    <col min="1540" max="1540" width="2.7109375" customWidth="1"/>
    <col min="1541" max="1541" width="8.85546875" customWidth="1"/>
    <col min="1542" max="1542" width="9.140625" customWidth="1"/>
    <col min="1543" max="1543" width="2.7109375" customWidth="1"/>
    <col min="1544" max="1544" width="8.85546875" customWidth="1"/>
    <col min="1545" max="1545" width="1.7109375" customWidth="1"/>
    <col min="1546" max="1546" width="9.140625" customWidth="1"/>
    <col min="1547" max="1547" width="2.7109375" customWidth="1"/>
    <col min="1548" max="1548" width="8.85546875" customWidth="1"/>
    <col min="1549" max="1549" width="1.5703125" customWidth="1"/>
    <col min="1550" max="1550" width="9.140625" customWidth="1"/>
    <col min="1551" max="1551" width="2.7109375" customWidth="1"/>
    <col min="1552" max="1552" width="10.7109375" customWidth="1"/>
    <col min="1553" max="1553" width="2" customWidth="1"/>
    <col min="1554" max="1554" width="10.28515625" customWidth="1"/>
    <col min="1555" max="1555" width="3" customWidth="1"/>
    <col min="1556" max="1556" width="10.140625" customWidth="1"/>
    <col min="1557" max="1557" width="2" customWidth="1"/>
    <col min="1558" max="1558" width="10" customWidth="1"/>
    <col min="1559" max="1559" width="3" customWidth="1"/>
    <col min="1560" max="1560" width="25.140625" customWidth="1"/>
    <col min="1793" max="1793" width="34" customWidth="1"/>
    <col min="1794" max="1794" width="10" customWidth="1"/>
    <col min="1795" max="1795" width="9.140625" customWidth="1"/>
    <col min="1796" max="1796" width="2.7109375" customWidth="1"/>
    <col min="1797" max="1797" width="8.85546875" customWidth="1"/>
    <col min="1798" max="1798" width="9.140625" customWidth="1"/>
    <col min="1799" max="1799" width="2.7109375" customWidth="1"/>
    <col min="1800" max="1800" width="8.85546875" customWidth="1"/>
    <col min="1801" max="1801" width="1.7109375" customWidth="1"/>
    <col min="1802" max="1802" width="9.140625" customWidth="1"/>
    <col min="1803" max="1803" width="2.7109375" customWidth="1"/>
    <col min="1804" max="1804" width="8.85546875" customWidth="1"/>
    <col min="1805" max="1805" width="1.5703125" customWidth="1"/>
    <col min="1806" max="1806" width="9.140625" customWidth="1"/>
    <col min="1807" max="1807" width="2.7109375" customWidth="1"/>
    <col min="1808" max="1808" width="10.7109375" customWidth="1"/>
    <col min="1809" max="1809" width="2" customWidth="1"/>
    <col min="1810" max="1810" width="10.28515625" customWidth="1"/>
    <col min="1811" max="1811" width="3" customWidth="1"/>
    <col min="1812" max="1812" width="10.140625" customWidth="1"/>
    <col min="1813" max="1813" width="2" customWidth="1"/>
    <col min="1814" max="1814" width="10" customWidth="1"/>
    <col min="1815" max="1815" width="3" customWidth="1"/>
    <col min="1816" max="1816" width="25.140625" customWidth="1"/>
    <col min="2049" max="2049" width="34" customWidth="1"/>
    <col min="2050" max="2050" width="10" customWidth="1"/>
    <col min="2051" max="2051" width="9.140625" customWidth="1"/>
    <col min="2052" max="2052" width="2.7109375" customWidth="1"/>
    <col min="2053" max="2053" width="8.85546875" customWidth="1"/>
    <col min="2054" max="2054" width="9.140625" customWidth="1"/>
    <col min="2055" max="2055" width="2.7109375" customWidth="1"/>
    <col min="2056" max="2056" width="8.85546875" customWidth="1"/>
    <col min="2057" max="2057" width="1.7109375" customWidth="1"/>
    <col min="2058" max="2058" width="9.140625" customWidth="1"/>
    <col min="2059" max="2059" width="2.7109375" customWidth="1"/>
    <col min="2060" max="2060" width="8.85546875" customWidth="1"/>
    <col min="2061" max="2061" width="1.5703125" customWidth="1"/>
    <col min="2062" max="2062" width="9.140625" customWidth="1"/>
    <col min="2063" max="2063" width="2.7109375" customWidth="1"/>
    <col min="2064" max="2064" width="10.7109375" customWidth="1"/>
    <col min="2065" max="2065" width="2" customWidth="1"/>
    <col min="2066" max="2066" width="10.28515625" customWidth="1"/>
    <col min="2067" max="2067" width="3" customWidth="1"/>
    <col min="2068" max="2068" width="10.140625" customWidth="1"/>
    <col min="2069" max="2069" width="2" customWidth="1"/>
    <col min="2070" max="2070" width="10" customWidth="1"/>
    <col min="2071" max="2071" width="3" customWidth="1"/>
    <col min="2072" max="2072" width="25.140625" customWidth="1"/>
    <col min="2305" max="2305" width="34" customWidth="1"/>
    <col min="2306" max="2306" width="10" customWidth="1"/>
    <col min="2307" max="2307" width="9.140625" customWidth="1"/>
    <col min="2308" max="2308" width="2.7109375" customWidth="1"/>
    <col min="2309" max="2309" width="8.85546875" customWidth="1"/>
    <col min="2310" max="2310" width="9.140625" customWidth="1"/>
    <col min="2311" max="2311" width="2.7109375" customWidth="1"/>
    <col min="2312" max="2312" width="8.85546875" customWidth="1"/>
    <col min="2313" max="2313" width="1.7109375" customWidth="1"/>
    <col min="2314" max="2314" width="9.140625" customWidth="1"/>
    <col min="2315" max="2315" width="2.7109375" customWidth="1"/>
    <col min="2316" max="2316" width="8.85546875" customWidth="1"/>
    <col min="2317" max="2317" width="1.5703125" customWidth="1"/>
    <col min="2318" max="2318" width="9.140625" customWidth="1"/>
    <col min="2319" max="2319" width="2.7109375" customWidth="1"/>
    <col min="2320" max="2320" width="10.7109375" customWidth="1"/>
    <col min="2321" max="2321" width="2" customWidth="1"/>
    <col min="2322" max="2322" width="10.28515625" customWidth="1"/>
    <col min="2323" max="2323" width="3" customWidth="1"/>
    <col min="2324" max="2324" width="10.140625" customWidth="1"/>
    <col min="2325" max="2325" width="2" customWidth="1"/>
    <col min="2326" max="2326" width="10" customWidth="1"/>
    <col min="2327" max="2327" width="3" customWidth="1"/>
    <col min="2328" max="2328" width="25.140625" customWidth="1"/>
    <col min="2561" max="2561" width="34" customWidth="1"/>
    <col min="2562" max="2562" width="10" customWidth="1"/>
    <col min="2563" max="2563" width="9.140625" customWidth="1"/>
    <col min="2564" max="2564" width="2.7109375" customWidth="1"/>
    <col min="2565" max="2565" width="8.85546875" customWidth="1"/>
    <col min="2566" max="2566" width="9.140625" customWidth="1"/>
    <col min="2567" max="2567" width="2.7109375" customWidth="1"/>
    <col min="2568" max="2568" width="8.85546875" customWidth="1"/>
    <col min="2569" max="2569" width="1.7109375" customWidth="1"/>
    <col min="2570" max="2570" width="9.140625" customWidth="1"/>
    <col min="2571" max="2571" width="2.7109375" customWidth="1"/>
    <col min="2572" max="2572" width="8.85546875" customWidth="1"/>
    <col min="2573" max="2573" width="1.5703125" customWidth="1"/>
    <col min="2574" max="2574" width="9.140625" customWidth="1"/>
    <col min="2575" max="2575" width="2.7109375" customWidth="1"/>
    <col min="2576" max="2576" width="10.7109375" customWidth="1"/>
    <col min="2577" max="2577" width="2" customWidth="1"/>
    <col min="2578" max="2578" width="10.28515625" customWidth="1"/>
    <col min="2579" max="2579" width="3" customWidth="1"/>
    <col min="2580" max="2580" width="10.140625" customWidth="1"/>
    <col min="2581" max="2581" width="2" customWidth="1"/>
    <col min="2582" max="2582" width="10" customWidth="1"/>
    <col min="2583" max="2583" width="3" customWidth="1"/>
    <col min="2584" max="2584" width="25.140625" customWidth="1"/>
    <col min="2817" max="2817" width="34" customWidth="1"/>
    <col min="2818" max="2818" width="10" customWidth="1"/>
    <col min="2819" max="2819" width="9.140625" customWidth="1"/>
    <col min="2820" max="2820" width="2.7109375" customWidth="1"/>
    <col min="2821" max="2821" width="8.85546875" customWidth="1"/>
    <col min="2822" max="2822" width="9.140625" customWidth="1"/>
    <col min="2823" max="2823" width="2.7109375" customWidth="1"/>
    <col min="2824" max="2824" width="8.85546875" customWidth="1"/>
    <col min="2825" max="2825" width="1.7109375" customWidth="1"/>
    <col min="2826" max="2826" width="9.140625" customWidth="1"/>
    <col min="2827" max="2827" width="2.7109375" customWidth="1"/>
    <col min="2828" max="2828" width="8.85546875" customWidth="1"/>
    <col min="2829" max="2829" width="1.5703125" customWidth="1"/>
    <col min="2830" max="2830" width="9.140625" customWidth="1"/>
    <col min="2831" max="2831" width="2.7109375" customWidth="1"/>
    <col min="2832" max="2832" width="10.7109375" customWidth="1"/>
    <col min="2833" max="2833" width="2" customWidth="1"/>
    <col min="2834" max="2834" width="10.28515625" customWidth="1"/>
    <col min="2835" max="2835" width="3" customWidth="1"/>
    <col min="2836" max="2836" width="10.140625" customWidth="1"/>
    <col min="2837" max="2837" width="2" customWidth="1"/>
    <col min="2838" max="2838" width="10" customWidth="1"/>
    <col min="2839" max="2839" width="3" customWidth="1"/>
    <col min="2840" max="2840" width="25.140625" customWidth="1"/>
    <col min="3073" max="3073" width="34" customWidth="1"/>
    <col min="3074" max="3074" width="10" customWidth="1"/>
    <col min="3075" max="3075" width="9.140625" customWidth="1"/>
    <col min="3076" max="3076" width="2.7109375" customWidth="1"/>
    <col min="3077" max="3077" width="8.85546875" customWidth="1"/>
    <col min="3078" max="3078" width="9.140625" customWidth="1"/>
    <col min="3079" max="3079" width="2.7109375" customWidth="1"/>
    <col min="3080" max="3080" width="8.85546875" customWidth="1"/>
    <col min="3081" max="3081" width="1.7109375" customWidth="1"/>
    <col min="3082" max="3082" width="9.140625" customWidth="1"/>
    <col min="3083" max="3083" width="2.7109375" customWidth="1"/>
    <col min="3084" max="3084" width="8.85546875" customWidth="1"/>
    <col min="3085" max="3085" width="1.5703125" customWidth="1"/>
    <col min="3086" max="3086" width="9.140625" customWidth="1"/>
    <col min="3087" max="3087" width="2.7109375" customWidth="1"/>
    <col min="3088" max="3088" width="10.7109375" customWidth="1"/>
    <col min="3089" max="3089" width="2" customWidth="1"/>
    <col min="3090" max="3090" width="10.28515625" customWidth="1"/>
    <col min="3091" max="3091" width="3" customWidth="1"/>
    <col min="3092" max="3092" width="10.140625" customWidth="1"/>
    <col min="3093" max="3093" width="2" customWidth="1"/>
    <col min="3094" max="3094" width="10" customWidth="1"/>
    <col min="3095" max="3095" width="3" customWidth="1"/>
    <col min="3096" max="3096" width="25.140625" customWidth="1"/>
    <col min="3329" max="3329" width="34" customWidth="1"/>
    <col min="3330" max="3330" width="10" customWidth="1"/>
    <col min="3331" max="3331" width="9.140625" customWidth="1"/>
    <col min="3332" max="3332" width="2.7109375" customWidth="1"/>
    <col min="3333" max="3333" width="8.85546875" customWidth="1"/>
    <col min="3334" max="3334" width="9.140625" customWidth="1"/>
    <col min="3335" max="3335" width="2.7109375" customWidth="1"/>
    <col min="3336" max="3336" width="8.85546875" customWidth="1"/>
    <col min="3337" max="3337" width="1.7109375" customWidth="1"/>
    <col min="3338" max="3338" width="9.140625" customWidth="1"/>
    <col min="3339" max="3339" width="2.7109375" customWidth="1"/>
    <col min="3340" max="3340" width="8.85546875" customWidth="1"/>
    <col min="3341" max="3341" width="1.5703125" customWidth="1"/>
    <col min="3342" max="3342" width="9.140625" customWidth="1"/>
    <col min="3343" max="3343" width="2.7109375" customWidth="1"/>
    <col min="3344" max="3344" width="10.7109375" customWidth="1"/>
    <col min="3345" max="3345" width="2" customWidth="1"/>
    <col min="3346" max="3346" width="10.28515625" customWidth="1"/>
    <col min="3347" max="3347" width="3" customWidth="1"/>
    <col min="3348" max="3348" width="10.140625" customWidth="1"/>
    <col min="3349" max="3349" width="2" customWidth="1"/>
    <col min="3350" max="3350" width="10" customWidth="1"/>
    <col min="3351" max="3351" width="3" customWidth="1"/>
    <col min="3352" max="3352" width="25.140625" customWidth="1"/>
    <col min="3585" max="3585" width="34" customWidth="1"/>
    <col min="3586" max="3586" width="10" customWidth="1"/>
    <col min="3587" max="3587" width="9.140625" customWidth="1"/>
    <col min="3588" max="3588" width="2.7109375" customWidth="1"/>
    <col min="3589" max="3589" width="8.85546875" customWidth="1"/>
    <col min="3590" max="3590" width="9.140625" customWidth="1"/>
    <col min="3591" max="3591" width="2.7109375" customWidth="1"/>
    <col min="3592" max="3592" width="8.85546875" customWidth="1"/>
    <col min="3593" max="3593" width="1.7109375" customWidth="1"/>
    <col min="3594" max="3594" width="9.140625" customWidth="1"/>
    <col min="3595" max="3595" width="2.7109375" customWidth="1"/>
    <col min="3596" max="3596" width="8.85546875" customWidth="1"/>
    <col min="3597" max="3597" width="1.5703125" customWidth="1"/>
    <col min="3598" max="3598" width="9.140625" customWidth="1"/>
    <col min="3599" max="3599" width="2.7109375" customWidth="1"/>
    <col min="3600" max="3600" width="10.7109375" customWidth="1"/>
    <col min="3601" max="3601" width="2" customWidth="1"/>
    <col min="3602" max="3602" width="10.28515625" customWidth="1"/>
    <col min="3603" max="3603" width="3" customWidth="1"/>
    <col min="3604" max="3604" width="10.140625" customWidth="1"/>
    <col min="3605" max="3605" width="2" customWidth="1"/>
    <col min="3606" max="3606" width="10" customWidth="1"/>
    <col min="3607" max="3607" width="3" customWidth="1"/>
    <col min="3608" max="3608" width="25.140625" customWidth="1"/>
    <col min="3841" max="3841" width="34" customWidth="1"/>
    <col min="3842" max="3842" width="10" customWidth="1"/>
    <col min="3843" max="3843" width="9.140625" customWidth="1"/>
    <col min="3844" max="3844" width="2.7109375" customWidth="1"/>
    <col min="3845" max="3845" width="8.85546875" customWidth="1"/>
    <col min="3846" max="3846" width="9.140625" customWidth="1"/>
    <col min="3847" max="3847" width="2.7109375" customWidth="1"/>
    <col min="3848" max="3848" width="8.85546875" customWidth="1"/>
    <col min="3849" max="3849" width="1.7109375" customWidth="1"/>
    <col min="3850" max="3850" width="9.140625" customWidth="1"/>
    <col min="3851" max="3851" width="2.7109375" customWidth="1"/>
    <col min="3852" max="3852" width="8.85546875" customWidth="1"/>
    <col min="3853" max="3853" width="1.5703125" customWidth="1"/>
    <col min="3854" max="3854" width="9.140625" customWidth="1"/>
    <col min="3855" max="3855" width="2.7109375" customWidth="1"/>
    <col min="3856" max="3856" width="10.7109375" customWidth="1"/>
    <col min="3857" max="3857" width="2" customWidth="1"/>
    <col min="3858" max="3858" width="10.28515625" customWidth="1"/>
    <col min="3859" max="3859" width="3" customWidth="1"/>
    <col min="3860" max="3860" width="10.140625" customWidth="1"/>
    <col min="3861" max="3861" width="2" customWidth="1"/>
    <col min="3862" max="3862" width="10" customWidth="1"/>
    <col min="3863" max="3863" width="3" customWidth="1"/>
    <col min="3864" max="3864" width="25.140625" customWidth="1"/>
    <col min="4097" max="4097" width="34" customWidth="1"/>
    <col min="4098" max="4098" width="10" customWidth="1"/>
    <col min="4099" max="4099" width="9.140625" customWidth="1"/>
    <col min="4100" max="4100" width="2.7109375" customWidth="1"/>
    <col min="4101" max="4101" width="8.85546875" customWidth="1"/>
    <col min="4102" max="4102" width="9.140625" customWidth="1"/>
    <col min="4103" max="4103" width="2.7109375" customWidth="1"/>
    <col min="4104" max="4104" width="8.85546875" customWidth="1"/>
    <col min="4105" max="4105" width="1.7109375" customWidth="1"/>
    <col min="4106" max="4106" width="9.140625" customWidth="1"/>
    <col min="4107" max="4107" width="2.7109375" customWidth="1"/>
    <col min="4108" max="4108" width="8.85546875" customWidth="1"/>
    <col min="4109" max="4109" width="1.5703125" customWidth="1"/>
    <col min="4110" max="4110" width="9.140625" customWidth="1"/>
    <col min="4111" max="4111" width="2.7109375" customWidth="1"/>
    <col min="4112" max="4112" width="10.7109375" customWidth="1"/>
    <col min="4113" max="4113" width="2" customWidth="1"/>
    <col min="4114" max="4114" width="10.28515625" customWidth="1"/>
    <col min="4115" max="4115" width="3" customWidth="1"/>
    <col min="4116" max="4116" width="10.140625" customWidth="1"/>
    <col min="4117" max="4117" width="2" customWidth="1"/>
    <col min="4118" max="4118" width="10" customWidth="1"/>
    <col min="4119" max="4119" width="3" customWidth="1"/>
    <col min="4120" max="4120" width="25.140625" customWidth="1"/>
    <col min="4353" max="4353" width="34" customWidth="1"/>
    <col min="4354" max="4354" width="10" customWidth="1"/>
    <col min="4355" max="4355" width="9.140625" customWidth="1"/>
    <col min="4356" max="4356" width="2.7109375" customWidth="1"/>
    <col min="4357" max="4357" width="8.85546875" customWidth="1"/>
    <col min="4358" max="4358" width="9.140625" customWidth="1"/>
    <col min="4359" max="4359" width="2.7109375" customWidth="1"/>
    <col min="4360" max="4360" width="8.85546875" customWidth="1"/>
    <col min="4361" max="4361" width="1.7109375" customWidth="1"/>
    <col min="4362" max="4362" width="9.140625" customWidth="1"/>
    <col min="4363" max="4363" width="2.7109375" customWidth="1"/>
    <col min="4364" max="4364" width="8.85546875" customWidth="1"/>
    <col min="4365" max="4365" width="1.5703125" customWidth="1"/>
    <col min="4366" max="4366" width="9.140625" customWidth="1"/>
    <col min="4367" max="4367" width="2.7109375" customWidth="1"/>
    <col min="4368" max="4368" width="10.7109375" customWidth="1"/>
    <col min="4369" max="4369" width="2" customWidth="1"/>
    <col min="4370" max="4370" width="10.28515625" customWidth="1"/>
    <col min="4371" max="4371" width="3" customWidth="1"/>
    <col min="4372" max="4372" width="10.140625" customWidth="1"/>
    <col min="4373" max="4373" width="2" customWidth="1"/>
    <col min="4374" max="4374" width="10" customWidth="1"/>
    <col min="4375" max="4375" width="3" customWidth="1"/>
    <col min="4376" max="4376" width="25.140625" customWidth="1"/>
    <col min="4609" max="4609" width="34" customWidth="1"/>
    <col min="4610" max="4610" width="10" customWidth="1"/>
    <col min="4611" max="4611" width="9.140625" customWidth="1"/>
    <col min="4612" max="4612" width="2.7109375" customWidth="1"/>
    <col min="4613" max="4613" width="8.85546875" customWidth="1"/>
    <col min="4614" max="4614" width="9.140625" customWidth="1"/>
    <col min="4615" max="4615" width="2.7109375" customWidth="1"/>
    <col min="4616" max="4616" width="8.85546875" customWidth="1"/>
    <col min="4617" max="4617" width="1.7109375" customWidth="1"/>
    <col min="4618" max="4618" width="9.140625" customWidth="1"/>
    <col min="4619" max="4619" width="2.7109375" customWidth="1"/>
    <col min="4620" max="4620" width="8.85546875" customWidth="1"/>
    <col min="4621" max="4621" width="1.5703125" customWidth="1"/>
    <col min="4622" max="4622" width="9.140625" customWidth="1"/>
    <col min="4623" max="4623" width="2.7109375" customWidth="1"/>
    <col min="4624" max="4624" width="10.7109375" customWidth="1"/>
    <col min="4625" max="4625" width="2" customWidth="1"/>
    <col min="4626" max="4626" width="10.28515625" customWidth="1"/>
    <col min="4627" max="4627" width="3" customWidth="1"/>
    <col min="4628" max="4628" width="10.140625" customWidth="1"/>
    <col min="4629" max="4629" width="2" customWidth="1"/>
    <col min="4630" max="4630" width="10" customWidth="1"/>
    <col min="4631" max="4631" width="3" customWidth="1"/>
    <col min="4632" max="4632" width="25.140625" customWidth="1"/>
    <col min="4865" max="4865" width="34" customWidth="1"/>
    <col min="4866" max="4866" width="10" customWidth="1"/>
    <col min="4867" max="4867" width="9.140625" customWidth="1"/>
    <col min="4868" max="4868" width="2.7109375" customWidth="1"/>
    <col min="4869" max="4869" width="8.85546875" customWidth="1"/>
    <col min="4870" max="4870" width="9.140625" customWidth="1"/>
    <col min="4871" max="4871" width="2.7109375" customWidth="1"/>
    <col min="4872" max="4872" width="8.85546875" customWidth="1"/>
    <col min="4873" max="4873" width="1.7109375" customWidth="1"/>
    <col min="4874" max="4874" width="9.140625" customWidth="1"/>
    <col min="4875" max="4875" width="2.7109375" customWidth="1"/>
    <col min="4876" max="4876" width="8.85546875" customWidth="1"/>
    <col min="4877" max="4877" width="1.5703125" customWidth="1"/>
    <col min="4878" max="4878" width="9.140625" customWidth="1"/>
    <col min="4879" max="4879" width="2.7109375" customWidth="1"/>
    <col min="4880" max="4880" width="10.7109375" customWidth="1"/>
    <col min="4881" max="4881" width="2" customWidth="1"/>
    <col min="4882" max="4882" width="10.28515625" customWidth="1"/>
    <col min="4883" max="4883" width="3" customWidth="1"/>
    <col min="4884" max="4884" width="10.140625" customWidth="1"/>
    <col min="4885" max="4885" width="2" customWidth="1"/>
    <col min="4886" max="4886" width="10" customWidth="1"/>
    <col min="4887" max="4887" width="3" customWidth="1"/>
    <col min="4888" max="4888" width="25.140625" customWidth="1"/>
    <col min="5121" max="5121" width="34" customWidth="1"/>
    <col min="5122" max="5122" width="10" customWidth="1"/>
    <col min="5123" max="5123" width="9.140625" customWidth="1"/>
    <col min="5124" max="5124" width="2.7109375" customWidth="1"/>
    <col min="5125" max="5125" width="8.85546875" customWidth="1"/>
    <col min="5126" max="5126" width="9.140625" customWidth="1"/>
    <col min="5127" max="5127" width="2.7109375" customWidth="1"/>
    <col min="5128" max="5128" width="8.85546875" customWidth="1"/>
    <col min="5129" max="5129" width="1.7109375" customWidth="1"/>
    <col min="5130" max="5130" width="9.140625" customWidth="1"/>
    <col min="5131" max="5131" width="2.7109375" customWidth="1"/>
    <col min="5132" max="5132" width="8.85546875" customWidth="1"/>
    <col min="5133" max="5133" width="1.5703125" customWidth="1"/>
    <col min="5134" max="5134" width="9.140625" customWidth="1"/>
    <col min="5135" max="5135" width="2.7109375" customWidth="1"/>
    <col min="5136" max="5136" width="10.7109375" customWidth="1"/>
    <col min="5137" max="5137" width="2" customWidth="1"/>
    <col min="5138" max="5138" width="10.28515625" customWidth="1"/>
    <col min="5139" max="5139" width="3" customWidth="1"/>
    <col min="5140" max="5140" width="10.140625" customWidth="1"/>
    <col min="5141" max="5141" width="2" customWidth="1"/>
    <col min="5142" max="5142" width="10" customWidth="1"/>
    <col min="5143" max="5143" width="3" customWidth="1"/>
    <col min="5144" max="5144" width="25.140625" customWidth="1"/>
    <col min="5377" max="5377" width="34" customWidth="1"/>
    <col min="5378" max="5378" width="10" customWidth="1"/>
    <col min="5379" max="5379" width="9.140625" customWidth="1"/>
    <col min="5380" max="5380" width="2.7109375" customWidth="1"/>
    <col min="5381" max="5381" width="8.85546875" customWidth="1"/>
    <col min="5382" max="5382" width="9.140625" customWidth="1"/>
    <col min="5383" max="5383" width="2.7109375" customWidth="1"/>
    <col min="5384" max="5384" width="8.85546875" customWidth="1"/>
    <col min="5385" max="5385" width="1.7109375" customWidth="1"/>
    <col min="5386" max="5386" width="9.140625" customWidth="1"/>
    <col min="5387" max="5387" width="2.7109375" customWidth="1"/>
    <col min="5388" max="5388" width="8.85546875" customWidth="1"/>
    <col min="5389" max="5389" width="1.5703125" customWidth="1"/>
    <col min="5390" max="5390" width="9.140625" customWidth="1"/>
    <col min="5391" max="5391" width="2.7109375" customWidth="1"/>
    <col min="5392" max="5392" width="10.7109375" customWidth="1"/>
    <col min="5393" max="5393" width="2" customWidth="1"/>
    <col min="5394" max="5394" width="10.28515625" customWidth="1"/>
    <col min="5395" max="5395" width="3" customWidth="1"/>
    <col min="5396" max="5396" width="10.140625" customWidth="1"/>
    <col min="5397" max="5397" width="2" customWidth="1"/>
    <col min="5398" max="5398" width="10" customWidth="1"/>
    <col min="5399" max="5399" width="3" customWidth="1"/>
    <col min="5400" max="5400" width="25.140625" customWidth="1"/>
    <col min="5633" max="5633" width="34" customWidth="1"/>
    <col min="5634" max="5634" width="10" customWidth="1"/>
    <col min="5635" max="5635" width="9.140625" customWidth="1"/>
    <col min="5636" max="5636" width="2.7109375" customWidth="1"/>
    <col min="5637" max="5637" width="8.85546875" customWidth="1"/>
    <col min="5638" max="5638" width="9.140625" customWidth="1"/>
    <col min="5639" max="5639" width="2.7109375" customWidth="1"/>
    <col min="5640" max="5640" width="8.85546875" customWidth="1"/>
    <col min="5641" max="5641" width="1.7109375" customWidth="1"/>
    <col min="5642" max="5642" width="9.140625" customWidth="1"/>
    <col min="5643" max="5643" width="2.7109375" customWidth="1"/>
    <col min="5644" max="5644" width="8.85546875" customWidth="1"/>
    <col min="5645" max="5645" width="1.5703125" customWidth="1"/>
    <col min="5646" max="5646" width="9.140625" customWidth="1"/>
    <col min="5647" max="5647" width="2.7109375" customWidth="1"/>
    <col min="5648" max="5648" width="10.7109375" customWidth="1"/>
    <col min="5649" max="5649" width="2" customWidth="1"/>
    <col min="5650" max="5650" width="10.28515625" customWidth="1"/>
    <col min="5651" max="5651" width="3" customWidth="1"/>
    <col min="5652" max="5652" width="10.140625" customWidth="1"/>
    <col min="5653" max="5653" width="2" customWidth="1"/>
    <col min="5654" max="5654" width="10" customWidth="1"/>
    <col min="5655" max="5655" width="3" customWidth="1"/>
    <col min="5656" max="5656" width="25.140625" customWidth="1"/>
    <col min="5889" max="5889" width="34" customWidth="1"/>
    <col min="5890" max="5890" width="10" customWidth="1"/>
    <col min="5891" max="5891" width="9.140625" customWidth="1"/>
    <col min="5892" max="5892" width="2.7109375" customWidth="1"/>
    <col min="5893" max="5893" width="8.85546875" customWidth="1"/>
    <col min="5894" max="5894" width="9.140625" customWidth="1"/>
    <col min="5895" max="5895" width="2.7109375" customWidth="1"/>
    <col min="5896" max="5896" width="8.85546875" customWidth="1"/>
    <col min="5897" max="5897" width="1.7109375" customWidth="1"/>
    <col min="5898" max="5898" width="9.140625" customWidth="1"/>
    <col min="5899" max="5899" width="2.7109375" customWidth="1"/>
    <col min="5900" max="5900" width="8.85546875" customWidth="1"/>
    <col min="5901" max="5901" width="1.5703125" customWidth="1"/>
    <col min="5902" max="5902" width="9.140625" customWidth="1"/>
    <col min="5903" max="5903" width="2.7109375" customWidth="1"/>
    <col min="5904" max="5904" width="10.7109375" customWidth="1"/>
    <col min="5905" max="5905" width="2" customWidth="1"/>
    <col min="5906" max="5906" width="10.28515625" customWidth="1"/>
    <col min="5907" max="5907" width="3" customWidth="1"/>
    <col min="5908" max="5908" width="10.140625" customWidth="1"/>
    <col min="5909" max="5909" width="2" customWidth="1"/>
    <col min="5910" max="5910" width="10" customWidth="1"/>
    <col min="5911" max="5911" width="3" customWidth="1"/>
    <col min="5912" max="5912" width="25.140625" customWidth="1"/>
    <col min="6145" max="6145" width="34" customWidth="1"/>
    <col min="6146" max="6146" width="10" customWidth="1"/>
    <col min="6147" max="6147" width="9.140625" customWidth="1"/>
    <col min="6148" max="6148" width="2.7109375" customWidth="1"/>
    <col min="6149" max="6149" width="8.85546875" customWidth="1"/>
    <col min="6150" max="6150" width="9.140625" customWidth="1"/>
    <col min="6151" max="6151" width="2.7109375" customWidth="1"/>
    <col min="6152" max="6152" width="8.85546875" customWidth="1"/>
    <col min="6153" max="6153" width="1.7109375" customWidth="1"/>
    <col min="6154" max="6154" width="9.140625" customWidth="1"/>
    <col min="6155" max="6155" width="2.7109375" customWidth="1"/>
    <col min="6156" max="6156" width="8.85546875" customWidth="1"/>
    <col min="6157" max="6157" width="1.5703125" customWidth="1"/>
    <col min="6158" max="6158" width="9.140625" customWidth="1"/>
    <col min="6159" max="6159" width="2.7109375" customWidth="1"/>
    <col min="6160" max="6160" width="10.7109375" customWidth="1"/>
    <col min="6161" max="6161" width="2" customWidth="1"/>
    <col min="6162" max="6162" width="10.28515625" customWidth="1"/>
    <col min="6163" max="6163" width="3" customWidth="1"/>
    <col min="6164" max="6164" width="10.140625" customWidth="1"/>
    <col min="6165" max="6165" width="2" customWidth="1"/>
    <col min="6166" max="6166" width="10" customWidth="1"/>
    <col min="6167" max="6167" width="3" customWidth="1"/>
    <col min="6168" max="6168" width="25.140625" customWidth="1"/>
    <col min="6401" max="6401" width="34" customWidth="1"/>
    <col min="6402" max="6402" width="10" customWidth="1"/>
    <col min="6403" max="6403" width="9.140625" customWidth="1"/>
    <col min="6404" max="6404" width="2.7109375" customWidth="1"/>
    <col min="6405" max="6405" width="8.85546875" customWidth="1"/>
    <col min="6406" max="6406" width="9.140625" customWidth="1"/>
    <col min="6407" max="6407" width="2.7109375" customWidth="1"/>
    <col min="6408" max="6408" width="8.85546875" customWidth="1"/>
    <col min="6409" max="6409" width="1.7109375" customWidth="1"/>
    <col min="6410" max="6410" width="9.140625" customWidth="1"/>
    <col min="6411" max="6411" width="2.7109375" customWidth="1"/>
    <col min="6412" max="6412" width="8.85546875" customWidth="1"/>
    <col min="6413" max="6413" width="1.5703125" customWidth="1"/>
    <col min="6414" max="6414" width="9.140625" customWidth="1"/>
    <col min="6415" max="6415" width="2.7109375" customWidth="1"/>
    <col min="6416" max="6416" width="10.7109375" customWidth="1"/>
    <col min="6417" max="6417" width="2" customWidth="1"/>
    <col min="6418" max="6418" width="10.28515625" customWidth="1"/>
    <col min="6419" max="6419" width="3" customWidth="1"/>
    <col min="6420" max="6420" width="10.140625" customWidth="1"/>
    <col min="6421" max="6421" width="2" customWidth="1"/>
    <col min="6422" max="6422" width="10" customWidth="1"/>
    <col min="6423" max="6423" width="3" customWidth="1"/>
    <col min="6424" max="6424" width="25.140625" customWidth="1"/>
    <col min="6657" max="6657" width="34" customWidth="1"/>
    <col min="6658" max="6658" width="10" customWidth="1"/>
    <col min="6659" max="6659" width="9.140625" customWidth="1"/>
    <col min="6660" max="6660" width="2.7109375" customWidth="1"/>
    <col min="6661" max="6661" width="8.85546875" customWidth="1"/>
    <col min="6662" max="6662" width="9.140625" customWidth="1"/>
    <col min="6663" max="6663" width="2.7109375" customWidth="1"/>
    <col min="6664" max="6664" width="8.85546875" customWidth="1"/>
    <col min="6665" max="6665" width="1.7109375" customWidth="1"/>
    <col min="6666" max="6666" width="9.140625" customWidth="1"/>
    <col min="6667" max="6667" width="2.7109375" customWidth="1"/>
    <col min="6668" max="6668" width="8.85546875" customWidth="1"/>
    <col min="6669" max="6669" width="1.5703125" customWidth="1"/>
    <col min="6670" max="6670" width="9.140625" customWidth="1"/>
    <col min="6671" max="6671" width="2.7109375" customWidth="1"/>
    <col min="6672" max="6672" width="10.7109375" customWidth="1"/>
    <col min="6673" max="6673" width="2" customWidth="1"/>
    <col min="6674" max="6674" width="10.28515625" customWidth="1"/>
    <col min="6675" max="6675" width="3" customWidth="1"/>
    <col min="6676" max="6676" width="10.140625" customWidth="1"/>
    <col min="6677" max="6677" width="2" customWidth="1"/>
    <col min="6678" max="6678" width="10" customWidth="1"/>
    <col min="6679" max="6679" width="3" customWidth="1"/>
    <col min="6680" max="6680" width="25.140625" customWidth="1"/>
    <col min="6913" max="6913" width="34" customWidth="1"/>
    <col min="6914" max="6914" width="10" customWidth="1"/>
    <col min="6915" max="6915" width="9.140625" customWidth="1"/>
    <col min="6916" max="6916" width="2.7109375" customWidth="1"/>
    <col min="6917" max="6917" width="8.85546875" customWidth="1"/>
    <col min="6918" max="6918" width="9.140625" customWidth="1"/>
    <col min="6919" max="6919" width="2.7109375" customWidth="1"/>
    <col min="6920" max="6920" width="8.85546875" customWidth="1"/>
    <col min="6921" max="6921" width="1.7109375" customWidth="1"/>
    <col min="6922" max="6922" width="9.140625" customWidth="1"/>
    <col min="6923" max="6923" width="2.7109375" customWidth="1"/>
    <col min="6924" max="6924" width="8.85546875" customWidth="1"/>
    <col min="6925" max="6925" width="1.5703125" customWidth="1"/>
    <col min="6926" max="6926" width="9.140625" customWidth="1"/>
    <col min="6927" max="6927" width="2.7109375" customWidth="1"/>
    <col min="6928" max="6928" width="10.7109375" customWidth="1"/>
    <col min="6929" max="6929" width="2" customWidth="1"/>
    <col min="6930" max="6930" width="10.28515625" customWidth="1"/>
    <col min="6931" max="6931" width="3" customWidth="1"/>
    <col min="6932" max="6932" width="10.140625" customWidth="1"/>
    <col min="6933" max="6933" width="2" customWidth="1"/>
    <col min="6934" max="6934" width="10" customWidth="1"/>
    <col min="6935" max="6935" width="3" customWidth="1"/>
    <col min="6936" max="6936" width="25.140625" customWidth="1"/>
    <col min="7169" max="7169" width="34" customWidth="1"/>
    <col min="7170" max="7170" width="10" customWidth="1"/>
    <col min="7171" max="7171" width="9.140625" customWidth="1"/>
    <col min="7172" max="7172" width="2.7109375" customWidth="1"/>
    <col min="7173" max="7173" width="8.85546875" customWidth="1"/>
    <col min="7174" max="7174" width="9.140625" customWidth="1"/>
    <col min="7175" max="7175" width="2.7109375" customWidth="1"/>
    <col min="7176" max="7176" width="8.85546875" customWidth="1"/>
    <col min="7177" max="7177" width="1.7109375" customWidth="1"/>
    <col min="7178" max="7178" width="9.140625" customWidth="1"/>
    <col min="7179" max="7179" width="2.7109375" customWidth="1"/>
    <col min="7180" max="7180" width="8.85546875" customWidth="1"/>
    <col min="7181" max="7181" width="1.5703125" customWidth="1"/>
    <col min="7182" max="7182" width="9.140625" customWidth="1"/>
    <col min="7183" max="7183" width="2.7109375" customWidth="1"/>
    <col min="7184" max="7184" width="10.7109375" customWidth="1"/>
    <col min="7185" max="7185" width="2" customWidth="1"/>
    <col min="7186" max="7186" width="10.28515625" customWidth="1"/>
    <col min="7187" max="7187" width="3" customWidth="1"/>
    <col min="7188" max="7188" width="10.140625" customWidth="1"/>
    <col min="7189" max="7189" width="2" customWidth="1"/>
    <col min="7190" max="7190" width="10" customWidth="1"/>
    <col min="7191" max="7191" width="3" customWidth="1"/>
    <col min="7192" max="7192" width="25.140625" customWidth="1"/>
    <col min="7425" max="7425" width="34" customWidth="1"/>
    <col min="7426" max="7426" width="10" customWidth="1"/>
    <col min="7427" max="7427" width="9.140625" customWidth="1"/>
    <col min="7428" max="7428" width="2.7109375" customWidth="1"/>
    <col min="7429" max="7429" width="8.85546875" customWidth="1"/>
    <col min="7430" max="7430" width="9.140625" customWidth="1"/>
    <col min="7431" max="7431" width="2.7109375" customWidth="1"/>
    <col min="7432" max="7432" width="8.85546875" customWidth="1"/>
    <col min="7433" max="7433" width="1.7109375" customWidth="1"/>
    <col min="7434" max="7434" width="9.140625" customWidth="1"/>
    <col min="7435" max="7435" width="2.7109375" customWidth="1"/>
    <col min="7436" max="7436" width="8.85546875" customWidth="1"/>
    <col min="7437" max="7437" width="1.5703125" customWidth="1"/>
    <col min="7438" max="7438" width="9.140625" customWidth="1"/>
    <col min="7439" max="7439" width="2.7109375" customWidth="1"/>
    <col min="7440" max="7440" width="10.7109375" customWidth="1"/>
    <col min="7441" max="7441" width="2" customWidth="1"/>
    <col min="7442" max="7442" width="10.28515625" customWidth="1"/>
    <col min="7443" max="7443" width="3" customWidth="1"/>
    <col min="7444" max="7444" width="10.140625" customWidth="1"/>
    <col min="7445" max="7445" width="2" customWidth="1"/>
    <col min="7446" max="7446" width="10" customWidth="1"/>
    <col min="7447" max="7447" width="3" customWidth="1"/>
    <col min="7448" max="7448" width="25.140625" customWidth="1"/>
    <col min="7681" max="7681" width="34" customWidth="1"/>
    <col min="7682" max="7682" width="10" customWidth="1"/>
    <col min="7683" max="7683" width="9.140625" customWidth="1"/>
    <col min="7684" max="7684" width="2.7109375" customWidth="1"/>
    <col min="7685" max="7685" width="8.85546875" customWidth="1"/>
    <col min="7686" max="7686" width="9.140625" customWidth="1"/>
    <col min="7687" max="7687" width="2.7109375" customWidth="1"/>
    <col min="7688" max="7688" width="8.85546875" customWidth="1"/>
    <col min="7689" max="7689" width="1.7109375" customWidth="1"/>
    <col min="7690" max="7690" width="9.140625" customWidth="1"/>
    <col min="7691" max="7691" width="2.7109375" customWidth="1"/>
    <col min="7692" max="7692" width="8.85546875" customWidth="1"/>
    <col min="7693" max="7693" width="1.5703125" customWidth="1"/>
    <col min="7694" max="7694" width="9.140625" customWidth="1"/>
    <col min="7695" max="7695" width="2.7109375" customWidth="1"/>
    <col min="7696" max="7696" width="10.7109375" customWidth="1"/>
    <col min="7697" max="7697" width="2" customWidth="1"/>
    <col min="7698" max="7698" width="10.28515625" customWidth="1"/>
    <col min="7699" max="7699" width="3" customWidth="1"/>
    <col min="7700" max="7700" width="10.140625" customWidth="1"/>
    <col min="7701" max="7701" width="2" customWidth="1"/>
    <col min="7702" max="7702" width="10" customWidth="1"/>
    <col min="7703" max="7703" width="3" customWidth="1"/>
    <col min="7704" max="7704" width="25.140625" customWidth="1"/>
    <col min="7937" max="7937" width="34" customWidth="1"/>
    <col min="7938" max="7938" width="10" customWidth="1"/>
    <col min="7939" max="7939" width="9.140625" customWidth="1"/>
    <col min="7940" max="7940" width="2.7109375" customWidth="1"/>
    <col min="7941" max="7941" width="8.85546875" customWidth="1"/>
    <col min="7942" max="7942" width="9.140625" customWidth="1"/>
    <col min="7943" max="7943" width="2.7109375" customWidth="1"/>
    <col min="7944" max="7944" width="8.85546875" customWidth="1"/>
    <col min="7945" max="7945" width="1.7109375" customWidth="1"/>
    <col min="7946" max="7946" width="9.140625" customWidth="1"/>
    <col min="7947" max="7947" width="2.7109375" customWidth="1"/>
    <col min="7948" max="7948" width="8.85546875" customWidth="1"/>
    <col min="7949" max="7949" width="1.5703125" customWidth="1"/>
    <col min="7950" max="7950" width="9.140625" customWidth="1"/>
    <col min="7951" max="7951" width="2.7109375" customWidth="1"/>
    <col min="7952" max="7952" width="10.7109375" customWidth="1"/>
    <col min="7953" max="7953" width="2" customWidth="1"/>
    <col min="7954" max="7954" width="10.28515625" customWidth="1"/>
    <col min="7955" max="7955" width="3" customWidth="1"/>
    <col min="7956" max="7956" width="10.140625" customWidth="1"/>
    <col min="7957" max="7957" width="2" customWidth="1"/>
    <col min="7958" max="7958" width="10" customWidth="1"/>
    <col min="7959" max="7959" width="3" customWidth="1"/>
    <col min="7960" max="7960" width="25.140625" customWidth="1"/>
    <col min="8193" max="8193" width="34" customWidth="1"/>
    <col min="8194" max="8194" width="10" customWidth="1"/>
    <col min="8195" max="8195" width="9.140625" customWidth="1"/>
    <col min="8196" max="8196" width="2.7109375" customWidth="1"/>
    <col min="8197" max="8197" width="8.85546875" customWidth="1"/>
    <col min="8198" max="8198" width="9.140625" customWidth="1"/>
    <col min="8199" max="8199" width="2.7109375" customWidth="1"/>
    <col min="8200" max="8200" width="8.85546875" customWidth="1"/>
    <col min="8201" max="8201" width="1.7109375" customWidth="1"/>
    <col min="8202" max="8202" width="9.140625" customWidth="1"/>
    <col min="8203" max="8203" width="2.7109375" customWidth="1"/>
    <col min="8204" max="8204" width="8.85546875" customWidth="1"/>
    <col min="8205" max="8205" width="1.5703125" customWidth="1"/>
    <col min="8206" max="8206" width="9.140625" customWidth="1"/>
    <col min="8207" max="8207" width="2.7109375" customWidth="1"/>
    <col min="8208" max="8208" width="10.7109375" customWidth="1"/>
    <col min="8209" max="8209" width="2" customWidth="1"/>
    <col min="8210" max="8210" width="10.28515625" customWidth="1"/>
    <col min="8211" max="8211" width="3" customWidth="1"/>
    <col min="8212" max="8212" width="10.140625" customWidth="1"/>
    <col min="8213" max="8213" width="2" customWidth="1"/>
    <col min="8214" max="8214" width="10" customWidth="1"/>
    <col min="8215" max="8215" width="3" customWidth="1"/>
    <col min="8216" max="8216" width="25.140625" customWidth="1"/>
    <col min="8449" max="8449" width="34" customWidth="1"/>
    <col min="8450" max="8450" width="10" customWidth="1"/>
    <col min="8451" max="8451" width="9.140625" customWidth="1"/>
    <col min="8452" max="8452" width="2.7109375" customWidth="1"/>
    <col min="8453" max="8453" width="8.85546875" customWidth="1"/>
    <col min="8454" max="8454" width="9.140625" customWidth="1"/>
    <col min="8455" max="8455" width="2.7109375" customWidth="1"/>
    <col min="8456" max="8456" width="8.85546875" customWidth="1"/>
    <col min="8457" max="8457" width="1.7109375" customWidth="1"/>
    <col min="8458" max="8458" width="9.140625" customWidth="1"/>
    <col min="8459" max="8459" width="2.7109375" customWidth="1"/>
    <col min="8460" max="8460" width="8.85546875" customWidth="1"/>
    <col min="8461" max="8461" width="1.5703125" customWidth="1"/>
    <col min="8462" max="8462" width="9.140625" customWidth="1"/>
    <col min="8463" max="8463" width="2.7109375" customWidth="1"/>
    <col min="8464" max="8464" width="10.7109375" customWidth="1"/>
    <col min="8465" max="8465" width="2" customWidth="1"/>
    <col min="8466" max="8466" width="10.28515625" customWidth="1"/>
    <col min="8467" max="8467" width="3" customWidth="1"/>
    <col min="8468" max="8468" width="10.140625" customWidth="1"/>
    <col min="8469" max="8469" width="2" customWidth="1"/>
    <col min="8470" max="8470" width="10" customWidth="1"/>
    <col min="8471" max="8471" width="3" customWidth="1"/>
    <col min="8472" max="8472" width="25.140625" customWidth="1"/>
    <col min="8705" max="8705" width="34" customWidth="1"/>
    <col min="8706" max="8706" width="10" customWidth="1"/>
    <col min="8707" max="8707" width="9.140625" customWidth="1"/>
    <col min="8708" max="8708" width="2.7109375" customWidth="1"/>
    <col min="8709" max="8709" width="8.85546875" customWidth="1"/>
    <col min="8710" max="8710" width="9.140625" customWidth="1"/>
    <col min="8711" max="8711" width="2.7109375" customWidth="1"/>
    <col min="8712" max="8712" width="8.85546875" customWidth="1"/>
    <col min="8713" max="8713" width="1.7109375" customWidth="1"/>
    <col min="8714" max="8714" width="9.140625" customWidth="1"/>
    <col min="8715" max="8715" width="2.7109375" customWidth="1"/>
    <col min="8716" max="8716" width="8.85546875" customWidth="1"/>
    <col min="8717" max="8717" width="1.5703125" customWidth="1"/>
    <col min="8718" max="8718" width="9.140625" customWidth="1"/>
    <col min="8719" max="8719" width="2.7109375" customWidth="1"/>
    <col min="8720" max="8720" width="10.7109375" customWidth="1"/>
    <col min="8721" max="8721" width="2" customWidth="1"/>
    <col min="8722" max="8722" width="10.28515625" customWidth="1"/>
    <col min="8723" max="8723" width="3" customWidth="1"/>
    <col min="8724" max="8724" width="10.140625" customWidth="1"/>
    <col min="8725" max="8725" width="2" customWidth="1"/>
    <col min="8726" max="8726" width="10" customWidth="1"/>
    <col min="8727" max="8727" width="3" customWidth="1"/>
    <col min="8728" max="8728" width="25.140625" customWidth="1"/>
    <col min="8961" max="8961" width="34" customWidth="1"/>
    <col min="8962" max="8962" width="10" customWidth="1"/>
    <col min="8963" max="8963" width="9.140625" customWidth="1"/>
    <col min="8964" max="8964" width="2.7109375" customWidth="1"/>
    <col min="8965" max="8965" width="8.85546875" customWidth="1"/>
    <col min="8966" max="8966" width="9.140625" customWidth="1"/>
    <col min="8967" max="8967" width="2.7109375" customWidth="1"/>
    <col min="8968" max="8968" width="8.85546875" customWidth="1"/>
    <col min="8969" max="8969" width="1.7109375" customWidth="1"/>
    <col min="8970" max="8970" width="9.140625" customWidth="1"/>
    <col min="8971" max="8971" width="2.7109375" customWidth="1"/>
    <col min="8972" max="8972" width="8.85546875" customWidth="1"/>
    <col min="8973" max="8973" width="1.5703125" customWidth="1"/>
    <col min="8974" max="8974" width="9.140625" customWidth="1"/>
    <col min="8975" max="8975" width="2.7109375" customWidth="1"/>
    <col min="8976" max="8976" width="10.7109375" customWidth="1"/>
    <col min="8977" max="8977" width="2" customWidth="1"/>
    <col min="8978" max="8978" width="10.28515625" customWidth="1"/>
    <col min="8979" max="8979" width="3" customWidth="1"/>
    <col min="8980" max="8980" width="10.140625" customWidth="1"/>
    <col min="8981" max="8981" width="2" customWidth="1"/>
    <col min="8982" max="8982" width="10" customWidth="1"/>
    <col min="8983" max="8983" width="3" customWidth="1"/>
    <col min="8984" max="8984" width="25.140625" customWidth="1"/>
    <col min="9217" max="9217" width="34" customWidth="1"/>
    <col min="9218" max="9218" width="10" customWidth="1"/>
    <col min="9219" max="9219" width="9.140625" customWidth="1"/>
    <col min="9220" max="9220" width="2.7109375" customWidth="1"/>
    <col min="9221" max="9221" width="8.85546875" customWidth="1"/>
    <col min="9222" max="9222" width="9.140625" customWidth="1"/>
    <col min="9223" max="9223" width="2.7109375" customWidth="1"/>
    <col min="9224" max="9224" width="8.85546875" customWidth="1"/>
    <col min="9225" max="9225" width="1.7109375" customWidth="1"/>
    <col min="9226" max="9226" width="9.140625" customWidth="1"/>
    <col min="9227" max="9227" width="2.7109375" customWidth="1"/>
    <col min="9228" max="9228" width="8.85546875" customWidth="1"/>
    <col min="9229" max="9229" width="1.5703125" customWidth="1"/>
    <col min="9230" max="9230" width="9.140625" customWidth="1"/>
    <col min="9231" max="9231" width="2.7109375" customWidth="1"/>
    <col min="9232" max="9232" width="10.7109375" customWidth="1"/>
    <col min="9233" max="9233" width="2" customWidth="1"/>
    <col min="9234" max="9234" width="10.28515625" customWidth="1"/>
    <col min="9235" max="9235" width="3" customWidth="1"/>
    <col min="9236" max="9236" width="10.140625" customWidth="1"/>
    <col min="9237" max="9237" width="2" customWidth="1"/>
    <col min="9238" max="9238" width="10" customWidth="1"/>
    <col min="9239" max="9239" width="3" customWidth="1"/>
    <col min="9240" max="9240" width="25.140625" customWidth="1"/>
    <col min="9473" max="9473" width="34" customWidth="1"/>
    <col min="9474" max="9474" width="10" customWidth="1"/>
    <col min="9475" max="9475" width="9.140625" customWidth="1"/>
    <col min="9476" max="9476" width="2.7109375" customWidth="1"/>
    <col min="9477" max="9477" width="8.85546875" customWidth="1"/>
    <col min="9478" max="9478" width="9.140625" customWidth="1"/>
    <col min="9479" max="9479" width="2.7109375" customWidth="1"/>
    <col min="9480" max="9480" width="8.85546875" customWidth="1"/>
    <col min="9481" max="9481" width="1.7109375" customWidth="1"/>
    <col min="9482" max="9482" width="9.140625" customWidth="1"/>
    <col min="9483" max="9483" width="2.7109375" customWidth="1"/>
    <col min="9484" max="9484" width="8.85546875" customWidth="1"/>
    <col min="9485" max="9485" width="1.5703125" customWidth="1"/>
    <col min="9486" max="9486" width="9.140625" customWidth="1"/>
    <col min="9487" max="9487" width="2.7109375" customWidth="1"/>
    <col min="9488" max="9488" width="10.7109375" customWidth="1"/>
    <col min="9489" max="9489" width="2" customWidth="1"/>
    <col min="9490" max="9490" width="10.28515625" customWidth="1"/>
    <col min="9491" max="9491" width="3" customWidth="1"/>
    <col min="9492" max="9492" width="10.140625" customWidth="1"/>
    <col min="9493" max="9493" width="2" customWidth="1"/>
    <col min="9494" max="9494" width="10" customWidth="1"/>
    <col min="9495" max="9495" width="3" customWidth="1"/>
    <col min="9496" max="9496" width="25.140625" customWidth="1"/>
    <col min="9729" max="9729" width="34" customWidth="1"/>
    <col min="9730" max="9730" width="10" customWidth="1"/>
    <col min="9731" max="9731" width="9.140625" customWidth="1"/>
    <col min="9732" max="9732" width="2.7109375" customWidth="1"/>
    <col min="9733" max="9733" width="8.85546875" customWidth="1"/>
    <col min="9734" max="9734" width="9.140625" customWidth="1"/>
    <col min="9735" max="9735" width="2.7109375" customWidth="1"/>
    <col min="9736" max="9736" width="8.85546875" customWidth="1"/>
    <col min="9737" max="9737" width="1.7109375" customWidth="1"/>
    <col min="9738" max="9738" width="9.140625" customWidth="1"/>
    <col min="9739" max="9739" width="2.7109375" customWidth="1"/>
    <col min="9740" max="9740" width="8.85546875" customWidth="1"/>
    <col min="9741" max="9741" width="1.5703125" customWidth="1"/>
    <col min="9742" max="9742" width="9.140625" customWidth="1"/>
    <col min="9743" max="9743" width="2.7109375" customWidth="1"/>
    <col min="9744" max="9744" width="10.7109375" customWidth="1"/>
    <col min="9745" max="9745" width="2" customWidth="1"/>
    <col min="9746" max="9746" width="10.28515625" customWidth="1"/>
    <col min="9747" max="9747" width="3" customWidth="1"/>
    <col min="9748" max="9748" width="10.140625" customWidth="1"/>
    <col min="9749" max="9749" width="2" customWidth="1"/>
    <col min="9750" max="9750" width="10" customWidth="1"/>
    <col min="9751" max="9751" width="3" customWidth="1"/>
    <col min="9752" max="9752" width="25.140625" customWidth="1"/>
    <col min="9985" max="9985" width="34" customWidth="1"/>
    <col min="9986" max="9986" width="10" customWidth="1"/>
    <col min="9987" max="9987" width="9.140625" customWidth="1"/>
    <col min="9988" max="9988" width="2.7109375" customWidth="1"/>
    <col min="9989" max="9989" width="8.85546875" customWidth="1"/>
    <col min="9990" max="9990" width="9.140625" customWidth="1"/>
    <col min="9991" max="9991" width="2.7109375" customWidth="1"/>
    <col min="9992" max="9992" width="8.85546875" customWidth="1"/>
    <col min="9993" max="9993" width="1.7109375" customWidth="1"/>
    <col min="9994" max="9994" width="9.140625" customWidth="1"/>
    <col min="9995" max="9995" width="2.7109375" customWidth="1"/>
    <col min="9996" max="9996" width="8.85546875" customWidth="1"/>
    <col min="9997" max="9997" width="1.5703125" customWidth="1"/>
    <col min="9998" max="9998" width="9.140625" customWidth="1"/>
    <col min="9999" max="9999" width="2.7109375" customWidth="1"/>
    <col min="10000" max="10000" width="10.7109375" customWidth="1"/>
    <col min="10001" max="10001" width="2" customWidth="1"/>
    <col min="10002" max="10002" width="10.28515625" customWidth="1"/>
    <col min="10003" max="10003" width="3" customWidth="1"/>
    <col min="10004" max="10004" width="10.140625" customWidth="1"/>
    <col min="10005" max="10005" width="2" customWidth="1"/>
    <col min="10006" max="10006" width="10" customWidth="1"/>
    <col min="10007" max="10007" width="3" customWidth="1"/>
    <col min="10008" max="10008" width="25.140625" customWidth="1"/>
    <col min="10241" max="10241" width="34" customWidth="1"/>
    <col min="10242" max="10242" width="10" customWidth="1"/>
    <col min="10243" max="10243" width="9.140625" customWidth="1"/>
    <col min="10244" max="10244" width="2.7109375" customWidth="1"/>
    <col min="10245" max="10245" width="8.85546875" customWidth="1"/>
    <col min="10246" max="10246" width="9.140625" customWidth="1"/>
    <col min="10247" max="10247" width="2.7109375" customWidth="1"/>
    <col min="10248" max="10248" width="8.85546875" customWidth="1"/>
    <col min="10249" max="10249" width="1.7109375" customWidth="1"/>
    <col min="10250" max="10250" width="9.140625" customWidth="1"/>
    <col min="10251" max="10251" width="2.7109375" customWidth="1"/>
    <col min="10252" max="10252" width="8.85546875" customWidth="1"/>
    <col min="10253" max="10253" width="1.5703125" customWidth="1"/>
    <col min="10254" max="10254" width="9.140625" customWidth="1"/>
    <col min="10255" max="10255" width="2.7109375" customWidth="1"/>
    <col min="10256" max="10256" width="10.7109375" customWidth="1"/>
    <col min="10257" max="10257" width="2" customWidth="1"/>
    <col min="10258" max="10258" width="10.28515625" customWidth="1"/>
    <col min="10259" max="10259" width="3" customWidth="1"/>
    <col min="10260" max="10260" width="10.140625" customWidth="1"/>
    <col min="10261" max="10261" width="2" customWidth="1"/>
    <col min="10262" max="10262" width="10" customWidth="1"/>
    <col min="10263" max="10263" width="3" customWidth="1"/>
    <col min="10264" max="10264" width="25.140625" customWidth="1"/>
    <col min="10497" max="10497" width="34" customWidth="1"/>
    <col min="10498" max="10498" width="10" customWidth="1"/>
    <col min="10499" max="10499" width="9.140625" customWidth="1"/>
    <col min="10500" max="10500" width="2.7109375" customWidth="1"/>
    <col min="10501" max="10501" width="8.85546875" customWidth="1"/>
    <col min="10502" max="10502" width="9.140625" customWidth="1"/>
    <col min="10503" max="10503" width="2.7109375" customWidth="1"/>
    <col min="10504" max="10504" width="8.85546875" customWidth="1"/>
    <col min="10505" max="10505" width="1.7109375" customWidth="1"/>
    <col min="10506" max="10506" width="9.140625" customWidth="1"/>
    <col min="10507" max="10507" width="2.7109375" customWidth="1"/>
    <col min="10508" max="10508" width="8.85546875" customWidth="1"/>
    <col min="10509" max="10509" width="1.5703125" customWidth="1"/>
    <col min="10510" max="10510" width="9.140625" customWidth="1"/>
    <col min="10511" max="10511" width="2.7109375" customWidth="1"/>
    <col min="10512" max="10512" width="10.7109375" customWidth="1"/>
    <col min="10513" max="10513" width="2" customWidth="1"/>
    <col min="10514" max="10514" width="10.28515625" customWidth="1"/>
    <col min="10515" max="10515" width="3" customWidth="1"/>
    <col min="10516" max="10516" width="10.140625" customWidth="1"/>
    <col min="10517" max="10517" width="2" customWidth="1"/>
    <col min="10518" max="10518" width="10" customWidth="1"/>
    <col min="10519" max="10519" width="3" customWidth="1"/>
    <col min="10520" max="10520" width="25.140625" customWidth="1"/>
    <col min="10753" max="10753" width="34" customWidth="1"/>
    <col min="10754" max="10754" width="10" customWidth="1"/>
    <col min="10755" max="10755" width="9.140625" customWidth="1"/>
    <col min="10756" max="10756" width="2.7109375" customWidth="1"/>
    <col min="10757" max="10757" width="8.85546875" customWidth="1"/>
    <col min="10758" max="10758" width="9.140625" customWidth="1"/>
    <col min="10759" max="10759" width="2.7109375" customWidth="1"/>
    <col min="10760" max="10760" width="8.85546875" customWidth="1"/>
    <col min="10761" max="10761" width="1.7109375" customWidth="1"/>
    <col min="10762" max="10762" width="9.140625" customWidth="1"/>
    <col min="10763" max="10763" width="2.7109375" customWidth="1"/>
    <col min="10764" max="10764" width="8.85546875" customWidth="1"/>
    <col min="10765" max="10765" width="1.5703125" customWidth="1"/>
    <col min="10766" max="10766" width="9.140625" customWidth="1"/>
    <col min="10767" max="10767" width="2.7109375" customWidth="1"/>
    <col min="10768" max="10768" width="10.7109375" customWidth="1"/>
    <col min="10769" max="10769" width="2" customWidth="1"/>
    <col min="10770" max="10770" width="10.28515625" customWidth="1"/>
    <col min="10771" max="10771" width="3" customWidth="1"/>
    <col min="10772" max="10772" width="10.140625" customWidth="1"/>
    <col min="10773" max="10773" width="2" customWidth="1"/>
    <col min="10774" max="10774" width="10" customWidth="1"/>
    <col min="10775" max="10775" width="3" customWidth="1"/>
    <col min="10776" max="10776" width="25.140625" customWidth="1"/>
    <col min="11009" max="11009" width="34" customWidth="1"/>
    <col min="11010" max="11010" width="10" customWidth="1"/>
    <col min="11011" max="11011" width="9.140625" customWidth="1"/>
    <col min="11012" max="11012" width="2.7109375" customWidth="1"/>
    <col min="11013" max="11013" width="8.85546875" customWidth="1"/>
    <col min="11014" max="11014" width="9.140625" customWidth="1"/>
    <col min="11015" max="11015" width="2.7109375" customWidth="1"/>
    <col min="11016" max="11016" width="8.85546875" customWidth="1"/>
    <col min="11017" max="11017" width="1.7109375" customWidth="1"/>
    <col min="11018" max="11018" width="9.140625" customWidth="1"/>
    <col min="11019" max="11019" width="2.7109375" customWidth="1"/>
    <col min="11020" max="11020" width="8.85546875" customWidth="1"/>
    <col min="11021" max="11021" width="1.5703125" customWidth="1"/>
    <col min="11022" max="11022" width="9.140625" customWidth="1"/>
    <col min="11023" max="11023" width="2.7109375" customWidth="1"/>
    <col min="11024" max="11024" width="10.7109375" customWidth="1"/>
    <col min="11025" max="11025" width="2" customWidth="1"/>
    <col min="11026" max="11026" width="10.28515625" customWidth="1"/>
    <col min="11027" max="11027" width="3" customWidth="1"/>
    <col min="11028" max="11028" width="10.140625" customWidth="1"/>
    <col min="11029" max="11029" width="2" customWidth="1"/>
    <col min="11030" max="11030" width="10" customWidth="1"/>
    <col min="11031" max="11031" width="3" customWidth="1"/>
    <col min="11032" max="11032" width="25.140625" customWidth="1"/>
    <col min="11265" max="11265" width="34" customWidth="1"/>
    <col min="11266" max="11266" width="10" customWidth="1"/>
    <col min="11267" max="11267" width="9.140625" customWidth="1"/>
    <col min="11268" max="11268" width="2.7109375" customWidth="1"/>
    <col min="11269" max="11269" width="8.85546875" customWidth="1"/>
    <col min="11270" max="11270" width="9.140625" customWidth="1"/>
    <col min="11271" max="11271" width="2.7109375" customWidth="1"/>
    <col min="11272" max="11272" width="8.85546875" customWidth="1"/>
    <col min="11273" max="11273" width="1.7109375" customWidth="1"/>
    <col min="11274" max="11274" width="9.140625" customWidth="1"/>
    <col min="11275" max="11275" width="2.7109375" customWidth="1"/>
    <col min="11276" max="11276" width="8.85546875" customWidth="1"/>
    <col min="11277" max="11277" width="1.5703125" customWidth="1"/>
    <col min="11278" max="11278" width="9.140625" customWidth="1"/>
    <col min="11279" max="11279" width="2.7109375" customWidth="1"/>
    <col min="11280" max="11280" width="10.7109375" customWidth="1"/>
    <col min="11281" max="11281" width="2" customWidth="1"/>
    <col min="11282" max="11282" width="10.28515625" customWidth="1"/>
    <col min="11283" max="11283" width="3" customWidth="1"/>
    <col min="11284" max="11284" width="10.140625" customWidth="1"/>
    <col min="11285" max="11285" width="2" customWidth="1"/>
    <col min="11286" max="11286" width="10" customWidth="1"/>
    <col min="11287" max="11287" width="3" customWidth="1"/>
    <col min="11288" max="11288" width="25.140625" customWidth="1"/>
    <col min="11521" max="11521" width="34" customWidth="1"/>
    <col min="11522" max="11522" width="10" customWidth="1"/>
    <col min="11523" max="11523" width="9.140625" customWidth="1"/>
    <col min="11524" max="11524" width="2.7109375" customWidth="1"/>
    <col min="11525" max="11525" width="8.85546875" customWidth="1"/>
    <col min="11526" max="11526" width="9.140625" customWidth="1"/>
    <col min="11527" max="11527" width="2.7109375" customWidth="1"/>
    <col min="11528" max="11528" width="8.85546875" customWidth="1"/>
    <col min="11529" max="11529" width="1.7109375" customWidth="1"/>
    <col min="11530" max="11530" width="9.140625" customWidth="1"/>
    <col min="11531" max="11531" width="2.7109375" customWidth="1"/>
    <col min="11532" max="11532" width="8.85546875" customWidth="1"/>
    <col min="11533" max="11533" width="1.5703125" customWidth="1"/>
    <col min="11534" max="11534" width="9.140625" customWidth="1"/>
    <col min="11535" max="11535" width="2.7109375" customWidth="1"/>
    <col min="11536" max="11536" width="10.7109375" customWidth="1"/>
    <col min="11537" max="11537" width="2" customWidth="1"/>
    <col min="11538" max="11538" width="10.28515625" customWidth="1"/>
    <col min="11539" max="11539" width="3" customWidth="1"/>
    <col min="11540" max="11540" width="10.140625" customWidth="1"/>
    <col min="11541" max="11541" width="2" customWidth="1"/>
    <col min="11542" max="11542" width="10" customWidth="1"/>
    <col min="11543" max="11543" width="3" customWidth="1"/>
    <col min="11544" max="11544" width="25.140625" customWidth="1"/>
    <col min="11777" max="11777" width="34" customWidth="1"/>
    <col min="11778" max="11778" width="10" customWidth="1"/>
    <col min="11779" max="11779" width="9.140625" customWidth="1"/>
    <col min="11780" max="11780" width="2.7109375" customWidth="1"/>
    <col min="11781" max="11781" width="8.85546875" customWidth="1"/>
    <col min="11782" max="11782" width="9.140625" customWidth="1"/>
    <col min="11783" max="11783" width="2.7109375" customWidth="1"/>
    <col min="11784" max="11784" width="8.85546875" customWidth="1"/>
    <col min="11785" max="11785" width="1.7109375" customWidth="1"/>
    <col min="11786" max="11786" width="9.140625" customWidth="1"/>
    <col min="11787" max="11787" width="2.7109375" customWidth="1"/>
    <col min="11788" max="11788" width="8.85546875" customWidth="1"/>
    <col min="11789" max="11789" width="1.5703125" customWidth="1"/>
    <col min="11790" max="11790" width="9.140625" customWidth="1"/>
    <col min="11791" max="11791" width="2.7109375" customWidth="1"/>
    <col min="11792" max="11792" width="10.7109375" customWidth="1"/>
    <col min="11793" max="11793" width="2" customWidth="1"/>
    <col min="11794" max="11794" width="10.28515625" customWidth="1"/>
    <col min="11795" max="11795" width="3" customWidth="1"/>
    <col min="11796" max="11796" width="10.140625" customWidth="1"/>
    <col min="11797" max="11797" width="2" customWidth="1"/>
    <col min="11798" max="11798" width="10" customWidth="1"/>
    <col min="11799" max="11799" width="3" customWidth="1"/>
    <col min="11800" max="11800" width="25.140625" customWidth="1"/>
    <col min="12033" max="12033" width="34" customWidth="1"/>
    <col min="12034" max="12034" width="10" customWidth="1"/>
    <col min="12035" max="12035" width="9.140625" customWidth="1"/>
    <col min="12036" max="12036" width="2.7109375" customWidth="1"/>
    <col min="12037" max="12037" width="8.85546875" customWidth="1"/>
    <col min="12038" max="12038" width="9.140625" customWidth="1"/>
    <col min="12039" max="12039" width="2.7109375" customWidth="1"/>
    <col min="12040" max="12040" width="8.85546875" customWidth="1"/>
    <col min="12041" max="12041" width="1.7109375" customWidth="1"/>
    <col min="12042" max="12042" width="9.140625" customWidth="1"/>
    <col min="12043" max="12043" width="2.7109375" customWidth="1"/>
    <col min="12044" max="12044" width="8.85546875" customWidth="1"/>
    <col min="12045" max="12045" width="1.5703125" customWidth="1"/>
    <col min="12046" max="12046" width="9.140625" customWidth="1"/>
    <col min="12047" max="12047" width="2.7109375" customWidth="1"/>
    <col min="12048" max="12048" width="10.7109375" customWidth="1"/>
    <col min="12049" max="12049" width="2" customWidth="1"/>
    <col min="12050" max="12050" width="10.28515625" customWidth="1"/>
    <col min="12051" max="12051" width="3" customWidth="1"/>
    <col min="12052" max="12052" width="10.140625" customWidth="1"/>
    <col min="12053" max="12053" width="2" customWidth="1"/>
    <col min="12054" max="12054" width="10" customWidth="1"/>
    <col min="12055" max="12055" width="3" customWidth="1"/>
    <col min="12056" max="12056" width="25.140625" customWidth="1"/>
    <col min="12289" max="12289" width="34" customWidth="1"/>
    <col min="12290" max="12290" width="10" customWidth="1"/>
    <col min="12291" max="12291" width="9.140625" customWidth="1"/>
    <col min="12292" max="12292" width="2.7109375" customWidth="1"/>
    <col min="12293" max="12293" width="8.85546875" customWidth="1"/>
    <col min="12294" max="12294" width="9.140625" customWidth="1"/>
    <col min="12295" max="12295" width="2.7109375" customWidth="1"/>
    <col min="12296" max="12296" width="8.85546875" customWidth="1"/>
    <col min="12297" max="12297" width="1.7109375" customWidth="1"/>
    <col min="12298" max="12298" width="9.140625" customWidth="1"/>
    <col min="12299" max="12299" width="2.7109375" customWidth="1"/>
    <col min="12300" max="12300" width="8.85546875" customWidth="1"/>
    <col min="12301" max="12301" width="1.5703125" customWidth="1"/>
    <col min="12302" max="12302" width="9.140625" customWidth="1"/>
    <col min="12303" max="12303" width="2.7109375" customWidth="1"/>
    <col min="12304" max="12304" width="10.7109375" customWidth="1"/>
    <col min="12305" max="12305" width="2" customWidth="1"/>
    <col min="12306" max="12306" width="10.28515625" customWidth="1"/>
    <col min="12307" max="12307" width="3" customWidth="1"/>
    <col min="12308" max="12308" width="10.140625" customWidth="1"/>
    <col min="12309" max="12309" width="2" customWidth="1"/>
    <col min="12310" max="12310" width="10" customWidth="1"/>
    <col min="12311" max="12311" width="3" customWidth="1"/>
    <col min="12312" max="12312" width="25.140625" customWidth="1"/>
    <col min="12545" max="12545" width="34" customWidth="1"/>
    <col min="12546" max="12546" width="10" customWidth="1"/>
    <col min="12547" max="12547" width="9.140625" customWidth="1"/>
    <col min="12548" max="12548" width="2.7109375" customWidth="1"/>
    <col min="12549" max="12549" width="8.85546875" customWidth="1"/>
    <col min="12550" max="12550" width="9.140625" customWidth="1"/>
    <col min="12551" max="12551" width="2.7109375" customWidth="1"/>
    <col min="12552" max="12552" width="8.85546875" customWidth="1"/>
    <col min="12553" max="12553" width="1.7109375" customWidth="1"/>
    <col min="12554" max="12554" width="9.140625" customWidth="1"/>
    <col min="12555" max="12555" width="2.7109375" customWidth="1"/>
    <col min="12556" max="12556" width="8.85546875" customWidth="1"/>
    <col min="12557" max="12557" width="1.5703125" customWidth="1"/>
    <col min="12558" max="12558" width="9.140625" customWidth="1"/>
    <col min="12559" max="12559" width="2.7109375" customWidth="1"/>
    <col min="12560" max="12560" width="10.7109375" customWidth="1"/>
    <col min="12561" max="12561" width="2" customWidth="1"/>
    <col min="12562" max="12562" width="10.28515625" customWidth="1"/>
    <col min="12563" max="12563" width="3" customWidth="1"/>
    <col min="12564" max="12564" width="10.140625" customWidth="1"/>
    <col min="12565" max="12565" width="2" customWidth="1"/>
    <col min="12566" max="12566" width="10" customWidth="1"/>
    <col min="12567" max="12567" width="3" customWidth="1"/>
    <col min="12568" max="12568" width="25.140625" customWidth="1"/>
    <col min="12801" max="12801" width="34" customWidth="1"/>
    <col min="12802" max="12802" width="10" customWidth="1"/>
    <col min="12803" max="12803" width="9.140625" customWidth="1"/>
    <col min="12804" max="12804" width="2.7109375" customWidth="1"/>
    <col min="12805" max="12805" width="8.85546875" customWidth="1"/>
    <col min="12806" max="12806" width="9.140625" customWidth="1"/>
    <col min="12807" max="12807" width="2.7109375" customWidth="1"/>
    <col min="12808" max="12808" width="8.85546875" customWidth="1"/>
    <col min="12809" max="12809" width="1.7109375" customWidth="1"/>
    <col min="12810" max="12810" width="9.140625" customWidth="1"/>
    <col min="12811" max="12811" width="2.7109375" customWidth="1"/>
    <col min="12812" max="12812" width="8.85546875" customWidth="1"/>
    <col min="12813" max="12813" width="1.5703125" customWidth="1"/>
    <col min="12814" max="12814" width="9.140625" customWidth="1"/>
    <col min="12815" max="12815" width="2.7109375" customWidth="1"/>
    <col min="12816" max="12816" width="10.7109375" customWidth="1"/>
    <col min="12817" max="12817" width="2" customWidth="1"/>
    <col min="12818" max="12818" width="10.28515625" customWidth="1"/>
    <col min="12819" max="12819" width="3" customWidth="1"/>
    <col min="12820" max="12820" width="10.140625" customWidth="1"/>
    <col min="12821" max="12821" width="2" customWidth="1"/>
    <col min="12822" max="12822" width="10" customWidth="1"/>
    <col min="12823" max="12823" width="3" customWidth="1"/>
    <col min="12824" max="12824" width="25.140625" customWidth="1"/>
    <col min="13057" max="13057" width="34" customWidth="1"/>
    <col min="13058" max="13058" width="10" customWidth="1"/>
    <col min="13059" max="13059" width="9.140625" customWidth="1"/>
    <col min="13060" max="13060" width="2.7109375" customWidth="1"/>
    <col min="13061" max="13061" width="8.85546875" customWidth="1"/>
    <col min="13062" max="13062" width="9.140625" customWidth="1"/>
    <col min="13063" max="13063" width="2.7109375" customWidth="1"/>
    <col min="13064" max="13064" width="8.85546875" customWidth="1"/>
    <col min="13065" max="13065" width="1.7109375" customWidth="1"/>
    <col min="13066" max="13066" width="9.140625" customWidth="1"/>
    <col min="13067" max="13067" width="2.7109375" customWidth="1"/>
    <col min="13068" max="13068" width="8.85546875" customWidth="1"/>
    <col min="13069" max="13069" width="1.5703125" customWidth="1"/>
    <col min="13070" max="13070" width="9.140625" customWidth="1"/>
    <col min="13071" max="13071" width="2.7109375" customWidth="1"/>
    <col min="13072" max="13072" width="10.7109375" customWidth="1"/>
    <col min="13073" max="13073" width="2" customWidth="1"/>
    <col min="13074" max="13074" width="10.28515625" customWidth="1"/>
    <col min="13075" max="13075" width="3" customWidth="1"/>
    <col min="13076" max="13076" width="10.140625" customWidth="1"/>
    <col min="13077" max="13077" width="2" customWidth="1"/>
    <col min="13078" max="13078" width="10" customWidth="1"/>
    <col min="13079" max="13079" width="3" customWidth="1"/>
    <col min="13080" max="13080" width="25.140625" customWidth="1"/>
    <col min="13313" max="13313" width="34" customWidth="1"/>
    <col min="13314" max="13314" width="10" customWidth="1"/>
    <col min="13315" max="13315" width="9.140625" customWidth="1"/>
    <col min="13316" max="13316" width="2.7109375" customWidth="1"/>
    <col min="13317" max="13317" width="8.85546875" customWidth="1"/>
    <col min="13318" max="13318" width="9.140625" customWidth="1"/>
    <col min="13319" max="13319" width="2.7109375" customWidth="1"/>
    <col min="13320" max="13320" width="8.85546875" customWidth="1"/>
    <col min="13321" max="13321" width="1.7109375" customWidth="1"/>
    <col min="13322" max="13322" width="9.140625" customWidth="1"/>
    <col min="13323" max="13323" width="2.7109375" customWidth="1"/>
    <col min="13324" max="13324" width="8.85546875" customWidth="1"/>
    <col min="13325" max="13325" width="1.5703125" customWidth="1"/>
    <col min="13326" max="13326" width="9.140625" customWidth="1"/>
    <col min="13327" max="13327" width="2.7109375" customWidth="1"/>
    <col min="13328" max="13328" width="10.7109375" customWidth="1"/>
    <col min="13329" max="13329" width="2" customWidth="1"/>
    <col min="13330" max="13330" width="10.28515625" customWidth="1"/>
    <col min="13331" max="13331" width="3" customWidth="1"/>
    <col min="13332" max="13332" width="10.140625" customWidth="1"/>
    <col min="13333" max="13333" width="2" customWidth="1"/>
    <col min="13334" max="13334" width="10" customWidth="1"/>
    <col min="13335" max="13335" width="3" customWidth="1"/>
    <col min="13336" max="13336" width="25.140625" customWidth="1"/>
    <col min="13569" max="13569" width="34" customWidth="1"/>
    <col min="13570" max="13570" width="10" customWidth="1"/>
    <col min="13571" max="13571" width="9.140625" customWidth="1"/>
    <col min="13572" max="13572" width="2.7109375" customWidth="1"/>
    <col min="13573" max="13573" width="8.85546875" customWidth="1"/>
    <col min="13574" max="13574" width="9.140625" customWidth="1"/>
    <col min="13575" max="13575" width="2.7109375" customWidth="1"/>
    <col min="13576" max="13576" width="8.85546875" customWidth="1"/>
    <col min="13577" max="13577" width="1.7109375" customWidth="1"/>
    <col min="13578" max="13578" width="9.140625" customWidth="1"/>
    <col min="13579" max="13579" width="2.7109375" customWidth="1"/>
    <col min="13580" max="13580" width="8.85546875" customWidth="1"/>
    <col min="13581" max="13581" width="1.5703125" customWidth="1"/>
    <col min="13582" max="13582" width="9.140625" customWidth="1"/>
    <col min="13583" max="13583" width="2.7109375" customWidth="1"/>
    <col min="13584" max="13584" width="10.7109375" customWidth="1"/>
    <col min="13585" max="13585" width="2" customWidth="1"/>
    <col min="13586" max="13586" width="10.28515625" customWidth="1"/>
    <col min="13587" max="13587" width="3" customWidth="1"/>
    <col min="13588" max="13588" width="10.140625" customWidth="1"/>
    <col min="13589" max="13589" width="2" customWidth="1"/>
    <col min="13590" max="13590" width="10" customWidth="1"/>
    <col min="13591" max="13591" width="3" customWidth="1"/>
    <col min="13592" max="13592" width="25.140625" customWidth="1"/>
    <col min="13825" max="13825" width="34" customWidth="1"/>
    <col min="13826" max="13826" width="10" customWidth="1"/>
    <col min="13827" max="13827" width="9.140625" customWidth="1"/>
    <col min="13828" max="13828" width="2.7109375" customWidth="1"/>
    <col min="13829" max="13829" width="8.85546875" customWidth="1"/>
    <col min="13830" max="13830" width="9.140625" customWidth="1"/>
    <col min="13831" max="13831" width="2.7109375" customWidth="1"/>
    <col min="13832" max="13832" width="8.85546875" customWidth="1"/>
    <col min="13833" max="13833" width="1.7109375" customWidth="1"/>
    <col min="13834" max="13834" width="9.140625" customWidth="1"/>
    <col min="13835" max="13835" width="2.7109375" customWidth="1"/>
    <col min="13836" max="13836" width="8.85546875" customWidth="1"/>
    <col min="13837" max="13837" width="1.5703125" customWidth="1"/>
    <col min="13838" max="13838" width="9.140625" customWidth="1"/>
    <col min="13839" max="13839" width="2.7109375" customWidth="1"/>
    <col min="13840" max="13840" width="10.7109375" customWidth="1"/>
    <col min="13841" max="13841" width="2" customWidth="1"/>
    <col min="13842" max="13842" width="10.28515625" customWidth="1"/>
    <col min="13843" max="13843" width="3" customWidth="1"/>
    <col min="13844" max="13844" width="10.140625" customWidth="1"/>
    <col min="13845" max="13845" width="2" customWidth="1"/>
    <col min="13846" max="13846" width="10" customWidth="1"/>
    <col min="13847" max="13847" width="3" customWidth="1"/>
    <col min="13848" max="13848" width="25.140625" customWidth="1"/>
    <col min="14081" max="14081" width="34" customWidth="1"/>
    <col min="14082" max="14082" width="10" customWidth="1"/>
    <col min="14083" max="14083" width="9.140625" customWidth="1"/>
    <col min="14084" max="14084" width="2.7109375" customWidth="1"/>
    <col min="14085" max="14085" width="8.85546875" customWidth="1"/>
    <col min="14086" max="14086" width="9.140625" customWidth="1"/>
    <col min="14087" max="14087" width="2.7109375" customWidth="1"/>
    <col min="14088" max="14088" width="8.85546875" customWidth="1"/>
    <col min="14089" max="14089" width="1.7109375" customWidth="1"/>
    <col min="14090" max="14090" width="9.140625" customWidth="1"/>
    <col min="14091" max="14091" width="2.7109375" customWidth="1"/>
    <col min="14092" max="14092" width="8.85546875" customWidth="1"/>
    <col min="14093" max="14093" width="1.5703125" customWidth="1"/>
    <col min="14094" max="14094" width="9.140625" customWidth="1"/>
    <col min="14095" max="14095" width="2.7109375" customWidth="1"/>
    <col min="14096" max="14096" width="10.7109375" customWidth="1"/>
    <col min="14097" max="14097" width="2" customWidth="1"/>
    <col min="14098" max="14098" width="10.28515625" customWidth="1"/>
    <col min="14099" max="14099" width="3" customWidth="1"/>
    <col min="14100" max="14100" width="10.140625" customWidth="1"/>
    <col min="14101" max="14101" width="2" customWidth="1"/>
    <col min="14102" max="14102" width="10" customWidth="1"/>
    <col min="14103" max="14103" width="3" customWidth="1"/>
    <col min="14104" max="14104" width="25.140625" customWidth="1"/>
    <col min="14337" max="14337" width="34" customWidth="1"/>
    <col min="14338" max="14338" width="10" customWidth="1"/>
    <col min="14339" max="14339" width="9.140625" customWidth="1"/>
    <col min="14340" max="14340" width="2.7109375" customWidth="1"/>
    <col min="14341" max="14341" width="8.85546875" customWidth="1"/>
    <col min="14342" max="14342" width="9.140625" customWidth="1"/>
    <col min="14343" max="14343" width="2.7109375" customWidth="1"/>
    <col min="14344" max="14344" width="8.85546875" customWidth="1"/>
    <col min="14345" max="14345" width="1.7109375" customWidth="1"/>
    <col min="14346" max="14346" width="9.140625" customWidth="1"/>
    <col min="14347" max="14347" width="2.7109375" customWidth="1"/>
    <col min="14348" max="14348" width="8.85546875" customWidth="1"/>
    <col min="14349" max="14349" width="1.5703125" customWidth="1"/>
    <col min="14350" max="14350" width="9.140625" customWidth="1"/>
    <col min="14351" max="14351" width="2.7109375" customWidth="1"/>
    <col min="14352" max="14352" width="10.7109375" customWidth="1"/>
    <col min="14353" max="14353" width="2" customWidth="1"/>
    <col min="14354" max="14354" width="10.28515625" customWidth="1"/>
    <col min="14355" max="14355" width="3" customWidth="1"/>
    <col min="14356" max="14356" width="10.140625" customWidth="1"/>
    <col min="14357" max="14357" width="2" customWidth="1"/>
    <col min="14358" max="14358" width="10" customWidth="1"/>
    <col min="14359" max="14359" width="3" customWidth="1"/>
    <col min="14360" max="14360" width="25.140625" customWidth="1"/>
    <col min="14593" max="14593" width="34" customWidth="1"/>
    <col min="14594" max="14594" width="10" customWidth="1"/>
    <col min="14595" max="14595" width="9.140625" customWidth="1"/>
    <col min="14596" max="14596" width="2.7109375" customWidth="1"/>
    <col min="14597" max="14597" width="8.85546875" customWidth="1"/>
    <col min="14598" max="14598" width="9.140625" customWidth="1"/>
    <col min="14599" max="14599" width="2.7109375" customWidth="1"/>
    <col min="14600" max="14600" width="8.85546875" customWidth="1"/>
    <col min="14601" max="14601" width="1.7109375" customWidth="1"/>
    <col min="14602" max="14602" width="9.140625" customWidth="1"/>
    <col min="14603" max="14603" width="2.7109375" customWidth="1"/>
    <col min="14604" max="14604" width="8.85546875" customWidth="1"/>
    <col min="14605" max="14605" width="1.5703125" customWidth="1"/>
    <col min="14606" max="14606" width="9.140625" customWidth="1"/>
    <col min="14607" max="14607" width="2.7109375" customWidth="1"/>
    <col min="14608" max="14608" width="10.7109375" customWidth="1"/>
    <col min="14609" max="14609" width="2" customWidth="1"/>
    <col min="14610" max="14610" width="10.28515625" customWidth="1"/>
    <col min="14611" max="14611" width="3" customWidth="1"/>
    <col min="14612" max="14612" width="10.140625" customWidth="1"/>
    <col min="14613" max="14613" width="2" customWidth="1"/>
    <col min="14614" max="14614" width="10" customWidth="1"/>
    <col min="14615" max="14615" width="3" customWidth="1"/>
    <col min="14616" max="14616" width="25.140625" customWidth="1"/>
    <col min="14849" max="14849" width="34" customWidth="1"/>
    <col min="14850" max="14850" width="10" customWidth="1"/>
    <col min="14851" max="14851" width="9.140625" customWidth="1"/>
    <col min="14852" max="14852" width="2.7109375" customWidth="1"/>
    <col min="14853" max="14853" width="8.85546875" customWidth="1"/>
    <col min="14854" max="14854" width="9.140625" customWidth="1"/>
    <col min="14855" max="14855" width="2.7109375" customWidth="1"/>
    <col min="14856" max="14856" width="8.85546875" customWidth="1"/>
    <col min="14857" max="14857" width="1.7109375" customWidth="1"/>
    <col min="14858" max="14858" width="9.140625" customWidth="1"/>
    <col min="14859" max="14859" width="2.7109375" customWidth="1"/>
    <col min="14860" max="14860" width="8.85546875" customWidth="1"/>
    <col min="14861" max="14861" width="1.5703125" customWidth="1"/>
    <col min="14862" max="14862" width="9.140625" customWidth="1"/>
    <col min="14863" max="14863" width="2.7109375" customWidth="1"/>
    <col min="14864" max="14864" width="10.7109375" customWidth="1"/>
    <col min="14865" max="14865" width="2" customWidth="1"/>
    <col min="14866" max="14866" width="10.28515625" customWidth="1"/>
    <col min="14867" max="14867" width="3" customWidth="1"/>
    <col min="14868" max="14868" width="10.140625" customWidth="1"/>
    <col min="14869" max="14869" width="2" customWidth="1"/>
    <col min="14870" max="14870" width="10" customWidth="1"/>
    <col min="14871" max="14871" width="3" customWidth="1"/>
    <col min="14872" max="14872" width="25.140625" customWidth="1"/>
    <col min="15105" max="15105" width="34" customWidth="1"/>
    <col min="15106" max="15106" width="10" customWidth="1"/>
    <col min="15107" max="15107" width="9.140625" customWidth="1"/>
    <col min="15108" max="15108" width="2.7109375" customWidth="1"/>
    <col min="15109" max="15109" width="8.85546875" customWidth="1"/>
    <col min="15110" max="15110" width="9.140625" customWidth="1"/>
    <col min="15111" max="15111" width="2.7109375" customWidth="1"/>
    <col min="15112" max="15112" width="8.85546875" customWidth="1"/>
    <col min="15113" max="15113" width="1.7109375" customWidth="1"/>
    <col min="15114" max="15114" width="9.140625" customWidth="1"/>
    <col min="15115" max="15115" width="2.7109375" customWidth="1"/>
    <col min="15116" max="15116" width="8.85546875" customWidth="1"/>
    <col min="15117" max="15117" width="1.5703125" customWidth="1"/>
    <col min="15118" max="15118" width="9.140625" customWidth="1"/>
    <col min="15119" max="15119" width="2.7109375" customWidth="1"/>
    <col min="15120" max="15120" width="10.7109375" customWidth="1"/>
    <col min="15121" max="15121" width="2" customWidth="1"/>
    <col min="15122" max="15122" width="10.28515625" customWidth="1"/>
    <col min="15123" max="15123" width="3" customWidth="1"/>
    <col min="15124" max="15124" width="10.140625" customWidth="1"/>
    <col min="15125" max="15125" width="2" customWidth="1"/>
    <col min="15126" max="15126" width="10" customWidth="1"/>
    <col min="15127" max="15127" width="3" customWidth="1"/>
    <col min="15128" max="15128" width="25.140625" customWidth="1"/>
    <col min="15361" max="15361" width="34" customWidth="1"/>
    <col min="15362" max="15362" width="10" customWidth="1"/>
    <col min="15363" max="15363" width="9.140625" customWidth="1"/>
    <col min="15364" max="15364" width="2.7109375" customWidth="1"/>
    <col min="15365" max="15365" width="8.85546875" customWidth="1"/>
    <col min="15366" max="15366" width="9.140625" customWidth="1"/>
    <col min="15367" max="15367" width="2.7109375" customWidth="1"/>
    <col min="15368" max="15368" width="8.85546875" customWidth="1"/>
    <col min="15369" max="15369" width="1.7109375" customWidth="1"/>
    <col min="15370" max="15370" width="9.140625" customWidth="1"/>
    <col min="15371" max="15371" width="2.7109375" customWidth="1"/>
    <col min="15372" max="15372" width="8.85546875" customWidth="1"/>
    <col min="15373" max="15373" width="1.5703125" customWidth="1"/>
    <col min="15374" max="15374" width="9.140625" customWidth="1"/>
    <col min="15375" max="15375" width="2.7109375" customWidth="1"/>
    <col min="15376" max="15376" width="10.7109375" customWidth="1"/>
    <col min="15377" max="15377" width="2" customWidth="1"/>
    <col min="15378" max="15378" width="10.28515625" customWidth="1"/>
    <col min="15379" max="15379" width="3" customWidth="1"/>
    <col min="15380" max="15380" width="10.140625" customWidth="1"/>
    <col min="15381" max="15381" width="2" customWidth="1"/>
    <col min="15382" max="15382" width="10" customWidth="1"/>
    <col min="15383" max="15383" width="3" customWidth="1"/>
    <col min="15384" max="15384" width="25.140625" customWidth="1"/>
    <col min="15617" max="15617" width="34" customWidth="1"/>
    <col min="15618" max="15618" width="10" customWidth="1"/>
    <col min="15619" max="15619" width="9.140625" customWidth="1"/>
    <col min="15620" max="15620" width="2.7109375" customWidth="1"/>
    <col min="15621" max="15621" width="8.85546875" customWidth="1"/>
    <col min="15622" max="15622" width="9.140625" customWidth="1"/>
    <col min="15623" max="15623" width="2.7109375" customWidth="1"/>
    <col min="15624" max="15624" width="8.85546875" customWidth="1"/>
    <col min="15625" max="15625" width="1.7109375" customWidth="1"/>
    <col min="15626" max="15626" width="9.140625" customWidth="1"/>
    <col min="15627" max="15627" width="2.7109375" customWidth="1"/>
    <col min="15628" max="15628" width="8.85546875" customWidth="1"/>
    <col min="15629" max="15629" width="1.5703125" customWidth="1"/>
    <col min="15630" max="15630" width="9.140625" customWidth="1"/>
    <col min="15631" max="15631" width="2.7109375" customWidth="1"/>
    <col min="15632" max="15632" width="10.7109375" customWidth="1"/>
    <col min="15633" max="15633" width="2" customWidth="1"/>
    <col min="15634" max="15634" width="10.28515625" customWidth="1"/>
    <col min="15635" max="15635" width="3" customWidth="1"/>
    <col min="15636" max="15636" width="10.140625" customWidth="1"/>
    <col min="15637" max="15637" width="2" customWidth="1"/>
    <col min="15638" max="15638" width="10" customWidth="1"/>
    <col min="15639" max="15639" width="3" customWidth="1"/>
    <col min="15640" max="15640" width="25.140625" customWidth="1"/>
    <col min="15873" max="15873" width="34" customWidth="1"/>
    <col min="15874" max="15874" width="10" customWidth="1"/>
    <col min="15875" max="15875" width="9.140625" customWidth="1"/>
    <col min="15876" max="15876" width="2.7109375" customWidth="1"/>
    <col min="15877" max="15877" width="8.85546875" customWidth="1"/>
    <col min="15878" max="15878" width="9.140625" customWidth="1"/>
    <col min="15879" max="15879" width="2.7109375" customWidth="1"/>
    <col min="15880" max="15880" width="8.85546875" customWidth="1"/>
    <col min="15881" max="15881" width="1.7109375" customWidth="1"/>
    <col min="15882" max="15882" width="9.140625" customWidth="1"/>
    <col min="15883" max="15883" width="2.7109375" customWidth="1"/>
    <col min="15884" max="15884" width="8.85546875" customWidth="1"/>
    <col min="15885" max="15885" width="1.5703125" customWidth="1"/>
    <col min="15886" max="15886" width="9.140625" customWidth="1"/>
    <col min="15887" max="15887" width="2.7109375" customWidth="1"/>
    <col min="15888" max="15888" width="10.7109375" customWidth="1"/>
    <col min="15889" max="15889" width="2" customWidth="1"/>
    <col min="15890" max="15890" width="10.28515625" customWidth="1"/>
    <col min="15891" max="15891" width="3" customWidth="1"/>
    <col min="15892" max="15892" width="10.140625" customWidth="1"/>
    <col min="15893" max="15893" width="2" customWidth="1"/>
    <col min="15894" max="15894" width="10" customWidth="1"/>
    <col min="15895" max="15895" width="3" customWidth="1"/>
    <col min="15896" max="15896" width="25.140625" customWidth="1"/>
    <col min="16129" max="16129" width="34" customWidth="1"/>
    <col min="16130" max="16130" width="10" customWidth="1"/>
    <col min="16131" max="16131" width="9.140625" customWidth="1"/>
    <col min="16132" max="16132" width="2.7109375" customWidth="1"/>
    <col min="16133" max="16133" width="8.85546875" customWidth="1"/>
    <col min="16134" max="16134" width="9.140625" customWidth="1"/>
    <col min="16135" max="16135" width="2.7109375" customWidth="1"/>
    <col min="16136" max="16136" width="8.85546875" customWidth="1"/>
    <col min="16137" max="16137" width="1.7109375" customWidth="1"/>
    <col min="16138" max="16138" width="9.140625" customWidth="1"/>
    <col min="16139" max="16139" width="2.7109375" customWidth="1"/>
    <col min="16140" max="16140" width="8.85546875" customWidth="1"/>
    <col min="16141" max="16141" width="1.5703125" customWidth="1"/>
    <col min="16142" max="16142" width="9.140625" customWidth="1"/>
    <col min="16143" max="16143" width="2.7109375" customWidth="1"/>
    <col min="16144" max="16144" width="10.7109375" customWidth="1"/>
    <col min="16145" max="16145" width="2" customWidth="1"/>
    <col min="16146" max="16146" width="10.28515625" customWidth="1"/>
    <col min="16147" max="16147" width="3" customWidth="1"/>
    <col min="16148" max="16148" width="10.140625" customWidth="1"/>
    <col min="16149" max="16149" width="2" customWidth="1"/>
    <col min="16150" max="16150" width="10" customWidth="1"/>
    <col min="16151" max="16151" width="3" customWidth="1"/>
    <col min="16152" max="16152" width="25.140625" customWidth="1"/>
  </cols>
  <sheetData>
    <row r="1" spans="1:24">
      <c r="A1" s="4" t="s">
        <v>755</v>
      </c>
      <c r="B1" s="65"/>
      <c r="C1" s="4"/>
      <c r="D1" s="4"/>
      <c r="E1" s="65"/>
      <c r="F1" s="4"/>
      <c r="G1" s="4"/>
      <c r="H1" s="65"/>
      <c r="I1" s="65"/>
      <c r="J1" s="4"/>
      <c r="K1" s="4"/>
      <c r="L1" s="65"/>
      <c r="M1" s="4"/>
      <c r="N1" s="4"/>
      <c r="O1" s="42"/>
      <c r="P1" s="42"/>
      <c r="Q1" s="42"/>
      <c r="R1" s="42"/>
      <c r="S1" s="42"/>
      <c r="T1" s="42"/>
      <c r="U1" s="42"/>
      <c r="V1" s="42"/>
      <c r="W1" s="42"/>
    </row>
    <row r="2" spans="1:24">
      <c r="A2" s="4" t="s">
        <v>756</v>
      </c>
      <c r="B2" s="65"/>
      <c r="C2" s="4"/>
      <c r="D2" s="4"/>
      <c r="E2" s="65"/>
      <c r="F2" s="4"/>
      <c r="G2" s="4"/>
      <c r="H2" s="65"/>
      <c r="I2" s="65"/>
      <c r="J2" s="4"/>
      <c r="K2" s="4"/>
      <c r="L2" s="65"/>
      <c r="M2" s="4"/>
      <c r="N2" s="4"/>
      <c r="O2" s="42"/>
      <c r="P2" s="42"/>
      <c r="Q2" s="42"/>
      <c r="R2" s="42"/>
      <c r="S2" s="42"/>
      <c r="T2" s="42"/>
      <c r="U2" s="42"/>
      <c r="V2" s="42"/>
      <c r="W2" s="42"/>
    </row>
    <row r="3" spans="1:24">
      <c r="A3" s="4"/>
      <c r="B3" s="65"/>
      <c r="C3" s="4"/>
      <c r="D3" s="4"/>
      <c r="E3" s="65"/>
      <c r="F3" s="4"/>
      <c r="G3" s="4"/>
      <c r="H3" s="65"/>
      <c r="I3" s="65"/>
      <c r="J3" s="4"/>
      <c r="K3" s="4"/>
      <c r="L3" s="65"/>
      <c r="M3" s="4"/>
      <c r="N3" s="4"/>
      <c r="O3" s="42"/>
      <c r="P3" s="42"/>
      <c r="Q3" s="42"/>
      <c r="R3" s="42"/>
      <c r="S3" s="42"/>
      <c r="T3" s="42"/>
      <c r="U3" s="42"/>
      <c r="V3" s="42"/>
      <c r="W3" s="42"/>
    </row>
    <row r="4" spans="1:24" ht="12.6" customHeight="1">
      <c r="A4" s="4" t="s">
        <v>1363</v>
      </c>
      <c r="B4" s="65"/>
      <c r="C4" s="4"/>
      <c r="D4" s="4"/>
      <c r="E4" s="65"/>
      <c r="F4" s="4"/>
      <c r="G4" s="4"/>
      <c r="H4" s="65"/>
      <c r="I4" s="65"/>
      <c r="J4" s="4"/>
      <c r="K4" s="4"/>
      <c r="L4" s="65"/>
      <c r="M4" s="4"/>
      <c r="N4" s="4"/>
      <c r="O4" s="42"/>
      <c r="P4" s="42"/>
      <c r="Q4" s="42"/>
      <c r="R4" s="42"/>
      <c r="S4" s="42"/>
      <c r="T4" s="42"/>
      <c r="U4" s="42"/>
      <c r="V4" s="42"/>
      <c r="W4" s="42"/>
    </row>
    <row r="5" spans="1:24" ht="15.75" thickBot="1">
      <c r="A5" s="4"/>
      <c r="B5" s="65"/>
      <c r="C5" s="4"/>
      <c r="D5" s="4"/>
      <c r="E5" s="65"/>
      <c r="F5" s="4"/>
      <c r="G5" s="4"/>
      <c r="H5" s="65"/>
      <c r="I5" s="65"/>
      <c r="J5" s="4"/>
      <c r="K5" s="4"/>
      <c r="L5" s="65"/>
      <c r="M5" s="4"/>
      <c r="N5" s="4"/>
      <c r="O5" s="42"/>
      <c r="P5" s="93"/>
      <c r="Q5" s="93"/>
      <c r="R5" s="42"/>
      <c r="S5" s="42"/>
      <c r="T5" s="93"/>
      <c r="U5" s="93"/>
      <c r="V5" s="42"/>
      <c r="W5" s="42"/>
    </row>
    <row r="6" spans="1:24" ht="19.899999999999999" customHeight="1">
      <c r="A6" s="463"/>
      <c r="B6" s="235"/>
      <c r="C6" s="463"/>
      <c r="D6" s="463"/>
      <c r="E6" s="235"/>
      <c r="F6" s="463"/>
      <c r="G6" s="463"/>
      <c r="H6" s="235"/>
      <c r="I6" s="235"/>
      <c r="J6" s="463"/>
      <c r="K6" s="463"/>
      <c r="L6" s="235"/>
      <c r="M6" s="463"/>
      <c r="N6" s="463"/>
      <c r="O6" s="237"/>
      <c r="P6" s="238"/>
      <c r="Q6" s="238"/>
      <c r="R6" s="237"/>
      <c r="S6" s="237"/>
      <c r="T6" s="238"/>
      <c r="U6" s="238"/>
      <c r="V6" s="237"/>
      <c r="W6" s="237"/>
    </row>
    <row r="7" spans="1:24" ht="19.899999999999999" customHeight="1">
      <c r="A7" s="180" t="s">
        <v>1364</v>
      </c>
      <c r="B7" s="93" t="s">
        <v>1365</v>
      </c>
      <c r="C7" s="42"/>
      <c r="D7" s="42"/>
      <c r="E7" s="1268" t="s">
        <v>1366</v>
      </c>
      <c r="F7" s="1268"/>
      <c r="G7" s="42"/>
      <c r="H7" s="1268" t="s">
        <v>1367</v>
      </c>
      <c r="I7" s="1268"/>
      <c r="J7" s="1268"/>
      <c r="K7" s="42"/>
      <c r="L7" s="1268" t="s">
        <v>1368</v>
      </c>
      <c r="M7" s="1268"/>
      <c r="N7" s="1268"/>
      <c r="O7" s="42"/>
      <c r="P7" s="1268" t="s">
        <v>1369</v>
      </c>
      <c r="Q7" s="1268"/>
      <c r="R7" s="1268"/>
      <c r="S7" s="42"/>
      <c r="T7" s="1268" t="s">
        <v>1370</v>
      </c>
      <c r="U7" s="1268"/>
      <c r="V7" s="1268"/>
      <c r="W7" s="42"/>
    </row>
    <row r="8" spans="1:24" ht="19.899999999999999" customHeight="1">
      <c r="A8" s="39" t="s">
        <v>1371</v>
      </c>
      <c r="B8" s="246" t="s">
        <v>1372</v>
      </c>
      <c r="C8" s="272" t="s">
        <v>1373</v>
      </c>
      <c r="D8" s="242"/>
      <c r="E8" s="246" t="s">
        <v>1372</v>
      </c>
      <c r="F8" s="272" t="s">
        <v>1373</v>
      </c>
      <c r="G8" s="242"/>
      <c r="H8" s="246" t="s">
        <v>1372</v>
      </c>
      <c r="I8" s="246"/>
      <c r="J8" s="272" t="s">
        <v>1373</v>
      </c>
      <c r="K8" s="242"/>
      <c r="L8" s="246" t="s">
        <v>9</v>
      </c>
      <c r="M8" s="272"/>
      <c r="N8" s="272" t="s">
        <v>10</v>
      </c>
      <c r="O8" s="242"/>
      <c r="P8" s="246" t="s">
        <v>9</v>
      </c>
      <c r="Q8" s="246"/>
      <c r="R8" s="272" t="s">
        <v>10</v>
      </c>
      <c r="S8" s="42"/>
      <c r="T8" s="246" t="s">
        <v>9</v>
      </c>
      <c r="U8" s="246"/>
      <c r="V8" s="272" t="s">
        <v>10</v>
      </c>
      <c r="W8" s="42"/>
    </row>
    <row r="9" spans="1:24" ht="19.899999999999999" customHeight="1" thickBot="1">
      <c r="A9" s="249"/>
      <c r="B9" s="249"/>
      <c r="C9" s="249"/>
      <c r="D9" s="249"/>
      <c r="E9" s="249"/>
      <c r="F9" s="249"/>
      <c r="G9" s="249"/>
      <c r="H9" s="249"/>
      <c r="I9" s="249"/>
      <c r="J9" s="249"/>
      <c r="K9" s="249"/>
      <c r="L9" s="249"/>
      <c r="M9" s="249"/>
      <c r="N9" s="249"/>
      <c r="O9" s="249"/>
      <c r="P9" s="249"/>
      <c r="Q9" s="249"/>
      <c r="R9" s="249"/>
      <c r="S9" s="42"/>
      <c r="T9" s="249"/>
      <c r="U9" s="249"/>
      <c r="V9" s="249"/>
      <c r="W9" s="42"/>
    </row>
    <row r="10" spans="1:24" ht="19.899999999999999" customHeight="1">
      <c r="A10" s="42"/>
      <c r="B10" s="93"/>
      <c r="C10" s="94"/>
      <c r="D10" s="42"/>
      <c r="E10" s="93"/>
      <c r="F10" s="42"/>
      <c r="G10" s="42"/>
      <c r="H10" s="93"/>
      <c r="I10" s="93"/>
      <c r="J10" s="42"/>
      <c r="K10" s="42"/>
      <c r="L10" s="93"/>
      <c r="M10" s="42"/>
      <c r="N10" s="42"/>
      <c r="O10" s="42"/>
      <c r="P10" s="93"/>
      <c r="Q10" s="93"/>
      <c r="R10" s="42"/>
      <c r="S10" s="237"/>
      <c r="T10" s="93"/>
      <c r="U10" s="93"/>
      <c r="V10" s="42"/>
      <c r="W10" s="237"/>
    </row>
    <row r="11" spans="1:24" ht="19.899999999999999" customHeight="1">
      <c r="A11" s="565" t="s">
        <v>5</v>
      </c>
      <c r="B11" s="93">
        <f>SUM(B13:B37)</f>
        <v>538569</v>
      </c>
      <c r="C11" s="94">
        <f>IF(A11&lt;&gt;0,B11/$B$11*100,"")</f>
        <v>100</v>
      </c>
      <c r="D11" s="42"/>
      <c r="E11" s="93">
        <f>SUM(E13:E37)</f>
        <v>202285</v>
      </c>
      <c r="F11" s="94">
        <f>IF($A11&lt;&gt;"",E11/$B11*100,"")</f>
        <v>37.559718439048659</v>
      </c>
      <c r="G11" s="42"/>
      <c r="H11" s="93">
        <f>SUM(H13:H37)</f>
        <v>105815</v>
      </c>
      <c r="I11" s="93"/>
      <c r="J11" s="94">
        <f>IF($A11&lt;&gt;"",H11/$B11*100,"")</f>
        <v>19.647436075971694</v>
      </c>
      <c r="K11" s="42"/>
      <c r="L11" s="93">
        <f>SUM(L13:L37)</f>
        <v>122179</v>
      </c>
      <c r="M11" s="42"/>
      <c r="N11" s="94">
        <f t="shared" ref="N11:N37" si="0">IF($A11&lt;&gt;"",L11/$B11*100,"")</f>
        <v>22.68585826514337</v>
      </c>
      <c r="O11" s="42"/>
      <c r="P11" s="93">
        <f>SUM(P13:P37)</f>
        <v>17839</v>
      </c>
      <c r="Q11" s="93"/>
      <c r="R11" s="94">
        <f>IF($A11&lt;&gt;"",P11/$B11*100,"")</f>
        <v>3.3122961031919771</v>
      </c>
      <c r="S11" s="93"/>
      <c r="T11" s="93">
        <f>SUM(T13:T37)</f>
        <v>90451</v>
      </c>
      <c r="U11" s="93"/>
      <c r="V11" s="94">
        <f>IF($A11&lt;&gt;"",T11/$B11*100,"")</f>
        <v>16.794691116644291</v>
      </c>
      <c r="W11" s="42"/>
    </row>
    <row r="12" spans="1:24" ht="13.5" customHeight="1">
      <c r="A12" s="42"/>
      <c r="B12" s="93"/>
      <c r="C12" s="94" t="str">
        <f t="shared" ref="C12:C37" si="1">IF(A12&lt;&gt;0,B12/$B$11*100,"")</f>
        <v/>
      </c>
      <c r="D12" s="42"/>
      <c r="E12" s="93"/>
      <c r="F12" s="94" t="str">
        <f t="shared" ref="F12:F22" si="2">IF($A12&lt;&gt;"",E12/$B12*100,"")</f>
        <v/>
      </c>
      <c r="G12" s="42"/>
      <c r="H12" s="93"/>
      <c r="I12" s="93"/>
      <c r="J12" s="94" t="str">
        <f t="shared" ref="J12:J37" si="3">IF($A12&lt;&gt;"",H12/$B12*100,"")</f>
        <v/>
      </c>
      <c r="K12" s="42"/>
      <c r="L12" s="93"/>
      <c r="M12" s="42"/>
      <c r="N12" s="94" t="str">
        <f t="shared" si="0"/>
        <v/>
      </c>
      <c r="O12" s="42"/>
      <c r="P12" s="93"/>
      <c r="Q12" s="93"/>
      <c r="R12" s="94" t="str">
        <f t="shared" ref="R12:R37" si="4">IF($A12&lt;&gt;"",P12/$B12*100,"")</f>
        <v/>
      </c>
      <c r="S12" s="42"/>
      <c r="T12" s="93"/>
      <c r="U12" s="93"/>
      <c r="V12" s="94" t="str">
        <f t="shared" ref="V12:V37" si="5">IF($A12&lt;&gt;"",T12/$B12*100,"")</f>
        <v/>
      </c>
      <c r="W12" s="42"/>
    </row>
    <row r="13" spans="1:24" ht="19.899999999999999" customHeight="1">
      <c r="A13" s="566" t="s">
        <v>1374</v>
      </c>
      <c r="B13" s="93">
        <f>E13+H13+L13+P13+T13</f>
        <v>230910</v>
      </c>
      <c r="C13" s="94">
        <f t="shared" si="1"/>
        <v>42.874729143340964</v>
      </c>
      <c r="D13" s="42"/>
      <c r="E13" s="567">
        <v>101779</v>
      </c>
      <c r="F13" s="94">
        <f t="shared" si="2"/>
        <v>44.077346152180503</v>
      </c>
      <c r="G13" s="42"/>
      <c r="H13" s="567">
        <v>36166</v>
      </c>
      <c r="I13" s="42"/>
      <c r="J13" s="94">
        <f t="shared" si="3"/>
        <v>15.662379281971331</v>
      </c>
      <c r="K13" s="42"/>
      <c r="L13" s="567">
        <v>68352</v>
      </c>
      <c r="M13" s="42"/>
      <c r="N13" s="94">
        <f t="shared" si="0"/>
        <v>29.601143302585424</v>
      </c>
      <c r="O13" s="42"/>
      <c r="P13" s="567">
        <v>5128</v>
      </c>
      <c r="Q13" s="93"/>
      <c r="R13" s="94">
        <f t="shared" si="4"/>
        <v>2.2207786583517386</v>
      </c>
      <c r="S13" s="42"/>
      <c r="T13" s="567">
        <v>19485</v>
      </c>
      <c r="U13" s="93"/>
      <c r="V13" s="94">
        <f t="shared" si="5"/>
        <v>8.4383526049110049</v>
      </c>
      <c r="W13" s="42"/>
      <c r="X13" s="568"/>
    </row>
    <row r="14" spans="1:24" ht="13.5" customHeight="1">
      <c r="A14" s="566"/>
      <c r="B14" s="93"/>
      <c r="C14" s="94" t="str">
        <f t="shared" si="1"/>
        <v/>
      </c>
      <c r="D14" s="42"/>
      <c r="E14" s="567"/>
      <c r="F14" s="94" t="str">
        <f t="shared" si="2"/>
        <v/>
      </c>
      <c r="G14" s="42"/>
      <c r="H14" s="567"/>
      <c r="I14" s="93"/>
      <c r="J14" s="94" t="str">
        <f t="shared" si="3"/>
        <v/>
      </c>
      <c r="K14" s="42"/>
      <c r="L14" s="567"/>
      <c r="M14" s="42"/>
      <c r="N14" s="94" t="str">
        <f t="shared" si="0"/>
        <v/>
      </c>
      <c r="O14" s="42"/>
      <c r="P14" s="567"/>
      <c r="Q14" s="93"/>
      <c r="R14" s="94" t="str">
        <f t="shared" si="4"/>
        <v/>
      </c>
      <c r="S14" s="42"/>
      <c r="T14" s="567"/>
      <c r="U14" s="93"/>
      <c r="V14" s="94" t="str">
        <f t="shared" si="5"/>
        <v/>
      </c>
      <c r="W14" s="42"/>
      <c r="X14" s="568"/>
    </row>
    <row r="15" spans="1:24" ht="19.899999999999999" customHeight="1">
      <c r="A15" s="566" t="s">
        <v>1375</v>
      </c>
      <c r="B15" s="93">
        <f>E15+H15+L15+P15+T15</f>
        <v>155650</v>
      </c>
      <c r="C15" s="94">
        <f t="shared" si="1"/>
        <v>28.900660825261014</v>
      </c>
      <c r="D15" s="42"/>
      <c r="E15" s="567">
        <v>41469</v>
      </c>
      <c r="F15" s="94">
        <f t="shared" si="2"/>
        <v>26.642467073562482</v>
      </c>
      <c r="G15" s="42"/>
      <c r="H15" s="567">
        <v>34136</v>
      </c>
      <c r="I15" s="93"/>
      <c r="J15" s="94">
        <f t="shared" si="3"/>
        <v>21.931256023128814</v>
      </c>
      <c r="K15" s="42"/>
      <c r="L15" s="567">
        <v>28530</v>
      </c>
      <c r="M15" s="42"/>
      <c r="N15" s="94">
        <f t="shared" si="0"/>
        <v>18.329585608737553</v>
      </c>
      <c r="O15" s="42"/>
      <c r="P15" s="567">
        <v>9730</v>
      </c>
      <c r="Q15" s="93"/>
      <c r="R15" s="94">
        <f t="shared" si="4"/>
        <v>6.251204625762929</v>
      </c>
      <c r="S15" s="42"/>
      <c r="T15" s="567">
        <v>41785</v>
      </c>
      <c r="U15" s="93"/>
      <c r="V15" s="94">
        <f t="shared" si="5"/>
        <v>26.845486668808221</v>
      </c>
      <c r="W15" s="42"/>
      <c r="X15" s="568"/>
    </row>
    <row r="16" spans="1:24" ht="13.5" customHeight="1">
      <c r="A16" s="566"/>
      <c r="B16" s="93"/>
      <c r="C16" s="94" t="str">
        <f t="shared" si="1"/>
        <v/>
      </c>
      <c r="D16" s="42"/>
      <c r="E16" s="567"/>
      <c r="F16" s="94" t="str">
        <f t="shared" si="2"/>
        <v/>
      </c>
      <c r="G16" s="42"/>
      <c r="H16" s="567"/>
      <c r="I16" s="93"/>
      <c r="J16" s="94" t="str">
        <f t="shared" si="3"/>
        <v/>
      </c>
      <c r="K16" s="42"/>
      <c r="L16" s="567"/>
      <c r="M16" s="42"/>
      <c r="N16" s="94" t="str">
        <f t="shared" si="0"/>
        <v/>
      </c>
      <c r="O16" s="42"/>
      <c r="P16" s="567"/>
      <c r="Q16" s="93"/>
      <c r="R16" s="94" t="str">
        <f t="shared" si="4"/>
        <v/>
      </c>
      <c r="S16" s="42"/>
      <c r="T16" s="567"/>
      <c r="U16" s="93"/>
      <c r="V16" s="94" t="str">
        <f t="shared" si="5"/>
        <v/>
      </c>
      <c r="W16" s="42"/>
      <c r="X16" s="568"/>
    </row>
    <row r="17" spans="1:24" ht="19.899999999999999" customHeight="1">
      <c r="A17" s="566" t="s">
        <v>1376</v>
      </c>
      <c r="B17" s="93">
        <f>E17+H17+L17+P17+T17</f>
        <v>80776</v>
      </c>
      <c r="C17" s="94">
        <f t="shared" si="1"/>
        <v>14.998263917900957</v>
      </c>
      <c r="D17" s="42"/>
      <c r="E17" s="567">
        <v>16864</v>
      </c>
      <c r="F17" s="94">
        <f t="shared" si="2"/>
        <v>20.877488362880065</v>
      </c>
      <c r="G17" s="42"/>
      <c r="H17" s="567">
        <v>24861</v>
      </c>
      <c r="I17" s="93"/>
      <c r="J17" s="94">
        <f t="shared" si="3"/>
        <v>30.777706249381005</v>
      </c>
      <c r="K17" s="42"/>
      <c r="L17" s="567">
        <v>22992</v>
      </c>
      <c r="M17" s="42"/>
      <c r="N17" s="94">
        <f t="shared" si="0"/>
        <v>28.463900168366841</v>
      </c>
      <c r="O17" s="42"/>
      <c r="P17" s="567">
        <v>1499</v>
      </c>
      <c r="Q17" s="93"/>
      <c r="R17" s="94">
        <f t="shared" si="4"/>
        <v>1.8557492324452807</v>
      </c>
      <c r="S17" s="42"/>
      <c r="T17" s="567">
        <v>14560</v>
      </c>
      <c r="U17" s="93"/>
      <c r="V17" s="94">
        <f t="shared" si="5"/>
        <v>18.025155986926812</v>
      </c>
      <c r="W17" s="42"/>
      <c r="X17" s="568"/>
    </row>
    <row r="18" spans="1:24" ht="13.5" customHeight="1">
      <c r="A18" s="566"/>
      <c r="B18" s="93"/>
      <c r="C18" s="94" t="str">
        <f t="shared" si="1"/>
        <v/>
      </c>
      <c r="D18" s="42"/>
      <c r="E18" s="567"/>
      <c r="F18" s="94" t="str">
        <f t="shared" si="2"/>
        <v/>
      </c>
      <c r="G18" s="42"/>
      <c r="H18" s="567"/>
      <c r="I18" s="93"/>
      <c r="J18" s="94" t="str">
        <f t="shared" si="3"/>
        <v/>
      </c>
      <c r="K18" s="42"/>
      <c r="L18" s="567"/>
      <c r="M18" s="42"/>
      <c r="N18" s="94" t="str">
        <f t="shared" si="0"/>
        <v/>
      </c>
      <c r="O18" s="42"/>
      <c r="P18" s="567"/>
      <c r="Q18" s="93"/>
      <c r="R18" s="94" t="str">
        <f t="shared" si="4"/>
        <v/>
      </c>
      <c r="S18" s="42"/>
      <c r="T18" s="567"/>
      <c r="U18" s="93"/>
      <c r="V18" s="94" t="str">
        <f t="shared" si="5"/>
        <v/>
      </c>
      <c r="W18" s="42"/>
      <c r="X18" s="568"/>
    </row>
    <row r="19" spans="1:24" ht="19.899999999999999" customHeight="1">
      <c r="A19" s="569" t="s">
        <v>1377</v>
      </c>
      <c r="B19" s="93">
        <f>E19+H19+L19+P19+T19</f>
        <v>14599</v>
      </c>
      <c r="C19" s="94">
        <f t="shared" si="1"/>
        <v>2.7107018784965344</v>
      </c>
      <c r="D19" s="42"/>
      <c r="E19" s="567">
        <v>5447</v>
      </c>
      <c r="F19" s="94">
        <f t="shared" si="2"/>
        <v>37.310774710596618</v>
      </c>
      <c r="G19" s="42"/>
      <c r="H19" s="567">
        <v>1367</v>
      </c>
      <c r="I19" s="93"/>
      <c r="J19" s="94">
        <f t="shared" si="3"/>
        <v>9.3636550448660874</v>
      </c>
      <c r="K19" s="42"/>
      <c r="L19" s="567">
        <v>627</v>
      </c>
      <c r="M19" s="42"/>
      <c r="N19" s="94">
        <f t="shared" si="0"/>
        <v>4.29481471333653</v>
      </c>
      <c r="O19" s="42"/>
      <c r="P19" s="567">
        <v>1391</v>
      </c>
      <c r="Q19" s="93"/>
      <c r="R19" s="94">
        <f t="shared" si="4"/>
        <v>9.5280498664292068</v>
      </c>
      <c r="S19" s="42"/>
      <c r="T19" s="567">
        <v>5767</v>
      </c>
      <c r="U19" s="93"/>
      <c r="V19" s="94">
        <f t="shared" si="5"/>
        <v>39.502705664771561</v>
      </c>
      <c r="W19" s="42"/>
      <c r="X19" s="570"/>
    </row>
    <row r="20" spans="1:24" ht="13.5" customHeight="1">
      <c r="A20" s="566"/>
      <c r="B20" s="93"/>
      <c r="C20" s="94" t="str">
        <f t="shared" si="1"/>
        <v/>
      </c>
      <c r="D20" s="42"/>
      <c r="E20" s="567"/>
      <c r="F20" s="94" t="str">
        <f t="shared" si="2"/>
        <v/>
      </c>
      <c r="G20" s="42"/>
      <c r="H20" s="567"/>
      <c r="I20" s="93"/>
      <c r="J20" s="94" t="str">
        <f t="shared" si="3"/>
        <v/>
      </c>
      <c r="K20" s="42"/>
      <c r="L20" s="567"/>
      <c r="M20" s="42"/>
      <c r="N20" s="94" t="str">
        <f t="shared" si="0"/>
        <v/>
      </c>
      <c r="O20" s="42"/>
      <c r="P20" s="567"/>
      <c r="Q20" s="93"/>
      <c r="R20" s="94" t="str">
        <f t="shared" si="4"/>
        <v/>
      </c>
      <c r="S20" s="42"/>
      <c r="T20" s="567"/>
      <c r="U20" s="93"/>
      <c r="V20" s="94" t="str">
        <f t="shared" si="5"/>
        <v/>
      </c>
      <c r="W20" s="42"/>
      <c r="X20" s="568"/>
    </row>
    <row r="21" spans="1:24" ht="19.899999999999999" customHeight="1">
      <c r="A21" s="566" t="s">
        <v>1378</v>
      </c>
      <c r="B21" s="93">
        <f>E21+H21+L21+P21+T21</f>
        <v>17232</v>
      </c>
      <c r="C21" s="94">
        <f t="shared" si="1"/>
        <v>3.1995900246765041</v>
      </c>
      <c r="D21" s="42"/>
      <c r="E21" s="567">
        <v>12479</v>
      </c>
      <c r="F21" s="94">
        <f t="shared" si="2"/>
        <v>72.417595171773442</v>
      </c>
      <c r="G21" s="42"/>
      <c r="H21" s="567">
        <v>1477</v>
      </c>
      <c r="I21" s="93"/>
      <c r="J21" s="94">
        <f t="shared" si="3"/>
        <v>8.5712627669452193</v>
      </c>
      <c r="K21" s="42"/>
      <c r="L21" s="567">
        <v>0</v>
      </c>
      <c r="M21" s="42"/>
      <c r="N21" s="94">
        <f t="shared" si="0"/>
        <v>0</v>
      </c>
      <c r="O21" s="42"/>
      <c r="P21" s="567">
        <v>0</v>
      </c>
      <c r="Q21" s="93"/>
      <c r="R21" s="94">
        <f t="shared" si="4"/>
        <v>0</v>
      </c>
      <c r="S21" s="42"/>
      <c r="T21" s="567">
        <v>3276</v>
      </c>
      <c r="U21" s="93"/>
      <c r="V21" s="94">
        <f t="shared" si="5"/>
        <v>19.011142061281337</v>
      </c>
      <c r="W21" s="42"/>
      <c r="X21" s="568"/>
    </row>
    <row r="22" spans="1:24" ht="13.5" customHeight="1">
      <c r="A22" s="566"/>
      <c r="B22" s="93"/>
      <c r="C22" s="94" t="str">
        <f t="shared" si="1"/>
        <v/>
      </c>
      <c r="D22" s="42"/>
      <c r="E22" s="567"/>
      <c r="F22" s="94" t="str">
        <f t="shared" si="2"/>
        <v/>
      </c>
      <c r="G22" s="42"/>
      <c r="H22" s="567"/>
      <c r="I22" s="93"/>
      <c r="J22" s="94" t="str">
        <f t="shared" si="3"/>
        <v/>
      </c>
      <c r="K22" s="42"/>
      <c r="L22" s="567"/>
      <c r="M22" s="42"/>
      <c r="N22" s="94" t="str">
        <f t="shared" si="0"/>
        <v/>
      </c>
      <c r="O22" s="42"/>
      <c r="P22" s="567"/>
      <c r="Q22" s="93"/>
      <c r="R22" s="94" t="str">
        <f t="shared" si="4"/>
        <v/>
      </c>
      <c r="S22" s="42"/>
      <c r="T22" s="567"/>
      <c r="U22" s="93"/>
      <c r="V22" s="94" t="str">
        <f t="shared" si="5"/>
        <v/>
      </c>
      <c r="W22" s="42"/>
      <c r="X22" s="568"/>
    </row>
    <row r="23" spans="1:24" ht="19.899999999999999" customHeight="1">
      <c r="A23" s="566" t="s">
        <v>1379</v>
      </c>
      <c r="B23" s="93">
        <f>E23+H23+L23+P23+T23</f>
        <v>10201</v>
      </c>
      <c r="C23" s="94">
        <f t="shared" si="1"/>
        <v>1.8940934216414236</v>
      </c>
      <c r="D23" s="42"/>
      <c r="E23" s="567">
        <v>3347</v>
      </c>
      <c r="F23" s="94">
        <f>IF($A23&lt;&gt;"",E23/$B23*100,"")</f>
        <v>32.810508773649644</v>
      </c>
      <c r="G23" s="42"/>
      <c r="H23" s="567">
        <v>891</v>
      </c>
      <c r="I23" s="93"/>
      <c r="J23" s="94">
        <f t="shared" si="3"/>
        <v>8.7344378002156642</v>
      </c>
      <c r="K23" s="42"/>
      <c r="L23" s="567">
        <v>1486</v>
      </c>
      <c r="M23" s="42"/>
      <c r="N23" s="94">
        <f t="shared" si="0"/>
        <v>14.567199294186844</v>
      </c>
      <c r="O23" s="42"/>
      <c r="P23" s="567">
        <v>0</v>
      </c>
      <c r="Q23" s="93"/>
      <c r="R23" s="94">
        <f t="shared" si="4"/>
        <v>0</v>
      </c>
      <c r="S23" s="42"/>
      <c r="T23" s="567">
        <v>4477</v>
      </c>
      <c r="U23" s="93"/>
      <c r="V23" s="94">
        <f t="shared" si="5"/>
        <v>43.887854131947854</v>
      </c>
      <c r="W23" s="42"/>
      <c r="X23" s="568"/>
    </row>
    <row r="24" spans="1:24" ht="13.5" customHeight="1">
      <c r="A24" s="566"/>
      <c r="B24" s="93"/>
      <c r="C24" s="94" t="str">
        <f t="shared" si="1"/>
        <v/>
      </c>
      <c r="D24" s="42"/>
      <c r="E24" s="567"/>
      <c r="F24" s="94" t="str">
        <f t="shared" ref="F24:F37" si="6">IF($A24&lt;&gt;"",E24/$B24*100,"")</f>
        <v/>
      </c>
      <c r="G24" s="42"/>
      <c r="H24" s="567"/>
      <c r="I24" s="93"/>
      <c r="J24" s="94" t="str">
        <f t="shared" si="3"/>
        <v/>
      </c>
      <c r="K24" s="42"/>
      <c r="L24" s="567"/>
      <c r="M24" s="42"/>
      <c r="N24" s="94" t="str">
        <f t="shared" si="0"/>
        <v/>
      </c>
      <c r="O24" s="42"/>
      <c r="P24" s="567"/>
      <c r="Q24" s="93"/>
      <c r="R24" s="94" t="str">
        <f t="shared" si="4"/>
        <v/>
      </c>
      <c r="S24" s="42"/>
      <c r="T24" s="567"/>
      <c r="U24" s="93"/>
      <c r="V24" s="94" t="str">
        <f t="shared" si="5"/>
        <v/>
      </c>
      <c r="W24" s="42"/>
      <c r="X24" s="568"/>
    </row>
    <row r="25" spans="1:24" ht="19.899999999999999" customHeight="1">
      <c r="A25" s="566" t="s">
        <v>1380</v>
      </c>
      <c r="B25" s="93">
        <f t="shared" ref="B25:B37" si="7">E25+H25+L25+P25+T25</f>
        <v>3084</v>
      </c>
      <c r="C25" s="94">
        <f t="shared" si="1"/>
        <v>0.57262857683973645</v>
      </c>
      <c r="D25" s="42"/>
      <c r="E25" s="567">
        <v>2181</v>
      </c>
      <c r="F25" s="94">
        <f t="shared" si="6"/>
        <v>70.719844357976655</v>
      </c>
      <c r="G25" s="42"/>
      <c r="H25" s="567">
        <v>350</v>
      </c>
      <c r="I25" s="93"/>
      <c r="J25" s="94">
        <f t="shared" si="3"/>
        <v>11.348897535667964</v>
      </c>
      <c r="K25" s="42"/>
      <c r="L25" s="567">
        <v>0</v>
      </c>
      <c r="M25" s="42"/>
      <c r="N25" s="94">
        <f t="shared" si="0"/>
        <v>0</v>
      </c>
      <c r="O25" s="42"/>
      <c r="P25" s="567">
        <v>0</v>
      </c>
      <c r="Q25" s="93"/>
      <c r="R25" s="94">
        <f t="shared" si="4"/>
        <v>0</v>
      </c>
      <c r="S25" s="42"/>
      <c r="T25" s="567">
        <v>553</v>
      </c>
      <c r="U25" s="93"/>
      <c r="V25" s="94">
        <f t="shared" si="5"/>
        <v>17.931258106355383</v>
      </c>
      <c r="W25" s="42"/>
      <c r="X25" s="568"/>
    </row>
    <row r="26" spans="1:24" ht="13.5" customHeight="1">
      <c r="A26" s="566"/>
      <c r="B26" s="93"/>
      <c r="C26" s="94" t="str">
        <f t="shared" si="1"/>
        <v/>
      </c>
      <c r="D26" s="42"/>
      <c r="E26" s="567"/>
      <c r="F26" s="94" t="str">
        <f t="shared" si="6"/>
        <v/>
      </c>
      <c r="G26" s="42"/>
      <c r="H26" s="567"/>
      <c r="I26" s="93"/>
      <c r="J26" s="94" t="str">
        <f t="shared" si="3"/>
        <v/>
      </c>
      <c r="K26" s="42"/>
      <c r="L26" s="567"/>
      <c r="M26" s="42"/>
      <c r="N26" s="94" t="str">
        <f t="shared" si="0"/>
        <v/>
      </c>
      <c r="O26" s="42"/>
      <c r="P26" s="567"/>
      <c r="Q26" s="93"/>
      <c r="R26" s="94" t="str">
        <f t="shared" si="4"/>
        <v/>
      </c>
      <c r="S26" s="42"/>
      <c r="T26" s="567"/>
      <c r="U26" s="93"/>
      <c r="V26" s="94" t="str">
        <f t="shared" si="5"/>
        <v/>
      </c>
      <c r="W26" s="42"/>
      <c r="X26" s="568"/>
    </row>
    <row r="27" spans="1:24" ht="19.899999999999999" customHeight="1">
      <c r="A27" s="569" t="s">
        <v>1381</v>
      </c>
      <c r="B27" s="93">
        <f t="shared" si="7"/>
        <v>5627</v>
      </c>
      <c r="C27" s="94">
        <f t="shared" si="1"/>
        <v>1.0448057723337214</v>
      </c>
      <c r="D27" s="42"/>
      <c r="E27" s="567">
        <v>5193</v>
      </c>
      <c r="F27" s="94">
        <f t="shared" si="6"/>
        <v>92.287186778034481</v>
      </c>
      <c r="G27" s="42"/>
      <c r="H27" s="567">
        <v>434</v>
      </c>
      <c r="I27" s="93"/>
      <c r="J27" s="94">
        <f t="shared" si="3"/>
        <v>7.7128132219655239</v>
      </c>
      <c r="K27" s="42"/>
      <c r="L27" s="567">
        <v>0</v>
      </c>
      <c r="M27" s="42"/>
      <c r="N27" s="94">
        <f t="shared" si="0"/>
        <v>0</v>
      </c>
      <c r="O27" s="42"/>
      <c r="P27" s="567">
        <v>0</v>
      </c>
      <c r="Q27" s="93"/>
      <c r="R27" s="94">
        <f t="shared" si="4"/>
        <v>0</v>
      </c>
      <c r="S27" s="42"/>
      <c r="T27" s="567">
        <v>0</v>
      </c>
      <c r="U27" s="93"/>
      <c r="V27" s="94">
        <f t="shared" si="5"/>
        <v>0</v>
      </c>
      <c r="W27" s="42"/>
      <c r="X27" s="570"/>
    </row>
    <row r="28" spans="1:24" ht="13.5" customHeight="1">
      <c r="A28" s="566"/>
      <c r="B28" s="93"/>
      <c r="C28" s="94" t="str">
        <f t="shared" si="1"/>
        <v/>
      </c>
      <c r="D28" s="42"/>
      <c r="E28" s="567"/>
      <c r="F28" s="94" t="str">
        <f t="shared" si="6"/>
        <v/>
      </c>
      <c r="G28" s="42"/>
      <c r="H28" s="567"/>
      <c r="I28" s="93"/>
      <c r="J28" s="94" t="str">
        <f t="shared" si="3"/>
        <v/>
      </c>
      <c r="K28" s="42"/>
      <c r="L28" s="567"/>
      <c r="M28" s="42"/>
      <c r="N28" s="94" t="str">
        <f t="shared" si="0"/>
        <v/>
      </c>
      <c r="O28" s="42"/>
      <c r="P28" s="567"/>
      <c r="Q28" s="93"/>
      <c r="R28" s="94" t="str">
        <f t="shared" si="4"/>
        <v/>
      </c>
      <c r="S28" s="42"/>
      <c r="T28" s="567"/>
      <c r="U28" s="93"/>
      <c r="V28" s="94" t="str">
        <f t="shared" si="5"/>
        <v/>
      </c>
      <c r="W28" s="42"/>
      <c r="X28" s="568"/>
    </row>
    <row r="29" spans="1:24" ht="19.899999999999999" customHeight="1">
      <c r="A29" s="569" t="s">
        <v>1382</v>
      </c>
      <c r="B29" s="93">
        <f t="shared" si="7"/>
        <v>10037</v>
      </c>
      <c r="C29" s="94">
        <f t="shared" si="1"/>
        <v>1.8636423559469633</v>
      </c>
      <c r="D29" s="42"/>
      <c r="E29" s="567">
        <v>6693</v>
      </c>
      <c r="F29" s="94">
        <f t="shared" si="6"/>
        <v>66.683271893992227</v>
      </c>
      <c r="G29" s="42"/>
      <c r="H29" s="567">
        <v>2943</v>
      </c>
      <c r="I29" s="93"/>
      <c r="J29" s="94">
        <f t="shared" si="3"/>
        <v>29.321510411477529</v>
      </c>
      <c r="K29" s="42"/>
      <c r="L29" s="567">
        <v>192</v>
      </c>
      <c r="M29" s="42"/>
      <c r="N29" s="94">
        <f t="shared" si="0"/>
        <v>1.9129221879047524</v>
      </c>
      <c r="O29" s="42"/>
      <c r="P29" s="567">
        <v>79</v>
      </c>
      <c r="Q29" s="93"/>
      <c r="R29" s="94">
        <f t="shared" si="4"/>
        <v>0.78708777523164297</v>
      </c>
      <c r="S29" s="42"/>
      <c r="T29" s="567">
        <v>130</v>
      </c>
      <c r="U29" s="93"/>
      <c r="V29" s="94">
        <f t="shared" si="5"/>
        <v>1.2952077313938428</v>
      </c>
      <c r="W29" s="42"/>
      <c r="X29" s="570"/>
    </row>
    <row r="30" spans="1:24" ht="13.5" customHeight="1">
      <c r="A30" s="566"/>
      <c r="B30" s="93"/>
      <c r="C30" s="94" t="str">
        <f t="shared" si="1"/>
        <v/>
      </c>
      <c r="D30" s="42"/>
      <c r="E30" s="567"/>
      <c r="F30" s="94" t="str">
        <f t="shared" si="6"/>
        <v/>
      </c>
      <c r="G30" s="42"/>
      <c r="H30" s="567"/>
      <c r="I30" s="93"/>
      <c r="J30" s="94" t="str">
        <f t="shared" si="3"/>
        <v/>
      </c>
      <c r="K30" s="42"/>
      <c r="L30" s="567"/>
      <c r="M30" s="42"/>
      <c r="N30" s="94" t="str">
        <f t="shared" si="0"/>
        <v/>
      </c>
      <c r="O30" s="42"/>
      <c r="P30" s="567"/>
      <c r="Q30" s="93"/>
      <c r="R30" s="94" t="str">
        <f t="shared" si="4"/>
        <v/>
      </c>
      <c r="S30" s="42"/>
      <c r="T30" s="567"/>
      <c r="U30" s="93"/>
      <c r="V30" s="94" t="str">
        <f t="shared" si="5"/>
        <v/>
      </c>
      <c r="W30" s="42"/>
      <c r="X30" s="568"/>
    </row>
    <row r="31" spans="1:24" ht="19.899999999999999" customHeight="1">
      <c r="A31" s="569" t="s">
        <v>1383</v>
      </c>
      <c r="B31" s="93">
        <f t="shared" si="7"/>
        <v>4850</v>
      </c>
      <c r="C31" s="94">
        <f t="shared" si="1"/>
        <v>0.90053456474472171</v>
      </c>
      <c r="D31" s="42"/>
      <c r="E31" s="567">
        <v>4008</v>
      </c>
      <c r="F31" s="94">
        <f t="shared" si="6"/>
        <v>82.639175257731949</v>
      </c>
      <c r="G31" s="42"/>
      <c r="H31" s="567">
        <v>664</v>
      </c>
      <c r="I31" s="93"/>
      <c r="J31" s="94">
        <f t="shared" si="3"/>
        <v>13.690721649484535</v>
      </c>
      <c r="K31" s="42"/>
      <c r="L31" s="567">
        <v>0</v>
      </c>
      <c r="M31" s="42"/>
      <c r="N31" s="94">
        <f t="shared" si="0"/>
        <v>0</v>
      </c>
      <c r="O31" s="42"/>
      <c r="P31" s="567">
        <v>0</v>
      </c>
      <c r="Q31" s="93"/>
      <c r="R31" s="94">
        <f t="shared" si="4"/>
        <v>0</v>
      </c>
      <c r="S31" s="42"/>
      <c r="T31" s="567">
        <v>178</v>
      </c>
      <c r="U31" s="93"/>
      <c r="V31" s="94">
        <f t="shared" si="5"/>
        <v>3.6701030927835054</v>
      </c>
      <c r="W31" s="42"/>
      <c r="X31" s="570"/>
    </row>
    <row r="32" spans="1:24" ht="13.5" customHeight="1">
      <c r="A32" s="569"/>
      <c r="B32" s="93"/>
      <c r="C32" s="94" t="str">
        <f t="shared" si="1"/>
        <v/>
      </c>
      <c r="D32" s="42"/>
      <c r="E32" s="567"/>
      <c r="F32" s="94" t="str">
        <f t="shared" si="6"/>
        <v/>
      </c>
      <c r="G32" s="42"/>
      <c r="H32" s="567"/>
      <c r="I32" s="93"/>
      <c r="J32" s="94" t="str">
        <f t="shared" si="3"/>
        <v/>
      </c>
      <c r="K32" s="42"/>
      <c r="L32" s="567"/>
      <c r="M32" s="42"/>
      <c r="N32" s="94" t="str">
        <f t="shared" si="0"/>
        <v/>
      </c>
      <c r="O32" s="42"/>
      <c r="P32" s="567"/>
      <c r="Q32" s="93"/>
      <c r="R32" s="94" t="str">
        <f t="shared" si="4"/>
        <v/>
      </c>
      <c r="S32" s="42"/>
      <c r="T32" s="567"/>
      <c r="U32" s="93"/>
      <c r="V32" s="94" t="str">
        <f t="shared" si="5"/>
        <v/>
      </c>
      <c r="W32" s="42"/>
      <c r="X32" s="570"/>
    </row>
    <row r="33" spans="1:24" ht="19.899999999999999" customHeight="1">
      <c r="A33" s="569" t="s">
        <v>1384</v>
      </c>
      <c r="B33" s="93">
        <f t="shared" si="7"/>
        <v>486</v>
      </c>
      <c r="C33" s="94">
        <f t="shared" si="1"/>
        <v>9.0239133704316438E-2</v>
      </c>
      <c r="D33" s="42"/>
      <c r="E33" s="567">
        <v>245</v>
      </c>
      <c r="F33" s="94">
        <f t="shared" si="6"/>
        <v>50.411522633744852</v>
      </c>
      <c r="G33" s="42"/>
      <c r="H33" s="567">
        <v>211</v>
      </c>
      <c r="I33" s="93"/>
      <c r="J33" s="94">
        <f t="shared" si="3"/>
        <v>43.415637860082306</v>
      </c>
      <c r="K33" s="42"/>
      <c r="L33" s="567">
        <v>0</v>
      </c>
      <c r="M33" s="42"/>
      <c r="N33" s="94">
        <f t="shared" si="0"/>
        <v>0</v>
      </c>
      <c r="O33" s="42"/>
      <c r="P33" s="567">
        <v>0</v>
      </c>
      <c r="Q33" s="93"/>
      <c r="R33" s="94">
        <f t="shared" si="4"/>
        <v>0</v>
      </c>
      <c r="S33" s="42"/>
      <c r="T33" s="567">
        <v>30</v>
      </c>
      <c r="U33" s="93"/>
      <c r="V33" s="94">
        <f t="shared" si="5"/>
        <v>6.1728395061728394</v>
      </c>
      <c r="W33" s="42"/>
      <c r="X33" s="570"/>
    </row>
    <row r="34" spans="1:24" ht="13.5" customHeight="1">
      <c r="A34" s="569"/>
      <c r="B34" s="93"/>
      <c r="C34" s="94" t="str">
        <f t="shared" si="1"/>
        <v/>
      </c>
      <c r="D34" s="42"/>
      <c r="E34" s="567"/>
      <c r="F34" s="94" t="str">
        <f t="shared" si="6"/>
        <v/>
      </c>
      <c r="G34" s="42"/>
      <c r="H34" s="567"/>
      <c r="I34" s="93"/>
      <c r="J34" s="94" t="str">
        <f t="shared" si="3"/>
        <v/>
      </c>
      <c r="K34" s="42"/>
      <c r="L34" s="567"/>
      <c r="M34" s="42"/>
      <c r="N34" s="94" t="str">
        <f t="shared" si="0"/>
        <v/>
      </c>
      <c r="O34" s="42"/>
      <c r="P34" s="567"/>
      <c r="Q34" s="93"/>
      <c r="R34" s="94" t="str">
        <f t="shared" si="4"/>
        <v/>
      </c>
      <c r="S34" s="42"/>
      <c r="T34" s="567"/>
      <c r="U34" s="93"/>
      <c r="V34" s="94" t="str">
        <f t="shared" si="5"/>
        <v/>
      </c>
      <c r="W34" s="42"/>
      <c r="X34" s="570"/>
    </row>
    <row r="35" spans="1:24" ht="19.899999999999999" customHeight="1">
      <c r="A35" s="569" t="s">
        <v>1385</v>
      </c>
      <c r="B35" s="93">
        <f t="shared" si="7"/>
        <v>209</v>
      </c>
      <c r="C35" s="94">
        <f t="shared" si="1"/>
        <v>3.8806541037452957E-2</v>
      </c>
      <c r="D35" s="42"/>
      <c r="E35" s="567">
        <v>140</v>
      </c>
      <c r="F35" s="94">
        <f t="shared" si="6"/>
        <v>66.985645933014354</v>
      </c>
      <c r="G35" s="42"/>
      <c r="H35" s="567">
        <v>17</v>
      </c>
      <c r="I35" s="93"/>
      <c r="J35" s="94">
        <f t="shared" si="3"/>
        <v>8.133971291866029</v>
      </c>
      <c r="K35" s="42"/>
      <c r="L35" s="567">
        <v>0</v>
      </c>
      <c r="M35" s="42"/>
      <c r="N35" s="94">
        <f t="shared" si="0"/>
        <v>0</v>
      </c>
      <c r="O35" s="42"/>
      <c r="P35" s="567">
        <v>12</v>
      </c>
      <c r="Q35" s="93"/>
      <c r="R35" s="94">
        <f t="shared" si="4"/>
        <v>5.741626794258373</v>
      </c>
      <c r="S35" s="42"/>
      <c r="T35" s="567">
        <v>40</v>
      </c>
      <c r="U35" s="93"/>
      <c r="V35" s="94">
        <f t="shared" si="5"/>
        <v>19.138755980861244</v>
      </c>
      <c r="W35" s="42"/>
      <c r="X35" s="570"/>
    </row>
    <row r="36" spans="1:24" ht="13.5" customHeight="1">
      <c r="A36" s="569"/>
      <c r="B36" s="93"/>
      <c r="C36" s="94"/>
      <c r="D36" s="42"/>
      <c r="E36" s="93"/>
      <c r="F36" s="93"/>
      <c r="G36" s="42"/>
      <c r="H36" s="567"/>
      <c r="I36" s="93"/>
      <c r="J36" s="94" t="str">
        <f t="shared" si="3"/>
        <v/>
      </c>
      <c r="K36" s="42"/>
      <c r="L36" s="567"/>
      <c r="M36" s="42"/>
      <c r="N36" s="94" t="str">
        <f t="shared" si="0"/>
        <v/>
      </c>
      <c r="O36" s="42"/>
      <c r="P36" s="567"/>
      <c r="Q36" s="93"/>
      <c r="R36" s="94" t="str">
        <f t="shared" si="4"/>
        <v/>
      </c>
      <c r="S36" s="42"/>
      <c r="T36" s="567"/>
      <c r="U36" s="93"/>
      <c r="V36" s="94" t="str">
        <f t="shared" si="5"/>
        <v/>
      </c>
      <c r="W36" s="42"/>
      <c r="X36" s="570"/>
    </row>
    <row r="37" spans="1:24" ht="16.5" customHeight="1">
      <c r="A37" s="279" t="s">
        <v>1386</v>
      </c>
      <c r="B37" s="93">
        <f t="shared" si="7"/>
        <v>4908</v>
      </c>
      <c r="C37" s="94">
        <f t="shared" si="1"/>
        <v>0.91130384407568954</v>
      </c>
      <c r="D37" s="42"/>
      <c r="E37" s="93">
        <v>2440</v>
      </c>
      <c r="F37" s="94">
        <f t="shared" si="6"/>
        <v>49.71475142624287</v>
      </c>
      <c r="G37" s="42"/>
      <c r="H37" s="93">
        <v>2298</v>
      </c>
      <c r="I37" s="93"/>
      <c r="J37" s="94">
        <f t="shared" si="3"/>
        <v>46.821515892420543</v>
      </c>
      <c r="K37" s="42"/>
      <c r="L37" s="93">
        <v>0</v>
      </c>
      <c r="M37" s="42"/>
      <c r="N37" s="94">
        <f t="shared" si="0"/>
        <v>0</v>
      </c>
      <c r="O37" s="42"/>
      <c r="P37" s="93">
        <v>0</v>
      </c>
      <c r="Q37" s="93"/>
      <c r="R37" s="93">
        <f t="shared" si="4"/>
        <v>0</v>
      </c>
      <c r="S37" s="93"/>
      <c r="T37" s="93">
        <v>170</v>
      </c>
      <c r="U37" s="93"/>
      <c r="V37" s="94">
        <f t="shared" si="5"/>
        <v>3.4637326813365932</v>
      </c>
      <c r="W37" s="42"/>
      <c r="X37" s="570"/>
    </row>
    <row r="38" spans="1:24" ht="13.5" customHeight="1" thickBot="1">
      <c r="A38" s="42"/>
      <c r="B38" s="93"/>
      <c r="C38" s="42"/>
      <c r="D38" s="42"/>
      <c r="E38" s="93"/>
      <c r="F38" s="42"/>
      <c r="G38" s="42"/>
      <c r="H38" s="93"/>
      <c r="I38" s="93"/>
      <c r="J38" s="42"/>
      <c r="K38" s="42"/>
      <c r="L38" s="93"/>
      <c r="M38" s="42"/>
      <c r="N38" s="42"/>
      <c r="O38" s="42"/>
      <c r="P38" s="93"/>
      <c r="Q38" s="93"/>
      <c r="R38" s="42"/>
      <c r="S38" s="42"/>
      <c r="T38" s="93"/>
      <c r="U38" s="93"/>
      <c r="V38" s="42"/>
      <c r="W38" s="42"/>
    </row>
    <row r="39" spans="1:24">
      <c r="A39" s="237"/>
      <c r="B39" s="238"/>
      <c r="C39" s="237"/>
      <c r="D39" s="237"/>
      <c r="E39" s="238"/>
      <c r="F39" s="237"/>
      <c r="G39" s="237"/>
      <c r="H39" s="238"/>
      <c r="I39" s="238"/>
      <c r="J39" s="237"/>
      <c r="K39" s="237"/>
      <c r="L39" s="238"/>
      <c r="M39" s="237"/>
      <c r="N39" s="237"/>
      <c r="O39" s="237"/>
      <c r="P39" s="238"/>
      <c r="Q39" s="238"/>
      <c r="R39" s="237"/>
      <c r="S39" s="237"/>
      <c r="T39" s="238"/>
      <c r="U39" s="238"/>
      <c r="V39" s="237"/>
      <c r="W39" s="237"/>
    </row>
    <row r="40" spans="1:24">
      <c r="A40" s="256" t="s">
        <v>1387</v>
      </c>
      <c r="B40" s="93"/>
      <c r="C40" s="42"/>
      <c r="D40" s="42"/>
      <c r="E40" s="93"/>
      <c r="F40" s="42"/>
      <c r="G40" s="42"/>
      <c r="H40" s="93"/>
      <c r="I40" s="93"/>
      <c r="J40" s="42"/>
      <c r="K40" s="42"/>
      <c r="L40" s="93"/>
      <c r="M40" s="42"/>
      <c r="N40" s="42"/>
      <c r="O40" s="42"/>
      <c r="P40" s="42"/>
      <c r="Q40" s="42"/>
      <c r="R40" s="42"/>
      <c r="S40" s="42"/>
      <c r="T40" s="42"/>
      <c r="U40" s="42"/>
      <c r="V40" s="42"/>
      <c r="W40" s="42"/>
    </row>
    <row r="41" spans="1:24">
      <c r="A41" s="256" t="s">
        <v>1388</v>
      </c>
      <c r="B41" s="93"/>
      <c r="C41" s="42"/>
      <c r="D41" s="42"/>
      <c r="E41" s="93"/>
      <c r="F41" s="42"/>
      <c r="G41" s="42"/>
      <c r="H41" s="93"/>
      <c r="I41" s="93"/>
      <c r="J41" s="42"/>
      <c r="K41" s="42"/>
      <c r="L41" s="93"/>
      <c r="M41" s="42"/>
      <c r="N41" s="42"/>
      <c r="O41" s="42"/>
      <c r="P41" s="42"/>
      <c r="Q41" s="42"/>
      <c r="R41" s="42"/>
      <c r="S41" s="42"/>
      <c r="T41" s="42"/>
      <c r="U41" s="42"/>
      <c r="V41" s="42"/>
      <c r="W41" s="42"/>
    </row>
    <row r="42" spans="1:24">
      <c r="A42" s="256" t="s">
        <v>1389</v>
      </c>
      <c r="B42" s="93"/>
      <c r="C42" s="42"/>
      <c r="D42" s="42"/>
      <c r="E42" s="93"/>
      <c r="F42" s="42"/>
      <c r="G42" s="42"/>
      <c r="H42" s="93"/>
      <c r="I42" s="93"/>
      <c r="J42" s="42"/>
      <c r="K42" s="42"/>
      <c r="L42" s="93"/>
      <c r="M42" s="42"/>
      <c r="N42" s="42"/>
      <c r="O42" s="42"/>
      <c r="P42" s="42"/>
      <c r="Q42" s="42"/>
      <c r="R42" s="42"/>
      <c r="S42" s="42"/>
      <c r="T42" s="42"/>
      <c r="U42" s="42"/>
      <c r="V42" s="42"/>
      <c r="W42" s="42"/>
    </row>
    <row r="43" spans="1:24">
      <c r="A43" s="42" t="s">
        <v>1390</v>
      </c>
      <c r="B43" s="93"/>
      <c r="C43" s="42"/>
      <c r="D43" s="42"/>
      <c r="E43" s="93"/>
      <c r="F43" s="42"/>
      <c r="G43" s="42"/>
      <c r="H43" s="93"/>
      <c r="I43" s="93"/>
      <c r="J43" s="42"/>
      <c r="K43" s="42"/>
      <c r="L43" s="93"/>
      <c r="M43" s="42"/>
      <c r="N43" s="42"/>
      <c r="O43" s="42"/>
      <c r="P43" s="42"/>
      <c r="Q43" s="42"/>
      <c r="R43" s="42"/>
      <c r="S43" s="42"/>
      <c r="T43" s="42"/>
      <c r="U43" s="42"/>
      <c r="V43" s="42"/>
      <c r="W43" s="42"/>
    </row>
    <row r="44" spans="1:24">
      <c r="A44" s="256" t="s">
        <v>1391</v>
      </c>
      <c r="B44" s="93"/>
      <c r="C44" s="42"/>
      <c r="D44" s="42"/>
      <c r="E44" s="93"/>
      <c r="F44" s="42"/>
      <c r="G44" s="42"/>
      <c r="H44" s="93"/>
      <c r="I44" s="93"/>
      <c r="J44" s="42"/>
      <c r="K44" s="42"/>
      <c r="L44" s="93"/>
      <c r="M44" s="42"/>
      <c r="N44" s="42"/>
      <c r="O44" s="42"/>
      <c r="P44" s="42"/>
      <c r="Q44" s="42"/>
      <c r="R44" s="42"/>
      <c r="S44" s="42"/>
      <c r="T44" s="42"/>
      <c r="U44" s="42"/>
      <c r="V44" s="42"/>
      <c r="W44" s="42"/>
    </row>
    <row r="45" spans="1:24">
      <c r="A45" s="42" t="s">
        <v>1392</v>
      </c>
      <c r="B45" s="93"/>
      <c r="C45" s="42"/>
      <c r="D45" s="42"/>
      <c r="E45" s="93"/>
      <c r="F45" s="42"/>
      <c r="G45" s="42"/>
      <c r="H45" s="93"/>
      <c r="I45" s="93"/>
      <c r="J45" s="42"/>
      <c r="K45" s="42"/>
      <c r="L45" s="93"/>
      <c r="M45" s="42"/>
      <c r="N45" s="42"/>
      <c r="O45" s="42"/>
      <c r="P45" s="42"/>
      <c r="Q45" s="42"/>
      <c r="R45" s="42"/>
      <c r="S45" s="42"/>
      <c r="T45" s="42"/>
      <c r="U45" s="42"/>
      <c r="V45" s="42"/>
      <c r="W45" s="42"/>
    </row>
    <row r="46" spans="1:24">
      <c r="A46" s="256" t="s">
        <v>1393</v>
      </c>
      <c r="B46" s="93"/>
      <c r="C46" s="42"/>
      <c r="D46" s="42"/>
      <c r="E46" s="93"/>
      <c r="F46" s="42"/>
      <c r="G46" s="42"/>
      <c r="H46" s="93"/>
      <c r="I46" s="93"/>
      <c r="J46" s="42"/>
      <c r="K46" s="42"/>
      <c r="L46" s="93"/>
      <c r="M46" s="42"/>
      <c r="N46" s="42"/>
      <c r="O46" s="42"/>
      <c r="P46" s="42"/>
      <c r="Q46" s="42"/>
      <c r="R46" s="42"/>
      <c r="S46" s="42"/>
      <c r="T46" s="42"/>
      <c r="U46" s="42"/>
      <c r="V46" s="42"/>
      <c r="W46" s="42"/>
    </row>
    <row r="47" spans="1:24">
      <c r="A47" s="256" t="s">
        <v>1394</v>
      </c>
      <c r="B47" s="93"/>
      <c r="C47" s="42"/>
      <c r="D47" s="42"/>
      <c r="E47" s="93"/>
      <c r="F47" s="42"/>
      <c r="G47" s="42"/>
      <c r="H47" s="93"/>
      <c r="I47" s="93"/>
      <c r="J47" s="42"/>
      <c r="K47" s="42"/>
      <c r="L47" s="93"/>
      <c r="M47" s="42"/>
      <c r="N47" s="42"/>
      <c r="O47" s="42"/>
      <c r="P47" s="42"/>
      <c r="Q47" s="42"/>
      <c r="R47" s="42"/>
      <c r="S47" s="42"/>
      <c r="T47" s="42"/>
      <c r="U47" s="42"/>
      <c r="V47" s="42"/>
      <c r="W47" s="42"/>
    </row>
    <row r="48" spans="1:24">
      <c r="A48" s="42"/>
      <c r="B48" s="93"/>
      <c r="C48" s="42"/>
      <c r="D48" s="42"/>
      <c r="E48" s="93"/>
      <c r="F48" s="42"/>
      <c r="G48" s="42"/>
      <c r="H48" s="93"/>
      <c r="I48" s="93"/>
      <c r="J48" s="42"/>
      <c r="K48" s="42"/>
      <c r="L48" s="93"/>
      <c r="M48" s="42"/>
      <c r="N48" s="42"/>
      <c r="O48" s="42"/>
      <c r="P48" s="42"/>
      <c r="Q48" s="42"/>
      <c r="R48" s="42"/>
      <c r="S48" s="42"/>
      <c r="T48" s="42"/>
      <c r="U48" s="42"/>
      <c r="V48" s="42"/>
      <c r="W48" s="42"/>
    </row>
    <row r="49" spans="1:23">
      <c r="A49" s="42" t="s">
        <v>1395</v>
      </c>
      <c r="B49" s="93"/>
      <c r="C49" s="42"/>
      <c r="D49" s="42"/>
      <c r="E49" s="93"/>
      <c r="F49" s="42"/>
      <c r="G49" s="42"/>
      <c r="H49" s="93"/>
      <c r="I49" s="93"/>
      <c r="J49" s="42"/>
      <c r="K49" s="42"/>
      <c r="L49" s="93"/>
      <c r="M49" s="42"/>
      <c r="N49" s="42"/>
      <c r="O49" s="42"/>
      <c r="P49" s="42"/>
      <c r="Q49" s="42"/>
      <c r="R49" s="42"/>
      <c r="S49" s="42"/>
      <c r="T49" s="42"/>
      <c r="U49" s="42"/>
      <c r="V49" s="42"/>
      <c r="W49" s="42"/>
    </row>
    <row r="50" spans="1:23">
      <c r="A50" s="42" t="s">
        <v>1396</v>
      </c>
      <c r="B50" s="93"/>
      <c r="C50" s="42"/>
      <c r="D50" s="42"/>
      <c r="E50" s="93"/>
      <c r="F50" s="42"/>
      <c r="G50" s="42"/>
      <c r="H50" s="93"/>
      <c r="I50" s="93"/>
      <c r="J50" s="42"/>
      <c r="K50" s="42"/>
      <c r="L50" s="93"/>
      <c r="M50" s="42"/>
      <c r="N50" s="42"/>
      <c r="O50" s="42"/>
      <c r="P50" s="42"/>
      <c r="Q50" s="42"/>
      <c r="R50" s="42"/>
      <c r="S50" s="42"/>
      <c r="T50" s="42"/>
      <c r="U50" s="42"/>
      <c r="V50" s="42"/>
      <c r="W50" s="42"/>
    </row>
    <row r="51" spans="1:23">
      <c r="A51" s="42"/>
      <c r="B51" s="93"/>
      <c r="C51" s="42"/>
      <c r="D51" s="42"/>
      <c r="E51" s="93"/>
      <c r="F51" s="42"/>
      <c r="G51" s="42"/>
      <c r="H51" s="93"/>
      <c r="I51" s="93"/>
      <c r="J51" s="42"/>
      <c r="K51" s="42"/>
      <c r="L51" s="93"/>
      <c r="M51" s="42"/>
      <c r="N51" s="42"/>
      <c r="O51" s="42"/>
      <c r="P51" s="42"/>
      <c r="Q51" s="42"/>
      <c r="R51" s="42"/>
      <c r="S51" s="42"/>
      <c r="T51" s="42"/>
      <c r="U51" s="42"/>
      <c r="V51" s="42"/>
      <c r="W51" s="42"/>
    </row>
    <row r="55" spans="1:23">
      <c r="F55" t="s">
        <v>253</v>
      </c>
    </row>
  </sheetData>
  <mergeCells count="5">
    <mergeCell ref="E7:F7"/>
    <mergeCell ref="H7:J7"/>
    <mergeCell ref="L7:N7"/>
    <mergeCell ref="P7:R7"/>
    <mergeCell ref="T7:V7"/>
  </mergeCells>
  <printOptions horizontalCentered="1" verticalCentered="1"/>
  <pageMargins left="0" right="0" top="0" bottom="0" header="0.31496062992125984" footer="0.31496062992125984"/>
  <pageSetup paperSize="9" scale="60" orientation="landscape" r:id="rId1"/>
  <drawing r:id="rId2"/>
</worksheet>
</file>

<file path=xl/worksheets/sheet75.xml><?xml version="1.0" encoding="utf-8"?>
<worksheet xmlns="http://schemas.openxmlformats.org/spreadsheetml/2006/main" xmlns:r="http://schemas.openxmlformats.org/officeDocument/2006/relationships">
  <sheetPr>
    <tabColor theme="5" tint="0.59999389629810485"/>
  </sheetPr>
  <dimension ref="B1:V41"/>
  <sheetViews>
    <sheetView workbookViewId="0">
      <selection activeCell="K23" sqref="K23"/>
    </sheetView>
  </sheetViews>
  <sheetFormatPr baseColWidth="10" defaultRowHeight="15"/>
  <cols>
    <col min="9" max="10" width="11.5703125" bestFit="1" customWidth="1"/>
    <col min="11" max="11" width="12.42578125" bestFit="1" customWidth="1"/>
    <col min="12" max="13" width="11.5703125" bestFit="1" customWidth="1"/>
    <col min="265" max="266" width="11.5703125" bestFit="1" customWidth="1"/>
    <col min="267" max="267" width="12.42578125" bestFit="1" customWidth="1"/>
    <col min="268" max="269" width="11.5703125" bestFit="1" customWidth="1"/>
    <col min="521" max="522" width="11.5703125" bestFit="1" customWidth="1"/>
    <col min="523" max="523" width="12.42578125" bestFit="1" customWidth="1"/>
    <col min="524" max="525" width="11.5703125" bestFit="1" customWidth="1"/>
    <col min="777" max="778" width="11.5703125" bestFit="1" customWidth="1"/>
    <col min="779" max="779" width="12.42578125" bestFit="1" customWidth="1"/>
    <col min="780" max="781" width="11.5703125" bestFit="1" customWidth="1"/>
    <col min="1033" max="1034" width="11.5703125" bestFit="1" customWidth="1"/>
    <col min="1035" max="1035" width="12.42578125" bestFit="1" customWidth="1"/>
    <col min="1036" max="1037" width="11.5703125" bestFit="1" customWidth="1"/>
    <col min="1289" max="1290" width="11.5703125" bestFit="1" customWidth="1"/>
    <col min="1291" max="1291" width="12.42578125" bestFit="1" customWidth="1"/>
    <col min="1292" max="1293" width="11.5703125" bestFit="1" customWidth="1"/>
    <col min="1545" max="1546" width="11.5703125" bestFit="1" customWidth="1"/>
    <col min="1547" max="1547" width="12.42578125" bestFit="1" customWidth="1"/>
    <col min="1548" max="1549" width="11.5703125" bestFit="1" customWidth="1"/>
    <col min="1801" max="1802" width="11.5703125" bestFit="1" customWidth="1"/>
    <col min="1803" max="1803" width="12.42578125" bestFit="1" customWidth="1"/>
    <col min="1804" max="1805" width="11.5703125" bestFit="1" customWidth="1"/>
    <col min="2057" max="2058" width="11.5703125" bestFit="1" customWidth="1"/>
    <col min="2059" max="2059" width="12.42578125" bestFit="1" customWidth="1"/>
    <col min="2060" max="2061" width="11.5703125" bestFit="1" customWidth="1"/>
    <col min="2313" max="2314" width="11.5703125" bestFit="1" customWidth="1"/>
    <col min="2315" max="2315" width="12.42578125" bestFit="1" customWidth="1"/>
    <col min="2316" max="2317" width="11.5703125" bestFit="1" customWidth="1"/>
    <col min="2569" max="2570" width="11.5703125" bestFit="1" customWidth="1"/>
    <col min="2571" max="2571" width="12.42578125" bestFit="1" customWidth="1"/>
    <col min="2572" max="2573" width="11.5703125" bestFit="1" customWidth="1"/>
    <col min="2825" max="2826" width="11.5703125" bestFit="1" customWidth="1"/>
    <col min="2827" max="2827" width="12.42578125" bestFit="1" customWidth="1"/>
    <col min="2828" max="2829" width="11.5703125" bestFit="1" customWidth="1"/>
    <col min="3081" max="3082" width="11.5703125" bestFit="1" customWidth="1"/>
    <col min="3083" max="3083" width="12.42578125" bestFit="1" customWidth="1"/>
    <col min="3084" max="3085" width="11.5703125" bestFit="1" customWidth="1"/>
    <col min="3337" max="3338" width="11.5703125" bestFit="1" customWidth="1"/>
    <col min="3339" max="3339" width="12.42578125" bestFit="1" customWidth="1"/>
    <col min="3340" max="3341" width="11.5703125" bestFit="1" customWidth="1"/>
    <col min="3593" max="3594" width="11.5703125" bestFit="1" customWidth="1"/>
    <col min="3595" max="3595" width="12.42578125" bestFit="1" customWidth="1"/>
    <col min="3596" max="3597" width="11.5703125" bestFit="1" customWidth="1"/>
    <col min="3849" max="3850" width="11.5703125" bestFit="1" customWidth="1"/>
    <col min="3851" max="3851" width="12.42578125" bestFit="1" customWidth="1"/>
    <col min="3852" max="3853" width="11.5703125" bestFit="1" customWidth="1"/>
    <col min="4105" max="4106" width="11.5703125" bestFit="1" customWidth="1"/>
    <col min="4107" max="4107" width="12.42578125" bestFit="1" customWidth="1"/>
    <col min="4108" max="4109" width="11.5703125" bestFit="1" customWidth="1"/>
    <col min="4361" max="4362" width="11.5703125" bestFit="1" customWidth="1"/>
    <col min="4363" max="4363" width="12.42578125" bestFit="1" customWidth="1"/>
    <col min="4364" max="4365" width="11.5703125" bestFit="1" customWidth="1"/>
    <col min="4617" max="4618" width="11.5703125" bestFit="1" customWidth="1"/>
    <col min="4619" max="4619" width="12.42578125" bestFit="1" customWidth="1"/>
    <col min="4620" max="4621" width="11.5703125" bestFit="1" customWidth="1"/>
    <col min="4873" max="4874" width="11.5703125" bestFit="1" customWidth="1"/>
    <col min="4875" max="4875" width="12.42578125" bestFit="1" customWidth="1"/>
    <col min="4876" max="4877" width="11.5703125" bestFit="1" customWidth="1"/>
    <col min="5129" max="5130" width="11.5703125" bestFit="1" customWidth="1"/>
    <col min="5131" max="5131" width="12.42578125" bestFit="1" customWidth="1"/>
    <col min="5132" max="5133" width="11.5703125" bestFit="1" customWidth="1"/>
    <col min="5385" max="5386" width="11.5703125" bestFit="1" customWidth="1"/>
    <col min="5387" max="5387" width="12.42578125" bestFit="1" customWidth="1"/>
    <col min="5388" max="5389" width="11.5703125" bestFit="1" customWidth="1"/>
    <col min="5641" max="5642" width="11.5703125" bestFit="1" customWidth="1"/>
    <col min="5643" max="5643" width="12.42578125" bestFit="1" customWidth="1"/>
    <col min="5644" max="5645" width="11.5703125" bestFit="1" customWidth="1"/>
    <col min="5897" max="5898" width="11.5703125" bestFit="1" customWidth="1"/>
    <col min="5899" max="5899" width="12.42578125" bestFit="1" customWidth="1"/>
    <col min="5900" max="5901" width="11.5703125" bestFit="1" customWidth="1"/>
    <col min="6153" max="6154" width="11.5703125" bestFit="1" customWidth="1"/>
    <col min="6155" max="6155" width="12.42578125" bestFit="1" customWidth="1"/>
    <col min="6156" max="6157" width="11.5703125" bestFit="1" customWidth="1"/>
    <col min="6409" max="6410" width="11.5703125" bestFit="1" customWidth="1"/>
    <col min="6411" max="6411" width="12.42578125" bestFit="1" customWidth="1"/>
    <col min="6412" max="6413" width="11.5703125" bestFit="1" customWidth="1"/>
    <col min="6665" max="6666" width="11.5703125" bestFit="1" customWidth="1"/>
    <col min="6667" max="6667" width="12.42578125" bestFit="1" customWidth="1"/>
    <col min="6668" max="6669" width="11.5703125" bestFit="1" customWidth="1"/>
    <col min="6921" max="6922" width="11.5703125" bestFit="1" customWidth="1"/>
    <col min="6923" max="6923" width="12.42578125" bestFit="1" customWidth="1"/>
    <col min="6924" max="6925" width="11.5703125" bestFit="1" customWidth="1"/>
    <col min="7177" max="7178" width="11.5703125" bestFit="1" customWidth="1"/>
    <col min="7179" max="7179" width="12.42578125" bestFit="1" customWidth="1"/>
    <col min="7180" max="7181" width="11.5703125" bestFit="1" customWidth="1"/>
    <col min="7433" max="7434" width="11.5703125" bestFit="1" customWidth="1"/>
    <col min="7435" max="7435" width="12.42578125" bestFit="1" customWidth="1"/>
    <col min="7436" max="7437" width="11.5703125" bestFit="1" customWidth="1"/>
    <col min="7689" max="7690" width="11.5703125" bestFit="1" customWidth="1"/>
    <col min="7691" max="7691" width="12.42578125" bestFit="1" customWidth="1"/>
    <col min="7692" max="7693" width="11.5703125" bestFit="1" customWidth="1"/>
    <col min="7945" max="7946" width="11.5703125" bestFit="1" customWidth="1"/>
    <col min="7947" max="7947" width="12.42578125" bestFit="1" customWidth="1"/>
    <col min="7948" max="7949" width="11.5703125" bestFit="1" customWidth="1"/>
    <col min="8201" max="8202" width="11.5703125" bestFit="1" customWidth="1"/>
    <col min="8203" max="8203" width="12.42578125" bestFit="1" customWidth="1"/>
    <col min="8204" max="8205" width="11.5703125" bestFit="1" customWidth="1"/>
    <col min="8457" max="8458" width="11.5703125" bestFit="1" customWidth="1"/>
    <col min="8459" max="8459" width="12.42578125" bestFit="1" customWidth="1"/>
    <col min="8460" max="8461" width="11.5703125" bestFit="1" customWidth="1"/>
    <col min="8713" max="8714" width="11.5703125" bestFit="1" customWidth="1"/>
    <col min="8715" max="8715" width="12.42578125" bestFit="1" customWidth="1"/>
    <col min="8716" max="8717" width="11.5703125" bestFit="1" customWidth="1"/>
    <col min="8969" max="8970" width="11.5703125" bestFit="1" customWidth="1"/>
    <col min="8971" max="8971" width="12.42578125" bestFit="1" customWidth="1"/>
    <col min="8972" max="8973" width="11.5703125" bestFit="1" customWidth="1"/>
    <col min="9225" max="9226" width="11.5703125" bestFit="1" customWidth="1"/>
    <col min="9227" max="9227" width="12.42578125" bestFit="1" customWidth="1"/>
    <col min="9228" max="9229" width="11.5703125" bestFit="1" customWidth="1"/>
    <col min="9481" max="9482" width="11.5703125" bestFit="1" customWidth="1"/>
    <col min="9483" max="9483" width="12.42578125" bestFit="1" customWidth="1"/>
    <col min="9484" max="9485" width="11.5703125" bestFit="1" customWidth="1"/>
    <col min="9737" max="9738" width="11.5703125" bestFit="1" customWidth="1"/>
    <col min="9739" max="9739" width="12.42578125" bestFit="1" customWidth="1"/>
    <col min="9740" max="9741" width="11.5703125" bestFit="1" customWidth="1"/>
    <col min="9993" max="9994" width="11.5703125" bestFit="1" customWidth="1"/>
    <col min="9995" max="9995" width="12.42578125" bestFit="1" customWidth="1"/>
    <col min="9996" max="9997" width="11.5703125" bestFit="1" customWidth="1"/>
    <col min="10249" max="10250" width="11.5703125" bestFit="1" customWidth="1"/>
    <col min="10251" max="10251" width="12.42578125" bestFit="1" customWidth="1"/>
    <col min="10252" max="10253" width="11.5703125" bestFit="1" customWidth="1"/>
    <col min="10505" max="10506" width="11.5703125" bestFit="1" customWidth="1"/>
    <col min="10507" max="10507" width="12.42578125" bestFit="1" customWidth="1"/>
    <col min="10508" max="10509" width="11.5703125" bestFit="1" customWidth="1"/>
    <col min="10761" max="10762" width="11.5703125" bestFit="1" customWidth="1"/>
    <col min="10763" max="10763" width="12.42578125" bestFit="1" customWidth="1"/>
    <col min="10764" max="10765" width="11.5703125" bestFit="1" customWidth="1"/>
    <col min="11017" max="11018" width="11.5703125" bestFit="1" customWidth="1"/>
    <col min="11019" max="11019" width="12.42578125" bestFit="1" customWidth="1"/>
    <col min="11020" max="11021" width="11.5703125" bestFit="1" customWidth="1"/>
    <col min="11273" max="11274" width="11.5703125" bestFit="1" customWidth="1"/>
    <col min="11275" max="11275" width="12.42578125" bestFit="1" customWidth="1"/>
    <col min="11276" max="11277" width="11.5703125" bestFit="1" customWidth="1"/>
    <col min="11529" max="11530" width="11.5703125" bestFit="1" customWidth="1"/>
    <col min="11531" max="11531" width="12.42578125" bestFit="1" customWidth="1"/>
    <col min="11532" max="11533" width="11.5703125" bestFit="1" customWidth="1"/>
    <col min="11785" max="11786" width="11.5703125" bestFit="1" customWidth="1"/>
    <col min="11787" max="11787" width="12.42578125" bestFit="1" customWidth="1"/>
    <col min="11788" max="11789" width="11.5703125" bestFit="1" customWidth="1"/>
    <col min="12041" max="12042" width="11.5703125" bestFit="1" customWidth="1"/>
    <col min="12043" max="12043" width="12.42578125" bestFit="1" customWidth="1"/>
    <col min="12044" max="12045" width="11.5703125" bestFit="1" customWidth="1"/>
    <col min="12297" max="12298" width="11.5703125" bestFit="1" customWidth="1"/>
    <col min="12299" max="12299" width="12.42578125" bestFit="1" customWidth="1"/>
    <col min="12300" max="12301" width="11.5703125" bestFit="1" customWidth="1"/>
    <col min="12553" max="12554" width="11.5703125" bestFit="1" customWidth="1"/>
    <col min="12555" max="12555" width="12.42578125" bestFit="1" customWidth="1"/>
    <col min="12556" max="12557" width="11.5703125" bestFit="1" customWidth="1"/>
    <col min="12809" max="12810" width="11.5703125" bestFit="1" customWidth="1"/>
    <col min="12811" max="12811" width="12.42578125" bestFit="1" customWidth="1"/>
    <col min="12812" max="12813" width="11.5703125" bestFit="1" customWidth="1"/>
    <col min="13065" max="13066" width="11.5703125" bestFit="1" customWidth="1"/>
    <col min="13067" max="13067" width="12.42578125" bestFit="1" customWidth="1"/>
    <col min="13068" max="13069" width="11.5703125" bestFit="1" customWidth="1"/>
    <col min="13321" max="13322" width="11.5703125" bestFit="1" customWidth="1"/>
    <col min="13323" max="13323" width="12.42578125" bestFit="1" customWidth="1"/>
    <col min="13324" max="13325" width="11.5703125" bestFit="1" customWidth="1"/>
    <col min="13577" max="13578" width="11.5703125" bestFit="1" customWidth="1"/>
    <col min="13579" max="13579" width="12.42578125" bestFit="1" customWidth="1"/>
    <col min="13580" max="13581" width="11.5703125" bestFit="1" customWidth="1"/>
    <col min="13833" max="13834" width="11.5703125" bestFit="1" customWidth="1"/>
    <col min="13835" max="13835" width="12.42578125" bestFit="1" customWidth="1"/>
    <col min="13836" max="13837" width="11.5703125" bestFit="1" customWidth="1"/>
    <col min="14089" max="14090" width="11.5703125" bestFit="1" customWidth="1"/>
    <col min="14091" max="14091" width="12.42578125" bestFit="1" customWidth="1"/>
    <col min="14092" max="14093" width="11.5703125" bestFit="1" customWidth="1"/>
    <col min="14345" max="14346" width="11.5703125" bestFit="1" customWidth="1"/>
    <col min="14347" max="14347" width="12.42578125" bestFit="1" customWidth="1"/>
    <col min="14348" max="14349" width="11.5703125" bestFit="1" customWidth="1"/>
    <col min="14601" max="14602" width="11.5703125" bestFit="1" customWidth="1"/>
    <col min="14603" max="14603" width="12.42578125" bestFit="1" customWidth="1"/>
    <col min="14604" max="14605" width="11.5703125" bestFit="1" customWidth="1"/>
    <col min="14857" max="14858" width="11.5703125" bestFit="1" customWidth="1"/>
    <col min="14859" max="14859" width="12.42578125" bestFit="1" customWidth="1"/>
    <col min="14860" max="14861" width="11.5703125" bestFit="1" customWidth="1"/>
    <col min="15113" max="15114" width="11.5703125" bestFit="1" customWidth="1"/>
    <col min="15115" max="15115" width="12.42578125" bestFit="1" customWidth="1"/>
    <col min="15116" max="15117" width="11.5703125" bestFit="1" customWidth="1"/>
    <col min="15369" max="15370" width="11.5703125" bestFit="1" customWidth="1"/>
    <col min="15371" max="15371" width="12.42578125" bestFit="1" customWidth="1"/>
    <col min="15372" max="15373" width="11.5703125" bestFit="1" customWidth="1"/>
    <col min="15625" max="15626" width="11.5703125" bestFit="1" customWidth="1"/>
    <col min="15627" max="15627" width="12.42578125" bestFit="1" customWidth="1"/>
    <col min="15628" max="15629" width="11.5703125" bestFit="1" customWidth="1"/>
    <col min="15881" max="15882" width="11.5703125" bestFit="1" customWidth="1"/>
    <col min="15883" max="15883" width="12.42578125" bestFit="1" customWidth="1"/>
    <col min="15884" max="15885" width="11.5703125" bestFit="1" customWidth="1"/>
    <col min="16137" max="16138" width="11.5703125" bestFit="1" customWidth="1"/>
    <col min="16139" max="16139" width="12.42578125" bestFit="1" customWidth="1"/>
    <col min="16140" max="16141" width="11.5703125" bestFit="1" customWidth="1"/>
  </cols>
  <sheetData>
    <row r="1" spans="2:14" ht="12.75" customHeight="1"/>
    <row r="2" spans="2:14" ht="12.75" customHeight="1">
      <c r="J2" s="429"/>
    </row>
    <row r="3" spans="2:14" ht="12.75" customHeight="1">
      <c r="B3" s="42" t="s">
        <v>1491</v>
      </c>
      <c r="C3" t="s">
        <v>1492</v>
      </c>
      <c r="D3" t="s">
        <v>1493</v>
      </c>
      <c r="E3" s="42" t="s">
        <v>568</v>
      </c>
      <c r="F3" s="42" t="s">
        <v>1494</v>
      </c>
      <c r="H3" s="42"/>
      <c r="I3" s="42"/>
      <c r="J3" s="42"/>
      <c r="K3" s="42"/>
      <c r="L3" s="42"/>
      <c r="M3" s="42"/>
    </row>
    <row r="4" spans="2:14" ht="12.75" customHeight="1">
      <c r="B4" s="93">
        <v>202285</v>
      </c>
      <c r="C4" s="93">
        <v>105815</v>
      </c>
      <c r="D4" s="93">
        <v>122179</v>
      </c>
      <c r="E4" s="93">
        <v>90451</v>
      </c>
      <c r="F4" s="93">
        <v>17839</v>
      </c>
      <c r="G4" s="31">
        <f>SUM(B4:F4)</f>
        <v>538569</v>
      </c>
      <c r="H4" s="31"/>
      <c r="I4" s="474"/>
      <c r="J4" s="474"/>
      <c r="K4" s="603"/>
      <c r="L4" s="474"/>
      <c r="M4" s="474"/>
      <c r="N4" s="46"/>
    </row>
    <row r="5" spans="2:14">
      <c r="B5" s="42"/>
      <c r="C5" s="42"/>
      <c r="D5" s="42"/>
      <c r="E5" s="42"/>
      <c r="F5" s="42"/>
    </row>
    <row r="6" spans="2:14">
      <c r="B6" s="93"/>
      <c r="C6" s="93"/>
      <c r="D6" s="93"/>
      <c r="E6" s="93"/>
      <c r="F6" s="93"/>
    </row>
    <row r="40" spans="2:22">
      <c r="B40" s="42"/>
    </row>
    <row r="41" spans="2:22">
      <c r="B41" s="604"/>
      <c r="C41" s="604"/>
      <c r="D41" s="604"/>
      <c r="E41" s="604"/>
      <c r="F41" s="604"/>
      <c r="G41" s="604"/>
      <c r="I41" s="604"/>
      <c r="J41" s="604"/>
      <c r="K41" s="604"/>
      <c r="M41" s="604"/>
      <c r="N41" s="604"/>
      <c r="O41" s="604"/>
      <c r="Q41" s="604"/>
      <c r="R41" s="604"/>
      <c r="S41" s="604"/>
      <c r="U41" s="604"/>
      <c r="V41" s="604"/>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dimension ref="A1:Q115"/>
  <sheetViews>
    <sheetView workbookViewId="0">
      <selection activeCell="A4" sqref="A4"/>
    </sheetView>
  </sheetViews>
  <sheetFormatPr baseColWidth="10" defaultColWidth="8.85546875" defaultRowHeight="15.75"/>
  <cols>
    <col min="1" max="1" width="30.140625" style="339" customWidth="1"/>
    <col min="2" max="2" width="2.85546875" customWidth="1"/>
    <col min="5" max="5" width="2.7109375" customWidth="1"/>
    <col min="8" max="8" width="2.7109375" customWidth="1"/>
    <col min="11" max="11" width="2.85546875" customWidth="1"/>
    <col min="14" max="14" width="2.85546875" customWidth="1"/>
    <col min="17" max="17" width="2.5703125" customWidth="1"/>
    <col min="257" max="257" width="30.140625" customWidth="1"/>
    <col min="258" max="258" width="2.85546875" customWidth="1"/>
    <col min="261" max="261" width="2.7109375" customWidth="1"/>
    <col min="264" max="264" width="2.7109375" customWidth="1"/>
    <col min="267" max="267" width="2.85546875" customWidth="1"/>
    <col min="270" max="270" width="2.85546875" customWidth="1"/>
    <col min="273" max="273" width="2.5703125" customWidth="1"/>
    <col min="513" max="513" width="30.140625" customWidth="1"/>
    <col min="514" max="514" width="2.85546875" customWidth="1"/>
    <col min="517" max="517" width="2.7109375" customWidth="1"/>
    <col min="520" max="520" width="2.7109375" customWidth="1"/>
    <col min="523" max="523" width="2.85546875" customWidth="1"/>
    <col min="526" max="526" width="2.85546875" customWidth="1"/>
    <col min="529" max="529" width="2.5703125" customWidth="1"/>
    <col min="769" max="769" width="30.140625" customWidth="1"/>
    <col min="770" max="770" width="2.85546875" customWidth="1"/>
    <col min="773" max="773" width="2.7109375" customWidth="1"/>
    <col min="776" max="776" width="2.7109375" customWidth="1"/>
    <col min="779" max="779" width="2.85546875" customWidth="1"/>
    <col min="782" max="782" width="2.85546875" customWidth="1"/>
    <col min="785" max="785" width="2.5703125" customWidth="1"/>
    <col min="1025" max="1025" width="30.140625" customWidth="1"/>
    <col min="1026" max="1026" width="2.85546875" customWidth="1"/>
    <col min="1029" max="1029" width="2.7109375" customWidth="1"/>
    <col min="1032" max="1032" width="2.7109375" customWidth="1"/>
    <col min="1035" max="1035" width="2.85546875" customWidth="1"/>
    <col min="1038" max="1038" width="2.85546875" customWidth="1"/>
    <col min="1041" max="1041" width="2.5703125" customWidth="1"/>
    <col min="1281" max="1281" width="30.140625" customWidth="1"/>
    <col min="1282" max="1282" width="2.85546875" customWidth="1"/>
    <col min="1285" max="1285" width="2.7109375" customWidth="1"/>
    <col min="1288" max="1288" width="2.7109375" customWidth="1"/>
    <col min="1291" max="1291" width="2.85546875" customWidth="1"/>
    <col min="1294" max="1294" width="2.85546875" customWidth="1"/>
    <col min="1297" max="1297" width="2.5703125" customWidth="1"/>
    <col min="1537" max="1537" width="30.140625" customWidth="1"/>
    <col min="1538" max="1538" width="2.85546875" customWidth="1"/>
    <col min="1541" max="1541" width="2.7109375" customWidth="1"/>
    <col min="1544" max="1544" width="2.7109375" customWidth="1"/>
    <col min="1547" max="1547" width="2.85546875" customWidth="1"/>
    <col min="1550" max="1550" width="2.85546875" customWidth="1"/>
    <col min="1553" max="1553" width="2.5703125" customWidth="1"/>
    <col min="1793" max="1793" width="30.140625" customWidth="1"/>
    <col min="1794" max="1794" width="2.85546875" customWidth="1"/>
    <col min="1797" max="1797" width="2.7109375" customWidth="1"/>
    <col min="1800" max="1800" width="2.7109375" customWidth="1"/>
    <col min="1803" max="1803" width="2.85546875" customWidth="1"/>
    <col min="1806" max="1806" width="2.85546875" customWidth="1"/>
    <col min="1809" max="1809" width="2.5703125" customWidth="1"/>
    <col min="2049" max="2049" width="30.140625" customWidth="1"/>
    <col min="2050" max="2050" width="2.85546875" customWidth="1"/>
    <col min="2053" max="2053" width="2.7109375" customWidth="1"/>
    <col min="2056" max="2056" width="2.7109375" customWidth="1"/>
    <col min="2059" max="2059" width="2.85546875" customWidth="1"/>
    <col min="2062" max="2062" width="2.85546875" customWidth="1"/>
    <col min="2065" max="2065" width="2.5703125" customWidth="1"/>
    <col min="2305" max="2305" width="30.140625" customWidth="1"/>
    <col min="2306" max="2306" width="2.85546875" customWidth="1"/>
    <col min="2309" max="2309" width="2.7109375" customWidth="1"/>
    <col min="2312" max="2312" width="2.7109375" customWidth="1"/>
    <col min="2315" max="2315" width="2.85546875" customWidth="1"/>
    <col min="2318" max="2318" width="2.85546875" customWidth="1"/>
    <col min="2321" max="2321" width="2.5703125" customWidth="1"/>
    <col min="2561" max="2561" width="30.140625" customWidth="1"/>
    <col min="2562" max="2562" width="2.85546875" customWidth="1"/>
    <col min="2565" max="2565" width="2.7109375" customWidth="1"/>
    <col min="2568" max="2568" width="2.7109375" customWidth="1"/>
    <col min="2571" max="2571" width="2.85546875" customWidth="1"/>
    <col min="2574" max="2574" width="2.85546875" customWidth="1"/>
    <col min="2577" max="2577" width="2.5703125" customWidth="1"/>
    <col min="2817" max="2817" width="30.140625" customWidth="1"/>
    <col min="2818" max="2818" width="2.85546875" customWidth="1"/>
    <col min="2821" max="2821" width="2.7109375" customWidth="1"/>
    <col min="2824" max="2824" width="2.7109375" customWidth="1"/>
    <col min="2827" max="2827" width="2.85546875" customWidth="1"/>
    <col min="2830" max="2830" width="2.85546875" customWidth="1"/>
    <col min="2833" max="2833" width="2.5703125" customWidth="1"/>
    <col min="3073" max="3073" width="30.140625" customWidth="1"/>
    <col min="3074" max="3074" width="2.85546875" customWidth="1"/>
    <col min="3077" max="3077" width="2.7109375" customWidth="1"/>
    <col min="3080" max="3080" width="2.7109375" customWidth="1"/>
    <col min="3083" max="3083" width="2.85546875" customWidth="1"/>
    <col min="3086" max="3086" width="2.85546875" customWidth="1"/>
    <col min="3089" max="3089" width="2.5703125" customWidth="1"/>
    <col min="3329" max="3329" width="30.140625" customWidth="1"/>
    <col min="3330" max="3330" width="2.85546875" customWidth="1"/>
    <col min="3333" max="3333" width="2.7109375" customWidth="1"/>
    <col min="3336" max="3336" width="2.7109375" customWidth="1"/>
    <col min="3339" max="3339" width="2.85546875" customWidth="1"/>
    <col min="3342" max="3342" width="2.85546875" customWidth="1"/>
    <col min="3345" max="3345" width="2.5703125" customWidth="1"/>
    <col min="3585" max="3585" width="30.140625" customWidth="1"/>
    <col min="3586" max="3586" width="2.85546875" customWidth="1"/>
    <col min="3589" max="3589" width="2.7109375" customWidth="1"/>
    <col min="3592" max="3592" width="2.7109375" customWidth="1"/>
    <col min="3595" max="3595" width="2.85546875" customWidth="1"/>
    <col min="3598" max="3598" width="2.85546875" customWidth="1"/>
    <col min="3601" max="3601" width="2.5703125" customWidth="1"/>
    <col min="3841" max="3841" width="30.140625" customWidth="1"/>
    <col min="3842" max="3842" width="2.85546875" customWidth="1"/>
    <col min="3845" max="3845" width="2.7109375" customWidth="1"/>
    <col min="3848" max="3848" width="2.7109375" customWidth="1"/>
    <col min="3851" max="3851" width="2.85546875" customWidth="1"/>
    <col min="3854" max="3854" width="2.85546875" customWidth="1"/>
    <col min="3857" max="3857" width="2.5703125" customWidth="1"/>
    <col min="4097" max="4097" width="30.140625" customWidth="1"/>
    <col min="4098" max="4098" width="2.85546875" customWidth="1"/>
    <col min="4101" max="4101" width="2.7109375" customWidth="1"/>
    <col min="4104" max="4104" width="2.7109375" customWidth="1"/>
    <col min="4107" max="4107" width="2.85546875" customWidth="1"/>
    <col min="4110" max="4110" width="2.85546875" customWidth="1"/>
    <col min="4113" max="4113" width="2.5703125" customWidth="1"/>
    <col min="4353" max="4353" width="30.140625" customWidth="1"/>
    <col min="4354" max="4354" width="2.85546875" customWidth="1"/>
    <col min="4357" max="4357" width="2.7109375" customWidth="1"/>
    <col min="4360" max="4360" width="2.7109375" customWidth="1"/>
    <col min="4363" max="4363" width="2.85546875" customWidth="1"/>
    <col min="4366" max="4366" width="2.85546875" customWidth="1"/>
    <col min="4369" max="4369" width="2.5703125" customWidth="1"/>
    <col min="4609" max="4609" width="30.140625" customWidth="1"/>
    <col min="4610" max="4610" width="2.85546875" customWidth="1"/>
    <col min="4613" max="4613" width="2.7109375" customWidth="1"/>
    <col min="4616" max="4616" width="2.7109375" customWidth="1"/>
    <col min="4619" max="4619" width="2.85546875" customWidth="1"/>
    <col min="4622" max="4622" width="2.85546875" customWidth="1"/>
    <col min="4625" max="4625" width="2.5703125" customWidth="1"/>
    <col min="4865" max="4865" width="30.140625" customWidth="1"/>
    <col min="4866" max="4866" width="2.85546875" customWidth="1"/>
    <col min="4869" max="4869" width="2.7109375" customWidth="1"/>
    <col min="4872" max="4872" width="2.7109375" customWidth="1"/>
    <col min="4875" max="4875" width="2.85546875" customWidth="1"/>
    <col min="4878" max="4878" width="2.85546875" customWidth="1"/>
    <col min="4881" max="4881" width="2.5703125" customWidth="1"/>
    <col min="5121" max="5121" width="30.140625" customWidth="1"/>
    <col min="5122" max="5122" width="2.85546875" customWidth="1"/>
    <col min="5125" max="5125" width="2.7109375" customWidth="1"/>
    <col min="5128" max="5128" width="2.7109375" customWidth="1"/>
    <col min="5131" max="5131" width="2.85546875" customWidth="1"/>
    <col min="5134" max="5134" width="2.85546875" customWidth="1"/>
    <col min="5137" max="5137" width="2.5703125" customWidth="1"/>
    <col min="5377" max="5377" width="30.140625" customWidth="1"/>
    <col min="5378" max="5378" width="2.85546875" customWidth="1"/>
    <col min="5381" max="5381" width="2.7109375" customWidth="1"/>
    <col min="5384" max="5384" width="2.7109375" customWidth="1"/>
    <col min="5387" max="5387" width="2.85546875" customWidth="1"/>
    <col min="5390" max="5390" width="2.85546875" customWidth="1"/>
    <col min="5393" max="5393" width="2.5703125" customWidth="1"/>
    <col min="5633" max="5633" width="30.140625" customWidth="1"/>
    <col min="5634" max="5634" width="2.85546875" customWidth="1"/>
    <col min="5637" max="5637" width="2.7109375" customWidth="1"/>
    <col min="5640" max="5640" width="2.7109375" customWidth="1"/>
    <col min="5643" max="5643" width="2.85546875" customWidth="1"/>
    <col min="5646" max="5646" width="2.85546875" customWidth="1"/>
    <col min="5649" max="5649" width="2.5703125" customWidth="1"/>
    <col min="5889" max="5889" width="30.140625" customWidth="1"/>
    <col min="5890" max="5890" width="2.85546875" customWidth="1"/>
    <col min="5893" max="5893" width="2.7109375" customWidth="1"/>
    <col min="5896" max="5896" width="2.7109375" customWidth="1"/>
    <col min="5899" max="5899" width="2.85546875" customWidth="1"/>
    <col min="5902" max="5902" width="2.85546875" customWidth="1"/>
    <col min="5905" max="5905" width="2.5703125" customWidth="1"/>
    <col min="6145" max="6145" width="30.140625" customWidth="1"/>
    <col min="6146" max="6146" width="2.85546875" customWidth="1"/>
    <col min="6149" max="6149" width="2.7109375" customWidth="1"/>
    <col min="6152" max="6152" width="2.7109375" customWidth="1"/>
    <col min="6155" max="6155" width="2.85546875" customWidth="1"/>
    <col min="6158" max="6158" width="2.85546875" customWidth="1"/>
    <col min="6161" max="6161" width="2.5703125" customWidth="1"/>
    <col min="6401" max="6401" width="30.140625" customWidth="1"/>
    <col min="6402" max="6402" width="2.85546875" customWidth="1"/>
    <col min="6405" max="6405" width="2.7109375" customWidth="1"/>
    <col min="6408" max="6408" width="2.7109375" customWidth="1"/>
    <col min="6411" max="6411" width="2.85546875" customWidth="1"/>
    <col min="6414" max="6414" width="2.85546875" customWidth="1"/>
    <col min="6417" max="6417" width="2.5703125" customWidth="1"/>
    <col min="6657" max="6657" width="30.140625" customWidth="1"/>
    <col min="6658" max="6658" width="2.85546875" customWidth="1"/>
    <col min="6661" max="6661" width="2.7109375" customWidth="1"/>
    <col min="6664" max="6664" width="2.7109375" customWidth="1"/>
    <col min="6667" max="6667" width="2.85546875" customWidth="1"/>
    <col min="6670" max="6670" width="2.85546875" customWidth="1"/>
    <col min="6673" max="6673" width="2.5703125" customWidth="1"/>
    <col min="6913" max="6913" width="30.140625" customWidth="1"/>
    <col min="6914" max="6914" width="2.85546875" customWidth="1"/>
    <col min="6917" max="6917" width="2.7109375" customWidth="1"/>
    <col min="6920" max="6920" width="2.7109375" customWidth="1"/>
    <col min="6923" max="6923" width="2.85546875" customWidth="1"/>
    <col min="6926" max="6926" width="2.85546875" customWidth="1"/>
    <col min="6929" max="6929" width="2.5703125" customWidth="1"/>
    <col min="7169" max="7169" width="30.140625" customWidth="1"/>
    <col min="7170" max="7170" width="2.85546875" customWidth="1"/>
    <col min="7173" max="7173" width="2.7109375" customWidth="1"/>
    <col min="7176" max="7176" width="2.7109375" customWidth="1"/>
    <col min="7179" max="7179" width="2.85546875" customWidth="1"/>
    <col min="7182" max="7182" width="2.85546875" customWidth="1"/>
    <col min="7185" max="7185" width="2.5703125" customWidth="1"/>
    <col min="7425" max="7425" width="30.140625" customWidth="1"/>
    <col min="7426" max="7426" width="2.85546875" customWidth="1"/>
    <col min="7429" max="7429" width="2.7109375" customWidth="1"/>
    <col min="7432" max="7432" width="2.7109375" customWidth="1"/>
    <col min="7435" max="7435" width="2.85546875" customWidth="1"/>
    <col min="7438" max="7438" width="2.85546875" customWidth="1"/>
    <col min="7441" max="7441" width="2.5703125" customWidth="1"/>
    <col min="7681" max="7681" width="30.140625" customWidth="1"/>
    <col min="7682" max="7682" width="2.85546875" customWidth="1"/>
    <col min="7685" max="7685" width="2.7109375" customWidth="1"/>
    <col min="7688" max="7688" width="2.7109375" customWidth="1"/>
    <col min="7691" max="7691" width="2.85546875" customWidth="1"/>
    <col min="7694" max="7694" width="2.85546875" customWidth="1"/>
    <col min="7697" max="7697" width="2.5703125" customWidth="1"/>
    <col min="7937" max="7937" width="30.140625" customWidth="1"/>
    <col min="7938" max="7938" width="2.85546875" customWidth="1"/>
    <col min="7941" max="7941" width="2.7109375" customWidth="1"/>
    <col min="7944" max="7944" width="2.7109375" customWidth="1"/>
    <col min="7947" max="7947" width="2.85546875" customWidth="1"/>
    <col min="7950" max="7950" width="2.85546875" customWidth="1"/>
    <col min="7953" max="7953" width="2.5703125" customWidth="1"/>
    <col min="8193" max="8193" width="30.140625" customWidth="1"/>
    <col min="8194" max="8194" width="2.85546875" customWidth="1"/>
    <col min="8197" max="8197" width="2.7109375" customWidth="1"/>
    <col min="8200" max="8200" width="2.7109375" customWidth="1"/>
    <col min="8203" max="8203" width="2.85546875" customWidth="1"/>
    <col min="8206" max="8206" width="2.85546875" customWidth="1"/>
    <col min="8209" max="8209" width="2.5703125" customWidth="1"/>
    <col min="8449" max="8449" width="30.140625" customWidth="1"/>
    <col min="8450" max="8450" width="2.85546875" customWidth="1"/>
    <col min="8453" max="8453" width="2.7109375" customWidth="1"/>
    <col min="8456" max="8456" width="2.7109375" customWidth="1"/>
    <col min="8459" max="8459" width="2.85546875" customWidth="1"/>
    <col min="8462" max="8462" width="2.85546875" customWidth="1"/>
    <col min="8465" max="8465" width="2.5703125" customWidth="1"/>
    <col min="8705" max="8705" width="30.140625" customWidth="1"/>
    <col min="8706" max="8706" width="2.85546875" customWidth="1"/>
    <col min="8709" max="8709" width="2.7109375" customWidth="1"/>
    <col min="8712" max="8712" width="2.7109375" customWidth="1"/>
    <col min="8715" max="8715" width="2.85546875" customWidth="1"/>
    <col min="8718" max="8718" width="2.85546875" customWidth="1"/>
    <col min="8721" max="8721" width="2.5703125" customWidth="1"/>
    <col min="8961" max="8961" width="30.140625" customWidth="1"/>
    <col min="8962" max="8962" width="2.85546875" customWidth="1"/>
    <col min="8965" max="8965" width="2.7109375" customWidth="1"/>
    <col min="8968" max="8968" width="2.7109375" customWidth="1"/>
    <col min="8971" max="8971" width="2.85546875" customWidth="1"/>
    <col min="8974" max="8974" width="2.85546875" customWidth="1"/>
    <col min="8977" max="8977" width="2.5703125" customWidth="1"/>
    <col min="9217" max="9217" width="30.140625" customWidth="1"/>
    <col min="9218" max="9218" width="2.85546875" customWidth="1"/>
    <col min="9221" max="9221" width="2.7109375" customWidth="1"/>
    <col min="9224" max="9224" width="2.7109375" customWidth="1"/>
    <col min="9227" max="9227" width="2.85546875" customWidth="1"/>
    <col min="9230" max="9230" width="2.85546875" customWidth="1"/>
    <col min="9233" max="9233" width="2.5703125" customWidth="1"/>
    <col min="9473" max="9473" width="30.140625" customWidth="1"/>
    <col min="9474" max="9474" width="2.85546875" customWidth="1"/>
    <col min="9477" max="9477" width="2.7109375" customWidth="1"/>
    <col min="9480" max="9480" width="2.7109375" customWidth="1"/>
    <col min="9483" max="9483" width="2.85546875" customWidth="1"/>
    <col min="9486" max="9486" width="2.85546875" customWidth="1"/>
    <col min="9489" max="9489" width="2.5703125" customWidth="1"/>
    <col min="9729" max="9729" width="30.140625" customWidth="1"/>
    <col min="9730" max="9730" width="2.85546875" customWidth="1"/>
    <col min="9733" max="9733" width="2.7109375" customWidth="1"/>
    <col min="9736" max="9736" width="2.7109375" customWidth="1"/>
    <col min="9739" max="9739" width="2.85546875" customWidth="1"/>
    <col min="9742" max="9742" width="2.85546875" customWidth="1"/>
    <col min="9745" max="9745" width="2.5703125" customWidth="1"/>
    <col min="9985" max="9985" width="30.140625" customWidth="1"/>
    <col min="9986" max="9986" width="2.85546875" customWidth="1"/>
    <col min="9989" max="9989" width="2.7109375" customWidth="1"/>
    <col min="9992" max="9992" width="2.7109375" customWidth="1"/>
    <col min="9995" max="9995" width="2.85546875" customWidth="1"/>
    <col min="9998" max="9998" width="2.85546875" customWidth="1"/>
    <col min="10001" max="10001" width="2.5703125" customWidth="1"/>
    <col min="10241" max="10241" width="30.140625" customWidth="1"/>
    <col min="10242" max="10242" width="2.85546875" customWidth="1"/>
    <col min="10245" max="10245" width="2.7109375" customWidth="1"/>
    <col min="10248" max="10248" width="2.7109375" customWidth="1"/>
    <col min="10251" max="10251" width="2.85546875" customWidth="1"/>
    <col min="10254" max="10254" width="2.85546875" customWidth="1"/>
    <col min="10257" max="10257" width="2.5703125" customWidth="1"/>
    <col min="10497" max="10497" width="30.140625" customWidth="1"/>
    <col min="10498" max="10498" width="2.85546875" customWidth="1"/>
    <col min="10501" max="10501" width="2.7109375" customWidth="1"/>
    <col min="10504" max="10504" width="2.7109375" customWidth="1"/>
    <col min="10507" max="10507" width="2.85546875" customWidth="1"/>
    <col min="10510" max="10510" width="2.85546875" customWidth="1"/>
    <col min="10513" max="10513" width="2.5703125" customWidth="1"/>
    <col min="10753" max="10753" width="30.140625" customWidth="1"/>
    <col min="10754" max="10754" width="2.85546875" customWidth="1"/>
    <col min="10757" max="10757" width="2.7109375" customWidth="1"/>
    <col min="10760" max="10760" width="2.7109375" customWidth="1"/>
    <col min="10763" max="10763" width="2.85546875" customWidth="1"/>
    <col min="10766" max="10766" width="2.85546875" customWidth="1"/>
    <col min="10769" max="10769" width="2.5703125" customWidth="1"/>
    <col min="11009" max="11009" width="30.140625" customWidth="1"/>
    <col min="11010" max="11010" width="2.85546875" customWidth="1"/>
    <col min="11013" max="11013" width="2.7109375" customWidth="1"/>
    <col min="11016" max="11016" width="2.7109375" customWidth="1"/>
    <col min="11019" max="11019" width="2.85546875" customWidth="1"/>
    <col min="11022" max="11022" width="2.85546875" customWidth="1"/>
    <col min="11025" max="11025" width="2.5703125" customWidth="1"/>
    <col min="11265" max="11265" width="30.140625" customWidth="1"/>
    <col min="11266" max="11266" width="2.85546875" customWidth="1"/>
    <col min="11269" max="11269" width="2.7109375" customWidth="1"/>
    <col min="11272" max="11272" width="2.7109375" customWidth="1"/>
    <col min="11275" max="11275" width="2.85546875" customWidth="1"/>
    <col min="11278" max="11278" width="2.85546875" customWidth="1"/>
    <col min="11281" max="11281" width="2.5703125" customWidth="1"/>
    <col min="11521" max="11521" width="30.140625" customWidth="1"/>
    <col min="11522" max="11522" width="2.85546875" customWidth="1"/>
    <col min="11525" max="11525" width="2.7109375" customWidth="1"/>
    <col min="11528" max="11528" width="2.7109375" customWidth="1"/>
    <col min="11531" max="11531" width="2.85546875" customWidth="1"/>
    <col min="11534" max="11534" width="2.85546875" customWidth="1"/>
    <col min="11537" max="11537" width="2.5703125" customWidth="1"/>
    <col min="11777" max="11777" width="30.140625" customWidth="1"/>
    <col min="11778" max="11778" width="2.85546875" customWidth="1"/>
    <col min="11781" max="11781" width="2.7109375" customWidth="1"/>
    <col min="11784" max="11784" width="2.7109375" customWidth="1"/>
    <col min="11787" max="11787" width="2.85546875" customWidth="1"/>
    <col min="11790" max="11790" width="2.85546875" customWidth="1"/>
    <col min="11793" max="11793" width="2.5703125" customWidth="1"/>
    <col min="12033" max="12033" width="30.140625" customWidth="1"/>
    <col min="12034" max="12034" width="2.85546875" customWidth="1"/>
    <col min="12037" max="12037" width="2.7109375" customWidth="1"/>
    <col min="12040" max="12040" width="2.7109375" customWidth="1"/>
    <col min="12043" max="12043" width="2.85546875" customWidth="1"/>
    <col min="12046" max="12046" width="2.85546875" customWidth="1"/>
    <col min="12049" max="12049" width="2.5703125" customWidth="1"/>
    <col min="12289" max="12289" width="30.140625" customWidth="1"/>
    <col min="12290" max="12290" width="2.85546875" customWidth="1"/>
    <col min="12293" max="12293" width="2.7109375" customWidth="1"/>
    <col min="12296" max="12296" width="2.7109375" customWidth="1"/>
    <col min="12299" max="12299" width="2.85546875" customWidth="1"/>
    <col min="12302" max="12302" width="2.85546875" customWidth="1"/>
    <col min="12305" max="12305" width="2.5703125" customWidth="1"/>
    <col min="12545" max="12545" width="30.140625" customWidth="1"/>
    <col min="12546" max="12546" width="2.85546875" customWidth="1"/>
    <col min="12549" max="12549" width="2.7109375" customWidth="1"/>
    <col min="12552" max="12552" width="2.7109375" customWidth="1"/>
    <col min="12555" max="12555" width="2.85546875" customWidth="1"/>
    <col min="12558" max="12558" width="2.85546875" customWidth="1"/>
    <col min="12561" max="12561" width="2.5703125" customWidth="1"/>
    <col min="12801" max="12801" width="30.140625" customWidth="1"/>
    <col min="12802" max="12802" width="2.85546875" customWidth="1"/>
    <col min="12805" max="12805" width="2.7109375" customWidth="1"/>
    <col min="12808" max="12808" width="2.7109375" customWidth="1"/>
    <col min="12811" max="12811" width="2.85546875" customWidth="1"/>
    <col min="12814" max="12814" width="2.85546875" customWidth="1"/>
    <col min="12817" max="12817" width="2.5703125" customWidth="1"/>
    <col min="13057" max="13057" width="30.140625" customWidth="1"/>
    <col min="13058" max="13058" width="2.85546875" customWidth="1"/>
    <col min="13061" max="13061" width="2.7109375" customWidth="1"/>
    <col min="13064" max="13064" width="2.7109375" customWidth="1"/>
    <col min="13067" max="13067" width="2.85546875" customWidth="1"/>
    <col min="13070" max="13070" width="2.85546875" customWidth="1"/>
    <col min="13073" max="13073" width="2.5703125" customWidth="1"/>
    <col min="13313" max="13313" width="30.140625" customWidth="1"/>
    <col min="13314" max="13314" width="2.85546875" customWidth="1"/>
    <col min="13317" max="13317" width="2.7109375" customWidth="1"/>
    <col min="13320" max="13320" width="2.7109375" customWidth="1"/>
    <col min="13323" max="13323" width="2.85546875" customWidth="1"/>
    <col min="13326" max="13326" width="2.85546875" customWidth="1"/>
    <col min="13329" max="13329" width="2.5703125" customWidth="1"/>
    <col min="13569" max="13569" width="30.140625" customWidth="1"/>
    <col min="13570" max="13570" width="2.85546875" customWidth="1"/>
    <col min="13573" max="13573" width="2.7109375" customWidth="1"/>
    <col min="13576" max="13576" width="2.7109375" customWidth="1"/>
    <col min="13579" max="13579" width="2.85546875" customWidth="1"/>
    <col min="13582" max="13582" width="2.85546875" customWidth="1"/>
    <col min="13585" max="13585" width="2.5703125" customWidth="1"/>
    <col min="13825" max="13825" width="30.140625" customWidth="1"/>
    <col min="13826" max="13826" width="2.85546875" customWidth="1"/>
    <col min="13829" max="13829" width="2.7109375" customWidth="1"/>
    <col min="13832" max="13832" width="2.7109375" customWidth="1"/>
    <col min="13835" max="13835" width="2.85546875" customWidth="1"/>
    <col min="13838" max="13838" width="2.85546875" customWidth="1"/>
    <col min="13841" max="13841" width="2.5703125" customWidth="1"/>
    <col min="14081" max="14081" width="30.140625" customWidth="1"/>
    <col min="14082" max="14082" width="2.85546875" customWidth="1"/>
    <col min="14085" max="14085" width="2.7109375" customWidth="1"/>
    <col min="14088" max="14088" width="2.7109375" customWidth="1"/>
    <col min="14091" max="14091" width="2.85546875" customWidth="1"/>
    <col min="14094" max="14094" width="2.85546875" customWidth="1"/>
    <col min="14097" max="14097" width="2.5703125" customWidth="1"/>
    <col min="14337" max="14337" width="30.140625" customWidth="1"/>
    <col min="14338" max="14338" width="2.85546875" customWidth="1"/>
    <col min="14341" max="14341" width="2.7109375" customWidth="1"/>
    <col min="14344" max="14344" width="2.7109375" customWidth="1"/>
    <col min="14347" max="14347" width="2.85546875" customWidth="1"/>
    <col min="14350" max="14350" width="2.85546875" customWidth="1"/>
    <col min="14353" max="14353" width="2.5703125" customWidth="1"/>
    <col min="14593" max="14593" width="30.140625" customWidth="1"/>
    <col min="14594" max="14594" width="2.85546875" customWidth="1"/>
    <col min="14597" max="14597" width="2.7109375" customWidth="1"/>
    <col min="14600" max="14600" width="2.7109375" customWidth="1"/>
    <col min="14603" max="14603" width="2.85546875" customWidth="1"/>
    <col min="14606" max="14606" width="2.85546875" customWidth="1"/>
    <col min="14609" max="14609" width="2.5703125" customWidth="1"/>
    <col min="14849" max="14849" width="30.140625" customWidth="1"/>
    <col min="14850" max="14850" width="2.85546875" customWidth="1"/>
    <col min="14853" max="14853" width="2.7109375" customWidth="1"/>
    <col min="14856" max="14856" width="2.7109375" customWidth="1"/>
    <col min="14859" max="14859" width="2.85546875" customWidth="1"/>
    <col min="14862" max="14862" width="2.85546875" customWidth="1"/>
    <col min="14865" max="14865" width="2.5703125" customWidth="1"/>
    <col min="15105" max="15105" width="30.140625" customWidth="1"/>
    <col min="15106" max="15106" width="2.85546875" customWidth="1"/>
    <col min="15109" max="15109" width="2.7109375" customWidth="1"/>
    <col min="15112" max="15112" width="2.7109375" customWidth="1"/>
    <col min="15115" max="15115" width="2.85546875" customWidth="1"/>
    <col min="15118" max="15118" width="2.85546875" customWidth="1"/>
    <col min="15121" max="15121" width="2.5703125" customWidth="1"/>
    <col min="15361" max="15361" width="30.140625" customWidth="1"/>
    <col min="15362" max="15362" width="2.85546875" customWidth="1"/>
    <col min="15365" max="15365" width="2.7109375" customWidth="1"/>
    <col min="15368" max="15368" width="2.7109375" customWidth="1"/>
    <col min="15371" max="15371" width="2.85546875" customWidth="1"/>
    <col min="15374" max="15374" width="2.85546875" customWidth="1"/>
    <col min="15377" max="15377" width="2.5703125" customWidth="1"/>
    <col min="15617" max="15617" width="30.140625" customWidth="1"/>
    <col min="15618" max="15618" width="2.85546875" customWidth="1"/>
    <col min="15621" max="15621" width="2.7109375" customWidth="1"/>
    <col min="15624" max="15624" width="2.7109375" customWidth="1"/>
    <col min="15627" max="15627" width="2.85546875" customWidth="1"/>
    <col min="15630" max="15630" width="2.85546875" customWidth="1"/>
    <col min="15633" max="15633" width="2.5703125" customWidth="1"/>
    <col min="15873" max="15873" width="30.140625" customWidth="1"/>
    <col min="15874" max="15874" width="2.85546875" customWidth="1"/>
    <col min="15877" max="15877" width="2.7109375" customWidth="1"/>
    <col min="15880" max="15880" width="2.7109375" customWidth="1"/>
    <col min="15883" max="15883" width="2.85546875" customWidth="1"/>
    <col min="15886" max="15886" width="2.85546875" customWidth="1"/>
    <col min="15889" max="15889" width="2.5703125" customWidth="1"/>
    <col min="16129" max="16129" width="30.140625" customWidth="1"/>
    <col min="16130" max="16130" width="2.85546875" customWidth="1"/>
    <col min="16133" max="16133" width="2.7109375" customWidth="1"/>
    <col min="16136" max="16136" width="2.7109375" customWidth="1"/>
    <col min="16139" max="16139" width="2.85546875" customWidth="1"/>
    <col min="16142" max="16142" width="2.85546875" customWidth="1"/>
    <col min="16145" max="16145" width="2.5703125" customWidth="1"/>
  </cols>
  <sheetData>
    <row r="1" spans="1:17">
      <c r="A1" s="339" t="s">
        <v>755</v>
      </c>
    </row>
    <row r="2" spans="1:17">
      <c r="A2" s="339" t="s">
        <v>756</v>
      </c>
    </row>
    <row r="3" spans="1:17" ht="15">
      <c r="A3"/>
    </row>
    <row r="4" spans="1:17">
      <c r="A4" s="339" t="s">
        <v>1397</v>
      </c>
    </row>
    <row r="5" spans="1:17" ht="16.5" thickBot="1">
      <c r="B5" s="345"/>
    </row>
    <row r="6" spans="1:17" ht="19.899999999999999" customHeight="1">
      <c r="A6" s="340"/>
      <c r="C6" s="6"/>
      <c r="D6" s="6"/>
      <c r="E6" s="6"/>
      <c r="F6" s="6"/>
      <c r="G6" s="6"/>
      <c r="H6" s="6"/>
      <c r="I6" s="6"/>
      <c r="J6" s="6"/>
      <c r="K6" s="6"/>
      <c r="L6" s="6"/>
      <c r="M6" s="6"/>
      <c r="N6" s="6"/>
      <c r="O6" s="6"/>
      <c r="P6" s="6"/>
      <c r="Q6" s="6"/>
    </row>
    <row r="7" spans="1:17" ht="19.899999999999999" customHeight="1">
      <c r="A7" s="349" t="s">
        <v>1398</v>
      </c>
      <c r="B7" s="571"/>
      <c r="C7" s="1285">
        <v>2013</v>
      </c>
      <c r="D7" s="1285"/>
      <c r="F7" s="1285">
        <v>2014</v>
      </c>
      <c r="G7" s="1285"/>
      <c r="I7" s="1285">
        <v>2015</v>
      </c>
      <c r="J7" s="1285"/>
      <c r="L7" s="1285">
        <v>2016</v>
      </c>
      <c r="M7" s="1285"/>
      <c r="O7" s="1285">
        <v>2017</v>
      </c>
      <c r="P7" s="1285"/>
    </row>
    <row r="8" spans="1:17" ht="19.899999999999999" customHeight="1">
      <c r="A8" s="339" t="s">
        <v>1399</v>
      </c>
      <c r="B8" s="208"/>
      <c r="C8" s="572" t="s">
        <v>1400</v>
      </c>
      <c r="D8" s="572" t="s">
        <v>10</v>
      </c>
      <c r="F8" s="572" t="s">
        <v>1400</v>
      </c>
      <c r="G8" s="572" t="s">
        <v>10</v>
      </c>
      <c r="I8" s="572" t="s">
        <v>1400</v>
      </c>
      <c r="J8" s="572" t="s">
        <v>10</v>
      </c>
      <c r="L8" s="572" t="s">
        <v>1400</v>
      </c>
      <c r="M8" s="572" t="s">
        <v>10</v>
      </c>
      <c r="O8" s="572" t="s">
        <v>1400</v>
      </c>
      <c r="P8" s="572" t="s">
        <v>10</v>
      </c>
    </row>
    <row r="9" spans="1:17" ht="19.899999999999999" customHeight="1" thickBot="1">
      <c r="A9" s="345"/>
      <c r="B9" s="234"/>
      <c r="C9" s="15"/>
      <c r="D9" s="15"/>
      <c r="F9" s="15"/>
      <c r="G9" s="15"/>
      <c r="I9" s="15"/>
      <c r="J9" s="15"/>
      <c r="L9" s="15"/>
      <c r="M9" s="15"/>
      <c r="O9" s="15"/>
      <c r="P9" s="15"/>
    </row>
    <row r="10" spans="1:17" ht="19.899999999999999" customHeight="1">
      <c r="A10" s="341"/>
      <c r="B10" s="208"/>
      <c r="E10" s="6"/>
      <c r="H10" s="6"/>
      <c r="K10" s="6"/>
      <c r="N10" s="6"/>
      <c r="Q10" s="6"/>
    </row>
    <row r="11" spans="1:17" ht="19.899999999999999" customHeight="1">
      <c r="A11" s="573" t="s">
        <v>5</v>
      </c>
      <c r="B11" s="208"/>
      <c r="C11" s="232">
        <f>SUM(C13:C21)</f>
        <v>953976</v>
      </c>
      <c r="D11" s="574">
        <f>SUM(D13:D21)</f>
        <v>100.00000000000001</v>
      </c>
      <c r="F11" s="232">
        <f>SUM(F13:F21)</f>
        <v>922465</v>
      </c>
      <c r="G11" s="574">
        <f>SUM(G13:G21)</f>
        <v>100.00000000000001</v>
      </c>
      <c r="I11" s="232">
        <f>SUM(I13:I21)</f>
        <v>707045</v>
      </c>
      <c r="J11" s="574">
        <f>SUM(J13:J21)</f>
        <v>100</v>
      </c>
      <c r="L11" s="232">
        <f>SUM(L13:L21)</f>
        <v>591161</v>
      </c>
      <c r="M11" s="574">
        <f>SUM(M13:M21)</f>
        <v>99.999999999999986</v>
      </c>
      <c r="O11" s="232">
        <f>SUM(O13:O21)</f>
        <v>538659</v>
      </c>
      <c r="P11" s="574">
        <f>SUM(P13:P21)</f>
        <v>100</v>
      </c>
    </row>
    <row r="12" spans="1:17" ht="19.899999999999999" customHeight="1">
      <c r="A12" s="341"/>
      <c r="B12" s="208"/>
      <c r="C12" s="46"/>
      <c r="D12" s="574"/>
      <c r="F12" s="46"/>
      <c r="G12" s="574"/>
      <c r="I12" s="46"/>
      <c r="J12" s="574"/>
      <c r="L12" s="46"/>
      <c r="M12" s="574"/>
      <c r="O12" s="46"/>
      <c r="P12" s="574"/>
    </row>
    <row r="13" spans="1:17" ht="19.899999999999999" customHeight="1">
      <c r="A13" s="339" t="s">
        <v>1401</v>
      </c>
      <c r="B13" s="208"/>
      <c r="C13" s="575">
        <v>514360</v>
      </c>
      <c r="D13" s="233">
        <f t="shared" ref="D13:D21" si="0">IF($A13&lt;&gt;"",C13/C$11*100,"")</f>
        <v>53.917498972720487</v>
      </c>
      <c r="F13" s="575">
        <v>476229</v>
      </c>
      <c r="G13" s="233">
        <f t="shared" ref="G13:G21" si="1">IF($A13&lt;&gt;"",F13/F$11*100,"")</f>
        <v>51.625698535987816</v>
      </c>
      <c r="I13" s="575">
        <v>294230</v>
      </c>
      <c r="J13" s="233">
        <f t="shared" ref="J13:J21" si="2">IF($A13&lt;&gt;"",I13/I$11*100,"")</f>
        <v>41.614041539081668</v>
      </c>
      <c r="L13" s="575">
        <v>224350</v>
      </c>
      <c r="M13" s="233">
        <f t="shared" ref="M13:M21" si="3">IF($A13&lt;&gt;"",L13/L$11*100,"")</f>
        <v>37.950744382663942</v>
      </c>
      <c r="O13" s="575">
        <v>202285</v>
      </c>
      <c r="P13" s="233">
        <f t="shared" ref="P13:P21" si="4">IF($A13&lt;&gt;"",O13/O$11*100,"")</f>
        <v>37.553442901724466</v>
      </c>
    </row>
    <row r="14" spans="1:17" ht="19.899999999999999" customHeight="1">
      <c r="B14" s="208"/>
      <c r="C14" s="575"/>
      <c r="D14" s="233" t="str">
        <f t="shared" si="0"/>
        <v/>
      </c>
      <c r="F14" s="575"/>
      <c r="G14" s="233" t="str">
        <f t="shared" si="1"/>
        <v/>
      </c>
      <c r="I14" s="575"/>
      <c r="J14" s="233" t="str">
        <f t="shared" si="2"/>
        <v/>
      </c>
      <c r="L14" s="575"/>
      <c r="M14" s="233" t="str">
        <f t="shared" si="3"/>
        <v/>
      </c>
      <c r="O14" s="575"/>
      <c r="P14" s="233" t="str">
        <f t="shared" si="4"/>
        <v/>
      </c>
    </row>
    <row r="15" spans="1:17" ht="19.899999999999999" customHeight="1">
      <c r="A15" s="339" t="s">
        <v>1402</v>
      </c>
      <c r="B15" s="208"/>
      <c r="C15" s="575">
        <v>179261</v>
      </c>
      <c r="D15" s="233">
        <f t="shared" si="0"/>
        <v>18.790933943830872</v>
      </c>
      <c r="F15" s="575">
        <v>185428</v>
      </c>
      <c r="G15" s="233">
        <f t="shared" si="1"/>
        <v>20.101358859143708</v>
      </c>
      <c r="I15" s="575">
        <v>137725</v>
      </c>
      <c r="J15" s="233">
        <f t="shared" si="2"/>
        <v>19.478958199265957</v>
      </c>
      <c r="L15" s="575">
        <v>116212</v>
      </c>
      <c r="M15" s="233">
        <f t="shared" si="3"/>
        <v>19.658265683967649</v>
      </c>
      <c r="O15" s="575">
        <v>105815</v>
      </c>
      <c r="P15" s="233">
        <f t="shared" si="4"/>
        <v>19.644153351192497</v>
      </c>
    </row>
    <row r="16" spans="1:17" ht="19.899999999999999" customHeight="1">
      <c r="B16" s="208"/>
      <c r="C16" s="575"/>
      <c r="D16" s="233" t="str">
        <f t="shared" si="0"/>
        <v/>
      </c>
      <c r="F16" s="575"/>
      <c r="G16" s="233" t="str">
        <f t="shared" si="1"/>
        <v/>
      </c>
      <c r="I16" s="575"/>
      <c r="J16" s="233" t="str">
        <f t="shared" si="2"/>
        <v/>
      </c>
      <c r="L16" s="575"/>
      <c r="M16" s="233" t="str">
        <f t="shared" si="3"/>
        <v/>
      </c>
      <c r="O16" s="575"/>
      <c r="P16" s="233" t="str">
        <f t="shared" si="4"/>
        <v/>
      </c>
    </row>
    <row r="17" spans="1:17" ht="19.899999999999999" customHeight="1">
      <c r="A17" s="339" t="s">
        <v>1403</v>
      </c>
      <c r="B17" s="208"/>
      <c r="C17" s="575">
        <v>135073</v>
      </c>
      <c r="D17" s="233">
        <f t="shared" si="0"/>
        <v>14.158951587880617</v>
      </c>
      <c r="F17" s="575">
        <v>153504</v>
      </c>
      <c r="G17" s="233">
        <f t="shared" si="1"/>
        <v>16.640631351867007</v>
      </c>
      <c r="I17" s="575">
        <v>154745</v>
      </c>
      <c r="J17" s="233">
        <f t="shared" si="2"/>
        <v>21.886160003960146</v>
      </c>
      <c r="L17" s="575">
        <v>113740</v>
      </c>
      <c r="M17" s="233">
        <f t="shared" si="3"/>
        <v>19.240105487337626</v>
      </c>
      <c r="O17" s="575">
        <v>122179</v>
      </c>
      <c r="P17" s="233">
        <f t="shared" si="4"/>
        <v>22.682067875966055</v>
      </c>
    </row>
    <row r="18" spans="1:17" ht="19.899999999999999" customHeight="1">
      <c r="B18" s="208"/>
      <c r="C18" s="575"/>
      <c r="D18" s="233" t="str">
        <f t="shared" si="0"/>
        <v/>
      </c>
      <c r="F18" s="575"/>
      <c r="G18" s="233" t="str">
        <f t="shared" si="1"/>
        <v/>
      </c>
      <c r="I18" s="575"/>
      <c r="J18" s="233" t="str">
        <f t="shared" si="2"/>
        <v/>
      </c>
      <c r="L18" s="575"/>
      <c r="M18" s="233" t="str">
        <f t="shared" si="3"/>
        <v/>
      </c>
      <c r="O18" s="575"/>
      <c r="P18" s="233" t="str">
        <f t="shared" si="4"/>
        <v/>
      </c>
    </row>
    <row r="19" spans="1:17" ht="19.899999999999999" customHeight="1">
      <c r="A19" s="339" t="s">
        <v>1404</v>
      </c>
      <c r="B19" s="208"/>
      <c r="C19" s="575">
        <v>35677</v>
      </c>
      <c r="D19" s="233">
        <f t="shared" si="0"/>
        <v>3.7398215468732969</v>
      </c>
      <c r="F19" s="575">
        <v>32159</v>
      </c>
      <c r="G19" s="233">
        <f t="shared" si="1"/>
        <v>3.4862027285588071</v>
      </c>
      <c r="I19" s="575">
        <v>34222</v>
      </c>
      <c r="J19" s="233">
        <f t="shared" si="2"/>
        <v>4.8401445452552521</v>
      </c>
      <c r="L19" s="575">
        <v>49980</v>
      </c>
      <c r="M19" s="233">
        <f t="shared" si="3"/>
        <v>8.454549606621546</v>
      </c>
      <c r="O19" s="575">
        <v>17839</v>
      </c>
      <c r="P19" s="233">
        <f t="shared" si="4"/>
        <v>3.3117426795059588</v>
      </c>
    </row>
    <row r="20" spans="1:17" ht="19.899999999999999" customHeight="1">
      <c r="B20" s="208"/>
      <c r="C20" s="575"/>
      <c r="D20" s="233" t="str">
        <f t="shared" si="0"/>
        <v/>
      </c>
      <c r="F20" s="575"/>
      <c r="G20" s="233" t="str">
        <f t="shared" si="1"/>
        <v/>
      </c>
      <c r="I20" s="575"/>
      <c r="J20" s="233" t="str">
        <f t="shared" si="2"/>
        <v/>
      </c>
      <c r="L20" s="575"/>
      <c r="M20" s="233" t="str">
        <f t="shared" si="3"/>
        <v/>
      </c>
      <c r="O20" s="575"/>
      <c r="P20" s="233" t="str">
        <f t="shared" si="4"/>
        <v/>
      </c>
    </row>
    <row r="21" spans="1:17" ht="19.899999999999999" customHeight="1">
      <c r="A21" s="339" t="s">
        <v>1405</v>
      </c>
      <c r="B21" s="208"/>
      <c r="C21" s="575">
        <v>89605</v>
      </c>
      <c r="D21" s="233">
        <f t="shared" si="0"/>
        <v>9.3927939486947256</v>
      </c>
      <c r="F21" s="575">
        <v>75145</v>
      </c>
      <c r="G21" s="233">
        <f t="shared" si="1"/>
        <v>8.1461085244426616</v>
      </c>
      <c r="I21" s="575">
        <v>86123</v>
      </c>
      <c r="J21" s="233">
        <f t="shared" si="2"/>
        <v>12.180695712436973</v>
      </c>
      <c r="L21" s="575">
        <v>86879</v>
      </c>
      <c r="M21" s="233">
        <f t="shared" si="3"/>
        <v>14.69633483940923</v>
      </c>
      <c r="O21" s="575">
        <v>90541</v>
      </c>
      <c r="P21" s="233">
        <f t="shared" si="4"/>
        <v>16.808593191611017</v>
      </c>
    </row>
    <row r="22" spans="1:17" ht="19.899999999999999" customHeight="1" thickBot="1">
      <c r="A22"/>
      <c r="B22" s="15"/>
    </row>
    <row r="23" spans="1:17" ht="19.899999999999999" customHeight="1">
      <c r="A23" s="340"/>
      <c r="C23" s="6"/>
      <c r="D23" s="6"/>
      <c r="E23" s="6"/>
      <c r="F23" s="6"/>
      <c r="G23" s="6"/>
      <c r="H23" s="6"/>
      <c r="I23" s="6"/>
      <c r="J23" s="6"/>
      <c r="K23" s="6"/>
      <c r="L23" s="6"/>
      <c r="M23" s="6"/>
      <c r="N23" s="6"/>
      <c r="O23" s="6"/>
      <c r="P23" s="6"/>
      <c r="Q23" s="6"/>
    </row>
    <row r="24" spans="1:17" ht="18.75">
      <c r="A24" s="576" t="s">
        <v>2206</v>
      </c>
    </row>
    <row r="25" spans="1:17" ht="19.899999999999999" customHeight="1">
      <c r="A25" s="576" t="s">
        <v>1406</v>
      </c>
    </row>
    <row r="26" spans="1:17" ht="19.899999999999999" customHeight="1">
      <c r="A26" s="339" t="s">
        <v>1407</v>
      </c>
    </row>
    <row r="27" spans="1:17" ht="19.899999999999999" customHeight="1">
      <c r="A27" s="576" t="s">
        <v>1408</v>
      </c>
    </row>
    <row r="28" spans="1:17" ht="19.899999999999999" customHeight="1">
      <c r="A28" s="339" t="s">
        <v>1409</v>
      </c>
    </row>
    <row r="29" spans="1:17" ht="19.899999999999999" customHeight="1">
      <c r="A29" s="576" t="s">
        <v>1410</v>
      </c>
    </row>
    <row r="30" spans="1:17" ht="19.5" customHeight="1">
      <c r="A30" s="339" t="s">
        <v>1411</v>
      </c>
    </row>
    <row r="31" spans="1:17" ht="19.5" customHeight="1">
      <c r="A31" s="576" t="s">
        <v>1412</v>
      </c>
    </row>
    <row r="32" spans="1:17" ht="19.5" customHeight="1"/>
    <row r="33" spans="1:2" ht="19.5" customHeight="1">
      <c r="A33" s="339" t="s">
        <v>1413</v>
      </c>
      <c r="B33" s="339"/>
    </row>
    <row r="34" spans="1:2" ht="19.899999999999999" customHeight="1">
      <c r="A34" s="339" t="s">
        <v>365</v>
      </c>
      <c r="B34" s="339"/>
    </row>
    <row r="35" spans="1:2" ht="19.899999999999999" customHeight="1">
      <c r="A35"/>
    </row>
    <row r="36" spans="1:2" ht="19.899999999999999" customHeight="1">
      <c r="A36"/>
    </row>
    <row r="37" spans="1:2" ht="19.899999999999999" customHeight="1">
      <c r="A37"/>
    </row>
    <row r="38" spans="1:2" ht="19.899999999999999" customHeight="1">
      <c r="A38"/>
    </row>
    <row r="39" spans="1:2" ht="19.899999999999999" customHeight="1">
      <c r="A39"/>
    </row>
    <row r="40" spans="1:2" ht="19.899999999999999" customHeight="1"/>
    <row r="41" spans="1:2" ht="19.899999999999999" customHeight="1"/>
    <row r="42" spans="1:2" ht="19.899999999999999" customHeight="1"/>
    <row r="43" spans="1:2" ht="19.899999999999999" hidden="1" customHeight="1"/>
    <row r="44" spans="1:2" ht="19.899999999999999" hidden="1" customHeight="1"/>
    <row r="45" spans="1:2" ht="19.899999999999999" hidden="1" customHeight="1"/>
    <row r="46" spans="1:2" ht="19.899999999999999" hidden="1" customHeight="1"/>
    <row r="47" spans="1:2" ht="19.899999999999999" hidden="1" customHeight="1"/>
    <row r="48" spans="1:2" ht="19.899999999999999" hidden="1" customHeight="1"/>
    <row r="49" ht="19.899999999999999" hidden="1" customHeight="1"/>
    <row r="50" ht="19.899999999999999" hidden="1" customHeight="1"/>
    <row r="51" ht="19.899999999999999" hidden="1" customHeight="1"/>
    <row r="52" ht="19.899999999999999" hidden="1" customHeight="1"/>
    <row r="53" ht="19.899999999999999" hidden="1" customHeight="1"/>
    <row r="54" ht="19.899999999999999" hidden="1" customHeight="1"/>
    <row r="55" ht="19.899999999999999" customHeight="1"/>
    <row r="56" ht="19.899999999999999" customHeight="1"/>
    <row r="57" ht="19.899999999999999" hidden="1" customHeight="1"/>
    <row r="58" ht="19.899999999999999" hidden="1" customHeight="1"/>
    <row r="59" ht="19.899999999999999" hidden="1" customHeight="1"/>
    <row r="60" ht="19.899999999999999" hidden="1" customHeight="1"/>
    <row r="61" ht="19.899999999999999" hidden="1" customHeight="1"/>
    <row r="62" ht="19.899999999999999" hidden="1" customHeight="1"/>
    <row r="63" ht="19.899999999999999" hidden="1" customHeight="1"/>
    <row r="64" ht="19.899999999999999" hidden="1" customHeight="1"/>
    <row r="65" spans="1:1" ht="19.899999999999999" hidden="1" customHeight="1"/>
    <row r="66" spans="1:1" ht="19.899999999999999" hidden="1" customHeight="1"/>
    <row r="67" spans="1:1" ht="19.899999999999999" hidden="1" customHeight="1"/>
    <row r="68" spans="1:1" ht="19.899999999999999" hidden="1" customHeight="1"/>
    <row r="69" spans="1:1" ht="19.899999999999999" hidden="1" customHeight="1"/>
    <row r="70" spans="1:1" ht="19.899999999999999" hidden="1" customHeight="1"/>
    <row r="71" spans="1:1" ht="19.899999999999999" hidden="1" customHeight="1"/>
    <row r="72" spans="1:1" ht="19.899999999999999" hidden="1" customHeight="1">
      <c r="A72"/>
    </row>
    <row r="73" spans="1:1" ht="19.899999999999999" hidden="1" customHeight="1">
      <c r="A73"/>
    </row>
    <row r="74" spans="1:1" ht="19.899999999999999" customHeight="1">
      <c r="A74"/>
    </row>
    <row r="75" spans="1:1" ht="19.899999999999999" customHeight="1">
      <c r="A75"/>
    </row>
    <row r="76" spans="1:1" ht="19.899999999999999" hidden="1" customHeight="1"/>
    <row r="77" spans="1:1" ht="19.899999999999999" hidden="1" customHeight="1"/>
    <row r="78" spans="1:1" ht="19.899999999999999" hidden="1" customHeight="1"/>
    <row r="79" spans="1:1" ht="19.899999999999999" hidden="1" customHeight="1"/>
    <row r="80" spans="1:1" ht="19.899999999999999" hidden="1" customHeight="1"/>
    <row r="81" spans="1:1" ht="19.899999999999999" hidden="1" customHeight="1"/>
    <row r="82" spans="1:1" ht="19.899999999999999" hidden="1" customHeight="1"/>
    <row r="83" spans="1:1" ht="19.899999999999999" hidden="1" customHeight="1"/>
    <row r="84" spans="1:1" ht="19.899999999999999" hidden="1" customHeight="1"/>
    <row r="85" spans="1:1" ht="19.899999999999999" hidden="1" customHeight="1"/>
    <row r="86" spans="1:1" ht="19.899999999999999" customHeight="1"/>
    <row r="87" spans="1:1" ht="19.899999999999999" customHeight="1"/>
    <row r="88" spans="1:1" ht="19.899999999999999" customHeight="1"/>
    <row r="89" spans="1:1" ht="19.899999999999999" customHeight="1"/>
    <row r="90" spans="1:1" ht="19.899999999999999" hidden="1" customHeight="1">
      <c r="A90" s="339" t="s">
        <v>347</v>
      </c>
    </row>
    <row r="91" spans="1:1" ht="19.899999999999999" hidden="1" customHeight="1">
      <c r="A91" s="339" t="s">
        <v>348</v>
      </c>
    </row>
    <row r="92" spans="1:1" ht="19.899999999999999" hidden="1" customHeight="1">
      <c r="A92" s="339" t="s">
        <v>349</v>
      </c>
    </row>
    <row r="93" spans="1:1" ht="19.899999999999999" hidden="1" customHeight="1">
      <c r="A93" s="339" t="s">
        <v>350</v>
      </c>
    </row>
    <row r="94" spans="1:1" ht="19.899999999999999" hidden="1" customHeight="1">
      <c r="A94" s="339" t="s">
        <v>808</v>
      </c>
    </row>
    <row r="95" spans="1:1" ht="19.899999999999999" customHeight="1">
      <c r="A95"/>
    </row>
    <row r="96" spans="1:1" ht="15">
      <c r="A96"/>
    </row>
    <row r="97" spans="1:1" ht="15">
      <c r="A97"/>
    </row>
    <row r="98" spans="1:1" ht="15">
      <c r="A98"/>
    </row>
    <row r="99" spans="1:1" ht="15">
      <c r="A99"/>
    </row>
    <row r="100" spans="1:1" ht="15">
      <c r="A100"/>
    </row>
    <row r="101" spans="1:1" ht="15">
      <c r="A101"/>
    </row>
    <row r="102" spans="1:1" ht="15">
      <c r="A102"/>
    </row>
    <row r="103" spans="1:1" ht="15">
      <c r="A103"/>
    </row>
    <row r="104" spans="1:1" ht="15">
      <c r="A104"/>
    </row>
    <row r="105" spans="1:1" ht="15">
      <c r="A105"/>
    </row>
    <row r="106" spans="1:1" ht="15">
      <c r="A106"/>
    </row>
    <row r="107" spans="1:1" ht="15">
      <c r="A107"/>
    </row>
    <row r="108" spans="1:1" ht="15">
      <c r="A108"/>
    </row>
    <row r="109" spans="1:1" ht="15">
      <c r="A109"/>
    </row>
    <row r="110" spans="1:1" ht="15">
      <c r="A110"/>
    </row>
    <row r="111" spans="1:1" ht="15">
      <c r="A111"/>
    </row>
    <row r="112" spans="1:1" ht="15">
      <c r="A112"/>
    </row>
    <row r="113" spans="1:1" ht="15">
      <c r="A113"/>
    </row>
    <row r="114" spans="1:1" ht="15">
      <c r="A114"/>
    </row>
    <row r="115" spans="1:1" ht="15">
      <c r="A115"/>
    </row>
  </sheetData>
  <mergeCells count="5">
    <mergeCell ref="C7:D7"/>
    <mergeCell ref="F7:G7"/>
    <mergeCell ref="I7:J7"/>
    <mergeCell ref="L7:M7"/>
    <mergeCell ref="O7:P7"/>
  </mergeCells>
  <printOptions horizontalCentered="1" verticalCentered="1"/>
  <pageMargins left="0" right="0" top="0" bottom="0" header="0.31496062992125984" footer="0.31496062992125984"/>
  <pageSetup paperSize="9" scale="70" orientation="landscape" r:id="rId1"/>
  <drawing r:id="rId2"/>
</worksheet>
</file>

<file path=xl/worksheets/sheet77.xml><?xml version="1.0" encoding="utf-8"?>
<worksheet xmlns="http://schemas.openxmlformats.org/spreadsheetml/2006/main" xmlns:r="http://schemas.openxmlformats.org/officeDocument/2006/relationships">
  <dimension ref="A1:M32"/>
  <sheetViews>
    <sheetView workbookViewId="0"/>
  </sheetViews>
  <sheetFormatPr baseColWidth="10" defaultColWidth="9.140625" defaultRowHeight="15.75"/>
  <cols>
    <col min="1" max="1" width="22.7109375" style="339" customWidth="1"/>
    <col min="2" max="2" width="7.5703125" customWidth="1"/>
    <col min="3" max="3" width="8" customWidth="1"/>
    <col min="4" max="4" width="2.7109375" customWidth="1"/>
    <col min="5" max="5" width="7.140625" customWidth="1"/>
    <col min="6" max="6" width="9.42578125" customWidth="1"/>
    <col min="7" max="7" width="2.7109375" customWidth="1"/>
    <col min="8" max="8" width="6.7109375" style="41" customWidth="1"/>
    <col min="9" max="9" width="7.140625" customWidth="1"/>
    <col min="10" max="10" width="2.7109375" customWidth="1"/>
    <col min="11" max="11" width="6.5703125" customWidth="1"/>
    <col min="12" max="12" width="7.42578125" customWidth="1"/>
    <col min="13" max="13" width="2.28515625" customWidth="1"/>
    <col min="257" max="257" width="22.7109375" customWidth="1"/>
    <col min="258" max="258" width="7.5703125" customWidth="1"/>
    <col min="259" max="259" width="8" customWidth="1"/>
    <col min="260" max="260" width="2.7109375" customWidth="1"/>
    <col min="261" max="261" width="7.140625" customWidth="1"/>
    <col min="262" max="262" width="9.42578125" customWidth="1"/>
    <col min="263" max="263" width="2.7109375" customWidth="1"/>
    <col min="264" max="264" width="6.7109375" customWidth="1"/>
    <col min="265" max="265" width="7.140625" customWidth="1"/>
    <col min="266" max="266" width="2.7109375" customWidth="1"/>
    <col min="267" max="267" width="6.5703125" customWidth="1"/>
    <col min="268" max="268" width="7.42578125" customWidth="1"/>
    <col min="269" max="269" width="2.28515625" customWidth="1"/>
    <col min="513" max="513" width="22.7109375" customWidth="1"/>
    <col min="514" max="514" width="7.5703125" customWidth="1"/>
    <col min="515" max="515" width="8" customWidth="1"/>
    <col min="516" max="516" width="2.7109375" customWidth="1"/>
    <col min="517" max="517" width="7.140625" customWidth="1"/>
    <col min="518" max="518" width="9.42578125" customWidth="1"/>
    <col min="519" max="519" width="2.7109375" customWidth="1"/>
    <col min="520" max="520" width="6.7109375" customWidth="1"/>
    <col min="521" max="521" width="7.140625" customWidth="1"/>
    <col min="522" max="522" width="2.7109375" customWidth="1"/>
    <col min="523" max="523" width="6.5703125" customWidth="1"/>
    <col min="524" max="524" width="7.42578125" customWidth="1"/>
    <col min="525" max="525" width="2.28515625" customWidth="1"/>
    <col min="769" max="769" width="22.7109375" customWidth="1"/>
    <col min="770" max="770" width="7.5703125" customWidth="1"/>
    <col min="771" max="771" width="8" customWidth="1"/>
    <col min="772" max="772" width="2.7109375" customWidth="1"/>
    <col min="773" max="773" width="7.140625" customWidth="1"/>
    <col min="774" max="774" width="9.42578125" customWidth="1"/>
    <col min="775" max="775" width="2.7109375" customWidth="1"/>
    <col min="776" max="776" width="6.7109375" customWidth="1"/>
    <col min="777" max="777" width="7.140625" customWidth="1"/>
    <col min="778" max="778" width="2.7109375" customWidth="1"/>
    <col min="779" max="779" width="6.5703125" customWidth="1"/>
    <col min="780" max="780" width="7.42578125" customWidth="1"/>
    <col min="781" max="781" width="2.28515625" customWidth="1"/>
    <col min="1025" max="1025" width="22.7109375" customWidth="1"/>
    <col min="1026" max="1026" width="7.5703125" customWidth="1"/>
    <col min="1027" max="1027" width="8" customWidth="1"/>
    <col min="1028" max="1028" width="2.7109375" customWidth="1"/>
    <col min="1029" max="1029" width="7.140625" customWidth="1"/>
    <col min="1030" max="1030" width="9.42578125" customWidth="1"/>
    <col min="1031" max="1031" width="2.7109375" customWidth="1"/>
    <col min="1032" max="1032" width="6.7109375" customWidth="1"/>
    <col min="1033" max="1033" width="7.140625" customWidth="1"/>
    <col min="1034" max="1034" width="2.7109375" customWidth="1"/>
    <col min="1035" max="1035" width="6.5703125" customWidth="1"/>
    <col min="1036" max="1036" width="7.42578125" customWidth="1"/>
    <col min="1037" max="1037" width="2.28515625" customWidth="1"/>
    <col min="1281" max="1281" width="22.7109375" customWidth="1"/>
    <col min="1282" max="1282" width="7.5703125" customWidth="1"/>
    <col min="1283" max="1283" width="8" customWidth="1"/>
    <col min="1284" max="1284" width="2.7109375" customWidth="1"/>
    <col min="1285" max="1285" width="7.140625" customWidth="1"/>
    <col min="1286" max="1286" width="9.42578125" customWidth="1"/>
    <col min="1287" max="1287" width="2.7109375" customWidth="1"/>
    <col min="1288" max="1288" width="6.7109375" customWidth="1"/>
    <col min="1289" max="1289" width="7.140625" customWidth="1"/>
    <col min="1290" max="1290" width="2.7109375" customWidth="1"/>
    <col min="1291" max="1291" width="6.5703125" customWidth="1"/>
    <col min="1292" max="1292" width="7.42578125" customWidth="1"/>
    <col min="1293" max="1293" width="2.28515625" customWidth="1"/>
    <col min="1537" max="1537" width="22.7109375" customWidth="1"/>
    <col min="1538" max="1538" width="7.5703125" customWidth="1"/>
    <col min="1539" max="1539" width="8" customWidth="1"/>
    <col min="1540" max="1540" width="2.7109375" customWidth="1"/>
    <col min="1541" max="1541" width="7.140625" customWidth="1"/>
    <col min="1542" max="1542" width="9.42578125" customWidth="1"/>
    <col min="1543" max="1543" width="2.7109375" customWidth="1"/>
    <col min="1544" max="1544" width="6.7109375" customWidth="1"/>
    <col min="1545" max="1545" width="7.140625" customWidth="1"/>
    <col min="1546" max="1546" width="2.7109375" customWidth="1"/>
    <col min="1547" max="1547" width="6.5703125" customWidth="1"/>
    <col min="1548" max="1548" width="7.42578125" customWidth="1"/>
    <col min="1549" max="1549" width="2.28515625" customWidth="1"/>
    <col min="1793" max="1793" width="22.7109375" customWidth="1"/>
    <col min="1794" max="1794" width="7.5703125" customWidth="1"/>
    <col min="1795" max="1795" width="8" customWidth="1"/>
    <col min="1796" max="1796" width="2.7109375" customWidth="1"/>
    <col min="1797" max="1797" width="7.140625" customWidth="1"/>
    <col min="1798" max="1798" width="9.42578125" customWidth="1"/>
    <col min="1799" max="1799" width="2.7109375" customWidth="1"/>
    <col min="1800" max="1800" width="6.7109375" customWidth="1"/>
    <col min="1801" max="1801" width="7.140625" customWidth="1"/>
    <col min="1802" max="1802" width="2.7109375" customWidth="1"/>
    <col min="1803" max="1803" width="6.5703125" customWidth="1"/>
    <col min="1804" max="1804" width="7.42578125" customWidth="1"/>
    <col min="1805" max="1805" width="2.28515625" customWidth="1"/>
    <col min="2049" max="2049" width="22.7109375" customWidth="1"/>
    <col min="2050" max="2050" width="7.5703125" customWidth="1"/>
    <col min="2051" max="2051" width="8" customWidth="1"/>
    <col min="2052" max="2052" width="2.7109375" customWidth="1"/>
    <col min="2053" max="2053" width="7.140625" customWidth="1"/>
    <col min="2054" max="2054" width="9.42578125" customWidth="1"/>
    <col min="2055" max="2055" width="2.7109375" customWidth="1"/>
    <col min="2056" max="2056" width="6.7109375" customWidth="1"/>
    <col min="2057" max="2057" width="7.140625" customWidth="1"/>
    <col min="2058" max="2058" width="2.7109375" customWidth="1"/>
    <col min="2059" max="2059" width="6.5703125" customWidth="1"/>
    <col min="2060" max="2060" width="7.42578125" customWidth="1"/>
    <col min="2061" max="2061" width="2.28515625" customWidth="1"/>
    <col min="2305" max="2305" width="22.7109375" customWidth="1"/>
    <col min="2306" max="2306" width="7.5703125" customWidth="1"/>
    <col min="2307" max="2307" width="8" customWidth="1"/>
    <col min="2308" max="2308" width="2.7109375" customWidth="1"/>
    <col min="2309" max="2309" width="7.140625" customWidth="1"/>
    <col min="2310" max="2310" width="9.42578125" customWidth="1"/>
    <col min="2311" max="2311" width="2.7109375" customWidth="1"/>
    <col min="2312" max="2312" width="6.7109375" customWidth="1"/>
    <col min="2313" max="2313" width="7.140625" customWidth="1"/>
    <col min="2314" max="2314" width="2.7109375" customWidth="1"/>
    <col min="2315" max="2315" width="6.5703125" customWidth="1"/>
    <col min="2316" max="2316" width="7.42578125" customWidth="1"/>
    <col min="2317" max="2317" width="2.28515625" customWidth="1"/>
    <col min="2561" max="2561" width="22.7109375" customWidth="1"/>
    <col min="2562" max="2562" width="7.5703125" customWidth="1"/>
    <col min="2563" max="2563" width="8" customWidth="1"/>
    <col min="2564" max="2564" width="2.7109375" customWidth="1"/>
    <col min="2565" max="2565" width="7.140625" customWidth="1"/>
    <col min="2566" max="2566" width="9.42578125" customWidth="1"/>
    <col min="2567" max="2567" width="2.7109375" customWidth="1"/>
    <col min="2568" max="2568" width="6.7109375" customWidth="1"/>
    <col min="2569" max="2569" width="7.140625" customWidth="1"/>
    <col min="2570" max="2570" width="2.7109375" customWidth="1"/>
    <col min="2571" max="2571" width="6.5703125" customWidth="1"/>
    <col min="2572" max="2572" width="7.42578125" customWidth="1"/>
    <col min="2573" max="2573" width="2.28515625" customWidth="1"/>
    <col min="2817" max="2817" width="22.7109375" customWidth="1"/>
    <col min="2818" max="2818" width="7.5703125" customWidth="1"/>
    <col min="2819" max="2819" width="8" customWidth="1"/>
    <col min="2820" max="2820" width="2.7109375" customWidth="1"/>
    <col min="2821" max="2821" width="7.140625" customWidth="1"/>
    <col min="2822" max="2822" width="9.42578125" customWidth="1"/>
    <col min="2823" max="2823" width="2.7109375" customWidth="1"/>
    <col min="2824" max="2824" width="6.7109375" customWidth="1"/>
    <col min="2825" max="2825" width="7.140625" customWidth="1"/>
    <col min="2826" max="2826" width="2.7109375" customWidth="1"/>
    <col min="2827" max="2827" width="6.5703125" customWidth="1"/>
    <col min="2828" max="2828" width="7.42578125" customWidth="1"/>
    <col min="2829" max="2829" width="2.28515625" customWidth="1"/>
    <col min="3073" max="3073" width="22.7109375" customWidth="1"/>
    <col min="3074" max="3074" width="7.5703125" customWidth="1"/>
    <col min="3075" max="3075" width="8" customWidth="1"/>
    <col min="3076" max="3076" width="2.7109375" customWidth="1"/>
    <col min="3077" max="3077" width="7.140625" customWidth="1"/>
    <col min="3078" max="3078" width="9.42578125" customWidth="1"/>
    <col min="3079" max="3079" width="2.7109375" customWidth="1"/>
    <col min="3080" max="3080" width="6.7109375" customWidth="1"/>
    <col min="3081" max="3081" width="7.140625" customWidth="1"/>
    <col min="3082" max="3082" width="2.7109375" customWidth="1"/>
    <col min="3083" max="3083" width="6.5703125" customWidth="1"/>
    <col min="3084" max="3084" width="7.42578125" customWidth="1"/>
    <col min="3085" max="3085" width="2.28515625" customWidth="1"/>
    <col min="3329" max="3329" width="22.7109375" customWidth="1"/>
    <col min="3330" max="3330" width="7.5703125" customWidth="1"/>
    <col min="3331" max="3331" width="8" customWidth="1"/>
    <col min="3332" max="3332" width="2.7109375" customWidth="1"/>
    <col min="3333" max="3333" width="7.140625" customWidth="1"/>
    <col min="3334" max="3334" width="9.42578125" customWidth="1"/>
    <col min="3335" max="3335" width="2.7109375" customWidth="1"/>
    <col min="3336" max="3336" width="6.7109375" customWidth="1"/>
    <col min="3337" max="3337" width="7.140625" customWidth="1"/>
    <col min="3338" max="3338" width="2.7109375" customWidth="1"/>
    <col min="3339" max="3339" width="6.5703125" customWidth="1"/>
    <col min="3340" max="3340" width="7.42578125" customWidth="1"/>
    <col min="3341" max="3341" width="2.28515625" customWidth="1"/>
    <col min="3585" max="3585" width="22.7109375" customWidth="1"/>
    <col min="3586" max="3586" width="7.5703125" customWidth="1"/>
    <col min="3587" max="3587" width="8" customWidth="1"/>
    <col min="3588" max="3588" width="2.7109375" customWidth="1"/>
    <col min="3589" max="3589" width="7.140625" customWidth="1"/>
    <col min="3590" max="3590" width="9.42578125" customWidth="1"/>
    <col min="3591" max="3591" width="2.7109375" customWidth="1"/>
    <col min="3592" max="3592" width="6.7109375" customWidth="1"/>
    <col min="3593" max="3593" width="7.140625" customWidth="1"/>
    <col min="3594" max="3594" width="2.7109375" customWidth="1"/>
    <col min="3595" max="3595" width="6.5703125" customWidth="1"/>
    <col min="3596" max="3596" width="7.42578125" customWidth="1"/>
    <col min="3597" max="3597" width="2.28515625" customWidth="1"/>
    <col min="3841" max="3841" width="22.7109375" customWidth="1"/>
    <col min="3842" max="3842" width="7.5703125" customWidth="1"/>
    <col min="3843" max="3843" width="8" customWidth="1"/>
    <col min="3844" max="3844" width="2.7109375" customWidth="1"/>
    <col min="3845" max="3845" width="7.140625" customWidth="1"/>
    <col min="3846" max="3846" width="9.42578125" customWidth="1"/>
    <col min="3847" max="3847" width="2.7109375" customWidth="1"/>
    <col min="3848" max="3848" width="6.7109375" customWidth="1"/>
    <col min="3849" max="3849" width="7.140625" customWidth="1"/>
    <col min="3850" max="3850" width="2.7109375" customWidth="1"/>
    <col min="3851" max="3851" width="6.5703125" customWidth="1"/>
    <col min="3852" max="3852" width="7.42578125" customWidth="1"/>
    <col min="3853" max="3853" width="2.28515625" customWidth="1"/>
    <col min="4097" max="4097" width="22.7109375" customWidth="1"/>
    <col min="4098" max="4098" width="7.5703125" customWidth="1"/>
    <col min="4099" max="4099" width="8" customWidth="1"/>
    <col min="4100" max="4100" width="2.7109375" customWidth="1"/>
    <col min="4101" max="4101" width="7.140625" customWidth="1"/>
    <col min="4102" max="4102" width="9.42578125" customWidth="1"/>
    <col min="4103" max="4103" width="2.7109375" customWidth="1"/>
    <col min="4104" max="4104" width="6.7109375" customWidth="1"/>
    <col min="4105" max="4105" width="7.140625" customWidth="1"/>
    <col min="4106" max="4106" width="2.7109375" customWidth="1"/>
    <col min="4107" max="4107" width="6.5703125" customWidth="1"/>
    <col min="4108" max="4108" width="7.42578125" customWidth="1"/>
    <col min="4109" max="4109" width="2.28515625" customWidth="1"/>
    <col min="4353" max="4353" width="22.7109375" customWidth="1"/>
    <col min="4354" max="4354" width="7.5703125" customWidth="1"/>
    <col min="4355" max="4355" width="8" customWidth="1"/>
    <col min="4356" max="4356" width="2.7109375" customWidth="1"/>
    <col min="4357" max="4357" width="7.140625" customWidth="1"/>
    <col min="4358" max="4358" width="9.42578125" customWidth="1"/>
    <col min="4359" max="4359" width="2.7109375" customWidth="1"/>
    <col min="4360" max="4360" width="6.7109375" customWidth="1"/>
    <col min="4361" max="4361" width="7.140625" customWidth="1"/>
    <col min="4362" max="4362" width="2.7109375" customWidth="1"/>
    <col min="4363" max="4363" width="6.5703125" customWidth="1"/>
    <col min="4364" max="4364" width="7.42578125" customWidth="1"/>
    <col min="4365" max="4365" width="2.28515625" customWidth="1"/>
    <col min="4609" max="4609" width="22.7109375" customWidth="1"/>
    <col min="4610" max="4610" width="7.5703125" customWidth="1"/>
    <col min="4611" max="4611" width="8" customWidth="1"/>
    <col min="4612" max="4612" width="2.7109375" customWidth="1"/>
    <col min="4613" max="4613" width="7.140625" customWidth="1"/>
    <col min="4614" max="4614" width="9.42578125" customWidth="1"/>
    <col min="4615" max="4615" width="2.7109375" customWidth="1"/>
    <col min="4616" max="4616" width="6.7109375" customWidth="1"/>
    <col min="4617" max="4617" width="7.140625" customWidth="1"/>
    <col min="4618" max="4618" width="2.7109375" customWidth="1"/>
    <col min="4619" max="4619" width="6.5703125" customWidth="1"/>
    <col min="4620" max="4620" width="7.42578125" customWidth="1"/>
    <col min="4621" max="4621" width="2.28515625" customWidth="1"/>
    <col min="4865" max="4865" width="22.7109375" customWidth="1"/>
    <col min="4866" max="4866" width="7.5703125" customWidth="1"/>
    <col min="4867" max="4867" width="8" customWidth="1"/>
    <col min="4868" max="4868" width="2.7109375" customWidth="1"/>
    <col min="4869" max="4869" width="7.140625" customWidth="1"/>
    <col min="4870" max="4870" width="9.42578125" customWidth="1"/>
    <col min="4871" max="4871" width="2.7109375" customWidth="1"/>
    <col min="4872" max="4872" width="6.7109375" customWidth="1"/>
    <col min="4873" max="4873" width="7.140625" customWidth="1"/>
    <col min="4874" max="4874" width="2.7109375" customWidth="1"/>
    <col min="4875" max="4875" width="6.5703125" customWidth="1"/>
    <col min="4876" max="4876" width="7.42578125" customWidth="1"/>
    <col min="4877" max="4877" width="2.28515625" customWidth="1"/>
    <col min="5121" max="5121" width="22.7109375" customWidth="1"/>
    <col min="5122" max="5122" width="7.5703125" customWidth="1"/>
    <col min="5123" max="5123" width="8" customWidth="1"/>
    <col min="5124" max="5124" width="2.7109375" customWidth="1"/>
    <col min="5125" max="5125" width="7.140625" customWidth="1"/>
    <col min="5126" max="5126" width="9.42578125" customWidth="1"/>
    <col min="5127" max="5127" width="2.7109375" customWidth="1"/>
    <col min="5128" max="5128" width="6.7109375" customWidth="1"/>
    <col min="5129" max="5129" width="7.140625" customWidth="1"/>
    <col min="5130" max="5130" width="2.7109375" customWidth="1"/>
    <col min="5131" max="5131" width="6.5703125" customWidth="1"/>
    <col min="5132" max="5132" width="7.42578125" customWidth="1"/>
    <col min="5133" max="5133" width="2.28515625" customWidth="1"/>
    <col min="5377" max="5377" width="22.7109375" customWidth="1"/>
    <col min="5378" max="5378" width="7.5703125" customWidth="1"/>
    <col min="5379" max="5379" width="8" customWidth="1"/>
    <col min="5380" max="5380" width="2.7109375" customWidth="1"/>
    <col min="5381" max="5381" width="7.140625" customWidth="1"/>
    <col min="5382" max="5382" width="9.42578125" customWidth="1"/>
    <col min="5383" max="5383" width="2.7109375" customWidth="1"/>
    <col min="5384" max="5384" width="6.7109375" customWidth="1"/>
    <col min="5385" max="5385" width="7.140625" customWidth="1"/>
    <col min="5386" max="5386" width="2.7109375" customWidth="1"/>
    <col min="5387" max="5387" width="6.5703125" customWidth="1"/>
    <col min="5388" max="5388" width="7.42578125" customWidth="1"/>
    <col min="5389" max="5389" width="2.28515625" customWidth="1"/>
    <col min="5633" max="5633" width="22.7109375" customWidth="1"/>
    <col min="5634" max="5634" width="7.5703125" customWidth="1"/>
    <col min="5635" max="5635" width="8" customWidth="1"/>
    <col min="5636" max="5636" width="2.7109375" customWidth="1"/>
    <col min="5637" max="5637" width="7.140625" customWidth="1"/>
    <col min="5638" max="5638" width="9.42578125" customWidth="1"/>
    <col min="5639" max="5639" width="2.7109375" customWidth="1"/>
    <col min="5640" max="5640" width="6.7109375" customWidth="1"/>
    <col min="5641" max="5641" width="7.140625" customWidth="1"/>
    <col min="5642" max="5642" width="2.7109375" customWidth="1"/>
    <col min="5643" max="5643" width="6.5703125" customWidth="1"/>
    <col min="5644" max="5644" width="7.42578125" customWidth="1"/>
    <col min="5645" max="5645" width="2.28515625" customWidth="1"/>
    <col min="5889" max="5889" width="22.7109375" customWidth="1"/>
    <col min="5890" max="5890" width="7.5703125" customWidth="1"/>
    <col min="5891" max="5891" width="8" customWidth="1"/>
    <col min="5892" max="5892" width="2.7109375" customWidth="1"/>
    <col min="5893" max="5893" width="7.140625" customWidth="1"/>
    <col min="5894" max="5894" width="9.42578125" customWidth="1"/>
    <col min="5895" max="5895" width="2.7109375" customWidth="1"/>
    <col min="5896" max="5896" width="6.7109375" customWidth="1"/>
    <col min="5897" max="5897" width="7.140625" customWidth="1"/>
    <col min="5898" max="5898" width="2.7109375" customWidth="1"/>
    <col min="5899" max="5899" width="6.5703125" customWidth="1"/>
    <col min="5900" max="5900" width="7.42578125" customWidth="1"/>
    <col min="5901" max="5901" width="2.28515625" customWidth="1"/>
    <col min="6145" max="6145" width="22.7109375" customWidth="1"/>
    <col min="6146" max="6146" width="7.5703125" customWidth="1"/>
    <col min="6147" max="6147" width="8" customWidth="1"/>
    <col min="6148" max="6148" width="2.7109375" customWidth="1"/>
    <col min="6149" max="6149" width="7.140625" customWidth="1"/>
    <col min="6150" max="6150" width="9.42578125" customWidth="1"/>
    <col min="6151" max="6151" width="2.7109375" customWidth="1"/>
    <col min="6152" max="6152" width="6.7109375" customWidth="1"/>
    <col min="6153" max="6153" width="7.140625" customWidth="1"/>
    <col min="6154" max="6154" width="2.7109375" customWidth="1"/>
    <col min="6155" max="6155" width="6.5703125" customWidth="1"/>
    <col min="6156" max="6156" width="7.42578125" customWidth="1"/>
    <col min="6157" max="6157" width="2.28515625" customWidth="1"/>
    <col min="6401" max="6401" width="22.7109375" customWidth="1"/>
    <col min="6402" max="6402" width="7.5703125" customWidth="1"/>
    <col min="6403" max="6403" width="8" customWidth="1"/>
    <col min="6404" max="6404" width="2.7109375" customWidth="1"/>
    <col min="6405" max="6405" width="7.140625" customWidth="1"/>
    <col min="6406" max="6406" width="9.42578125" customWidth="1"/>
    <col min="6407" max="6407" width="2.7109375" customWidth="1"/>
    <col min="6408" max="6408" width="6.7109375" customWidth="1"/>
    <col min="6409" max="6409" width="7.140625" customWidth="1"/>
    <col min="6410" max="6410" width="2.7109375" customWidth="1"/>
    <col min="6411" max="6411" width="6.5703125" customWidth="1"/>
    <col min="6412" max="6412" width="7.42578125" customWidth="1"/>
    <col min="6413" max="6413" width="2.28515625" customWidth="1"/>
    <col min="6657" max="6657" width="22.7109375" customWidth="1"/>
    <col min="6658" max="6658" width="7.5703125" customWidth="1"/>
    <col min="6659" max="6659" width="8" customWidth="1"/>
    <col min="6660" max="6660" width="2.7109375" customWidth="1"/>
    <col min="6661" max="6661" width="7.140625" customWidth="1"/>
    <col min="6662" max="6662" width="9.42578125" customWidth="1"/>
    <col min="6663" max="6663" width="2.7109375" customWidth="1"/>
    <col min="6664" max="6664" width="6.7109375" customWidth="1"/>
    <col min="6665" max="6665" width="7.140625" customWidth="1"/>
    <col min="6666" max="6666" width="2.7109375" customWidth="1"/>
    <col min="6667" max="6667" width="6.5703125" customWidth="1"/>
    <col min="6668" max="6668" width="7.42578125" customWidth="1"/>
    <col min="6669" max="6669" width="2.28515625" customWidth="1"/>
    <col min="6913" max="6913" width="22.7109375" customWidth="1"/>
    <col min="6914" max="6914" width="7.5703125" customWidth="1"/>
    <col min="6915" max="6915" width="8" customWidth="1"/>
    <col min="6916" max="6916" width="2.7109375" customWidth="1"/>
    <col min="6917" max="6917" width="7.140625" customWidth="1"/>
    <col min="6918" max="6918" width="9.42578125" customWidth="1"/>
    <col min="6919" max="6919" width="2.7109375" customWidth="1"/>
    <col min="6920" max="6920" width="6.7109375" customWidth="1"/>
    <col min="6921" max="6921" width="7.140625" customWidth="1"/>
    <col min="6922" max="6922" width="2.7109375" customWidth="1"/>
    <col min="6923" max="6923" width="6.5703125" customWidth="1"/>
    <col min="6924" max="6924" width="7.42578125" customWidth="1"/>
    <col min="6925" max="6925" width="2.28515625" customWidth="1"/>
    <col min="7169" max="7169" width="22.7109375" customWidth="1"/>
    <col min="7170" max="7170" width="7.5703125" customWidth="1"/>
    <col min="7171" max="7171" width="8" customWidth="1"/>
    <col min="7172" max="7172" width="2.7109375" customWidth="1"/>
    <col min="7173" max="7173" width="7.140625" customWidth="1"/>
    <col min="7174" max="7174" width="9.42578125" customWidth="1"/>
    <col min="7175" max="7175" width="2.7109375" customWidth="1"/>
    <col min="7176" max="7176" width="6.7109375" customWidth="1"/>
    <col min="7177" max="7177" width="7.140625" customWidth="1"/>
    <col min="7178" max="7178" width="2.7109375" customWidth="1"/>
    <col min="7179" max="7179" width="6.5703125" customWidth="1"/>
    <col min="7180" max="7180" width="7.42578125" customWidth="1"/>
    <col min="7181" max="7181" width="2.28515625" customWidth="1"/>
    <col min="7425" max="7425" width="22.7109375" customWidth="1"/>
    <col min="7426" max="7426" width="7.5703125" customWidth="1"/>
    <col min="7427" max="7427" width="8" customWidth="1"/>
    <col min="7428" max="7428" width="2.7109375" customWidth="1"/>
    <col min="7429" max="7429" width="7.140625" customWidth="1"/>
    <col min="7430" max="7430" width="9.42578125" customWidth="1"/>
    <col min="7431" max="7431" width="2.7109375" customWidth="1"/>
    <col min="7432" max="7432" width="6.7109375" customWidth="1"/>
    <col min="7433" max="7433" width="7.140625" customWidth="1"/>
    <col min="7434" max="7434" width="2.7109375" customWidth="1"/>
    <col min="7435" max="7435" width="6.5703125" customWidth="1"/>
    <col min="7436" max="7436" width="7.42578125" customWidth="1"/>
    <col min="7437" max="7437" width="2.28515625" customWidth="1"/>
    <col min="7681" max="7681" width="22.7109375" customWidth="1"/>
    <col min="7682" max="7682" width="7.5703125" customWidth="1"/>
    <col min="7683" max="7683" width="8" customWidth="1"/>
    <col min="7684" max="7684" width="2.7109375" customWidth="1"/>
    <col min="7685" max="7685" width="7.140625" customWidth="1"/>
    <col min="7686" max="7686" width="9.42578125" customWidth="1"/>
    <col min="7687" max="7687" width="2.7109375" customWidth="1"/>
    <col min="7688" max="7688" width="6.7109375" customWidth="1"/>
    <col min="7689" max="7689" width="7.140625" customWidth="1"/>
    <col min="7690" max="7690" width="2.7109375" customWidth="1"/>
    <col min="7691" max="7691" width="6.5703125" customWidth="1"/>
    <col min="7692" max="7692" width="7.42578125" customWidth="1"/>
    <col min="7693" max="7693" width="2.28515625" customWidth="1"/>
    <col min="7937" max="7937" width="22.7109375" customWidth="1"/>
    <col min="7938" max="7938" width="7.5703125" customWidth="1"/>
    <col min="7939" max="7939" width="8" customWidth="1"/>
    <col min="7940" max="7940" width="2.7109375" customWidth="1"/>
    <col min="7941" max="7941" width="7.140625" customWidth="1"/>
    <col min="7942" max="7942" width="9.42578125" customWidth="1"/>
    <col min="7943" max="7943" width="2.7109375" customWidth="1"/>
    <col min="7944" max="7944" width="6.7109375" customWidth="1"/>
    <col min="7945" max="7945" width="7.140625" customWidth="1"/>
    <col min="7946" max="7946" width="2.7109375" customWidth="1"/>
    <col min="7947" max="7947" width="6.5703125" customWidth="1"/>
    <col min="7948" max="7948" width="7.42578125" customWidth="1"/>
    <col min="7949" max="7949" width="2.28515625" customWidth="1"/>
    <col min="8193" max="8193" width="22.7109375" customWidth="1"/>
    <col min="8194" max="8194" width="7.5703125" customWidth="1"/>
    <col min="8195" max="8195" width="8" customWidth="1"/>
    <col min="8196" max="8196" width="2.7109375" customWidth="1"/>
    <col min="8197" max="8197" width="7.140625" customWidth="1"/>
    <col min="8198" max="8198" width="9.42578125" customWidth="1"/>
    <col min="8199" max="8199" width="2.7109375" customWidth="1"/>
    <col min="8200" max="8200" width="6.7109375" customWidth="1"/>
    <col min="8201" max="8201" width="7.140625" customWidth="1"/>
    <col min="8202" max="8202" width="2.7109375" customWidth="1"/>
    <col min="8203" max="8203" width="6.5703125" customWidth="1"/>
    <col min="8204" max="8204" width="7.42578125" customWidth="1"/>
    <col min="8205" max="8205" width="2.28515625" customWidth="1"/>
    <col min="8449" max="8449" width="22.7109375" customWidth="1"/>
    <col min="8450" max="8450" width="7.5703125" customWidth="1"/>
    <col min="8451" max="8451" width="8" customWidth="1"/>
    <col min="8452" max="8452" width="2.7109375" customWidth="1"/>
    <col min="8453" max="8453" width="7.140625" customWidth="1"/>
    <col min="8454" max="8454" width="9.42578125" customWidth="1"/>
    <col min="8455" max="8455" width="2.7109375" customWidth="1"/>
    <col min="8456" max="8456" width="6.7109375" customWidth="1"/>
    <col min="8457" max="8457" width="7.140625" customWidth="1"/>
    <col min="8458" max="8458" width="2.7109375" customWidth="1"/>
    <col min="8459" max="8459" width="6.5703125" customWidth="1"/>
    <col min="8460" max="8460" width="7.42578125" customWidth="1"/>
    <col min="8461" max="8461" width="2.28515625" customWidth="1"/>
    <col min="8705" max="8705" width="22.7109375" customWidth="1"/>
    <col min="8706" max="8706" width="7.5703125" customWidth="1"/>
    <col min="8707" max="8707" width="8" customWidth="1"/>
    <col min="8708" max="8708" width="2.7109375" customWidth="1"/>
    <col min="8709" max="8709" width="7.140625" customWidth="1"/>
    <col min="8710" max="8710" width="9.42578125" customWidth="1"/>
    <col min="8711" max="8711" width="2.7109375" customWidth="1"/>
    <col min="8712" max="8712" width="6.7109375" customWidth="1"/>
    <col min="8713" max="8713" width="7.140625" customWidth="1"/>
    <col min="8714" max="8714" width="2.7109375" customWidth="1"/>
    <col min="8715" max="8715" width="6.5703125" customWidth="1"/>
    <col min="8716" max="8716" width="7.42578125" customWidth="1"/>
    <col min="8717" max="8717" width="2.28515625" customWidth="1"/>
    <col min="8961" max="8961" width="22.7109375" customWidth="1"/>
    <col min="8962" max="8962" width="7.5703125" customWidth="1"/>
    <col min="8963" max="8963" width="8" customWidth="1"/>
    <col min="8964" max="8964" width="2.7109375" customWidth="1"/>
    <col min="8965" max="8965" width="7.140625" customWidth="1"/>
    <col min="8966" max="8966" width="9.42578125" customWidth="1"/>
    <col min="8967" max="8967" width="2.7109375" customWidth="1"/>
    <col min="8968" max="8968" width="6.7109375" customWidth="1"/>
    <col min="8969" max="8969" width="7.140625" customWidth="1"/>
    <col min="8970" max="8970" width="2.7109375" customWidth="1"/>
    <col min="8971" max="8971" width="6.5703125" customWidth="1"/>
    <col min="8972" max="8972" width="7.42578125" customWidth="1"/>
    <col min="8973" max="8973" width="2.28515625" customWidth="1"/>
    <col min="9217" max="9217" width="22.7109375" customWidth="1"/>
    <col min="9218" max="9218" width="7.5703125" customWidth="1"/>
    <col min="9219" max="9219" width="8" customWidth="1"/>
    <col min="9220" max="9220" width="2.7109375" customWidth="1"/>
    <col min="9221" max="9221" width="7.140625" customWidth="1"/>
    <col min="9222" max="9222" width="9.42578125" customWidth="1"/>
    <col min="9223" max="9223" width="2.7109375" customWidth="1"/>
    <col min="9224" max="9224" width="6.7109375" customWidth="1"/>
    <col min="9225" max="9225" width="7.140625" customWidth="1"/>
    <col min="9226" max="9226" width="2.7109375" customWidth="1"/>
    <col min="9227" max="9227" width="6.5703125" customWidth="1"/>
    <col min="9228" max="9228" width="7.42578125" customWidth="1"/>
    <col min="9229" max="9229" width="2.28515625" customWidth="1"/>
    <col min="9473" max="9473" width="22.7109375" customWidth="1"/>
    <col min="9474" max="9474" width="7.5703125" customWidth="1"/>
    <col min="9475" max="9475" width="8" customWidth="1"/>
    <col min="9476" max="9476" width="2.7109375" customWidth="1"/>
    <col min="9477" max="9477" width="7.140625" customWidth="1"/>
    <col min="9478" max="9478" width="9.42578125" customWidth="1"/>
    <col min="9479" max="9479" width="2.7109375" customWidth="1"/>
    <col min="9480" max="9480" width="6.7109375" customWidth="1"/>
    <col min="9481" max="9481" width="7.140625" customWidth="1"/>
    <col min="9482" max="9482" width="2.7109375" customWidth="1"/>
    <col min="9483" max="9483" width="6.5703125" customWidth="1"/>
    <col min="9484" max="9484" width="7.42578125" customWidth="1"/>
    <col min="9485" max="9485" width="2.28515625" customWidth="1"/>
    <col min="9729" max="9729" width="22.7109375" customWidth="1"/>
    <col min="9730" max="9730" width="7.5703125" customWidth="1"/>
    <col min="9731" max="9731" width="8" customWidth="1"/>
    <col min="9732" max="9732" width="2.7109375" customWidth="1"/>
    <col min="9733" max="9733" width="7.140625" customWidth="1"/>
    <col min="9734" max="9734" width="9.42578125" customWidth="1"/>
    <col min="9735" max="9735" width="2.7109375" customWidth="1"/>
    <col min="9736" max="9736" width="6.7109375" customWidth="1"/>
    <col min="9737" max="9737" width="7.140625" customWidth="1"/>
    <col min="9738" max="9738" width="2.7109375" customWidth="1"/>
    <col min="9739" max="9739" width="6.5703125" customWidth="1"/>
    <col min="9740" max="9740" width="7.42578125" customWidth="1"/>
    <col min="9741" max="9741" width="2.28515625" customWidth="1"/>
    <col min="9985" max="9985" width="22.7109375" customWidth="1"/>
    <col min="9986" max="9986" width="7.5703125" customWidth="1"/>
    <col min="9987" max="9987" width="8" customWidth="1"/>
    <col min="9988" max="9988" width="2.7109375" customWidth="1"/>
    <col min="9989" max="9989" width="7.140625" customWidth="1"/>
    <col min="9990" max="9990" width="9.42578125" customWidth="1"/>
    <col min="9991" max="9991" width="2.7109375" customWidth="1"/>
    <col min="9992" max="9992" width="6.7109375" customWidth="1"/>
    <col min="9993" max="9993" width="7.140625" customWidth="1"/>
    <col min="9994" max="9994" width="2.7109375" customWidth="1"/>
    <col min="9995" max="9995" width="6.5703125" customWidth="1"/>
    <col min="9996" max="9996" width="7.42578125" customWidth="1"/>
    <col min="9997" max="9997" width="2.28515625" customWidth="1"/>
    <col min="10241" max="10241" width="22.7109375" customWidth="1"/>
    <col min="10242" max="10242" width="7.5703125" customWidth="1"/>
    <col min="10243" max="10243" width="8" customWidth="1"/>
    <col min="10244" max="10244" width="2.7109375" customWidth="1"/>
    <col min="10245" max="10245" width="7.140625" customWidth="1"/>
    <col min="10246" max="10246" width="9.42578125" customWidth="1"/>
    <col min="10247" max="10247" width="2.7109375" customWidth="1"/>
    <col min="10248" max="10248" width="6.7109375" customWidth="1"/>
    <col min="10249" max="10249" width="7.140625" customWidth="1"/>
    <col min="10250" max="10250" width="2.7109375" customWidth="1"/>
    <col min="10251" max="10251" width="6.5703125" customWidth="1"/>
    <col min="10252" max="10252" width="7.42578125" customWidth="1"/>
    <col min="10253" max="10253" width="2.28515625" customWidth="1"/>
    <col min="10497" max="10497" width="22.7109375" customWidth="1"/>
    <col min="10498" max="10498" width="7.5703125" customWidth="1"/>
    <col min="10499" max="10499" width="8" customWidth="1"/>
    <col min="10500" max="10500" width="2.7109375" customWidth="1"/>
    <col min="10501" max="10501" width="7.140625" customWidth="1"/>
    <col min="10502" max="10502" width="9.42578125" customWidth="1"/>
    <col min="10503" max="10503" width="2.7109375" customWidth="1"/>
    <col min="10504" max="10504" width="6.7109375" customWidth="1"/>
    <col min="10505" max="10505" width="7.140625" customWidth="1"/>
    <col min="10506" max="10506" width="2.7109375" customWidth="1"/>
    <col min="10507" max="10507" width="6.5703125" customWidth="1"/>
    <col min="10508" max="10508" width="7.42578125" customWidth="1"/>
    <col min="10509" max="10509" width="2.28515625" customWidth="1"/>
    <col min="10753" max="10753" width="22.7109375" customWidth="1"/>
    <col min="10754" max="10754" width="7.5703125" customWidth="1"/>
    <col min="10755" max="10755" width="8" customWidth="1"/>
    <col min="10756" max="10756" width="2.7109375" customWidth="1"/>
    <col min="10757" max="10757" width="7.140625" customWidth="1"/>
    <col min="10758" max="10758" width="9.42578125" customWidth="1"/>
    <col min="10759" max="10759" width="2.7109375" customWidth="1"/>
    <col min="10760" max="10760" width="6.7109375" customWidth="1"/>
    <col min="10761" max="10761" width="7.140625" customWidth="1"/>
    <col min="10762" max="10762" width="2.7109375" customWidth="1"/>
    <col min="10763" max="10763" width="6.5703125" customWidth="1"/>
    <col min="10764" max="10764" width="7.42578125" customWidth="1"/>
    <col min="10765" max="10765" width="2.28515625" customWidth="1"/>
    <col min="11009" max="11009" width="22.7109375" customWidth="1"/>
    <col min="11010" max="11010" width="7.5703125" customWidth="1"/>
    <col min="11011" max="11011" width="8" customWidth="1"/>
    <col min="11012" max="11012" width="2.7109375" customWidth="1"/>
    <col min="11013" max="11013" width="7.140625" customWidth="1"/>
    <col min="11014" max="11014" width="9.42578125" customWidth="1"/>
    <col min="11015" max="11015" width="2.7109375" customWidth="1"/>
    <col min="11016" max="11016" width="6.7109375" customWidth="1"/>
    <col min="11017" max="11017" width="7.140625" customWidth="1"/>
    <col min="11018" max="11018" width="2.7109375" customWidth="1"/>
    <col min="11019" max="11019" width="6.5703125" customWidth="1"/>
    <col min="11020" max="11020" width="7.42578125" customWidth="1"/>
    <col min="11021" max="11021" width="2.28515625" customWidth="1"/>
    <col min="11265" max="11265" width="22.7109375" customWidth="1"/>
    <col min="11266" max="11266" width="7.5703125" customWidth="1"/>
    <col min="11267" max="11267" width="8" customWidth="1"/>
    <col min="11268" max="11268" width="2.7109375" customWidth="1"/>
    <col min="11269" max="11269" width="7.140625" customWidth="1"/>
    <col min="11270" max="11270" width="9.42578125" customWidth="1"/>
    <col min="11271" max="11271" width="2.7109375" customWidth="1"/>
    <col min="11272" max="11272" width="6.7109375" customWidth="1"/>
    <col min="11273" max="11273" width="7.140625" customWidth="1"/>
    <col min="11274" max="11274" width="2.7109375" customWidth="1"/>
    <col min="11275" max="11275" width="6.5703125" customWidth="1"/>
    <col min="11276" max="11276" width="7.42578125" customWidth="1"/>
    <col min="11277" max="11277" width="2.28515625" customWidth="1"/>
    <col min="11521" max="11521" width="22.7109375" customWidth="1"/>
    <col min="11522" max="11522" width="7.5703125" customWidth="1"/>
    <col min="11523" max="11523" width="8" customWidth="1"/>
    <col min="11524" max="11524" width="2.7109375" customWidth="1"/>
    <col min="11525" max="11525" width="7.140625" customWidth="1"/>
    <col min="11526" max="11526" width="9.42578125" customWidth="1"/>
    <col min="11527" max="11527" width="2.7109375" customWidth="1"/>
    <col min="11528" max="11528" width="6.7109375" customWidth="1"/>
    <col min="11529" max="11529" width="7.140625" customWidth="1"/>
    <col min="11530" max="11530" width="2.7109375" customWidth="1"/>
    <col min="11531" max="11531" width="6.5703125" customWidth="1"/>
    <col min="11532" max="11532" width="7.42578125" customWidth="1"/>
    <col min="11533" max="11533" width="2.28515625" customWidth="1"/>
    <col min="11777" max="11777" width="22.7109375" customWidth="1"/>
    <col min="11778" max="11778" width="7.5703125" customWidth="1"/>
    <col min="11779" max="11779" width="8" customWidth="1"/>
    <col min="11780" max="11780" width="2.7109375" customWidth="1"/>
    <col min="11781" max="11781" width="7.140625" customWidth="1"/>
    <col min="11782" max="11782" width="9.42578125" customWidth="1"/>
    <col min="11783" max="11783" width="2.7109375" customWidth="1"/>
    <col min="11784" max="11784" width="6.7109375" customWidth="1"/>
    <col min="11785" max="11785" width="7.140625" customWidth="1"/>
    <col min="11786" max="11786" width="2.7109375" customWidth="1"/>
    <col min="11787" max="11787" width="6.5703125" customWidth="1"/>
    <col min="11788" max="11788" width="7.42578125" customWidth="1"/>
    <col min="11789" max="11789" width="2.28515625" customWidth="1"/>
    <col min="12033" max="12033" width="22.7109375" customWidth="1"/>
    <col min="12034" max="12034" width="7.5703125" customWidth="1"/>
    <col min="12035" max="12035" width="8" customWidth="1"/>
    <col min="12036" max="12036" width="2.7109375" customWidth="1"/>
    <col min="12037" max="12037" width="7.140625" customWidth="1"/>
    <col min="12038" max="12038" width="9.42578125" customWidth="1"/>
    <col min="12039" max="12039" width="2.7109375" customWidth="1"/>
    <col min="12040" max="12040" width="6.7109375" customWidth="1"/>
    <col min="12041" max="12041" width="7.140625" customWidth="1"/>
    <col min="12042" max="12042" width="2.7109375" customWidth="1"/>
    <col min="12043" max="12043" width="6.5703125" customWidth="1"/>
    <col min="12044" max="12044" width="7.42578125" customWidth="1"/>
    <col min="12045" max="12045" width="2.28515625" customWidth="1"/>
    <col min="12289" max="12289" width="22.7109375" customWidth="1"/>
    <col min="12290" max="12290" width="7.5703125" customWidth="1"/>
    <col min="12291" max="12291" width="8" customWidth="1"/>
    <col min="12292" max="12292" width="2.7109375" customWidth="1"/>
    <col min="12293" max="12293" width="7.140625" customWidth="1"/>
    <col min="12294" max="12294" width="9.42578125" customWidth="1"/>
    <col min="12295" max="12295" width="2.7109375" customWidth="1"/>
    <col min="12296" max="12296" width="6.7109375" customWidth="1"/>
    <col min="12297" max="12297" width="7.140625" customWidth="1"/>
    <col min="12298" max="12298" width="2.7109375" customWidth="1"/>
    <col min="12299" max="12299" width="6.5703125" customWidth="1"/>
    <col min="12300" max="12300" width="7.42578125" customWidth="1"/>
    <col min="12301" max="12301" width="2.28515625" customWidth="1"/>
    <col min="12545" max="12545" width="22.7109375" customWidth="1"/>
    <col min="12546" max="12546" width="7.5703125" customWidth="1"/>
    <col min="12547" max="12547" width="8" customWidth="1"/>
    <col min="12548" max="12548" width="2.7109375" customWidth="1"/>
    <col min="12549" max="12549" width="7.140625" customWidth="1"/>
    <col min="12550" max="12550" width="9.42578125" customWidth="1"/>
    <col min="12551" max="12551" width="2.7109375" customWidth="1"/>
    <col min="12552" max="12552" width="6.7109375" customWidth="1"/>
    <col min="12553" max="12553" width="7.140625" customWidth="1"/>
    <col min="12554" max="12554" width="2.7109375" customWidth="1"/>
    <col min="12555" max="12555" width="6.5703125" customWidth="1"/>
    <col min="12556" max="12556" width="7.42578125" customWidth="1"/>
    <col min="12557" max="12557" width="2.28515625" customWidth="1"/>
    <col min="12801" max="12801" width="22.7109375" customWidth="1"/>
    <col min="12802" max="12802" width="7.5703125" customWidth="1"/>
    <col min="12803" max="12803" width="8" customWidth="1"/>
    <col min="12804" max="12804" width="2.7109375" customWidth="1"/>
    <col min="12805" max="12805" width="7.140625" customWidth="1"/>
    <col min="12806" max="12806" width="9.42578125" customWidth="1"/>
    <col min="12807" max="12807" width="2.7109375" customWidth="1"/>
    <col min="12808" max="12808" width="6.7109375" customWidth="1"/>
    <col min="12809" max="12809" width="7.140625" customWidth="1"/>
    <col min="12810" max="12810" width="2.7109375" customWidth="1"/>
    <col min="12811" max="12811" width="6.5703125" customWidth="1"/>
    <col min="12812" max="12812" width="7.42578125" customWidth="1"/>
    <col min="12813" max="12813" width="2.28515625" customWidth="1"/>
    <col min="13057" max="13057" width="22.7109375" customWidth="1"/>
    <col min="13058" max="13058" width="7.5703125" customWidth="1"/>
    <col min="13059" max="13059" width="8" customWidth="1"/>
    <col min="13060" max="13060" width="2.7109375" customWidth="1"/>
    <col min="13061" max="13061" width="7.140625" customWidth="1"/>
    <col min="13062" max="13062" width="9.42578125" customWidth="1"/>
    <col min="13063" max="13063" width="2.7109375" customWidth="1"/>
    <col min="13064" max="13064" width="6.7109375" customWidth="1"/>
    <col min="13065" max="13065" width="7.140625" customWidth="1"/>
    <col min="13066" max="13066" width="2.7109375" customWidth="1"/>
    <col min="13067" max="13067" width="6.5703125" customWidth="1"/>
    <col min="13068" max="13068" width="7.42578125" customWidth="1"/>
    <col min="13069" max="13069" width="2.28515625" customWidth="1"/>
    <col min="13313" max="13313" width="22.7109375" customWidth="1"/>
    <col min="13314" max="13314" width="7.5703125" customWidth="1"/>
    <col min="13315" max="13315" width="8" customWidth="1"/>
    <col min="13316" max="13316" width="2.7109375" customWidth="1"/>
    <col min="13317" max="13317" width="7.140625" customWidth="1"/>
    <col min="13318" max="13318" width="9.42578125" customWidth="1"/>
    <col min="13319" max="13319" width="2.7109375" customWidth="1"/>
    <col min="13320" max="13320" width="6.7109375" customWidth="1"/>
    <col min="13321" max="13321" width="7.140625" customWidth="1"/>
    <col min="13322" max="13322" width="2.7109375" customWidth="1"/>
    <col min="13323" max="13323" width="6.5703125" customWidth="1"/>
    <col min="13324" max="13324" width="7.42578125" customWidth="1"/>
    <col min="13325" max="13325" width="2.28515625" customWidth="1"/>
    <col min="13569" max="13569" width="22.7109375" customWidth="1"/>
    <col min="13570" max="13570" width="7.5703125" customWidth="1"/>
    <col min="13571" max="13571" width="8" customWidth="1"/>
    <col min="13572" max="13572" width="2.7109375" customWidth="1"/>
    <col min="13573" max="13573" width="7.140625" customWidth="1"/>
    <col min="13574" max="13574" width="9.42578125" customWidth="1"/>
    <col min="13575" max="13575" width="2.7109375" customWidth="1"/>
    <col min="13576" max="13576" width="6.7109375" customWidth="1"/>
    <col min="13577" max="13577" width="7.140625" customWidth="1"/>
    <col min="13578" max="13578" width="2.7109375" customWidth="1"/>
    <col min="13579" max="13579" width="6.5703125" customWidth="1"/>
    <col min="13580" max="13580" width="7.42578125" customWidth="1"/>
    <col min="13581" max="13581" width="2.28515625" customWidth="1"/>
    <col min="13825" max="13825" width="22.7109375" customWidth="1"/>
    <col min="13826" max="13826" width="7.5703125" customWidth="1"/>
    <col min="13827" max="13827" width="8" customWidth="1"/>
    <col min="13828" max="13828" width="2.7109375" customWidth="1"/>
    <col min="13829" max="13829" width="7.140625" customWidth="1"/>
    <col min="13830" max="13830" width="9.42578125" customWidth="1"/>
    <col min="13831" max="13831" width="2.7109375" customWidth="1"/>
    <col min="13832" max="13832" width="6.7109375" customWidth="1"/>
    <col min="13833" max="13833" width="7.140625" customWidth="1"/>
    <col min="13834" max="13834" width="2.7109375" customWidth="1"/>
    <col min="13835" max="13835" width="6.5703125" customWidth="1"/>
    <col min="13836" max="13836" width="7.42578125" customWidth="1"/>
    <col min="13837" max="13837" width="2.28515625" customWidth="1"/>
    <col min="14081" max="14081" width="22.7109375" customWidth="1"/>
    <col min="14082" max="14082" width="7.5703125" customWidth="1"/>
    <col min="14083" max="14083" width="8" customWidth="1"/>
    <col min="14084" max="14084" width="2.7109375" customWidth="1"/>
    <col min="14085" max="14085" width="7.140625" customWidth="1"/>
    <col min="14086" max="14086" width="9.42578125" customWidth="1"/>
    <col min="14087" max="14087" width="2.7109375" customWidth="1"/>
    <col min="14088" max="14088" width="6.7109375" customWidth="1"/>
    <col min="14089" max="14089" width="7.140625" customWidth="1"/>
    <col min="14090" max="14090" width="2.7109375" customWidth="1"/>
    <col min="14091" max="14091" width="6.5703125" customWidth="1"/>
    <col min="14092" max="14092" width="7.42578125" customWidth="1"/>
    <col min="14093" max="14093" width="2.28515625" customWidth="1"/>
    <col min="14337" max="14337" width="22.7109375" customWidth="1"/>
    <col min="14338" max="14338" width="7.5703125" customWidth="1"/>
    <col min="14339" max="14339" width="8" customWidth="1"/>
    <col min="14340" max="14340" width="2.7109375" customWidth="1"/>
    <col min="14341" max="14341" width="7.140625" customWidth="1"/>
    <col min="14342" max="14342" width="9.42578125" customWidth="1"/>
    <col min="14343" max="14343" width="2.7109375" customWidth="1"/>
    <col min="14344" max="14344" width="6.7109375" customWidth="1"/>
    <col min="14345" max="14345" width="7.140625" customWidth="1"/>
    <col min="14346" max="14346" width="2.7109375" customWidth="1"/>
    <col min="14347" max="14347" width="6.5703125" customWidth="1"/>
    <col min="14348" max="14348" width="7.42578125" customWidth="1"/>
    <col min="14349" max="14349" width="2.28515625" customWidth="1"/>
    <col min="14593" max="14593" width="22.7109375" customWidth="1"/>
    <col min="14594" max="14594" width="7.5703125" customWidth="1"/>
    <col min="14595" max="14595" width="8" customWidth="1"/>
    <col min="14596" max="14596" width="2.7109375" customWidth="1"/>
    <col min="14597" max="14597" width="7.140625" customWidth="1"/>
    <col min="14598" max="14598" width="9.42578125" customWidth="1"/>
    <col min="14599" max="14599" width="2.7109375" customWidth="1"/>
    <col min="14600" max="14600" width="6.7109375" customWidth="1"/>
    <col min="14601" max="14601" width="7.140625" customWidth="1"/>
    <col min="14602" max="14602" width="2.7109375" customWidth="1"/>
    <col min="14603" max="14603" width="6.5703125" customWidth="1"/>
    <col min="14604" max="14604" width="7.42578125" customWidth="1"/>
    <col min="14605" max="14605" width="2.28515625" customWidth="1"/>
    <col min="14849" max="14849" width="22.7109375" customWidth="1"/>
    <col min="14850" max="14850" width="7.5703125" customWidth="1"/>
    <col min="14851" max="14851" width="8" customWidth="1"/>
    <col min="14852" max="14852" width="2.7109375" customWidth="1"/>
    <col min="14853" max="14853" width="7.140625" customWidth="1"/>
    <col min="14854" max="14854" width="9.42578125" customWidth="1"/>
    <col min="14855" max="14855" width="2.7109375" customWidth="1"/>
    <col min="14856" max="14856" width="6.7109375" customWidth="1"/>
    <col min="14857" max="14857" width="7.140625" customWidth="1"/>
    <col min="14858" max="14858" width="2.7109375" customWidth="1"/>
    <col min="14859" max="14859" width="6.5703125" customWidth="1"/>
    <col min="14860" max="14860" width="7.42578125" customWidth="1"/>
    <col min="14861" max="14861" width="2.28515625" customWidth="1"/>
    <col min="15105" max="15105" width="22.7109375" customWidth="1"/>
    <col min="15106" max="15106" width="7.5703125" customWidth="1"/>
    <col min="15107" max="15107" width="8" customWidth="1"/>
    <col min="15108" max="15108" width="2.7109375" customWidth="1"/>
    <col min="15109" max="15109" width="7.140625" customWidth="1"/>
    <col min="15110" max="15110" width="9.42578125" customWidth="1"/>
    <col min="15111" max="15111" width="2.7109375" customWidth="1"/>
    <col min="15112" max="15112" width="6.7109375" customWidth="1"/>
    <col min="15113" max="15113" width="7.140625" customWidth="1"/>
    <col min="15114" max="15114" width="2.7109375" customWidth="1"/>
    <col min="15115" max="15115" width="6.5703125" customWidth="1"/>
    <col min="15116" max="15116" width="7.42578125" customWidth="1"/>
    <col min="15117" max="15117" width="2.28515625" customWidth="1"/>
    <col min="15361" max="15361" width="22.7109375" customWidth="1"/>
    <col min="15362" max="15362" width="7.5703125" customWidth="1"/>
    <col min="15363" max="15363" width="8" customWidth="1"/>
    <col min="15364" max="15364" width="2.7109375" customWidth="1"/>
    <col min="15365" max="15365" width="7.140625" customWidth="1"/>
    <col min="15366" max="15366" width="9.42578125" customWidth="1"/>
    <col min="15367" max="15367" width="2.7109375" customWidth="1"/>
    <col min="15368" max="15368" width="6.7109375" customWidth="1"/>
    <col min="15369" max="15369" width="7.140625" customWidth="1"/>
    <col min="15370" max="15370" width="2.7109375" customWidth="1"/>
    <col min="15371" max="15371" width="6.5703125" customWidth="1"/>
    <col min="15372" max="15372" width="7.42578125" customWidth="1"/>
    <col min="15373" max="15373" width="2.28515625" customWidth="1"/>
    <col min="15617" max="15617" width="22.7109375" customWidth="1"/>
    <col min="15618" max="15618" width="7.5703125" customWidth="1"/>
    <col min="15619" max="15619" width="8" customWidth="1"/>
    <col min="15620" max="15620" width="2.7109375" customWidth="1"/>
    <col min="15621" max="15621" width="7.140625" customWidth="1"/>
    <col min="15622" max="15622" width="9.42578125" customWidth="1"/>
    <col min="15623" max="15623" width="2.7109375" customWidth="1"/>
    <col min="15624" max="15624" width="6.7109375" customWidth="1"/>
    <col min="15625" max="15625" width="7.140625" customWidth="1"/>
    <col min="15626" max="15626" width="2.7109375" customWidth="1"/>
    <col min="15627" max="15627" width="6.5703125" customWidth="1"/>
    <col min="15628" max="15628" width="7.42578125" customWidth="1"/>
    <col min="15629" max="15629" width="2.28515625" customWidth="1"/>
    <col min="15873" max="15873" width="22.7109375" customWidth="1"/>
    <col min="15874" max="15874" width="7.5703125" customWidth="1"/>
    <col min="15875" max="15875" width="8" customWidth="1"/>
    <col min="15876" max="15876" width="2.7109375" customWidth="1"/>
    <col min="15877" max="15877" width="7.140625" customWidth="1"/>
    <col min="15878" max="15878" width="9.42578125" customWidth="1"/>
    <col min="15879" max="15879" width="2.7109375" customWidth="1"/>
    <col min="15880" max="15880" width="6.7109375" customWidth="1"/>
    <col min="15881" max="15881" width="7.140625" customWidth="1"/>
    <col min="15882" max="15882" width="2.7109375" customWidth="1"/>
    <col min="15883" max="15883" width="6.5703125" customWidth="1"/>
    <col min="15884" max="15884" width="7.42578125" customWidth="1"/>
    <col min="15885" max="15885" width="2.28515625" customWidth="1"/>
    <col min="16129" max="16129" width="22.7109375" customWidth="1"/>
    <col min="16130" max="16130" width="7.5703125" customWidth="1"/>
    <col min="16131" max="16131" width="8" customWidth="1"/>
    <col min="16132" max="16132" width="2.7109375" customWidth="1"/>
    <col min="16133" max="16133" width="7.140625" customWidth="1"/>
    <col min="16134" max="16134" width="9.42578125" customWidth="1"/>
    <col min="16135" max="16135" width="2.7109375" customWidth="1"/>
    <col min="16136" max="16136" width="6.7109375" customWidth="1"/>
    <col min="16137" max="16137" width="7.140625" customWidth="1"/>
    <col min="16138" max="16138" width="2.7109375" customWidth="1"/>
    <col min="16139" max="16139" width="6.5703125" customWidth="1"/>
    <col min="16140" max="16140" width="7.42578125" customWidth="1"/>
    <col min="16141" max="16141" width="2.28515625" customWidth="1"/>
  </cols>
  <sheetData>
    <row r="1" spans="1:13" s="42" customFormat="1" ht="12.75">
      <c r="A1" s="42" t="s">
        <v>755</v>
      </c>
      <c r="H1" s="93"/>
    </row>
    <row r="2" spans="1:13" s="42" customFormat="1" ht="12.75">
      <c r="A2" s="42" t="s">
        <v>756</v>
      </c>
      <c r="H2" s="93"/>
    </row>
    <row r="3" spans="1:13" s="42" customFormat="1" ht="12.75">
      <c r="H3" s="93"/>
    </row>
    <row r="4" spans="1:13" s="42" customFormat="1" ht="12.75">
      <c r="A4" s="42" t="s">
        <v>1414</v>
      </c>
      <c r="H4" s="93"/>
    </row>
    <row r="5" spans="1:13" s="42" customFormat="1" ht="13.5" thickBot="1">
      <c r="H5" s="93"/>
    </row>
    <row r="6" spans="1:13" s="42" customFormat="1" ht="12.75">
      <c r="A6" s="237"/>
      <c r="B6" s="237"/>
      <c r="C6" s="237"/>
      <c r="D6" s="237"/>
      <c r="E6" s="237"/>
      <c r="F6" s="237"/>
      <c r="G6" s="237"/>
      <c r="H6" s="238"/>
      <c r="I6" s="237"/>
      <c r="J6" s="237"/>
      <c r="K6" s="237"/>
      <c r="L6" s="237"/>
      <c r="M6" s="237"/>
    </row>
    <row r="7" spans="1:13" s="42" customFormat="1" ht="14.25">
      <c r="A7" s="469" t="s">
        <v>1415</v>
      </c>
      <c r="B7" s="1305" t="s">
        <v>1416</v>
      </c>
      <c r="C7" s="1305"/>
      <c r="D7" s="242"/>
      <c r="E7" s="1305" t="s">
        <v>1417</v>
      </c>
      <c r="F7" s="1305"/>
      <c r="G7" s="242"/>
      <c r="H7" s="1305" t="s">
        <v>1418</v>
      </c>
      <c r="I7" s="1305"/>
      <c r="J7" s="242"/>
      <c r="K7" s="1305" t="s">
        <v>1419</v>
      </c>
      <c r="L7" s="1305"/>
    </row>
    <row r="8" spans="1:13" s="42" customFormat="1" ht="12.75">
      <c r="A8" s="242" t="s">
        <v>1420</v>
      </c>
      <c r="B8" s="272" t="s">
        <v>9</v>
      </c>
      <c r="C8" s="272" t="s">
        <v>10</v>
      </c>
      <c r="D8" s="242"/>
      <c r="E8" s="272" t="s">
        <v>9</v>
      </c>
      <c r="F8" s="272" t="s">
        <v>10</v>
      </c>
      <c r="G8" s="242"/>
      <c r="H8" s="246" t="s">
        <v>9</v>
      </c>
      <c r="I8" s="272" t="s">
        <v>10</v>
      </c>
      <c r="J8" s="242"/>
      <c r="K8" s="272" t="s">
        <v>9</v>
      </c>
      <c r="L8" s="272" t="s">
        <v>10</v>
      </c>
    </row>
    <row r="9" spans="1:13" s="42" customFormat="1" ht="13.5" thickBot="1">
      <c r="A9" s="249"/>
      <c r="B9" s="249"/>
      <c r="C9" s="249"/>
      <c r="D9" s="249"/>
      <c r="E9" s="249"/>
      <c r="F9" s="249"/>
      <c r="G9" s="249"/>
      <c r="H9" s="250"/>
      <c r="I9" s="249"/>
      <c r="J9" s="249"/>
      <c r="K9" s="249"/>
      <c r="L9" s="249"/>
    </row>
    <row r="10" spans="1:13" s="42" customFormat="1" ht="12.75">
      <c r="H10" s="93"/>
      <c r="M10" s="237"/>
    </row>
    <row r="11" spans="1:13" s="42" customFormat="1" ht="12.75">
      <c r="A11" s="63" t="s">
        <v>5</v>
      </c>
      <c r="B11" s="93">
        <f>SUM(B13:B23)</f>
        <v>18006</v>
      </c>
      <c r="C11" s="94">
        <f>SUM(C13:C23)</f>
        <v>100</v>
      </c>
      <c r="E11" s="93">
        <f>SUM(E13:E23)</f>
        <v>1046</v>
      </c>
      <c r="F11" s="94">
        <f>SUM(F13:F23)</f>
        <v>99.999999999999986</v>
      </c>
      <c r="H11" s="93">
        <f>SUM(H13:H23)</f>
        <v>496</v>
      </c>
      <c r="I11" s="94">
        <f>SUM(I13:I23)</f>
        <v>100</v>
      </c>
      <c r="K11" s="42">
        <f>SUM(K13:K23)</f>
        <v>396</v>
      </c>
      <c r="L11" s="94">
        <f>SUM(L13:L23)</f>
        <v>100</v>
      </c>
    </row>
    <row r="12" spans="1:13" s="42" customFormat="1" ht="12.75">
      <c r="B12" s="93"/>
      <c r="C12" s="94"/>
      <c r="E12" s="93"/>
      <c r="H12" s="93"/>
    </row>
    <row r="13" spans="1:13" s="42" customFormat="1" ht="15">
      <c r="A13" s="42" t="s">
        <v>1421</v>
      </c>
      <c r="B13" s="578">
        <v>3578</v>
      </c>
      <c r="C13" s="94">
        <f>IF($A13&lt;&gt;"",B13/B$11*100,"")</f>
        <v>19.87115405975786</v>
      </c>
      <c r="E13" s="579">
        <v>194</v>
      </c>
      <c r="F13" s="94">
        <f t="shared" ref="F13:F23" si="0">IF($A13&lt;&gt;"",E13/E$11*100,"")</f>
        <v>18.546845124282981</v>
      </c>
      <c r="H13" s="579">
        <v>0</v>
      </c>
      <c r="I13" s="94">
        <f t="shared" ref="I13:I23" si="1">IF($A13&lt;&gt;"",H13/H$11*100,"")</f>
        <v>0</v>
      </c>
      <c r="K13" s="579">
        <v>0</v>
      </c>
      <c r="L13" s="94">
        <f t="shared" ref="L13:L23" si="2">IF($A13&lt;&gt;"",K13/K$11*100,"")</f>
        <v>0</v>
      </c>
    </row>
    <row r="14" spans="1:13" s="42" customFormat="1" ht="15">
      <c r="B14" s="579"/>
      <c r="C14" s="94" t="str">
        <f t="shared" ref="C14:C23" si="3">IF($A14&lt;&gt;"",B14/B$11*100,"")</f>
        <v/>
      </c>
      <c r="E14" s="579"/>
      <c r="F14" s="94" t="str">
        <f t="shared" si="0"/>
        <v/>
      </c>
      <c r="H14" s="579"/>
      <c r="I14" s="94" t="str">
        <f t="shared" si="1"/>
        <v/>
      </c>
      <c r="K14" s="579"/>
      <c r="L14" s="94" t="str">
        <f t="shared" si="2"/>
        <v/>
      </c>
    </row>
    <row r="15" spans="1:13" s="42" customFormat="1" ht="15">
      <c r="A15" s="42" t="s">
        <v>1422</v>
      </c>
      <c r="B15" s="579">
        <v>126</v>
      </c>
      <c r="C15" s="94">
        <f t="shared" si="3"/>
        <v>0.69976674441852715</v>
      </c>
      <c r="E15" s="579">
        <v>386</v>
      </c>
      <c r="F15" s="94">
        <f t="shared" si="0"/>
        <v>36.902485659655831</v>
      </c>
      <c r="H15" s="579">
        <v>0</v>
      </c>
      <c r="I15" s="94">
        <f t="shared" si="1"/>
        <v>0</v>
      </c>
      <c r="K15" s="579">
        <v>0</v>
      </c>
      <c r="L15" s="94">
        <f t="shared" si="2"/>
        <v>0</v>
      </c>
    </row>
    <row r="16" spans="1:13" s="42" customFormat="1" ht="15">
      <c r="B16" s="579"/>
      <c r="C16" s="94" t="str">
        <f t="shared" si="3"/>
        <v/>
      </c>
      <c r="E16" s="579"/>
      <c r="F16" s="94" t="str">
        <f t="shared" si="0"/>
        <v/>
      </c>
      <c r="H16" s="579"/>
      <c r="I16" s="94" t="str">
        <f t="shared" si="1"/>
        <v/>
      </c>
      <c r="K16" s="579"/>
      <c r="L16" s="94" t="str">
        <f t="shared" si="2"/>
        <v/>
      </c>
    </row>
    <row r="17" spans="1:13" s="42" customFormat="1" ht="15">
      <c r="A17" s="42" t="s">
        <v>1423</v>
      </c>
      <c r="B17" s="579">
        <v>11593</v>
      </c>
      <c r="C17" s="94">
        <f t="shared" si="3"/>
        <v>64.38409419082528</v>
      </c>
      <c r="E17" s="579">
        <v>380</v>
      </c>
      <c r="F17" s="94">
        <f t="shared" si="0"/>
        <v>36.328871892925427</v>
      </c>
      <c r="H17" s="579">
        <v>494</v>
      </c>
      <c r="I17" s="94">
        <f t="shared" si="1"/>
        <v>99.596774193548384</v>
      </c>
      <c r="K17" s="579">
        <v>393</v>
      </c>
      <c r="L17" s="94">
        <f t="shared" si="2"/>
        <v>99.242424242424249</v>
      </c>
    </row>
    <row r="18" spans="1:13" s="42" customFormat="1" ht="15">
      <c r="B18" s="579"/>
      <c r="C18" s="94" t="str">
        <f t="shared" si="3"/>
        <v/>
      </c>
      <c r="E18" s="579"/>
      <c r="F18" s="94" t="str">
        <f t="shared" si="0"/>
        <v/>
      </c>
      <c r="H18" s="579"/>
      <c r="I18" s="94" t="str">
        <f t="shared" si="1"/>
        <v/>
      </c>
      <c r="K18" s="579"/>
      <c r="L18" s="94" t="str">
        <f t="shared" si="2"/>
        <v/>
      </c>
    </row>
    <row r="19" spans="1:13" s="42" customFormat="1" ht="15">
      <c r="A19" s="42" t="s">
        <v>1424</v>
      </c>
      <c r="B19" s="579">
        <v>2122</v>
      </c>
      <c r="C19" s="94">
        <f t="shared" si="3"/>
        <v>11.784960568699322</v>
      </c>
      <c r="E19" s="579">
        <v>4</v>
      </c>
      <c r="F19" s="94">
        <f t="shared" si="0"/>
        <v>0.38240917782026768</v>
      </c>
      <c r="H19" s="579">
        <v>0</v>
      </c>
      <c r="I19" s="94">
        <f t="shared" si="1"/>
        <v>0</v>
      </c>
      <c r="K19" s="579">
        <v>0</v>
      </c>
      <c r="L19" s="94">
        <f t="shared" si="2"/>
        <v>0</v>
      </c>
    </row>
    <row r="20" spans="1:13" s="42" customFormat="1" ht="15">
      <c r="B20" s="580"/>
      <c r="C20" s="94"/>
      <c r="E20" s="580"/>
      <c r="F20" s="94"/>
      <c r="H20" s="580"/>
      <c r="I20" s="94"/>
      <c r="K20" s="580"/>
      <c r="L20" s="94"/>
    </row>
    <row r="21" spans="1:13" s="42" customFormat="1" ht="15">
      <c r="A21" s="42" t="s">
        <v>1425</v>
      </c>
      <c r="B21" s="580">
        <v>584</v>
      </c>
      <c r="C21" s="94">
        <f t="shared" si="3"/>
        <v>3.2433633233366654</v>
      </c>
      <c r="E21" s="580">
        <v>82</v>
      </c>
      <c r="F21" s="94">
        <f t="shared" si="0"/>
        <v>7.8393881453154872</v>
      </c>
      <c r="H21" s="580">
        <v>2</v>
      </c>
      <c r="I21" s="94">
        <f t="shared" si="1"/>
        <v>0.40322580645161288</v>
      </c>
      <c r="K21" s="580">
        <v>3</v>
      </c>
      <c r="L21" s="94">
        <f t="shared" si="2"/>
        <v>0.75757575757575757</v>
      </c>
    </row>
    <row r="22" spans="1:13" s="42" customFormat="1" ht="15">
      <c r="B22" s="580"/>
      <c r="C22" s="94" t="str">
        <f t="shared" si="3"/>
        <v/>
      </c>
      <c r="E22" s="580"/>
      <c r="F22" s="94" t="str">
        <f t="shared" si="0"/>
        <v/>
      </c>
      <c r="H22" s="580"/>
      <c r="I22" s="94" t="str">
        <f t="shared" si="1"/>
        <v/>
      </c>
      <c r="K22" s="580"/>
      <c r="L22" s="94" t="str">
        <f t="shared" si="2"/>
        <v/>
      </c>
    </row>
    <row r="23" spans="1:13" s="42" customFormat="1" ht="15">
      <c r="A23" s="42" t="s">
        <v>1426</v>
      </c>
      <c r="B23" s="580">
        <v>3</v>
      </c>
      <c r="C23" s="94">
        <f t="shared" si="3"/>
        <v>1.6661112962345886E-2</v>
      </c>
      <c r="E23" s="580">
        <v>0</v>
      </c>
      <c r="F23" s="94">
        <f t="shared" si="0"/>
        <v>0</v>
      </c>
      <c r="H23" s="580">
        <v>0</v>
      </c>
      <c r="I23" s="94">
        <f t="shared" si="1"/>
        <v>0</v>
      </c>
      <c r="K23" s="580">
        <v>0</v>
      </c>
      <c r="L23" s="94">
        <f t="shared" si="2"/>
        <v>0</v>
      </c>
    </row>
    <row r="24" spans="1:13" s="42" customFormat="1" ht="13.5" thickBot="1">
      <c r="A24" s="249"/>
      <c r="B24" s="249"/>
      <c r="C24" s="249"/>
      <c r="D24" s="249"/>
      <c r="E24" s="249"/>
      <c r="F24" s="249"/>
      <c r="G24" s="249"/>
      <c r="H24" s="250"/>
      <c r="I24" s="249"/>
      <c r="J24" s="249"/>
    </row>
    <row r="25" spans="1:13" s="42" customFormat="1" ht="12.75">
      <c r="A25" s="95"/>
      <c r="H25" s="93"/>
      <c r="K25" s="237"/>
      <c r="L25" s="237"/>
      <c r="M25" s="237"/>
    </row>
    <row r="26" spans="1:13" s="42" customFormat="1" ht="14.25">
      <c r="A26" s="256" t="s">
        <v>1427</v>
      </c>
      <c r="H26" s="93"/>
    </row>
    <row r="27" spans="1:13" s="42" customFormat="1" ht="14.25">
      <c r="A27" s="256" t="s">
        <v>1428</v>
      </c>
      <c r="H27" s="93"/>
    </row>
    <row r="28" spans="1:13" s="42" customFormat="1" ht="12.75">
      <c r="H28" s="93"/>
    </row>
    <row r="29" spans="1:13" s="42" customFormat="1" ht="12.75">
      <c r="A29" s="42" t="s">
        <v>1429</v>
      </c>
      <c r="H29" s="93"/>
    </row>
    <row r="30" spans="1:13" s="42" customFormat="1" ht="12.75">
      <c r="A30" s="42" t="s">
        <v>683</v>
      </c>
      <c r="H30" s="93"/>
    </row>
    <row r="31" spans="1:13" s="42" customFormat="1" ht="12.75">
      <c r="H31" s="93"/>
    </row>
    <row r="32" spans="1:13" ht="15">
      <c r="A32"/>
    </row>
  </sheetData>
  <mergeCells count="4">
    <mergeCell ref="B7:C7"/>
    <mergeCell ref="E7:F7"/>
    <mergeCell ref="H7:I7"/>
    <mergeCell ref="K7:L7"/>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dimension ref="A1:Y40"/>
  <sheetViews>
    <sheetView workbookViewId="0">
      <selection activeCell="A27" sqref="A27"/>
    </sheetView>
  </sheetViews>
  <sheetFormatPr baseColWidth="10" defaultColWidth="9.140625" defaultRowHeight="12.75"/>
  <cols>
    <col min="1" max="1" width="21.140625" style="42" customWidth="1"/>
    <col min="2" max="2" width="10" style="434" customWidth="1"/>
    <col min="3" max="3" width="6.28515625" style="434" customWidth="1"/>
    <col min="4" max="4" width="2.28515625" style="434" customWidth="1"/>
    <col min="5" max="5" width="7.85546875" style="434" customWidth="1"/>
    <col min="6" max="6" width="7.42578125" style="434" customWidth="1"/>
    <col min="7" max="7" width="2.28515625" style="434" customWidth="1"/>
    <col min="8" max="8" width="9.7109375" style="434" customWidth="1"/>
    <col min="9" max="9" width="6.7109375" style="434" customWidth="1"/>
    <col min="10" max="10" width="2.28515625" style="434" customWidth="1"/>
    <col min="11" max="11" width="9.42578125" style="434" customWidth="1"/>
    <col min="12" max="12" width="6.7109375" style="434" customWidth="1"/>
    <col min="13" max="13" width="2.28515625" style="434" customWidth="1"/>
    <col min="14" max="15" width="7" style="434" customWidth="1"/>
    <col min="16" max="16" width="2.28515625" style="434" customWidth="1"/>
    <col min="17" max="17" width="7" style="434" customWidth="1"/>
    <col min="18" max="18" width="8" style="434" customWidth="1"/>
    <col min="19" max="19" width="2" style="434" customWidth="1"/>
    <col min="20" max="20" width="10" style="434" customWidth="1"/>
    <col min="21" max="21" width="8" style="434" customWidth="1"/>
    <col min="22" max="22" width="2.28515625" style="434" customWidth="1"/>
    <col min="23" max="23" width="6.85546875" style="434" customWidth="1"/>
    <col min="24" max="24" width="10.7109375" style="434" customWidth="1"/>
    <col min="25" max="25" width="2.28515625" style="434" customWidth="1"/>
    <col min="26" max="256" width="9.140625" style="434"/>
    <col min="257" max="257" width="21.140625" style="434" customWidth="1"/>
    <col min="258" max="258" width="10" style="434" customWidth="1"/>
    <col min="259" max="259" width="6.28515625" style="434" customWidth="1"/>
    <col min="260" max="260" width="2.28515625" style="434" customWidth="1"/>
    <col min="261" max="261" width="7.85546875" style="434" customWidth="1"/>
    <col min="262" max="262" width="7.42578125" style="434" customWidth="1"/>
    <col min="263" max="263" width="2.28515625" style="434" customWidth="1"/>
    <col min="264" max="264" width="9.7109375" style="434" customWidth="1"/>
    <col min="265" max="265" width="6.7109375" style="434" customWidth="1"/>
    <col min="266" max="266" width="2.28515625" style="434" customWidth="1"/>
    <col min="267" max="267" width="9.42578125" style="434" customWidth="1"/>
    <col min="268" max="268" width="6.7109375" style="434" customWidth="1"/>
    <col min="269" max="269" width="2.28515625" style="434" customWidth="1"/>
    <col min="270" max="271" width="7" style="434" customWidth="1"/>
    <col min="272" max="272" width="2.28515625" style="434" customWidth="1"/>
    <col min="273" max="273" width="7" style="434" customWidth="1"/>
    <col min="274" max="274" width="8" style="434" customWidth="1"/>
    <col min="275" max="275" width="2" style="434" customWidth="1"/>
    <col min="276" max="276" width="10" style="434" customWidth="1"/>
    <col min="277" max="277" width="8" style="434" customWidth="1"/>
    <col min="278" max="278" width="2.28515625" style="434" customWidth="1"/>
    <col min="279" max="279" width="6.85546875" style="434" customWidth="1"/>
    <col min="280" max="280" width="10.7109375" style="434" customWidth="1"/>
    <col min="281" max="281" width="2.28515625" style="434" customWidth="1"/>
    <col min="282" max="512" width="9.140625" style="434"/>
    <col min="513" max="513" width="21.140625" style="434" customWidth="1"/>
    <col min="514" max="514" width="10" style="434" customWidth="1"/>
    <col min="515" max="515" width="6.28515625" style="434" customWidth="1"/>
    <col min="516" max="516" width="2.28515625" style="434" customWidth="1"/>
    <col min="517" max="517" width="7.85546875" style="434" customWidth="1"/>
    <col min="518" max="518" width="7.42578125" style="434" customWidth="1"/>
    <col min="519" max="519" width="2.28515625" style="434" customWidth="1"/>
    <col min="520" max="520" width="9.7109375" style="434" customWidth="1"/>
    <col min="521" max="521" width="6.7109375" style="434" customWidth="1"/>
    <col min="522" max="522" width="2.28515625" style="434" customWidth="1"/>
    <col min="523" max="523" width="9.42578125" style="434" customWidth="1"/>
    <col min="524" max="524" width="6.7109375" style="434" customWidth="1"/>
    <col min="525" max="525" width="2.28515625" style="434" customWidth="1"/>
    <col min="526" max="527" width="7" style="434" customWidth="1"/>
    <col min="528" max="528" width="2.28515625" style="434" customWidth="1"/>
    <col min="529" max="529" width="7" style="434" customWidth="1"/>
    <col min="530" max="530" width="8" style="434" customWidth="1"/>
    <col min="531" max="531" width="2" style="434" customWidth="1"/>
    <col min="532" max="532" width="10" style="434" customWidth="1"/>
    <col min="533" max="533" width="8" style="434" customWidth="1"/>
    <col min="534" max="534" width="2.28515625" style="434" customWidth="1"/>
    <col min="535" max="535" width="6.85546875" style="434" customWidth="1"/>
    <col min="536" max="536" width="10.7109375" style="434" customWidth="1"/>
    <col min="537" max="537" width="2.28515625" style="434" customWidth="1"/>
    <col min="538" max="768" width="9.140625" style="434"/>
    <col min="769" max="769" width="21.140625" style="434" customWidth="1"/>
    <col min="770" max="770" width="10" style="434" customWidth="1"/>
    <col min="771" max="771" width="6.28515625" style="434" customWidth="1"/>
    <col min="772" max="772" width="2.28515625" style="434" customWidth="1"/>
    <col min="773" max="773" width="7.85546875" style="434" customWidth="1"/>
    <col min="774" max="774" width="7.42578125" style="434" customWidth="1"/>
    <col min="775" max="775" width="2.28515625" style="434" customWidth="1"/>
    <col min="776" max="776" width="9.7109375" style="434" customWidth="1"/>
    <col min="777" max="777" width="6.7109375" style="434" customWidth="1"/>
    <col min="778" max="778" width="2.28515625" style="434" customWidth="1"/>
    <col min="779" max="779" width="9.42578125" style="434" customWidth="1"/>
    <col min="780" max="780" width="6.7109375" style="434" customWidth="1"/>
    <col min="781" max="781" width="2.28515625" style="434" customWidth="1"/>
    <col min="782" max="783" width="7" style="434" customWidth="1"/>
    <col min="784" max="784" width="2.28515625" style="434" customWidth="1"/>
    <col min="785" max="785" width="7" style="434" customWidth="1"/>
    <col min="786" max="786" width="8" style="434" customWidth="1"/>
    <col min="787" max="787" width="2" style="434" customWidth="1"/>
    <col min="788" max="788" width="10" style="434" customWidth="1"/>
    <col min="789" max="789" width="8" style="434" customWidth="1"/>
    <col min="790" max="790" width="2.28515625" style="434" customWidth="1"/>
    <col min="791" max="791" width="6.85546875" style="434" customWidth="1"/>
    <col min="792" max="792" width="10.7109375" style="434" customWidth="1"/>
    <col min="793" max="793" width="2.28515625" style="434" customWidth="1"/>
    <col min="794" max="1024" width="9.140625" style="434"/>
    <col min="1025" max="1025" width="21.140625" style="434" customWidth="1"/>
    <col min="1026" max="1026" width="10" style="434" customWidth="1"/>
    <col min="1027" max="1027" width="6.28515625" style="434" customWidth="1"/>
    <col min="1028" max="1028" width="2.28515625" style="434" customWidth="1"/>
    <col min="1029" max="1029" width="7.85546875" style="434" customWidth="1"/>
    <col min="1030" max="1030" width="7.42578125" style="434" customWidth="1"/>
    <col min="1031" max="1031" width="2.28515625" style="434" customWidth="1"/>
    <col min="1032" max="1032" width="9.7109375" style="434" customWidth="1"/>
    <col min="1033" max="1033" width="6.7109375" style="434" customWidth="1"/>
    <col min="1034" max="1034" width="2.28515625" style="434" customWidth="1"/>
    <col min="1035" max="1035" width="9.42578125" style="434" customWidth="1"/>
    <col min="1036" max="1036" width="6.7109375" style="434" customWidth="1"/>
    <col min="1037" max="1037" width="2.28515625" style="434" customWidth="1"/>
    <col min="1038" max="1039" width="7" style="434" customWidth="1"/>
    <col min="1040" max="1040" width="2.28515625" style="434" customWidth="1"/>
    <col min="1041" max="1041" width="7" style="434" customWidth="1"/>
    <col min="1042" max="1042" width="8" style="434" customWidth="1"/>
    <col min="1043" max="1043" width="2" style="434" customWidth="1"/>
    <col min="1044" max="1044" width="10" style="434" customWidth="1"/>
    <col min="1045" max="1045" width="8" style="434" customWidth="1"/>
    <col min="1046" max="1046" width="2.28515625" style="434" customWidth="1"/>
    <col min="1047" max="1047" width="6.85546875" style="434" customWidth="1"/>
    <col min="1048" max="1048" width="10.7109375" style="434" customWidth="1"/>
    <col min="1049" max="1049" width="2.28515625" style="434" customWidth="1"/>
    <col min="1050" max="1280" width="9.140625" style="434"/>
    <col min="1281" max="1281" width="21.140625" style="434" customWidth="1"/>
    <col min="1282" max="1282" width="10" style="434" customWidth="1"/>
    <col min="1283" max="1283" width="6.28515625" style="434" customWidth="1"/>
    <col min="1284" max="1284" width="2.28515625" style="434" customWidth="1"/>
    <col min="1285" max="1285" width="7.85546875" style="434" customWidth="1"/>
    <col min="1286" max="1286" width="7.42578125" style="434" customWidth="1"/>
    <col min="1287" max="1287" width="2.28515625" style="434" customWidth="1"/>
    <col min="1288" max="1288" width="9.7109375" style="434" customWidth="1"/>
    <col min="1289" max="1289" width="6.7109375" style="434" customWidth="1"/>
    <col min="1290" max="1290" width="2.28515625" style="434" customWidth="1"/>
    <col min="1291" max="1291" width="9.42578125" style="434" customWidth="1"/>
    <col min="1292" max="1292" width="6.7109375" style="434" customWidth="1"/>
    <col min="1293" max="1293" width="2.28515625" style="434" customWidth="1"/>
    <col min="1294" max="1295" width="7" style="434" customWidth="1"/>
    <col min="1296" max="1296" width="2.28515625" style="434" customWidth="1"/>
    <col min="1297" max="1297" width="7" style="434" customWidth="1"/>
    <col min="1298" max="1298" width="8" style="434" customWidth="1"/>
    <col min="1299" max="1299" width="2" style="434" customWidth="1"/>
    <col min="1300" max="1300" width="10" style="434" customWidth="1"/>
    <col min="1301" max="1301" width="8" style="434" customWidth="1"/>
    <col min="1302" max="1302" width="2.28515625" style="434" customWidth="1"/>
    <col min="1303" max="1303" width="6.85546875" style="434" customWidth="1"/>
    <col min="1304" max="1304" width="10.7109375" style="434" customWidth="1"/>
    <col min="1305" max="1305" width="2.28515625" style="434" customWidth="1"/>
    <col min="1306" max="1536" width="9.140625" style="434"/>
    <col min="1537" max="1537" width="21.140625" style="434" customWidth="1"/>
    <col min="1538" max="1538" width="10" style="434" customWidth="1"/>
    <col min="1539" max="1539" width="6.28515625" style="434" customWidth="1"/>
    <col min="1540" max="1540" width="2.28515625" style="434" customWidth="1"/>
    <col min="1541" max="1541" width="7.85546875" style="434" customWidth="1"/>
    <col min="1542" max="1542" width="7.42578125" style="434" customWidth="1"/>
    <col min="1543" max="1543" width="2.28515625" style="434" customWidth="1"/>
    <col min="1544" max="1544" width="9.7109375" style="434" customWidth="1"/>
    <col min="1545" max="1545" width="6.7109375" style="434" customWidth="1"/>
    <col min="1546" max="1546" width="2.28515625" style="434" customWidth="1"/>
    <col min="1547" max="1547" width="9.42578125" style="434" customWidth="1"/>
    <col min="1548" max="1548" width="6.7109375" style="434" customWidth="1"/>
    <col min="1549" max="1549" width="2.28515625" style="434" customWidth="1"/>
    <col min="1550" max="1551" width="7" style="434" customWidth="1"/>
    <col min="1552" max="1552" width="2.28515625" style="434" customWidth="1"/>
    <col min="1553" max="1553" width="7" style="434" customWidth="1"/>
    <col min="1554" max="1554" width="8" style="434" customWidth="1"/>
    <col min="1555" max="1555" width="2" style="434" customWidth="1"/>
    <col min="1556" max="1556" width="10" style="434" customWidth="1"/>
    <col min="1557" max="1557" width="8" style="434" customWidth="1"/>
    <col min="1558" max="1558" width="2.28515625" style="434" customWidth="1"/>
    <col min="1559" max="1559" width="6.85546875" style="434" customWidth="1"/>
    <col min="1560" max="1560" width="10.7109375" style="434" customWidth="1"/>
    <col min="1561" max="1561" width="2.28515625" style="434" customWidth="1"/>
    <col min="1562" max="1792" width="9.140625" style="434"/>
    <col min="1793" max="1793" width="21.140625" style="434" customWidth="1"/>
    <col min="1794" max="1794" width="10" style="434" customWidth="1"/>
    <col min="1795" max="1795" width="6.28515625" style="434" customWidth="1"/>
    <col min="1796" max="1796" width="2.28515625" style="434" customWidth="1"/>
    <col min="1797" max="1797" width="7.85546875" style="434" customWidth="1"/>
    <col min="1798" max="1798" width="7.42578125" style="434" customWidth="1"/>
    <col min="1799" max="1799" width="2.28515625" style="434" customWidth="1"/>
    <col min="1800" max="1800" width="9.7109375" style="434" customWidth="1"/>
    <col min="1801" max="1801" width="6.7109375" style="434" customWidth="1"/>
    <col min="1802" max="1802" width="2.28515625" style="434" customWidth="1"/>
    <col min="1803" max="1803" width="9.42578125" style="434" customWidth="1"/>
    <col min="1804" max="1804" width="6.7109375" style="434" customWidth="1"/>
    <col min="1805" max="1805" width="2.28515625" style="434" customWidth="1"/>
    <col min="1806" max="1807" width="7" style="434" customWidth="1"/>
    <col min="1808" max="1808" width="2.28515625" style="434" customWidth="1"/>
    <col min="1809" max="1809" width="7" style="434" customWidth="1"/>
    <col min="1810" max="1810" width="8" style="434" customWidth="1"/>
    <col min="1811" max="1811" width="2" style="434" customWidth="1"/>
    <col min="1812" max="1812" width="10" style="434" customWidth="1"/>
    <col min="1813" max="1813" width="8" style="434" customWidth="1"/>
    <col min="1814" max="1814" width="2.28515625" style="434" customWidth="1"/>
    <col min="1815" max="1815" width="6.85546875" style="434" customWidth="1"/>
    <col min="1816" max="1816" width="10.7109375" style="434" customWidth="1"/>
    <col min="1817" max="1817" width="2.28515625" style="434" customWidth="1"/>
    <col min="1818" max="2048" width="9.140625" style="434"/>
    <col min="2049" max="2049" width="21.140625" style="434" customWidth="1"/>
    <col min="2050" max="2050" width="10" style="434" customWidth="1"/>
    <col min="2051" max="2051" width="6.28515625" style="434" customWidth="1"/>
    <col min="2052" max="2052" width="2.28515625" style="434" customWidth="1"/>
    <col min="2053" max="2053" width="7.85546875" style="434" customWidth="1"/>
    <col min="2054" max="2054" width="7.42578125" style="434" customWidth="1"/>
    <col min="2055" max="2055" width="2.28515625" style="434" customWidth="1"/>
    <col min="2056" max="2056" width="9.7109375" style="434" customWidth="1"/>
    <col min="2057" max="2057" width="6.7109375" style="434" customWidth="1"/>
    <col min="2058" max="2058" width="2.28515625" style="434" customWidth="1"/>
    <col min="2059" max="2059" width="9.42578125" style="434" customWidth="1"/>
    <col min="2060" max="2060" width="6.7109375" style="434" customWidth="1"/>
    <col min="2061" max="2061" width="2.28515625" style="434" customWidth="1"/>
    <col min="2062" max="2063" width="7" style="434" customWidth="1"/>
    <col min="2064" max="2064" width="2.28515625" style="434" customWidth="1"/>
    <col min="2065" max="2065" width="7" style="434" customWidth="1"/>
    <col min="2066" max="2066" width="8" style="434" customWidth="1"/>
    <col min="2067" max="2067" width="2" style="434" customWidth="1"/>
    <col min="2068" max="2068" width="10" style="434" customWidth="1"/>
    <col min="2069" max="2069" width="8" style="434" customWidth="1"/>
    <col min="2070" max="2070" width="2.28515625" style="434" customWidth="1"/>
    <col min="2071" max="2071" width="6.85546875" style="434" customWidth="1"/>
    <col min="2072" max="2072" width="10.7109375" style="434" customWidth="1"/>
    <col min="2073" max="2073" width="2.28515625" style="434" customWidth="1"/>
    <col min="2074" max="2304" width="9.140625" style="434"/>
    <col min="2305" max="2305" width="21.140625" style="434" customWidth="1"/>
    <col min="2306" max="2306" width="10" style="434" customWidth="1"/>
    <col min="2307" max="2307" width="6.28515625" style="434" customWidth="1"/>
    <col min="2308" max="2308" width="2.28515625" style="434" customWidth="1"/>
    <col min="2309" max="2309" width="7.85546875" style="434" customWidth="1"/>
    <col min="2310" max="2310" width="7.42578125" style="434" customWidth="1"/>
    <col min="2311" max="2311" width="2.28515625" style="434" customWidth="1"/>
    <col min="2312" max="2312" width="9.7109375" style="434" customWidth="1"/>
    <col min="2313" max="2313" width="6.7109375" style="434" customWidth="1"/>
    <col min="2314" max="2314" width="2.28515625" style="434" customWidth="1"/>
    <col min="2315" max="2315" width="9.42578125" style="434" customWidth="1"/>
    <col min="2316" max="2316" width="6.7109375" style="434" customWidth="1"/>
    <col min="2317" max="2317" width="2.28515625" style="434" customWidth="1"/>
    <col min="2318" max="2319" width="7" style="434" customWidth="1"/>
    <col min="2320" max="2320" width="2.28515625" style="434" customWidth="1"/>
    <col min="2321" max="2321" width="7" style="434" customWidth="1"/>
    <col min="2322" max="2322" width="8" style="434" customWidth="1"/>
    <col min="2323" max="2323" width="2" style="434" customWidth="1"/>
    <col min="2324" max="2324" width="10" style="434" customWidth="1"/>
    <col min="2325" max="2325" width="8" style="434" customWidth="1"/>
    <col min="2326" max="2326" width="2.28515625" style="434" customWidth="1"/>
    <col min="2327" max="2327" width="6.85546875" style="434" customWidth="1"/>
    <col min="2328" max="2328" width="10.7109375" style="434" customWidth="1"/>
    <col min="2329" max="2329" width="2.28515625" style="434" customWidth="1"/>
    <col min="2330" max="2560" width="9.140625" style="434"/>
    <col min="2561" max="2561" width="21.140625" style="434" customWidth="1"/>
    <col min="2562" max="2562" width="10" style="434" customWidth="1"/>
    <col min="2563" max="2563" width="6.28515625" style="434" customWidth="1"/>
    <col min="2564" max="2564" width="2.28515625" style="434" customWidth="1"/>
    <col min="2565" max="2565" width="7.85546875" style="434" customWidth="1"/>
    <col min="2566" max="2566" width="7.42578125" style="434" customWidth="1"/>
    <col min="2567" max="2567" width="2.28515625" style="434" customWidth="1"/>
    <col min="2568" max="2568" width="9.7109375" style="434" customWidth="1"/>
    <col min="2569" max="2569" width="6.7109375" style="434" customWidth="1"/>
    <col min="2570" max="2570" width="2.28515625" style="434" customWidth="1"/>
    <col min="2571" max="2571" width="9.42578125" style="434" customWidth="1"/>
    <col min="2572" max="2572" width="6.7109375" style="434" customWidth="1"/>
    <col min="2573" max="2573" width="2.28515625" style="434" customWidth="1"/>
    <col min="2574" max="2575" width="7" style="434" customWidth="1"/>
    <col min="2576" max="2576" width="2.28515625" style="434" customWidth="1"/>
    <col min="2577" max="2577" width="7" style="434" customWidth="1"/>
    <col min="2578" max="2578" width="8" style="434" customWidth="1"/>
    <col min="2579" max="2579" width="2" style="434" customWidth="1"/>
    <col min="2580" max="2580" width="10" style="434" customWidth="1"/>
    <col min="2581" max="2581" width="8" style="434" customWidth="1"/>
    <col min="2582" max="2582" width="2.28515625" style="434" customWidth="1"/>
    <col min="2583" max="2583" width="6.85546875" style="434" customWidth="1"/>
    <col min="2584" max="2584" width="10.7109375" style="434" customWidth="1"/>
    <col min="2585" max="2585" width="2.28515625" style="434" customWidth="1"/>
    <col min="2586" max="2816" width="9.140625" style="434"/>
    <col min="2817" max="2817" width="21.140625" style="434" customWidth="1"/>
    <col min="2818" max="2818" width="10" style="434" customWidth="1"/>
    <col min="2819" max="2819" width="6.28515625" style="434" customWidth="1"/>
    <col min="2820" max="2820" width="2.28515625" style="434" customWidth="1"/>
    <col min="2821" max="2821" width="7.85546875" style="434" customWidth="1"/>
    <col min="2822" max="2822" width="7.42578125" style="434" customWidth="1"/>
    <col min="2823" max="2823" width="2.28515625" style="434" customWidth="1"/>
    <col min="2824" max="2824" width="9.7109375" style="434" customWidth="1"/>
    <col min="2825" max="2825" width="6.7109375" style="434" customWidth="1"/>
    <col min="2826" max="2826" width="2.28515625" style="434" customWidth="1"/>
    <col min="2827" max="2827" width="9.42578125" style="434" customWidth="1"/>
    <col min="2828" max="2828" width="6.7109375" style="434" customWidth="1"/>
    <col min="2829" max="2829" width="2.28515625" style="434" customWidth="1"/>
    <col min="2830" max="2831" width="7" style="434" customWidth="1"/>
    <col min="2832" max="2832" width="2.28515625" style="434" customWidth="1"/>
    <col min="2833" max="2833" width="7" style="434" customWidth="1"/>
    <col min="2834" max="2834" width="8" style="434" customWidth="1"/>
    <col min="2835" max="2835" width="2" style="434" customWidth="1"/>
    <col min="2836" max="2836" width="10" style="434" customWidth="1"/>
    <col min="2837" max="2837" width="8" style="434" customWidth="1"/>
    <col min="2838" max="2838" width="2.28515625" style="434" customWidth="1"/>
    <col min="2839" max="2839" width="6.85546875" style="434" customWidth="1"/>
    <col min="2840" max="2840" width="10.7109375" style="434" customWidth="1"/>
    <col min="2841" max="2841" width="2.28515625" style="434" customWidth="1"/>
    <col min="2842" max="3072" width="9.140625" style="434"/>
    <col min="3073" max="3073" width="21.140625" style="434" customWidth="1"/>
    <col min="3074" max="3074" width="10" style="434" customWidth="1"/>
    <col min="3075" max="3075" width="6.28515625" style="434" customWidth="1"/>
    <col min="3076" max="3076" width="2.28515625" style="434" customWidth="1"/>
    <col min="3077" max="3077" width="7.85546875" style="434" customWidth="1"/>
    <col min="3078" max="3078" width="7.42578125" style="434" customWidth="1"/>
    <col min="3079" max="3079" width="2.28515625" style="434" customWidth="1"/>
    <col min="3080" max="3080" width="9.7109375" style="434" customWidth="1"/>
    <col min="3081" max="3081" width="6.7109375" style="434" customWidth="1"/>
    <col min="3082" max="3082" width="2.28515625" style="434" customWidth="1"/>
    <col min="3083" max="3083" width="9.42578125" style="434" customWidth="1"/>
    <col min="3084" max="3084" width="6.7109375" style="434" customWidth="1"/>
    <col min="3085" max="3085" width="2.28515625" style="434" customWidth="1"/>
    <col min="3086" max="3087" width="7" style="434" customWidth="1"/>
    <col min="3088" max="3088" width="2.28515625" style="434" customWidth="1"/>
    <col min="3089" max="3089" width="7" style="434" customWidth="1"/>
    <col min="3090" max="3090" width="8" style="434" customWidth="1"/>
    <col min="3091" max="3091" width="2" style="434" customWidth="1"/>
    <col min="3092" max="3092" width="10" style="434" customWidth="1"/>
    <col min="3093" max="3093" width="8" style="434" customWidth="1"/>
    <col min="3094" max="3094" width="2.28515625" style="434" customWidth="1"/>
    <col min="3095" max="3095" width="6.85546875" style="434" customWidth="1"/>
    <col min="3096" max="3096" width="10.7109375" style="434" customWidth="1"/>
    <col min="3097" max="3097" width="2.28515625" style="434" customWidth="1"/>
    <col min="3098" max="3328" width="9.140625" style="434"/>
    <col min="3329" max="3329" width="21.140625" style="434" customWidth="1"/>
    <col min="3330" max="3330" width="10" style="434" customWidth="1"/>
    <col min="3331" max="3331" width="6.28515625" style="434" customWidth="1"/>
    <col min="3332" max="3332" width="2.28515625" style="434" customWidth="1"/>
    <col min="3333" max="3333" width="7.85546875" style="434" customWidth="1"/>
    <col min="3334" max="3334" width="7.42578125" style="434" customWidth="1"/>
    <col min="3335" max="3335" width="2.28515625" style="434" customWidth="1"/>
    <col min="3336" max="3336" width="9.7109375" style="434" customWidth="1"/>
    <col min="3337" max="3337" width="6.7109375" style="434" customWidth="1"/>
    <col min="3338" max="3338" width="2.28515625" style="434" customWidth="1"/>
    <col min="3339" max="3339" width="9.42578125" style="434" customWidth="1"/>
    <col min="3340" max="3340" width="6.7109375" style="434" customWidth="1"/>
    <col min="3341" max="3341" width="2.28515625" style="434" customWidth="1"/>
    <col min="3342" max="3343" width="7" style="434" customWidth="1"/>
    <col min="3344" max="3344" width="2.28515625" style="434" customWidth="1"/>
    <col min="3345" max="3345" width="7" style="434" customWidth="1"/>
    <col min="3346" max="3346" width="8" style="434" customWidth="1"/>
    <col min="3347" max="3347" width="2" style="434" customWidth="1"/>
    <col min="3348" max="3348" width="10" style="434" customWidth="1"/>
    <col min="3349" max="3349" width="8" style="434" customWidth="1"/>
    <col min="3350" max="3350" width="2.28515625" style="434" customWidth="1"/>
    <col min="3351" max="3351" width="6.85546875" style="434" customWidth="1"/>
    <col min="3352" max="3352" width="10.7109375" style="434" customWidth="1"/>
    <col min="3353" max="3353" width="2.28515625" style="434" customWidth="1"/>
    <col min="3354" max="3584" width="9.140625" style="434"/>
    <col min="3585" max="3585" width="21.140625" style="434" customWidth="1"/>
    <col min="3586" max="3586" width="10" style="434" customWidth="1"/>
    <col min="3587" max="3587" width="6.28515625" style="434" customWidth="1"/>
    <col min="3588" max="3588" width="2.28515625" style="434" customWidth="1"/>
    <col min="3589" max="3589" width="7.85546875" style="434" customWidth="1"/>
    <col min="3590" max="3590" width="7.42578125" style="434" customWidth="1"/>
    <col min="3591" max="3591" width="2.28515625" style="434" customWidth="1"/>
    <col min="3592" max="3592" width="9.7109375" style="434" customWidth="1"/>
    <col min="3593" max="3593" width="6.7109375" style="434" customWidth="1"/>
    <col min="3594" max="3594" width="2.28515625" style="434" customWidth="1"/>
    <col min="3595" max="3595" width="9.42578125" style="434" customWidth="1"/>
    <col min="3596" max="3596" width="6.7109375" style="434" customWidth="1"/>
    <col min="3597" max="3597" width="2.28515625" style="434" customWidth="1"/>
    <col min="3598" max="3599" width="7" style="434" customWidth="1"/>
    <col min="3600" max="3600" width="2.28515625" style="434" customWidth="1"/>
    <col min="3601" max="3601" width="7" style="434" customWidth="1"/>
    <col min="3602" max="3602" width="8" style="434" customWidth="1"/>
    <col min="3603" max="3603" width="2" style="434" customWidth="1"/>
    <col min="3604" max="3604" width="10" style="434" customWidth="1"/>
    <col min="3605" max="3605" width="8" style="434" customWidth="1"/>
    <col min="3606" max="3606" width="2.28515625" style="434" customWidth="1"/>
    <col min="3607" max="3607" width="6.85546875" style="434" customWidth="1"/>
    <col min="3608" max="3608" width="10.7109375" style="434" customWidth="1"/>
    <col min="3609" max="3609" width="2.28515625" style="434" customWidth="1"/>
    <col min="3610" max="3840" width="9.140625" style="434"/>
    <col min="3841" max="3841" width="21.140625" style="434" customWidth="1"/>
    <col min="3842" max="3842" width="10" style="434" customWidth="1"/>
    <col min="3843" max="3843" width="6.28515625" style="434" customWidth="1"/>
    <col min="3844" max="3844" width="2.28515625" style="434" customWidth="1"/>
    <col min="3845" max="3845" width="7.85546875" style="434" customWidth="1"/>
    <col min="3846" max="3846" width="7.42578125" style="434" customWidth="1"/>
    <col min="3847" max="3847" width="2.28515625" style="434" customWidth="1"/>
    <col min="3848" max="3848" width="9.7109375" style="434" customWidth="1"/>
    <col min="3849" max="3849" width="6.7109375" style="434" customWidth="1"/>
    <col min="3850" max="3850" width="2.28515625" style="434" customWidth="1"/>
    <col min="3851" max="3851" width="9.42578125" style="434" customWidth="1"/>
    <col min="3852" max="3852" width="6.7109375" style="434" customWidth="1"/>
    <col min="3853" max="3853" width="2.28515625" style="434" customWidth="1"/>
    <col min="3854" max="3855" width="7" style="434" customWidth="1"/>
    <col min="3856" max="3856" width="2.28515625" style="434" customWidth="1"/>
    <col min="3857" max="3857" width="7" style="434" customWidth="1"/>
    <col min="3858" max="3858" width="8" style="434" customWidth="1"/>
    <col min="3859" max="3859" width="2" style="434" customWidth="1"/>
    <col min="3860" max="3860" width="10" style="434" customWidth="1"/>
    <col min="3861" max="3861" width="8" style="434" customWidth="1"/>
    <col min="3862" max="3862" width="2.28515625" style="434" customWidth="1"/>
    <col min="3863" max="3863" width="6.85546875" style="434" customWidth="1"/>
    <col min="3864" max="3864" width="10.7109375" style="434" customWidth="1"/>
    <col min="3865" max="3865" width="2.28515625" style="434" customWidth="1"/>
    <col min="3866" max="4096" width="9.140625" style="434"/>
    <col min="4097" max="4097" width="21.140625" style="434" customWidth="1"/>
    <col min="4098" max="4098" width="10" style="434" customWidth="1"/>
    <col min="4099" max="4099" width="6.28515625" style="434" customWidth="1"/>
    <col min="4100" max="4100" width="2.28515625" style="434" customWidth="1"/>
    <col min="4101" max="4101" width="7.85546875" style="434" customWidth="1"/>
    <col min="4102" max="4102" width="7.42578125" style="434" customWidth="1"/>
    <col min="4103" max="4103" width="2.28515625" style="434" customWidth="1"/>
    <col min="4104" max="4104" width="9.7109375" style="434" customWidth="1"/>
    <col min="4105" max="4105" width="6.7109375" style="434" customWidth="1"/>
    <col min="4106" max="4106" width="2.28515625" style="434" customWidth="1"/>
    <col min="4107" max="4107" width="9.42578125" style="434" customWidth="1"/>
    <col min="4108" max="4108" width="6.7109375" style="434" customWidth="1"/>
    <col min="4109" max="4109" width="2.28515625" style="434" customWidth="1"/>
    <col min="4110" max="4111" width="7" style="434" customWidth="1"/>
    <col min="4112" max="4112" width="2.28515625" style="434" customWidth="1"/>
    <col min="4113" max="4113" width="7" style="434" customWidth="1"/>
    <col min="4114" max="4114" width="8" style="434" customWidth="1"/>
    <col min="4115" max="4115" width="2" style="434" customWidth="1"/>
    <col min="4116" max="4116" width="10" style="434" customWidth="1"/>
    <col min="4117" max="4117" width="8" style="434" customWidth="1"/>
    <col min="4118" max="4118" width="2.28515625" style="434" customWidth="1"/>
    <col min="4119" max="4119" width="6.85546875" style="434" customWidth="1"/>
    <col min="4120" max="4120" width="10.7109375" style="434" customWidth="1"/>
    <col min="4121" max="4121" width="2.28515625" style="434" customWidth="1"/>
    <col min="4122" max="4352" width="9.140625" style="434"/>
    <col min="4353" max="4353" width="21.140625" style="434" customWidth="1"/>
    <col min="4354" max="4354" width="10" style="434" customWidth="1"/>
    <col min="4355" max="4355" width="6.28515625" style="434" customWidth="1"/>
    <col min="4356" max="4356" width="2.28515625" style="434" customWidth="1"/>
    <col min="4357" max="4357" width="7.85546875" style="434" customWidth="1"/>
    <col min="4358" max="4358" width="7.42578125" style="434" customWidth="1"/>
    <col min="4359" max="4359" width="2.28515625" style="434" customWidth="1"/>
    <col min="4360" max="4360" width="9.7109375" style="434" customWidth="1"/>
    <col min="4361" max="4361" width="6.7109375" style="434" customWidth="1"/>
    <col min="4362" max="4362" width="2.28515625" style="434" customWidth="1"/>
    <col min="4363" max="4363" width="9.42578125" style="434" customWidth="1"/>
    <col min="4364" max="4364" width="6.7109375" style="434" customWidth="1"/>
    <col min="4365" max="4365" width="2.28515625" style="434" customWidth="1"/>
    <col min="4366" max="4367" width="7" style="434" customWidth="1"/>
    <col min="4368" max="4368" width="2.28515625" style="434" customWidth="1"/>
    <col min="4369" max="4369" width="7" style="434" customWidth="1"/>
    <col min="4370" max="4370" width="8" style="434" customWidth="1"/>
    <col min="4371" max="4371" width="2" style="434" customWidth="1"/>
    <col min="4372" max="4372" width="10" style="434" customWidth="1"/>
    <col min="4373" max="4373" width="8" style="434" customWidth="1"/>
    <col min="4374" max="4374" width="2.28515625" style="434" customWidth="1"/>
    <col min="4375" max="4375" width="6.85546875" style="434" customWidth="1"/>
    <col min="4376" max="4376" width="10.7109375" style="434" customWidth="1"/>
    <col min="4377" max="4377" width="2.28515625" style="434" customWidth="1"/>
    <col min="4378" max="4608" width="9.140625" style="434"/>
    <col min="4609" max="4609" width="21.140625" style="434" customWidth="1"/>
    <col min="4610" max="4610" width="10" style="434" customWidth="1"/>
    <col min="4611" max="4611" width="6.28515625" style="434" customWidth="1"/>
    <col min="4612" max="4612" width="2.28515625" style="434" customWidth="1"/>
    <col min="4613" max="4613" width="7.85546875" style="434" customWidth="1"/>
    <col min="4614" max="4614" width="7.42578125" style="434" customWidth="1"/>
    <col min="4615" max="4615" width="2.28515625" style="434" customWidth="1"/>
    <col min="4616" max="4616" width="9.7109375" style="434" customWidth="1"/>
    <col min="4617" max="4617" width="6.7109375" style="434" customWidth="1"/>
    <col min="4618" max="4618" width="2.28515625" style="434" customWidth="1"/>
    <col min="4619" max="4619" width="9.42578125" style="434" customWidth="1"/>
    <col min="4620" max="4620" width="6.7109375" style="434" customWidth="1"/>
    <col min="4621" max="4621" width="2.28515625" style="434" customWidth="1"/>
    <col min="4622" max="4623" width="7" style="434" customWidth="1"/>
    <col min="4624" max="4624" width="2.28515625" style="434" customWidth="1"/>
    <col min="4625" max="4625" width="7" style="434" customWidth="1"/>
    <col min="4626" max="4626" width="8" style="434" customWidth="1"/>
    <col min="4627" max="4627" width="2" style="434" customWidth="1"/>
    <col min="4628" max="4628" width="10" style="434" customWidth="1"/>
    <col min="4629" max="4629" width="8" style="434" customWidth="1"/>
    <col min="4630" max="4630" width="2.28515625" style="434" customWidth="1"/>
    <col min="4631" max="4631" width="6.85546875" style="434" customWidth="1"/>
    <col min="4632" max="4632" width="10.7109375" style="434" customWidth="1"/>
    <col min="4633" max="4633" width="2.28515625" style="434" customWidth="1"/>
    <col min="4634" max="4864" width="9.140625" style="434"/>
    <col min="4865" max="4865" width="21.140625" style="434" customWidth="1"/>
    <col min="4866" max="4866" width="10" style="434" customWidth="1"/>
    <col min="4867" max="4867" width="6.28515625" style="434" customWidth="1"/>
    <col min="4868" max="4868" width="2.28515625" style="434" customWidth="1"/>
    <col min="4869" max="4869" width="7.85546875" style="434" customWidth="1"/>
    <col min="4870" max="4870" width="7.42578125" style="434" customWidth="1"/>
    <col min="4871" max="4871" width="2.28515625" style="434" customWidth="1"/>
    <col min="4872" max="4872" width="9.7109375" style="434" customWidth="1"/>
    <col min="4873" max="4873" width="6.7109375" style="434" customWidth="1"/>
    <col min="4874" max="4874" width="2.28515625" style="434" customWidth="1"/>
    <col min="4875" max="4875" width="9.42578125" style="434" customWidth="1"/>
    <col min="4876" max="4876" width="6.7109375" style="434" customWidth="1"/>
    <col min="4877" max="4877" width="2.28515625" style="434" customWidth="1"/>
    <col min="4878" max="4879" width="7" style="434" customWidth="1"/>
    <col min="4880" max="4880" width="2.28515625" style="434" customWidth="1"/>
    <col min="4881" max="4881" width="7" style="434" customWidth="1"/>
    <col min="4882" max="4882" width="8" style="434" customWidth="1"/>
    <col min="4883" max="4883" width="2" style="434" customWidth="1"/>
    <col min="4884" max="4884" width="10" style="434" customWidth="1"/>
    <col min="4885" max="4885" width="8" style="434" customWidth="1"/>
    <col min="4886" max="4886" width="2.28515625" style="434" customWidth="1"/>
    <col min="4887" max="4887" width="6.85546875" style="434" customWidth="1"/>
    <col min="4888" max="4888" width="10.7109375" style="434" customWidth="1"/>
    <col min="4889" max="4889" width="2.28515625" style="434" customWidth="1"/>
    <col min="4890" max="5120" width="9.140625" style="434"/>
    <col min="5121" max="5121" width="21.140625" style="434" customWidth="1"/>
    <col min="5122" max="5122" width="10" style="434" customWidth="1"/>
    <col min="5123" max="5123" width="6.28515625" style="434" customWidth="1"/>
    <col min="5124" max="5124" width="2.28515625" style="434" customWidth="1"/>
    <col min="5125" max="5125" width="7.85546875" style="434" customWidth="1"/>
    <col min="5126" max="5126" width="7.42578125" style="434" customWidth="1"/>
    <col min="5127" max="5127" width="2.28515625" style="434" customWidth="1"/>
    <col min="5128" max="5128" width="9.7109375" style="434" customWidth="1"/>
    <col min="5129" max="5129" width="6.7109375" style="434" customWidth="1"/>
    <col min="5130" max="5130" width="2.28515625" style="434" customWidth="1"/>
    <col min="5131" max="5131" width="9.42578125" style="434" customWidth="1"/>
    <col min="5132" max="5132" width="6.7109375" style="434" customWidth="1"/>
    <col min="5133" max="5133" width="2.28515625" style="434" customWidth="1"/>
    <col min="5134" max="5135" width="7" style="434" customWidth="1"/>
    <col min="5136" max="5136" width="2.28515625" style="434" customWidth="1"/>
    <col min="5137" max="5137" width="7" style="434" customWidth="1"/>
    <col min="5138" max="5138" width="8" style="434" customWidth="1"/>
    <col min="5139" max="5139" width="2" style="434" customWidth="1"/>
    <col min="5140" max="5140" width="10" style="434" customWidth="1"/>
    <col min="5141" max="5141" width="8" style="434" customWidth="1"/>
    <col min="5142" max="5142" width="2.28515625" style="434" customWidth="1"/>
    <col min="5143" max="5143" width="6.85546875" style="434" customWidth="1"/>
    <col min="5144" max="5144" width="10.7109375" style="434" customWidth="1"/>
    <col min="5145" max="5145" width="2.28515625" style="434" customWidth="1"/>
    <col min="5146" max="5376" width="9.140625" style="434"/>
    <col min="5377" max="5377" width="21.140625" style="434" customWidth="1"/>
    <col min="5378" max="5378" width="10" style="434" customWidth="1"/>
    <col min="5379" max="5379" width="6.28515625" style="434" customWidth="1"/>
    <col min="5380" max="5380" width="2.28515625" style="434" customWidth="1"/>
    <col min="5381" max="5381" width="7.85546875" style="434" customWidth="1"/>
    <col min="5382" max="5382" width="7.42578125" style="434" customWidth="1"/>
    <col min="5383" max="5383" width="2.28515625" style="434" customWidth="1"/>
    <col min="5384" max="5384" width="9.7109375" style="434" customWidth="1"/>
    <col min="5385" max="5385" width="6.7109375" style="434" customWidth="1"/>
    <col min="5386" max="5386" width="2.28515625" style="434" customWidth="1"/>
    <col min="5387" max="5387" width="9.42578125" style="434" customWidth="1"/>
    <col min="5388" max="5388" width="6.7109375" style="434" customWidth="1"/>
    <col min="5389" max="5389" width="2.28515625" style="434" customWidth="1"/>
    <col min="5390" max="5391" width="7" style="434" customWidth="1"/>
    <col min="5392" max="5392" width="2.28515625" style="434" customWidth="1"/>
    <col min="5393" max="5393" width="7" style="434" customWidth="1"/>
    <col min="5394" max="5394" width="8" style="434" customWidth="1"/>
    <col min="5395" max="5395" width="2" style="434" customWidth="1"/>
    <col min="5396" max="5396" width="10" style="434" customWidth="1"/>
    <col min="5397" max="5397" width="8" style="434" customWidth="1"/>
    <col min="5398" max="5398" width="2.28515625" style="434" customWidth="1"/>
    <col min="5399" max="5399" width="6.85546875" style="434" customWidth="1"/>
    <col min="5400" max="5400" width="10.7109375" style="434" customWidth="1"/>
    <col min="5401" max="5401" width="2.28515625" style="434" customWidth="1"/>
    <col min="5402" max="5632" width="9.140625" style="434"/>
    <col min="5633" max="5633" width="21.140625" style="434" customWidth="1"/>
    <col min="5634" max="5634" width="10" style="434" customWidth="1"/>
    <col min="5635" max="5635" width="6.28515625" style="434" customWidth="1"/>
    <col min="5636" max="5636" width="2.28515625" style="434" customWidth="1"/>
    <col min="5637" max="5637" width="7.85546875" style="434" customWidth="1"/>
    <col min="5638" max="5638" width="7.42578125" style="434" customWidth="1"/>
    <col min="5639" max="5639" width="2.28515625" style="434" customWidth="1"/>
    <col min="5640" max="5640" width="9.7109375" style="434" customWidth="1"/>
    <col min="5641" max="5641" width="6.7109375" style="434" customWidth="1"/>
    <col min="5642" max="5642" width="2.28515625" style="434" customWidth="1"/>
    <col min="5643" max="5643" width="9.42578125" style="434" customWidth="1"/>
    <col min="5644" max="5644" width="6.7109375" style="434" customWidth="1"/>
    <col min="5645" max="5645" width="2.28515625" style="434" customWidth="1"/>
    <col min="5646" max="5647" width="7" style="434" customWidth="1"/>
    <col min="5648" max="5648" width="2.28515625" style="434" customWidth="1"/>
    <col min="5649" max="5649" width="7" style="434" customWidth="1"/>
    <col min="5650" max="5650" width="8" style="434" customWidth="1"/>
    <col min="5651" max="5651" width="2" style="434" customWidth="1"/>
    <col min="5652" max="5652" width="10" style="434" customWidth="1"/>
    <col min="5653" max="5653" width="8" style="434" customWidth="1"/>
    <col min="5654" max="5654" width="2.28515625" style="434" customWidth="1"/>
    <col min="5655" max="5655" width="6.85546875" style="434" customWidth="1"/>
    <col min="5656" max="5656" width="10.7109375" style="434" customWidth="1"/>
    <col min="5657" max="5657" width="2.28515625" style="434" customWidth="1"/>
    <col min="5658" max="5888" width="9.140625" style="434"/>
    <col min="5889" max="5889" width="21.140625" style="434" customWidth="1"/>
    <col min="5890" max="5890" width="10" style="434" customWidth="1"/>
    <col min="5891" max="5891" width="6.28515625" style="434" customWidth="1"/>
    <col min="5892" max="5892" width="2.28515625" style="434" customWidth="1"/>
    <col min="5893" max="5893" width="7.85546875" style="434" customWidth="1"/>
    <col min="5894" max="5894" width="7.42578125" style="434" customWidth="1"/>
    <col min="5895" max="5895" width="2.28515625" style="434" customWidth="1"/>
    <col min="5896" max="5896" width="9.7109375" style="434" customWidth="1"/>
    <col min="5897" max="5897" width="6.7109375" style="434" customWidth="1"/>
    <col min="5898" max="5898" width="2.28515625" style="434" customWidth="1"/>
    <col min="5899" max="5899" width="9.42578125" style="434" customWidth="1"/>
    <col min="5900" max="5900" width="6.7109375" style="434" customWidth="1"/>
    <col min="5901" max="5901" width="2.28515625" style="434" customWidth="1"/>
    <col min="5902" max="5903" width="7" style="434" customWidth="1"/>
    <col min="5904" max="5904" width="2.28515625" style="434" customWidth="1"/>
    <col min="5905" max="5905" width="7" style="434" customWidth="1"/>
    <col min="5906" max="5906" width="8" style="434" customWidth="1"/>
    <col min="5907" max="5907" width="2" style="434" customWidth="1"/>
    <col min="5908" max="5908" width="10" style="434" customWidth="1"/>
    <col min="5909" max="5909" width="8" style="434" customWidth="1"/>
    <col min="5910" max="5910" width="2.28515625" style="434" customWidth="1"/>
    <col min="5911" max="5911" width="6.85546875" style="434" customWidth="1"/>
    <col min="5912" max="5912" width="10.7109375" style="434" customWidth="1"/>
    <col min="5913" max="5913" width="2.28515625" style="434" customWidth="1"/>
    <col min="5914" max="6144" width="9.140625" style="434"/>
    <col min="6145" max="6145" width="21.140625" style="434" customWidth="1"/>
    <col min="6146" max="6146" width="10" style="434" customWidth="1"/>
    <col min="6147" max="6147" width="6.28515625" style="434" customWidth="1"/>
    <col min="6148" max="6148" width="2.28515625" style="434" customWidth="1"/>
    <col min="6149" max="6149" width="7.85546875" style="434" customWidth="1"/>
    <col min="6150" max="6150" width="7.42578125" style="434" customWidth="1"/>
    <col min="6151" max="6151" width="2.28515625" style="434" customWidth="1"/>
    <col min="6152" max="6152" width="9.7109375" style="434" customWidth="1"/>
    <col min="6153" max="6153" width="6.7109375" style="434" customWidth="1"/>
    <col min="6154" max="6154" width="2.28515625" style="434" customWidth="1"/>
    <col min="6155" max="6155" width="9.42578125" style="434" customWidth="1"/>
    <col min="6156" max="6156" width="6.7109375" style="434" customWidth="1"/>
    <col min="6157" max="6157" width="2.28515625" style="434" customWidth="1"/>
    <col min="6158" max="6159" width="7" style="434" customWidth="1"/>
    <col min="6160" max="6160" width="2.28515625" style="434" customWidth="1"/>
    <col min="6161" max="6161" width="7" style="434" customWidth="1"/>
    <col min="6162" max="6162" width="8" style="434" customWidth="1"/>
    <col min="6163" max="6163" width="2" style="434" customWidth="1"/>
    <col min="6164" max="6164" width="10" style="434" customWidth="1"/>
    <col min="6165" max="6165" width="8" style="434" customWidth="1"/>
    <col min="6166" max="6166" width="2.28515625" style="434" customWidth="1"/>
    <col min="6167" max="6167" width="6.85546875" style="434" customWidth="1"/>
    <col min="6168" max="6168" width="10.7109375" style="434" customWidth="1"/>
    <col min="6169" max="6169" width="2.28515625" style="434" customWidth="1"/>
    <col min="6170" max="6400" width="9.140625" style="434"/>
    <col min="6401" max="6401" width="21.140625" style="434" customWidth="1"/>
    <col min="6402" max="6402" width="10" style="434" customWidth="1"/>
    <col min="6403" max="6403" width="6.28515625" style="434" customWidth="1"/>
    <col min="6404" max="6404" width="2.28515625" style="434" customWidth="1"/>
    <col min="6405" max="6405" width="7.85546875" style="434" customWidth="1"/>
    <col min="6406" max="6406" width="7.42578125" style="434" customWidth="1"/>
    <col min="6407" max="6407" width="2.28515625" style="434" customWidth="1"/>
    <col min="6408" max="6408" width="9.7109375" style="434" customWidth="1"/>
    <col min="6409" max="6409" width="6.7109375" style="434" customWidth="1"/>
    <col min="6410" max="6410" width="2.28515625" style="434" customWidth="1"/>
    <col min="6411" max="6411" width="9.42578125" style="434" customWidth="1"/>
    <col min="6412" max="6412" width="6.7109375" style="434" customWidth="1"/>
    <col min="6413" max="6413" width="2.28515625" style="434" customWidth="1"/>
    <col min="6414" max="6415" width="7" style="434" customWidth="1"/>
    <col min="6416" max="6416" width="2.28515625" style="434" customWidth="1"/>
    <col min="6417" max="6417" width="7" style="434" customWidth="1"/>
    <col min="6418" max="6418" width="8" style="434" customWidth="1"/>
    <col min="6419" max="6419" width="2" style="434" customWidth="1"/>
    <col min="6420" max="6420" width="10" style="434" customWidth="1"/>
    <col min="6421" max="6421" width="8" style="434" customWidth="1"/>
    <col min="6422" max="6422" width="2.28515625" style="434" customWidth="1"/>
    <col min="6423" max="6423" width="6.85546875" style="434" customWidth="1"/>
    <col min="6424" max="6424" width="10.7109375" style="434" customWidth="1"/>
    <col min="6425" max="6425" width="2.28515625" style="434" customWidth="1"/>
    <col min="6426" max="6656" width="9.140625" style="434"/>
    <col min="6657" max="6657" width="21.140625" style="434" customWidth="1"/>
    <col min="6658" max="6658" width="10" style="434" customWidth="1"/>
    <col min="6659" max="6659" width="6.28515625" style="434" customWidth="1"/>
    <col min="6660" max="6660" width="2.28515625" style="434" customWidth="1"/>
    <col min="6661" max="6661" width="7.85546875" style="434" customWidth="1"/>
    <col min="6662" max="6662" width="7.42578125" style="434" customWidth="1"/>
    <col min="6663" max="6663" width="2.28515625" style="434" customWidth="1"/>
    <col min="6664" max="6664" width="9.7109375" style="434" customWidth="1"/>
    <col min="6665" max="6665" width="6.7109375" style="434" customWidth="1"/>
    <col min="6666" max="6666" width="2.28515625" style="434" customWidth="1"/>
    <col min="6667" max="6667" width="9.42578125" style="434" customWidth="1"/>
    <col min="6668" max="6668" width="6.7109375" style="434" customWidth="1"/>
    <col min="6669" max="6669" width="2.28515625" style="434" customWidth="1"/>
    <col min="6670" max="6671" width="7" style="434" customWidth="1"/>
    <col min="6672" max="6672" width="2.28515625" style="434" customWidth="1"/>
    <col min="6673" max="6673" width="7" style="434" customWidth="1"/>
    <col min="6674" max="6674" width="8" style="434" customWidth="1"/>
    <col min="6675" max="6675" width="2" style="434" customWidth="1"/>
    <col min="6676" max="6676" width="10" style="434" customWidth="1"/>
    <col min="6677" max="6677" width="8" style="434" customWidth="1"/>
    <col min="6678" max="6678" width="2.28515625" style="434" customWidth="1"/>
    <col min="6679" max="6679" width="6.85546875" style="434" customWidth="1"/>
    <col min="6680" max="6680" width="10.7109375" style="434" customWidth="1"/>
    <col min="6681" max="6681" width="2.28515625" style="434" customWidth="1"/>
    <col min="6682" max="6912" width="9.140625" style="434"/>
    <col min="6913" max="6913" width="21.140625" style="434" customWidth="1"/>
    <col min="6914" max="6914" width="10" style="434" customWidth="1"/>
    <col min="6915" max="6915" width="6.28515625" style="434" customWidth="1"/>
    <col min="6916" max="6916" width="2.28515625" style="434" customWidth="1"/>
    <col min="6917" max="6917" width="7.85546875" style="434" customWidth="1"/>
    <col min="6918" max="6918" width="7.42578125" style="434" customWidth="1"/>
    <col min="6919" max="6919" width="2.28515625" style="434" customWidth="1"/>
    <col min="6920" max="6920" width="9.7109375" style="434" customWidth="1"/>
    <col min="6921" max="6921" width="6.7109375" style="434" customWidth="1"/>
    <col min="6922" max="6922" width="2.28515625" style="434" customWidth="1"/>
    <col min="6923" max="6923" width="9.42578125" style="434" customWidth="1"/>
    <col min="6924" max="6924" width="6.7109375" style="434" customWidth="1"/>
    <col min="6925" max="6925" width="2.28515625" style="434" customWidth="1"/>
    <col min="6926" max="6927" width="7" style="434" customWidth="1"/>
    <col min="6928" max="6928" width="2.28515625" style="434" customWidth="1"/>
    <col min="6929" max="6929" width="7" style="434" customWidth="1"/>
    <col min="6930" max="6930" width="8" style="434" customWidth="1"/>
    <col min="6931" max="6931" width="2" style="434" customWidth="1"/>
    <col min="6932" max="6932" width="10" style="434" customWidth="1"/>
    <col min="6933" max="6933" width="8" style="434" customWidth="1"/>
    <col min="6934" max="6934" width="2.28515625" style="434" customWidth="1"/>
    <col min="6935" max="6935" width="6.85546875" style="434" customWidth="1"/>
    <col min="6936" max="6936" width="10.7109375" style="434" customWidth="1"/>
    <col min="6937" max="6937" width="2.28515625" style="434" customWidth="1"/>
    <col min="6938" max="7168" width="9.140625" style="434"/>
    <col min="7169" max="7169" width="21.140625" style="434" customWidth="1"/>
    <col min="7170" max="7170" width="10" style="434" customWidth="1"/>
    <col min="7171" max="7171" width="6.28515625" style="434" customWidth="1"/>
    <col min="7172" max="7172" width="2.28515625" style="434" customWidth="1"/>
    <col min="7173" max="7173" width="7.85546875" style="434" customWidth="1"/>
    <col min="7174" max="7174" width="7.42578125" style="434" customWidth="1"/>
    <col min="7175" max="7175" width="2.28515625" style="434" customWidth="1"/>
    <col min="7176" max="7176" width="9.7109375" style="434" customWidth="1"/>
    <col min="7177" max="7177" width="6.7109375" style="434" customWidth="1"/>
    <col min="7178" max="7178" width="2.28515625" style="434" customWidth="1"/>
    <col min="7179" max="7179" width="9.42578125" style="434" customWidth="1"/>
    <col min="7180" max="7180" width="6.7109375" style="434" customWidth="1"/>
    <col min="7181" max="7181" width="2.28515625" style="434" customWidth="1"/>
    <col min="7182" max="7183" width="7" style="434" customWidth="1"/>
    <col min="7184" max="7184" width="2.28515625" style="434" customWidth="1"/>
    <col min="7185" max="7185" width="7" style="434" customWidth="1"/>
    <col min="7186" max="7186" width="8" style="434" customWidth="1"/>
    <col min="7187" max="7187" width="2" style="434" customWidth="1"/>
    <col min="7188" max="7188" width="10" style="434" customWidth="1"/>
    <col min="7189" max="7189" width="8" style="434" customWidth="1"/>
    <col min="7190" max="7190" width="2.28515625" style="434" customWidth="1"/>
    <col min="7191" max="7191" width="6.85546875" style="434" customWidth="1"/>
    <col min="7192" max="7192" width="10.7109375" style="434" customWidth="1"/>
    <col min="7193" max="7193" width="2.28515625" style="434" customWidth="1"/>
    <col min="7194" max="7424" width="9.140625" style="434"/>
    <col min="7425" max="7425" width="21.140625" style="434" customWidth="1"/>
    <col min="7426" max="7426" width="10" style="434" customWidth="1"/>
    <col min="7427" max="7427" width="6.28515625" style="434" customWidth="1"/>
    <col min="7428" max="7428" width="2.28515625" style="434" customWidth="1"/>
    <col min="7429" max="7429" width="7.85546875" style="434" customWidth="1"/>
    <col min="7430" max="7430" width="7.42578125" style="434" customWidth="1"/>
    <col min="7431" max="7431" width="2.28515625" style="434" customWidth="1"/>
    <col min="7432" max="7432" width="9.7109375" style="434" customWidth="1"/>
    <col min="7433" max="7433" width="6.7109375" style="434" customWidth="1"/>
    <col min="7434" max="7434" width="2.28515625" style="434" customWidth="1"/>
    <col min="7435" max="7435" width="9.42578125" style="434" customWidth="1"/>
    <col min="7436" max="7436" width="6.7109375" style="434" customWidth="1"/>
    <col min="7437" max="7437" width="2.28515625" style="434" customWidth="1"/>
    <col min="7438" max="7439" width="7" style="434" customWidth="1"/>
    <col min="7440" max="7440" width="2.28515625" style="434" customWidth="1"/>
    <col min="7441" max="7441" width="7" style="434" customWidth="1"/>
    <col min="7442" max="7442" width="8" style="434" customWidth="1"/>
    <col min="7443" max="7443" width="2" style="434" customWidth="1"/>
    <col min="7444" max="7444" width="10" style="434" customWidth="1"/>
    <col min="7445" max="7445" width="8" style="434" customWidth="1"/>
    <col min="7446" max="7446" width="2.28515625" style="434" customWidth="1"/>
    <col min="7447" max="7447" width="6.85546875" style="434" customWidth="1"/>
    <col min="7448" max="7448" width="10.7109375" style="434" customWidth="1"/>
    <col min="7449" max="7449" width="2.28515625" style="434" customWidth="1"/>
    <col min="7450" max="7680" width="9.140625" style="434"/>
    <col min="7681" max="7681" width="21.140625" style="434" customWidth="1"/>
    <col min="7682" max="7682" width="10" style="434" customWidth="1"/>
    <col min="7683" max="7683" width="6.28515625" style="434" customWidth="1"/>
    <col min="7684" max="7684" width="2.28515625" style="434" customWidth="1"/>
    <col min="7685" max="7685" width="7.85546875" style="434" customWidth="1"/>
    <col min="7686" max="7686" width="7.42578125" style="434" customWidth="1"/>
    <col min="7687" max="7687" width="2.28515625" style="434" customWidth="1"/>
    <col min="7688" max="7688" width="9.7109375" style="434" customWidth="1"/>
    <col min="7689" max="7689" width="6.7109375" style="434" customWidth="1"/>
    <col min="7690" max="7690" width="2.28515625" style="434" customWidth="1"/>
    <col min="7691" max="7691" width="9.42578125" style="434" customWidth="1"/>
    <col min="7692" max="7692" width="6.7109375" style="434" customWidth="1"/>
    <col min="7693" max="7693" width="2.28515625" style="434" customWidth="1"/>
    <col min="7694" max="7695" width="7" style="434" customWidth="1"/>
    <col min="7696" max="7696" width="2.28515625" style="434" customWidth="1"/>
    <col min="7697" max="7697" width="7" style="434" customWidth="1"/>
    <col min="7698" max="7698" width="8" style="434" customWidth="1"/>
    <col min="7699" max="7699" width="2" style="434" customWidth="1"/>
    <col min="7700" max="7700" width="10" style="434" customWidth="1"/>
    <col min="7701" max="7701" width="8" style="434" customWidth="1"/>
    <col min="7702" max="7702" width="2.28515625" style="434" customWidth="1"/>
    <col min="7703" max="7703" width="6.85546875" style="434" customWidth="1"/>
    <col min="7704" max="7704" width="10.7109375" style="434" customWidth="1"/>
    <col min="7705" max="7705" width="2.28515625" style="434" customWidth="1"/>
    <col min="7706" max="7936" width="9.140625" style="434"/>
    <col min="7937" max="7937" width="21.140625" style="434" customWidth="1"/>
    <col min="7938" max="7938" width="10" style="434" customWidth="1"/>
    <col min="7939" max="7939" width="6.28515625" style="434" customWidth="1"/>
    <col min="7940" max="7940" width="2.28515625" style="434" customWidth="1"/>
    <col min="7941" max="7941" width="7.85546875" style="434" customWidth="1"/>
    <col min="7942" max="7942" width="7.42578125" style="434" customWidth="1"/>
    <col min="7943" max="7943" width="2.28515625" style="434" customWidth="1"/>
    <col min="7944" max="7944" width="9.7109375" style="434" customWidth="1"/>
    <col min="7945" max="7945" width="6.7109375" style="434" customWidth="1"/>
    <col min="7946" max="7946" width="2.28515625" style="434" customWidth="1"/>
    <col min="7947" max="7947" width="9.42578125" style="434" customWidth="1"/>
    <col min="7948" max="7948" width="6.7109375" style="434" customWidth="1"/>
    <col min="7949" max="7949" width="2.28515625" style="434" customWidth="1"/>
    <col min="7950" max="7951" width="7" style="434" customWidth="1"/>
    <col min="7952" max="7952" width="2.28515625" style="434" customWidth="1"/>
    <col min="7953" max="7953" width="7" style="434" customWidth="1"/>
    <col min="7954" max="7954" width="8" style="434" customWidth="1"/>
    <col min="7955" max="7955" width="2" style="434" customWidth="1"/>
    <col min="7956" max="7956" width="10" style="434" customWidth="1"/>
    <col min="7957" max="7957" width="8" style="434" customWidth="1"/>
    <col min="7958" max="7958" width="2.28515625" style="434" customWidth="1"/>
    <col min="7959" max="7959" width="6.85546875" style="434" customWidth="1"/>
    <col min="7960" max="7960" width="10.7109375" style="434" customWidth="1"/>
    <col min="7961" max="7961" width="2.28515625" style="434" customWidth="1"/>
    <col min="7962" max="8192" width="9.140625" style="434"/>
    <col min="8193" max="8193" width="21.140625" style="434" customWidth="1"/>
    <col min="8194" max="8194" width="10" style="434" customWidth="1"/>
    <col min="8195" max="8195" width="6.28515625" style="434" customWidth="1"/>
    <col min="8196" max="8196" width="2.28515625" style="434" customWidth="1"/>
    <col min="8197" max="8197" width="7.85546875" style="434" customWidth="1"/>
    <col min="8198" max="8198" width="7.42578125" style="434" customWidth="1"/>
    <col min="8199" max="8199" width="2.28515625" style="434" customWidth="1"/>
    <col min="8200" max="8200" width="9.7109375" style="434" customWidth="1"/>
    <col min="8201" max="8201" width="6.7109375" style="434" customWidth="1"/>
    <col min="8202" max="8202" width="2.28515625" style="434" customWidth="1"/>
    <col min="8203" max="8203" width="9.42578125" style="434" customWidth="1"/>
    <col min="8204" max="8204" width="6.7109375" style="434" customWidth="1"/>
    <col min="8205" max="8205" width="2.28515625" style="434" customWidth="1"/>
    <col min="8206" max="8207" width="7" style="434" customWidth="1"/>
    <col min="8208" max="8208" width="2.28515625" style="434" customWidth="1"/>
    <col min="8209" max="8209" width="7" style="434" customWidth="1"/>
    <col min="8210" max="8210" width="8" style="434" customWidth="1"/>
    <col min="8211" max="8211" width="2" style="434" customWidth="1"/>
    <col min="8212" max="8212" width="10" style="434" customWidth="1"/>
    <col min="8213" max="8213" width="8" style="434" customWidth="1"/>
    <col min="8214" max="8214" width="2.28515625" style="434" customWidth="1"/>
    <col min="8215" max="8215" width="6.85546875" style="434" customWidth="1"/>
    <col min="8216" max="8216" width="10.7109375" style="434" customWidth="1"/>
    <col min="8217" max="8217" width="2.28515625" style="434" customWidth="1"/>
    <col min="8218" max="8448" width="9.140625" style="434"/>
    <col min="8449" max="8449" width="21.140625" style="434" customWidth="1"/>
    <col min="8450" max="8450" width="10" style="434" customWidth="1"/>
    <col min="8451" max="8451" width="6.28515625" style="434" customWidth="1"/>
    <col min="8452" max="8452" width="2.28515625" style="434" customWidth="1"/>
    <col min="8453" max="8453" width="7.85546875" style="434" customWidth="1"/>
    <col min="8454" max="8454" width="7.42578125" style="434" customWidth="1"/>
    <col min="8455" max="8455" width="2.28515625" style="434" customWidth="1"/>
    <col min="8456" max="8456" width="9.7109375" style="434" customWidth="1"/>
    <col min="8457" max="8457" width="6.7109375" style="434" customWidth="1"/>
    <col min="8458" max="8458" width="2.28515625" style="434" customWidth="1"/>
    <col min="8459" max="8459" width="9.42578125" style="434" customWidth="1"/>
    <col min="8460" max="8460" width="6.7109375" style="434" customWidth="1"/>
    <col min="8461" max="8461" width="2.28515625" style="434" customWidth="1"/>
    <col min="8462" max="8463" width="7" style="434" customWidth="1"/>
    <col min="8464" max="8464" width="2.28515625" style="434" customWidth="1"/>
    <col min="8465" max="8465" width="7" style="434" customWidth="1"/>
    <col min="8466" max="8466" width="8" style="434" customWidth="1"/>
    <col min="8467" max="8467" width="2" style="434" customWidth="1"/>
    <col min="8468" max="8468" width="10" style="434" customWidth="1"/>
    <col min="8469" max="8469" width="8" style="434" customWidth="1"/>
    <col min="8470" max="8470" width="2.28515625" style="434" customWidth="1"/>
    <col min="8471" max="8471" width="6.85546875" style="434" customWidth="1"/>
    <col min="8472" max="8472" width="10.7109375" style="434" customWidth="1"/>
    <col min="8473" max="8473" width="2.28515625" style="434" customWidth="1"/>
    <col min="8474" max="8704" width="9.140625" style="434"/>
    <col min="8705" max="8705" width="21.140625" style="434" customWidth="1"/>
    <col min="8706" max="8706" width="10" style="434" customWidth="1"/>
    <col min="8707" max="8707" width="6.28515625" style="434" customWidth="1"/>
    <col min="8708" max="8708" width="2.28515625" style="434" customWidth="1"/>
    <col min="8709" max="8709" width="7.85546875" style="434" customWidth="1"/>
    <col min="8710" max="8710" width="7.42578125" style="434" customWidth="1"/>
    <col min="8711" max="8711" width="2.28515625" style="434" customWidth="1"/>
    <col min="8712" max="8712" width="9.7109375" style="434" customWidth="1"/>
    <col min="8713" max="8713" width="6.7109375" style="434" customWidth="1"/>
    <col min="8714" max="8714" width="2.28515625" style="434" customWidth="1"/>
    <col min="8715" max="8715" width="9.42578125" style="434" customWidth="1"/>
    <col min="8716" max="8716" width="6.7109375" style="434" customWidth="1"/>
    <col min="8717" max="8717" width="2.28515625" style="434" customWidth="1"/>
    <col min="8718" max="8719" width="7" style="434" customWidth="1"/>
    <col min="8720" max="8720" width="2.28515625" style="434" customWidth="1"/>
    <col min="8721" max="8721" width="7" style="434" customWidth="1"/>
    <col min="8722" max="8722" width="8" style="434" customWidth="1"/>
    <col min="8723" max="8723" width="2" style="434" customWidth="1"/>
    <col min="8724" max="8724" width="10" style="434" customWidth="1"/>
    <col min="8725" max="8725" width="8" style="434" customWidth="1"/>
    <col min="8726" max="8726" width="2.28515625" style="434" customWidth="1"/>
    <col min="8727" max="8727" width="6.85546875" style="434" customWidth="1"/>
    <col min="8728" max="8728" width="10.7109375" style="434" customWidth="1"/>
    <col min="8729" max="8729" width="2.28515625" style="434" customWidth="1"/>
    <col min="8730" max="8960" width="9.140625" style="434"/>
    <col min="8961" max="8961" width="21.140625" style="434" customWidth="1"/>
    <col min="8962" max="8962" width="10" style="434" customWidth="1"/>
    <col min="8963" max="8963" width="6.28515625" style="434" customWidth="1"/>
    <col min="8964" max="8964" width="2.28515625" style="434" customWidth="1"/>
    <col min="8965" max="8965" width="7.85546875" style="434" customWidth="1"/>
    <col min="8966" max="8966" width="7.42578125" style="434" customWidth="1"/>
    <col min="8967" max="8967" width="2.28515625" style="434" customWidth="1"/>
    <col min="8968" max="8968" width="9.7109375" style="434" customWidth="1"/>
    <col min="8969" max="8969" width="6.7109375" style="434" customWidth="1"/>
    <col min="8970" max="8970" width="2.28515625" style="434" customWidth="1"/>
    <col min="8971" max="8971" width="9.42578125" style="434" customWidth="1"/>
    <col min="8972" max="8972" width="6.7109375" style="434" customWidth="1"/>
    <col min="8973" max="8973" width="2.28515625" style="434" customWidth="1"/>
    <col min="8974" max="8975" width="7" style="434" customWidth="1"/>
    <col min="8976" max="8976" width="2.28515625" style="434" customWidth="1"/>
    <col min="8977" max="8977" width="7" style="434" customWidth="1"/>
    <col min="8978" max="8978" width="8" style="434" customWidth="1"/>
    <col min="8979" max="8979" width="2" style="434" customWidth="1"/>
    <col min="8980" max="8980" width="10" style="434" customWidth="1"/>
    <col min="8981" max="8981" width="8" style="434" customWidth="1"/>
    <col min="8982" max="8982" width="2.28515625" style="434" customWidth="1"/>
    <col min="8983" max="8983" width="6.85546875" style="434" customWidth="1"/>
    <col min="8984" max="8984" width="10.7109375" style="434" customWidth="1"/>
    <col min="8985" max="8985" width="2.28515625" style="434" customWidth="1"/>
    <col min="8986" max="9216" width="9.140625" style="434"/>
    <col min="9217" max="9217" width="21.140625" style="434" customWidth="1"/>
    <col min="9218" max="9218" width="10" style="434" customWidth="1"/>
    <col min="9219" max="9219" width="6.28515625" style="434" customWidth="1"/>
    <col min="9220" max="9220" width="2.28515625" style="434" customWidth="1"/>
    <col min="9221" max="9221" width="7.85546875" style="434" customWidth="1"/>
    <col min="9222" max="9222" width="7.42578125" style="434" customWidth="1"/>
    <col min="9223" max="9223" width="2.28515625" style="434" customWidth="1"/>
    <col min="9224" max="9224" width="9.7109375" style="434" customWidth="1"/>
    <col min="9225" max="9225" width="6.7109375" style="434" customWidth="1"/>
    <col min="9226" max="9226" width="2.28515625" style="434" customWidth="1"/>
    <col min="9227" max="9227" width="9.42578125" style="434" customWidth="1"/>
    <col min="9228" max="9228" width="6.7109375" style="434" customWidth="1"/>
    <col min="9229" max="9229" width="2.28515625" style="434" customWidth="1"/>
    <col min="9230" max="9231" width="7" style="434" customWidth="1"/>
    <col min="9232" max="9232" width="2.28515625" style="434" customWidth="1"/>
    <col min="9233" max="9233" width="7" style="434" customWidth="1"/>
    <col min="9234" max="9234" width="8" style="434" customWidth="1"/>
    <col min="9235" max="9235" width="2" style="434" customWidth="1"/>
    <col min="9236" max="9236" width="10" style="434" customWidth="1"/>
    <col min="9237" max="9237" width="8" style="434" customWidth="1"/>
    <col min="9238" max="9238" width="2.28515625" style="434" customWidth="1"/>
    <col min="9239" max="9239" width="6.85546875" style="434" customWidth="1"/>
    <col min="9240" max="9240" width="10.7109375" style="434" customWidth="1"/>
    <col min="9241" max="9241" width="2.28515625" style="434" customWidth="1"/>
    <col min="9242" max="9472" width="9.140625" style="434"/>
    <col min="9473" max="9473" width="21.140625" style="434" customWidth="1"/>
    <col min="9474" max="9474" width="10" style="434" customWidth="1"/>
    <col min="9475" max="9475" width="6.28515625" style="434" customWidth="1"/>
    <col min="9476" max="9476" width="2.28515625" style="434" customWidth="1"/>
    <col min="9477" max="9477" width="7.85546875" style="434" customWidth="1"/>
    <col min="9478" max="9478" width="7.42578125" style="434" customWidth="1"/>
    <col min="9479" max="9479" width="2.28515625" style="434" customWidth="1"/>
    <col min="9480" max="9480" width="9.7109375" style="434" customWidth="1"/>
    <col min="9481" max="9481" width="6.7109375" style="434" customWidth="1"/>
    <col min="9482" max="9482" width="2.28515625" style="434" customWidth="1"/>
    <col min="9483" max="9483" width="9.42578125" style="434" customWidth="1"/>
    <col min="9484" max="9484" width="6.7109375" style="434" customWidth="1"/>
    <col min="9485" max="9485" width="2.28515625" style="434" customWidth="1"/>
    <col min="9486" max="9487" width="7" style="434" customWidth="1"/>
    <col min="9488" max="9488" width="2.28515625" style="434" customWidth="1"/>
    <col min="9489" max="9489" width="7" style="434" customWidth="1"/>
    <col min="9490" max="9490" width="8" style="434" customWidth="1"/>
    <col min="9491" max="9491" width="2" style="434" customWidth="1"/>
    <col min="9492" max="9492" width="10" style="434" customWidth="1"/>
    <col min="9493" max="9493" width="8" style="434" customWidth="1"/>
    <col min="9494" max="9494" width="2.28515625" style="434" customWidth="1"/>
    <col min="9495" max="9495" width="6.85546875" style="434" customWidth="1"/>
    <col min="9496" max="9496" width="10.7109375" style="434" customWidth="1"/>
    <col min="9497" max="9497" width="2.28515625" style="434" customWidth="1"/>
    <col min="9498" max="9728" width="9.140625" style="434"/>
    <col min="9729" max="9729" width="21.140625" style="434" customWidth="1"/>
    <col min="9730" max="9730" width="10" style="434" customWidth="1"/>
    <col min="9731" max="9731" width="6.28515625" style="434" customWidth="1"/>
    <col min="9732" max="9732" width="2.28515625" style="434" customWidth="1"/>
    <col min="9733" max="9733" width="7.85546875" style="434" customWidth="1"/>
    <col min="9734" max="9734" width="7.42578125" style="434" customWidth="1"/>
    <col min="9735" max="9735" width="2.28515625" style="434" customWidth="1"/>
    <col min="9736" max="9736" width="9.7109375" style="434" customWidth="1"/>
    <col min="9737" max="9737" width="6.7109375" style="434" customWidth="1"/>
    <col min="9738" max="9738" width="2.28515625" style="434" customWidth="1"/>
    <col min="9739" max="9739" width="9.42578125" style="434" customWidth="1"/>
    <col min="9740" max="9740" width="6.7109375" style="434" customWidth="1"/>
    <col min="9741" max="9741" width="2.28515625" style="434" customWidth="1"/>
    <col min="9742" max="9743" width="7" style="434" customWidth="1"/>
    <col min="9744" max="9744" width="2.28515625" style="434" customWidth="1"/>
    <col min="9745" max="9745" width="7" style="434" customWidth="1"/>
    <col min="9746" max="9746" width="8" style="434" customWidth="1"/>
    <col min="9747" max="9747" width="2" style="434" customWidth="1"/>
    <col min="9748" max="9748" width="10" style="434" customWidth="1"/>
    <col min="9749" max="9749" width="8" style="434" customWidth="1"/>
    <col min="9750" max="9750" width="2.28515625" style="434" customWidth="1"/>
    <col min="9751" max="9751" width="6.85546875" style="434" customWidth="1"/>
    <col min="9752" max="9752" width="10.7109375" style="434" customWidth="1"/>
    <col min="9753" max="9753" width="2.28515625" style="434" customWidth="1"/>
    <col min="9754" max="9984" width="9.140625" style="434"/>
    <col min="9985" max="9985" width="21.140625" style="434" customWidth="1"/>
    <col min="9986" max="9986" width="10" style="434" customWidth="1"/>
    <col min="9987" max="9987" width="6.28515625" style="434" customWidth="1"/>
    <col min="9988" max="9988" width="2.28515625" style="434" customWidth="1"/>
    <col min="9989" max="9989" width="7.85546875" style="434" customWidth="1"/>
    <col min="9990" max="9990" width="7.42578125" style="434" customWidth="1"/>
    <col min="9991" max="9991" width="2.28515625" style="434" customWidth="1"/>
    <col min="9992" max="9992" width="9.7109375" style="434" customWidth="1"/>
    <col min="9993" max="9993" width="6.7109375" style="434" customWidth="1"/>
    <col min="9994" max="9994" width="2.28515625" style="434" customWidth="1"/>
    <col min="9995" max="9995" width="9.42578125" style="434" customWidth="1"/>
    <col min="9996" max="9996" width="6.7109375" style="434" customWidth="1"/>
    <col min="9997" max="9997" width="2.28515625" style="434" customWidth="1"/>
    <col min="9998" max="9999" width="7" style="434" customWidth="1"/>
    <col min="10000" max="10000" width="2.28515625" style="434" customWidth="1"/>
    <col min="10001" max="10001" width="7" style="434" customWidth="1"/>
    <col min="10002" max="10002" width="8" style="434" customWidth="1"/>
    <col min="10003" max="10003" width="2" style="434" customWidth="1"/>
    <col min="10004" max="10004" width="10" style="434" customWidth="1"/>
    <col min="10005" max="10005" width="8" style="434" customWidth="1"/>
    <col min="10006" max="10006" width="2.28515625" style="434" customWidth="1"/>
    <col min="10007" max="10007" width="6.85546875" style="434" customWidth="1"/>
    <col min="10008" max="10008" width="10.7109375" style="434" customWidth="1"/>
    <col min="10009" max="10009" width="2.28515625" style="434" customWidth="1"/>
    <col min="10010" max="10240" width="9.140625" style="434"/>
    <col min="10241" max="10241" width="21.140625" style="434" customWidth="1"/>
    <col min="10242" max="10242" width="10" style="434" customWidth="1"/>
    <col min="10243" max="10243" width="6.28515625" style="434" customWidth="1"/>
    <col min="10244" max="10244" width="2.28515625" style="434" customWidth="1"/>
    <col min="10245" max="10245" width="7.85546875" style="434" customWidth="1"/>
    <col min="10246" max="10246" width="7.42578125" style="434" customWidth="1"/>
    <col min="10247" max="10247" width="2.28515625" style="434" customWidth="1"/>
    <col min="10248" max="10248" width="9.7109375" style="434" customWidth="1"/>
    <col min="10249" max="10249" width="6.7109375" style="434" customWidth="1"/>
    <col min="10250" max="10250" width="2.28515625" style="434" customWidth="1"/>
    <col min="10251" max="10251" width="9.42578125" style="434" customWidth="1"/>
    <col min="10252" max="10252" width="6.7109375" style="434" customWidth="1"/>
    <col min="10253" max="10253" width="2.28515625" style="434" customWidth="1"/>
    <col min="10254" max="10255" width="7" style="434" customWidth="1"/>
    <col min="10256" max="10256" width="2.28515625" style="434" customWidth="1"/>
    <col min="10257" max="10257" width="7" style="434" customWidth="1"/>
    <col min="10258" max="10258" width="8" style="434" customWidth="1"/>
    <col min="10259" max="10259" width="2" style="434" customWidth="1"/>
    <col min="10260" max="10260" width="10" style="434" customWidth="1"/>
    <col min="10261" max="10261" width="8" style="434" customWidth="1"/>
    <col min="10262" max="10262" width="2.28515625" style="434" customWidth="1"/>
    <col min="10263" max="10263" width="6.85546875" style="434" customWidth="1"/>
    <col min="10264" max="10264" width="10.7109375" style="434" customWidth="1"/>
    <col min="10265" max="10265" width="2.28515625" style="434" customWidth="1"/>
    <col min="10266" max="10496" width="9.140625" style="434"/>
    <col min="10497" max="10497" width="21.140625" style="434" customWidth="1"/>
    <col min="10498" max="10498" width="10" style="434" customWidth="1"/>
    <col min="10499" max="10499" width="6.28515625" style="434" customWidth="1"/>
    <col min="10500" max="10500" width="2.28515625" style="434" customWidth="1"/>
    <col min="10501" max="10501" width="7.85546875" style="434" customWidth="1"/>
    <col min="10502" max="10502" width="7.42578125" style="434" customWidth="1"/>
    <col min="10503" max="10503" width="2.28515625" style="434" customWidth="1"/>
    <col min="10504" max="10504" width="9.7109375" style="434" customWidth="1"/>
    <col min="10505" max="10505" width="6.7109375" style="434" customWidth="1"/>
    <col min="10506" max="10506" width="2.28515625" style="434" customWidth="1"/>
    <col min="10507" max="10507" width="9.42578125" style="434" customWidth="1"/>
    <col min="10508" max="10508" width="6.7109375" style="434" customWidth="1"/>
    <col min="10509" max="10509" width="2.28515625" style="434" customWidth="1"/>
    <col min="10510" max="10511" width="7" style="434" customWidth="1"/>
    <col min="10512" max="10512" width="2.28515625" style="434" customWidth="1"/>
    <col min="10513" max="10513" width="7" style="434" customWidth="1"/>
    <col min="10514" max="10514" width="8" style="434" customWidth="1"/>
    <col min="10515" max="10515" width="2" style="434" customWidth="1"/>
    <col min="10516" max="10516" width="10" style="434" customWidth="1"/>
    <col min="10517" max="10517" width="8" style="434" customWidth="1"/>
    <col min="10518" max="10518" width="2.28515625" style="434" customWidth="1"/>
    <col min="10519" max="10519" width="6.85546875" style="434" customWidth="1"/>
    <col min="10520" max="10520" width="10.7109375" style="434" customWidth="1"/>
    <col min="10521" max="10521" width="2.28515625" style="434" customWidth="1"/>
    <col min="10522" max="10752" width="9.140625" style="434"/>
    <col min="10753" max="10753" width="21.140625" style="434" customWidth="1"/>
    <col min="10754" max="10754" width="10" style="434" customWidth="1"/>
    <col min="10755" max="10755" width="6.28515625" style="434" customWidth="1"/>
    <col min="10756" max="10756" width="2.28515625" style="434" customWidth="1"/>
    <col min="10757" max="10757" width="7.85546875" style="434" customWidth="1"/>
    <col min="10758" max="10758" width="7.42578125" style="434" customWidth="1"/>
    <col min="10759" max="10759" width="2.28515625" style="434" customWidth="1"/>
    <col min="10760" max="10760" width="9.7109375" style="434" customWidth="1"/>
    <col min="10761" max="10761" width="6.7109375" style="434" customWidth="1"/>
    <col min="10762" max="10762" width="2.28515625" style="434" customWidth="1"/>
    <col min="10763" max="10763" width="9.42578125" style="434" customWidth="1"/>
    <col min="10764" max="10764" width="6.7109375" style="434" customWidth="1"/>
    <col min="10765" max="10765" width="2.28515625" style="434" customWidth="1"/>
    <col min="10766" max="10767" width="7" style="434" customWidth="1"/>
    <col min="10768" max="10768" width="2.28515625" style="434" customWidth="1"/>
    <col min="10769" max="10769" width="7" style="434" customWidth="1"/>
    <col min="10770" max="10770" width="8" style="434" customWidth="1"/>
    <col min="10771" max="10771" width="2" style="434" customWidth="1"/>
    <col min="10772" max="10772" width="10" style="434" customWidth="1"/>
    <col min="10773" max="10773" width="8" style="434" customWidth="1"/>
    <col min="10774" max="10774" width="2.28515625" style="434" customWidth="1"/>
    <col min="10775" max="10775" width="6.85546875" style="434" customWidth="1"/>
    <col min="10776" max="10776" width="10.7109375" style="434" customWidth="1"/>
    <col min="10777" max="10777" width="2.28515625" style="434" customWidth="1"/>
    <col min="10778" max="11008" width="9.140625" style="434"/>
    <col min="11009" max="11009" width="21.140625" style="434" customWidth="1"/>
    <col min="11010" max="11010" width="10" style="434" customWidth="1"/>
    <col min="11011" max="11011" width="6.28515625" style="434" customWidth="1"/>
    <col min="11012" max="11012" width="2.28515625" style="434" customWidth="1"/>
    <col min="11013" max="11013" width="7.85546875" style="434" customWidth="1"/>
    <col min="11014" max="11014" width="7.42578125" style="434" customWidth="1"/>
    <col min="11015" max="11015" width="2.28515625" style="434" customWidth="1"/>
    <col min="11016" max="11016" width="9.7109375" style="434" customWidth="1"/>
    <col min="11017" max="11017" width="6.7109375" style="434" customWidth="1"/>
    <col min="11018" max="11018" width="2.28515625" style="434" customWidth="1"/>
    <col min="11019" max="11019" width="9.42578125" style="434" customWidth="1"/>
    <col min="11020" max="11020" width="6.7109375" style="434" customWidth="1"/>
    <col min="11021" max="11021" width="2.28515625" style="434" customWidth="1"/>
    <col min="11022" max="11023" width="7" style="434" customWidth="1"/>
    <col min="11024" max="11024" width="2.28515625" style="434" customWidth="1"/>
    <col min="11025" max="11025" width="7" style="434" customWidth="1"/>
    <col min="11026" max="11026" width="8" style="434" customWidth="1"/>
    <col min="11027" max="11027" width="2" style="434" customWidth="1"/>
    <col min="11028" max="11028" width="10" style="434" customWidth="1"/>
    <col min="11029" max="11029" width="8" style="434" customWidth="1"/>
    <col min="11030" max="11030" width="2.28515625" style="434" customWidth="1"/>
    <col min="11031" max="11031" width="6.85546875" style="434" customWidth="1"/>
    <col min="11032" max="11032" width="10.7109375" style="434" customWidth="1"/>
    <col min="11033" max="11033" width="2.28515625" style="434" customWidth="1"/>
    <col min="11034" max="11264" width="9.140625" style="434"/>
    <col min="11265" max="11265" width="21.140625" style="434" customWidth="1"/>
    <col min="11266" max="11266" width="10" style="434" customWidth="1"/>
    <col min="11267" max="11267" width="6.28515625" style="434" customWidth="1"/>
    <col min="11268" max="11268" width="2.28515625" style="434" customWidth="1"/>
    <col min="11269" max="11269" width="7.85546875" style="434" customWidth="1"/>
    <col min="11270" max="11270" width="7.42578125" style="434" customWidth="1"/>
    <col min="11271" max="11271" width="2.28515625" style="434" customWidth="1"/>
    <col min="11272" max="11272" width="9.7109375" style="434" customWidth="1"/>
    <col min="11273" max="11273" width="6.7109375" style="434" customWidth="1"/>
    <col min="11274" max="11274" width="2.28515625" style="434" customWidth="1"/>
    <col min="11275" max="11275" width="9.42578125" style="434" customWidth="1"/>
    <col min="11276" max="11276" width="6.7109375" style="434" customWidth="1"/>
    <col min="11277" max="11277" width="2.28515625" style="434" customWidth="1"/>
    <col min="11278" max="11279" width="7" style="434" customWidth="1"/>
    <col min="11280" max="11280" width="2.28515625" style="434" customWidth="1"/>
    <col min="11281" max="11281" width="7" style="434" customWidth="1"/>
    <col min="11282" max="11282" width="8" style="434" customWidth="1"/>
    <col min="11283" max="11283" width="2" style="434" customWidth="1"/>
    <col min="11284" max="11284" width="10" style="434" customWidth="1"/>
    <col min="11285" max="11285" width="8" style="434" customWidth="1"/>
    <col min="11286" max="11286" width="2.28515625" style="434" customWidth="1"/>
    <col min="11287" max="11287" width="6.85546875" style="434" customWidth="1"/>
    <col min="11288" max="11288" width="10.7109375" style="434" customWidth="1"/>
    <col min="11289" max="11289" width="2.28515625" style="434" customWidth="1"/>
    <col min="11290" max="11520" width="9.140625" style="434"/>
    <col min="11521" max="11521" width="21.140625" style="434" customWidth="1"/>
    <col min="11522" max="11522" width="10" style="434" customWidth="1"/>
    <col min="11523" max="11523" width="6.28515625" style="434" customWidth="1"/>
    <col min="11524" max="11524" width="2.28515625" style="434" customWidth="1"/>
    <col min="11525" max="11525" width="7.85546875" style="434" customWidth="1"/>
    <col min="11526" max="11526" width="7.42578125" style="434" customWidth="1"/>
    <col min="11527" max="11527" width="2.28515625" style="434" customWidth="1"/>
    <col min="11528" max="11528" width="9.7109375" style="434" customWidth="1"/>
    <col min="11529" max="11529" width="6.7109375" style="434" customWidth="1"/>
    <col min="11530" max="11530" width="2.28515625" style="434" customWidth="1"/>
    <col min="11531" max="11531" width="9.42578125" style="434" customWidth="1"/>
    <col min="11532" max="11532" width="6.7109375" style="434" customWidth="1"/>
    <col min="11533" max="11533" width="2.28515625" style="434" customWidth="1"/>
    <col min="11534" max="11535" width="7" style="434" customWidth="1"/>
    <col min="11536" max="11536" width="2.28515625" style="434" customWidth="1"/>
    <col min="11537" max="11537" width="7" style="434" customWidth="1"/>
    <col min="11538" max="11538" width="8" style="434" customWidth="1"/>
    <col min="11539" max="11539" width="2" style="434" customWidth="1"/>
    <col min="11540" max="11540" width="10" style="434" customWidth="1"/>
    <col min="11541" max="11541" width="8" style="434" customWidth="1"/>
    <col min="11542" max="11542" width="2.28515625" style="434" customWidth="1"/>
    <col min="11543" max="11543" width="6.85546875" style="434" customWidth="1"/>
    <col min="11544" max="11544" width="10.7109375" style="434" customWidth="1"/>
    <col min="11545" max="11545" width="2.28515625" style="434" customWidth="1"/>
    <col min="11546" max="11776" width="9.140625" style="434"/>
    <col min="11777" max="11777" width="21.140625" style="434" customWidth="1"/>
    <col min="11778" max="11778" width="10" style="434" customWidth="1"/>
    <col min="11779" max="11779" width="6.28515625" style="434" customWidth="1"/>
    <col min="11780" max="11780" width="2.28515625" style="434" customWidth="1"/>
    <col min="11781" max="11781" width="7.85546875" style="434" customWidth="1"/>
    <col min="11782" max="11782" width="7.42578125" style="434" customWidth="1"/>
    <col min="11783" max="11783" width="2.28515625" style="434" customWidth="1"/>
    <col min="11784" max="11784" width="9.7109375" style="434" customWidth="1"/>
    <col min="11785" max="11785" width="6.7109375" style="434" customWidth="1"/>
    <col min="11786" max="11786" width="2.28515625" style="434" customWidth="1"/>
    <col min="11787" max="11787" width="9.42578125" style="434" customWidth="1"/>
    <col min="11788" max="11788" width="6.7109375" style="434" customWidth="1"/>
    <col min="11789" max="11789" width="2.28515625" style="434" customWidth="1"/>
    <col min="11790" max="11791" width="7" style="434" customWidth="1"/>
    <col min="11792" max="11792" width="2.28515625" style="434" customWidth="1"/>
    <col min="11793" max="11793" width="7" style="434" customWidth="1"/>
    <col min="11794" max="11794" width="8" style="434" customWidth="1"/>
    <col min="11795" max="11795" width="2" style="434" customWidth="1"/>
    <col min="11796" max="11796" width="10" style="434" customWidth="1"/>
    <col min="11797" max="11797" width="8" style="434" customWidth="1"/>
    <col min="11798" max="11798" width="2.28515625" style="434" customWidth="1"/>
    <col min="11799" max="11799" width="6.85546875" style="434" customWidth="1"/>
    <col min="11800" max="11800" width="10.7109375" style="434" customWidth="1"/>
    <col min="11801" max="11801" width="2.28515625" style="434" customWidth="1"/>
    <col min="11802" max="12032" width="9.140625" style="434"/>
    <col min="12033" max="12033" width="21.140625" style="434" customWidth="1"/>
    <col min="12034" max="12034" width="10" style="434" customWidth="1"/>
    <col min="12035" max="12035" width="6.28515625" style="434" customWidth="1"/>
    <col min="12036" max="12036" width="2.28515625" style="434" customWidth="1"/>
    <col min="12037" max="12037" width="7.85546875" style="434" customWidth="1"/>
    <col min="12038" max="12038" width="7.42578125" style="434" customWidth="1"/>
    <col min="12039" max="12039" width="2.28515625" style="434" customWidth="1"/>
    <col min="12040" max="12040" width="9.7109375" style="434" customWidth="1"/>
    <col min="12041" max="12041" width="6.7109375" style="434" customWidth="1"/>
    <col min="12042" max="12042" width="2.28515625" style="434" customWidth="1"/>
    <col min="12043" max="12043" width="9.42578125" style="434" customWidth="1"/>
    <col min="12044" max="12044" width="6.7109375" style="434" customWidth="1"/>
    <col min="12045" max="12045" width="2.28515625" style="434" customWidth="1"/>
    <col min="12046" max="12047" width="7" style="434" customWidth="1"/>
    <col min="12048" max="12048" width="2.28515625" style="434" customWidth="1"/>
    <col min="12049" max="12049" width="7" style="434" customWidth="1"/>
    <col min="12050" max="12050" width="8" style="434" customWidth="1"/>
    <col min="12051" max="12051" width="2" style="434" customWidth="1"/>
    <col min="12052" max="12052" width="10" style="434" customWidth="1"/>
    <col min="12053" max="12053" width="8" style="434" customWidth="1"/>
    <col min="12054" max="12054" width="2.28515625" style="434" customWidth="1"/>
    <col min="12055" max="12055" width="6.85546875" style="434" customWidth="1"/>
    <col min="12056" max="12056" width="10.7109375" style="434" customWidth="1"/>
    <col min="12057" max="12057" width="2.28515625" style="434" customWidth="1"/>
    <col min="12058" max="12288" width="9.140625" style="434"/>
    <col min="12289" max="12289" width="21.140625" style="434" customWidth="1"/>
    <col min="12290" max="12290" width="10" style="434" customWidth="1"/>
    <col min="12291" max="12291" width="6.28515625" style="434" customWidth="1"/>
    <col min="12292" max="12292" width="2.28515625" style="434" customWidth="1"/>
    <col min="12293" max="12293" width="7.85546875" style="434" customWidth="1"/>
    <col min="12294" max="12294" width="7.42578125" style="434" customWidth="1"/>
    <col min="12295" max="12295" width="2.28515625" style="434" customWidth="1"/>
    <col min="12296" max="12296" width="9.7109375" style="434" customWidth="1"/>
    <col min="12297" max="12297" width="6.7109375" style="434" customWidth="1"/>
    <col min="12298" max="12298" width="2.28515625" style="434" customWidth="1"/>
    <col min="12299" max="12299" width="9.42578125" style="434" customWidth="1"/>
    <col min="12300" max="12300" width="6.7109375" style="434" customWidth="1"/>
    <col min="12301" max="12301" width="2.28515625" style="434" customWidth="1"/>
    <col min="12302" max="12303" width="7" style="434" customWidth="1"/>
    <col min="12304" max="12304" width="2.28515625" style="434" customWidth="1"/>
    <col min="12305" max="12305" width="7" style="434" customWidth="1"/>
    <col min="12306" max="12306" width="8" style="434" customWidth="1"/>
    <col min="12307" max="12307" width="2" style="434" customWidth="1"/>
    <col min="12308" max="12308" width="10" style="434" customWidth="1"/>
    <col min="12309" max="12309" width="8" style="434" customWidth="1"/>
    <col min="12310" max="12310" width="2.28515625" style="434" customWidth="1"/>
    <col min="12311" max="12311" width="6.85546875" style="434" customWidth="1"/>
    <col min="12312" max="12312" width="10.7109375" style="434" customWidth="1"/>
    <col min="12313" max="12313" width="2.28515625" style="434" customWidth="1"/>
    <col min="12314" max="12544" width="9.140625" style="434"/>
    <col min="12545" max="12545" width="21.140625" style="434" customWidth="1"/>
    <col min="12546" max="12546" width="10" style="434" customWidth="1"/>
    <col min="12547" max="12547" width="6.28515625" style="434" customWidth="1"/>
    <col min="12548" max="12548" width="2.28515625" style="434" customWidth="1"/>
    <col min="12549" max="12549" width="7.85546875" style="434" customWidth="1"/>
    <col min="12550" max="12550" width="7.42578125" style="434" customWidth="1"/>
    <col min="12551" max="12551" width="2.28515625" style="434" customWidth="1"/>
    <col min="12552" max="12552" width="9.7109375" style="434" customWidth="1"/>
    <col min="12553" max="12553" width="6.7109375" style="434" customWidth="1"/>
    <col min="12554" max="12554" width="2.28515625" style="434" customWidth="1"/>
    <col min="12555" max="12555" width="9.42578125" style="434" customWidth="1"/>
    <col min="12556" max="12556" width="6.7109375" style="434" customWidth="1"/>
    <col min="12557" max="12557" width="2.28515625" style="434" customWidth="1"/>
    <col min="12558" max="12559" width="7" style="434" customWidth="1"/>
    <col min="12560" max="12560" width="2.28515625" style="434" customWidth="1"/>
    <col min="12561" max="12561" width="7" style="434" customWidth="1"/>
    <col min="12562" max="12562" width="8" style="434" customWidth="1"/>
    <col min="12563" max="12563" width="2" style="434" customWidth="1"/>
    <col min="12564" max="12564" width="10" style="434" customWidth="1"/>
    <col min="12565" max="12565" width="8" style="434" customWidth="1"/>
    <col min="12566" max="12566" width="2.28515625" style="434" customWidth="1"/>
    <col min="12567" max="12567" width="6.85546875" style="434" customWidth="1"/>
    <col min="12568" max="12568" width="10.7109375" style="434" customWidth="1"/>
    <col min="12569" max="12569" width="2.28515625" style="434" customWidth="1"/>
    <col min="12570" max="12800" width="9.140625" style="434"/>
    <col min="12801" max="12801" width="21.140625" style="434" customWidth="1"/>
    <col min="12802" max="12802" width="10" style="434" customWidth="1"/>
    <col min="12803" max="12803" width="6.28515625" style="434" customWidth="1"/>
    <col min="12804" max="12804" width="2.28515625" style="434" customWidth="1"/>
    <col min="12805" max="12805" width="7.85546875" style="434" customWidth="1"/>
    <col min="12806" max="12806" width="7.42578125" style="434" customWidth="1"/>
    <col min="12807" max="12807" width="2.28515625" style="434" customWidth="1"/>
    <col min="12808" max="12808" width="9.7109375" style="434" customWidth="1"/>
    <col min="12809" max="12809" width="6.7109375" style="434" customWidth="1"/>
    <col min="12810" max="12810" width="2.28515625" style="434" customWidth="1"/>
    <col min="12811" max="12811" width="9.42578125" style="434" customWidth="1"/>
    <col min="12812" max="12812" width="6.7109375" style="434" customWidth="1"/>
    <col min="12813" max="12813" width="2.28515625" style="434" customWidth="1"/>
    <col min="12814" max="12815" width="7" style="434" customWidth="1"/>
    <col min="12816" max="12816" width="2.28515625" style="434" customWidth="1"/>
    <col min="12817" max="12817" width="7" style="434" customWidth="1"/>
    <col min="12818" max="12818" width="8" style="434" customWidth="1"/>
    <col min="12819" max="12819" width="2" style="434" customWidth="1"/>
    <col min="12820" max="12820" width="10" style="434" customWidth="1"/>
    <col min="12821" max="12821" width="8" style="434" customWidth="1"/>
    <col min="12822" max="12822" width="2.28515625" style="434" customWidth="1"/>
    <col min="12823" max="12823" width="6.85546875" style="434" customWidth="1"/>
    <col min="12824" max="12824" width="10.7109375" style="434" customWidth="1"/>
    <col min="12825" max="12825" width="2.28515625" style="434" customWidth="1"/>
    <col min="12826" max="13056" width="9.140625" style="434"/>
    <col min="13057" max="13057" width="21.140625" style="434" customWidth="1"/>
    <col min="13058" max="13058" width="10" style="434" customWidth="1"/>
    <col min="13059" max="13059" width="6.28515625" style="434" customWidth="1"/>
    <col min="13060" max="13060" width="2.28515625" style="434" customWidth="1"/>
    <col min="13061" max="13061" width="7.85546875" style="434" customWidth="1"/>
    <col min="13062" max="13062" width="7.42578125" style="434" customWidth="1"/>
    <col min="13063" max="13063" width="2.28515625" style="434" customWidth="1"/>
    <col min="13064" max="13064" width="9.7109375" style="434" customWidth="1"/>
    <col min="13065" max="13065" width="6.7109375" style="434" customWidth="1"/>
    <col min="13066" max="13066" width="2.28515625" style="434" customWidth="1"/>
    <col min="13067" max="13067" width="9.42578125" style="434" customWidth="1"/>
    <col min="13068" max="13068" width="6.7109375" style="434" customWidth="1"/>
    <col min="13069" max="13069" width="2.28515625" style="434" customWidth="1"/>
    <col min="13070" max="13071" width="7" style="434" customWidth="1"/>
    <col min="13072" max="13072" width="2.28515625" style="434" customWidth="1"/>
    <col min="13073" max="13073" width="7" style="434" customWidth="1"/>
    <col min="13074" max="13074" width="8" style="434" customWidth="1"/>
    <col min="13075" max="13075" width="2" style="434" customWidth="1"/>
    <col min="13076" max="13076" width="10" style="434" customWidth="1"/>
    <col min="13077" max="13077" width="8" style="434" customWidth="1"/>
    <col min="13078" max="13078" width="2.28515625" style="434" customWidth="1"/>
    <col min="13079" max="13079" width="6.85546875" style="434" customWidth="1"/>
    <col min="13080" max="13080" width="10.7109375" style="434" customWidth="1"/>
    <col min="13081" max="13081" width="2.28515625" style="434" customWidth="1"/>
    <col min="13082" max="13312" width="9.140625" style="434"/>
    <col min="13313" max="13313" width="21.140625" style="434" customWidth="1"/>
    <col min="13314" max="13314" width="10" style="434" customWidth="1"/>
    <col min="13315" max="13315" width="6.28515625" style="434" customWidth="1"/>
    <col min="13316" max="13316" width="2.28515625" style="434" customWidth="1"/>
    <col min="13317" max="13317" width="7.85546875" style="434" customWidth="1"/>
    <col min="13318" max="13318" width="7.42578125" style="434" customWidth="1"/>
    <col min="13319" max="13319" width="2.28515625" style="434" customWidth="1"/>
    <col min="13320" max="13320" width="9.7109375" style="434" customWidth="1"/>
    <col min="13321" max="13321" width="6.7109375" style="434" customWidth="1"/>
    <col min="13322" max="13322" width="2.28515625" style="434" customWidth="1"/>
    <col min="13323" max="13323" width="9.42578125" style="434" customWidth="1"/>
    <col min="13324" max="13324" width="6.7109375" style="434" customWidth="1"/>
    <col min="13325" max="13325" width="2.28515625" style="434" customWidth="1"/>
    <col min="13326" max="13327" width="7" style="434" customWidth="1"/>
    <col min="13328" max="13328" width="2.28515625" style="434" customWidth="1"/>
    <col min="13329" max="13329" width="7" style="434" customWidth="1"/>
    <col min="13330" max="13330" width="8" style="434" customWidth="1"/>
    <col min="13331" max="13331" width="2" style="434" customWidth="1"/>
    <col min="13332" max="13332" width="10" style="434" customWidth="1"/>
    <col min="13333" max="13333" width="8" style="434" customWidth="1"/>
    <col min="13334" max="13334" width="2.28515625" style="434" customWidth="1"/>
    <col min="13335" max="13335" width="6.85546875" style="434" customWidth="1"/>
    <col min="13336" max="13336" width="10.7109375" style="434" customWidth="1"/>
    <col min="13337" max="13337" width="2.28515625" style="434" customWidth="1"/>
    <col min="13338" max="13568" width="9.140625" style="434"/>
    <col min="13569" max="13569" width="21.140625" style="434" customWidth="1"/>
    <col min="13570" max="13570" width="10" style="434" customWidth="1"/>
    <col min="13571" max="13571" width="6.28515625" style="434" customWidth="1"/>
    <col min="13572" max="13572" width="2.28515625" style="434" customWidth="1"/>
    <col min="13573" max="13573" width="7.85546875" style="434" customWidth="1"/>
    <col min="13574" max="13574" width="7.42578125" style="434" customWidth="1"/>
    <col min="13575" max="13575" width="2.28515625" style="434" customWidth="1"/>
    <col min="13576" max="13576" width="9.7109375" style="434" customWidth="1"/>
    <col min="13577" max="13577" width="6.7109375" style="434" customWidth="1"/>
    <col min="13578" max="13578" width="2.28515625" style="434" customWidth="1"/>
    <col min="13579" max="13579" width="9.42578125" style="434" customWidth="1"/>
    <col min="13580" max="13580" width="6.7109375" style="434" customWidth="1"/>
    <col min="13581" max="13581" width="2.28515625" style="434" customWidth="1"/>
    <col min="13582" max="13583" width="7" style="434" customWidth="1"/>
    <col min="13584" max="13584" width="2.28515625" style="434" customWidth="1"/>
    <col min="13585" max="13585" width="7" style="434" customWidth="1"/>
    <col min="13586" max="13586" width="8" style="434" customWidth="1"/>
    <col min="13587" max="13587" width="2" style="434" customWidth="1"/>
    <col min="13588" max="13588" width="10" style="434" customWidth="1"/>
    <col min="13589" max="13589" width="8" style="434" customWidth="1"/>
    <col min="13590" max="13590" width="2.28515625" style="434" customWidth="1"/>
    <col min="13591" max="13591" width="6.85546875" style="434" customWidth="1"/>
    <col min="13592" max="13592" width="10.7109375" style="434" customWidth="1"/>
    <col min="13593" max="13593" width="2.28515625" style="434" customWidth="1"/>
    <col min="13594" max="13824" width="9.140625" style="434"/>
    <col min="13825" max="13825" width="21.140625" style="434" customWidth="1"/>
    <col min="13826" max="13826" width="10" style="434" customWidth="1"/>
    <col min="13827" max="13827" width="6.28515625" style="434" customWidth="1"/>
    <col min="13828" max="13828" width="2.28515625" style="434" customWidth="1"/>
    <col min="13829" max="13829" width="7.85546875" style="434" customWidth="1"/>
    <col min="13830" max="13830" width="7.42578125" style="434" customWidth="1"/>
    <col min="13831" max="13831" width="2.28515625" style="434" customWidth="1"/>
    <col min="13832" max="13832" width="9.7109375" style="434" customWidth="1"/>
    <col min="13833" max="13833" width="6.7109375" style="434" customWidth="1"/>
    <col min="13834" max="13834" width="2.28515625" style="434" customWidth="1"/>
    <col min="13835" max="13835" width="9.42578125" style="434" customWidth="1"/>
    <col min="13836" max="13836" width="6.7109375" style="434" customWidth="1"/>
    <col min="13837" max="13837" width="2.28515625" style="434" customWidth="1"/>
    <col min="13838" max="13839" width="7" style="434" customWidth="1"/>
    <col min="13840" max="13840" width="2.28515625" style="434" customWidth="1"/>
    <col min="13841" max="13841" width="7" style="434" customWidth="1"/>
    <col min="13842" max="13842" width="8" style="434" customWidth="1"/>
    <col min="13843" max="13843" width="2" style="434" customWidth="1"/>
    <col min="13844" max="13844" width="10" style="434" customWidth="1"/>
    <col min="13845" max="13845" width="8" style="434" customWidth="1"/>
    <col min="13846" max="13846" width="2.28515625" style="434" customWidth="1"/>
    <col min="13847" max="13847" width="6.85546875" style="434" customWidth="1"/>
    <col min="13848" max="13848" width="10.7109375" style="434" customWidth="1"/>
    <col min="13849" max="13849" width="2.28515625" style="434" customWidth="1"/>
    <col min="13850" max="14080" width="9.140625" style="434"/>
    <col min="14081" max="14081" width="21.140625" style="434" customWidth="1"/>
    <col min="14082" max="14082" width="10" style="434" customWidth="1"/>
    <col min="14083" max="14083" width="6.28515625" style="434" customWidth="1"/>
    <col min="14084" max="14084" width="2.28515625" style="434" customWidth="1"/>
    <col min="14085" max="14085" width="7.85546875" style="434" customWidth="1"/>
    <col min="14086" max="14086" width="7.42578125" style="434" customWidth="1"/>
    <col min="14087" max="14087" width="2.28515625" style="434" customWidth="1"/>
    <col min="14088" max="14088" width="9.7109375" style="434" customWidth="1"/>
    <col min="14089" max="14089" width="6.7109375" style="434" customWidth="1"/>
    <col min="14090" max="14090" width="2.28515625" style="434" customWidth="1"/>
    <col min="14091" max="14091" width="9.42578125" style="434" customWidth="1"/>
    <col min="14092" max="14092" width="6.7109375" style="434" customWidth="1"/>
    <col min="14093" max="14093" width="2.28515625" style="434" customWidth="1"/>
    <col min="14094" max="14095" width="7" style="434" customWidth="1"/>
    <col min="14096" max="14096" width="2.28515625" style="434" customWidth="1"/>
    <col min="14097" max="14097" width="7" style="434" customWidth="1"/>
    <col min="14098" max="14098" width="8" style="434" customWidth="1"/>
    <col min="14099" max="14099" width="2" style="434" customWidth="1"/>
    <col min="14100" max="14100" width="10" style="434" customWidth="1"/>
    <col min="14101" max="14101" width="8" style="434" customWidth="1"/>
    <col min="14102" max="14102" width="2.28515625" style="434" customWidth="1"/>
    <col min="14103" max="14103" width="6.85546875" style="434" customWidth="1"/>
    <col min="14104" max="14104" width="10.7109375" style="434" customWidth="1"/>
    <col min="14105" max="14105" width="2.28515625" style="434" customWidth="1"/>
    <col min="14106" max="14336" width="9.140625" style="434"/>
    <col min="14337" max="14337" width="21.140625" style="434" customWidth="1"/>
    <col min="14338" max="14338" width="10" style="434" customWidth="1"/>
    <col min="14339" max="14339" width="6.28515625" style="434" customWidth="1"/>
    <col min="14340" max="14340" width="2.28515625" style="434" customWidth="1"/>
    <col min="14341" max="14341" width="7.85546875" style="434" customWidth="1"/>
    <col min="14342" max="14342" width="7.42578125" style="434" customWidth="1"/>
    <col min="14343" max="14343" width="2.28515625" style="434" customWidth="1"/>
    <col min="14344" max="14344" width="9.7109375" style="434" customWidth="1"/>
    <col min="14345" max="14345" width="6.7109375" style="434" customWidth="1"/>
    <col min="14346" max="14346" width="2.28515625" style="434" customWidth="1"/>
    <col min="14347" max="14347" width="9.42578125" style="434" customWidth="1"/>
    <col min="14348" max="14348" width="6.7109375" style="434" customWidth="1"/>
    <col min="14349" max="14349" width="2.28515625" style="434" customWidth="1"/>
    <col min="14350" max="14351" width="7" style="434" customWidth="1"/>
    <col min="14352" max="14352" width="2.28515625" style="434" customWidth="1"/>
    <col min="14353" max="14353" width="7" style="434" customWidth="1"/>
    <col min="14354" max="14354" width="8" style="434" customWidth="1"/>
    <col min="14355" max="14355" width="2" style="434" customWidth="1"/>
    <col min="14356" max="14356" width="10" style="434" customWidth="1"/>
    <col min="14357" max="14357" width="8" style="434" customWidth="1"/>
    <col min="14358" max="14358" width="2.28515625" style="434" customWidth="1"/>
    <col min="14359" max="14359" width="6.85546875" style="434" customWidth="1"/>
    <col min="14360" max="14360" width="10.7109375" style="434" customWidth="1"/>
    <col min="14361" max="14361" width="2.28515625" style="434" customWidth="1"/>
    <col min="14362" max="14592" width="9.140625" style="434"/>
    <col min="14593" max="14593" width="21.140625" style="434" customWidth="1"/>
    <col min="14594" max="14594" width="10" style="434" customWidth="1"/>
    <col min="14595" max="14595" width="6.28515625" style="434" customWidth="1"/>
    <col min="14596" max="14596" width="2.28515625" style="434" customWidth="1"/>
    <col min="14597" max="14597" width="7.85546875" style="434" customWidth="1"/>
    <col min="14598" max="14598" width="7.42578125" style="434" customWidth="1"/>
    <col min="14599" max="14599" width="2.28515625" style="434" customWidth="1"/>
    <col min="14600" max="14600" width="9.7109375" style="434" customWidth="1"/>
    <col min="14601" max="14601" width="6.7109375" style="434" customWidth="1"/>
    <col min="14602" max="14602" width="2.28515625" style="434" customWidth="1"/>
    <col min="14603" max="14603" width="9.42578125" style="434" customWidth="1"/>
    <col min="14604" max="14604" width="6.7109375" style="434" customWidth="1"/>
    <col min="14605" max="14605" width="2.28515625" style="434" customWidth="1"/>
    <col min="14606" max="14607" width="7" style="434" customWidth="1"/>
    <col min="14608" max="14608" width="2.28515625" style="434" customWidth="1"/>
    <col min="14609" max="14609" width="7" style="434" customWidth="1"/>
    <col min="14610" max="14610" width="8" style="434" customWidth="1"/>
    <col min="14611" max="14611" width="2" style="434" customWidth="1"/>
    <col min="14612" max="14612" width="10" style="434" customWidth="1"/>
    <col min="14613" max="14613" width="8" style="434" customWidth="1"/>
    <col min="14614" max="14614" width="2.28515625" style="434" customWidth="1"/>
    <col min="14615" max="14615" width="6.85546875" style="434" customWidth="1"/>
    <col min="14616" max="14616" width="10.7109375" style="434" customWidth="1"/>
    <col min="14617" max="14617" width="2.28515625" style="434" customWidth="1"/>
    <col min="14618" max="14848" width="9.140625" style="434"/>
    <col min="14849" max="14849" width="21.140625" style="434" customWidth="1"/>
    <col min="14850" max="14850" width="10" style="434" customWidth="1"/>
    <col min="14851" max="14851" width="6.28515625" style="434" customWidth="1"/>
    <col min="14852" max="14852" width="2.28515625" style="434" customWidth="1"/>
    <col min="14853" max="14853" width="7.85546875" style="434" customWidth="1"/>
    <col min="14854" max="14854" width="7.42578125" style="434" customWidth="1"/>
    <col min="14855" max="14855" width="2.28515625" style="434" customWidth="1"/>
    <col min="14856" max="14856" width="9.7109375" style="434" customWidth="1"/>
    <col min="14857" max="14857" width="6.7109375" style="434" customWidth="1"/>
    <col min="14858" max="14858" width="2.28515625" style="434" customWidth="1"/>
    <col min="14859" max="14859" width="9.42578125" style="434" customWidth="1"/>
    <col min="14860" max="14860" width="6.7109375" style="434" customWidth="1"/>
    <col min="14861" max="14861" width="2.28515625" style="434" customWidth="1"/>
    <col min="14862" max="14863" width="7" style="434" customWidth="1"/>
    <col min="14864" max="14864" width="2.28515625" style="434" customWidth="1"/>
    <col min="14865" max="14865" width="7" style="434" customWidth="1"/>
    <col min="14866" max="14866" width="8" style="434" customWidth="1"/>
    <col min="14867" max="14867" width="2" style="434" customWidth="1"/>
    <col min="14868" max="14868" width="10" style="434" customWidth="1"/>
    <col min="14869" max="14869" width="8" style="434" customWidth="1"/>
    <col min="14870" max="14870" width="2.28515625" style="434" customWidth="1"/>
    <col min="14871" max="14871" width="6.85546875" style="434" customWidth="1"/>
    <col min="14872" max="14872" width="10.7109375" style="434" customWidth="1"/>
    <col min="14873" max="14873" width="2.28515625" style="434" customWidth="1"/>
    <col min="14874" max="15104" width="9.140625" style="434"/>
    <col min="15105" max="15105" width="21.140625" style="434" customWidth="1"/>
    <col min="15106" max="15106" width="10" style="434" customWidth="1"/>
    <col min="15107" max="15107" width="6.28515625" style="434" customWidth="1"/>
    <col min="15108" max="15108" width="2.28515625" style="434" customWidth="1"/>
    <col min="15109" max="15109" width="7.85546875" style="434" customWidth="1"/>
    <col min="15110" max="15110" width="7.42578125" style="434" customWidth="1"/>
    <col min="15111" max="15111" width="2.28515625" style="434" customWidth="1"/>
    <col min="15112" max="15112" width="9.7109375" style="434" customWidth="1"/>
    <col min="15113" max="15113" width="6.7109375" style="434" customWidth="1"/>
    <col min="15114" max="15114" width="2.28515625" style="434" customWidth="1"/>
    <col min="15115" max="15115" width="9.42578125" style="434" customWidth="1"/>
    <col min="15116" max="15116" width="6.7109375" style="434" customWidth="1"/>
    <col min="15117" max="15117" width="2.28515625" style="434" customWidth="1"/>
    <col min="15118" max="15119" width="7" style="434" customWidth="1"/>
    <col min="15120" max="15120" width="2.28515625" style="434" customWidth="1"/>
    <col min="15121" max="15121" width="7" style="434" customWidth="1"/>
    <col min="15122" max="15122" width="8" style="434" customWidth="1"/>
    <col min="15123" max="15123" width="2" style="434" customWidth="1"/>
    <col min="15124" max="15124" width="10" style="434" customWidth="1"/>
    <col min="15125" max="15125" width="8" style="434" customWidth="1"/>
    <col min="15126" max="15126" width="2.28515625" style="434" customWidth="1"/>
    <col min="15127" max="15127" width="6.85546875" style="434" customWidth="1"/>
    <col min="15128" max="15128" width="10.7109375" style="434" customWidth="1"/>
    <col min="15129" max="15129" width="2.28515625" style="434" customWidth="1"/>
    <col min="15130" max="15360" width="9.140625" style="434"/>
    <col min="15361" max="15361" width="21.140625" style="434" customWidth="1"/>
    <col min="15362" max="15362" width="10" style="434" customWidth="1"/>
    <col min="15363" max="15363" width="6.28515625" style="434" customWidth="1"/>
    <col min="15364" max="15364" width="2.28515625" style="434" customWidth="1"/>
    <col min="15365" max="15365" width="7.85546875" style="434" customWidth="1"/>
    <col min="15366" max="15366" width="7.42578125" style="434" customWidth="1"/>
    <col min="15367" max="15367" width="2.28515625" style="434" customWidth="1"/>
    <col min="15368" max="15368" width="9.7109375" style="434" customWidth="1"/>
    <col min="15369" max="15369" width="6.7109375" style="434" customWidth="1"/>
    <col min="15370" max="15370" width="2.28515625" style="434" customWidth="1"/>
    <col min="15371" max="15371" width="9.42578125" style="434" customWidth="1"/>
    <col min="15372" max="15372" width="6.7109375" style="434" customWidth="1"/>
    <col min="15373" max="15373" width="2.28515625" style="434" customWidth="1"/>
    <col min="15374" max="15375" width="7" style="434" customWidth="1"/>
    <col min="15376" max="15376" width="2.28515625" style="434" customWidth="1"/>
    <col min="15377" max="15377" width="7" style="434" customWidth="1"/>
    <col min="15378" max="15378" width="8" style="434" customWidth="1"/>
    <col min="15379" max="15379" width="2" style="434" customWidth="1"/>
    <col min="15380" max="15380" width="10" style="434" customWidth="1"/>
    <col min="15381" max="15381" width="8" style="434" customWidth="1"/>
    <col min="15382" max="15382" width="2.28515625" style="434" customWidth="1"/>
    <col min="15383" max="15383" width="6.85546875" style="434" customWidth="1"/>
    <col min="15384" max="15384" width="10.7109375" style="434" customWidth="1"/>
    <col min="15385" max="15385" width="2.28515625" style="434" customWidth="1"/>
    <col min="15386" max="15616" width="9.140625" style="434"/>
    <col min="15617" max="15617" width="21.140625" style="434" customWidth="1"/>
    <col min="15618" max="15618" width="10" style="434" customWidth="1"/>
    <col min="15619" max="15619" width="6.28515625" style="434" customWidth="1"/>
    <col min="15620" max="15620" width="2.28515625" style="434" customWidth="1"/>
    <col min="15621" max="15621" width="7.85546875" style="434" customWidth="1"/>
    <col min="15622" max="15622" width="7.42578125" style="434" customWidth="1"/>
    <col min="15623" max="15623" width="2.28515625" style="434" customWidth="1"/>
    <col min="15624" max="15624" width="9.7109375" style="434" customWidth="1"/>
    <col min="15625" max="15625" width="6.7109375" style="434" customWidth="1"/>
    <col min="15626" max="15626" width="2.28515625" style="434" customWidth="1"/>
    <col min="15627" max="15627" width="9.42578125" style="434" customWidth="1"/>
    <col min="15628" max="15628" width="6.7109375" style="434" customWidth="1"/>
    <col min="15629" max="15629" width="2.28515625" style="434" customWidth="1"/>
    <col min="15630" max="15631" width="7" style="434" customWidth="1"/>
    <col min="15632" max="15632" width="2.28515625" style="434" customWidth="1"/>
    <col min="15633" max="15633" width="7" style="434" customWidth="1"/>
    <col min="15634" max="15634" width="8" style="434" customWidth="1"/>
    <col min="15635" max="15635" width="2" style="434" customWidth="1"/>
    <col min="15636" max="15636" width="10" style="434" customWidth="1"/>
    <col min="15637" max="15637" width="8" style="434" customWidth="1"/>
    <col min="15638" max="15638" width="2.28515625" style="434" customWidth="1"/>
    <col min="15639" max="15639" width="6.85546875" style="434" customWidth="1"/>
    <col min="15640" max="15640" width="10.7109375" style="434" customWidth="1"/>
    <col min="15641" max="15641" width="2.28515625" style="434" customWidth="1"/>
    <col min="15642" max="15872" width="9.140625" style="434"/>
    <col min="15873" max="15873" width="21.140625" style="434" customWidth="1"/>
    <col min="15874" max="15874" width="10" style="434" customWidth="1"/>
    <col min="15875" max="15875" width="6.28515625" style="434" customWidth="1"/>
    <col min="15876" max="15876" width="2.28515625" style="434" customWidth="1"/>
    <col min="15877" max="15877" width="7.85546875" style="434" customWidth="1"/>
    <col min="15878" max="15878" width="7.42578125" style="434" customWidth="1"/>
    <col min="15879" max="15879" width="2.28515625" style="434" customWidth="1"/>
    <col min="15880" max="15880" width="9.7109375" style="434" customWidth="1"/>
    <col min="15881" max="15881" width="6.7109375" style="434" customWidth="1"/>
    <col min="15882" max="15882" width="2.28515625" style="434" customWidth="1"/>
    <col min="15883" max="15883" width="9.42578125" style="434" customWidth="1"/>
    <col min="15884" max="15884" width="6.7109375" style="434" customWidth="1"/>
    <col min="15885" max="15885" width="2.28515625" style="434" customWidth="1"/>
    <col min="15886" max="15887" width="7" style="434" customWidth="1"/>
    <col min="15888" max="15888" width="2.28515625" style="434" customWidth="1"/>
    <col min="15889" max="15889" width="7" style="434" customWidth="1"/>
    <col min="15890" max="15890" width="8" style="434" customWidth="1"/>
    <col min="15891" max="15891" width="2" style="434" customWidth="1"/>
    <col min="15892" max="15892" width="10" style="434" customWidth="1"/>
    <col min="15893" max="15893" width="8" style="434" customWidth="1"/>
    <col min="15894" max="15894" width="2.28515625" style="434" customWidth="1"/>
    <col min="15895" max="15895" width="6.85546875" style="434" customWidth="1"/>
    <col min="15896" max="15896" width="10.7109375" style="434" customWidth="1"/>
    <col min="15897" max="15897" width="2.28515625" style="434" customWidth="1"/>
    <col min="15898" max="16128" width="9.140625" style="434"/>
    <col min="16129" max="16129" width="21.140625" style="434" customWidth="1"/>
    <col min="16130" max="16130" width="10" style="434" customWidth="1"/>
    <col min="16131" max="16131" width="6.28515625" style="434" customWidth="1"/>
    <col min="16132" max="16132" width="2.28515625" style="434" customWidth="1"/>
    <col min="16133" max="16133" width="7.85546875" style="434" customWidth="1"/>
    <col min="16134" max="16134" width="7.42578125" style="434" customWidth="1"/>
    <col min="16135" max="16135" width="2.28515625" style="434" customWidth="1"/>
    <col min="16136" max="16136" width="9.7109375" style="434" customWidth="1"/>
    <col min="16137" max="16137" width="6.7109375" style="434" customWidth="1"/>
    <col min="16138" max="16138" width="2.28515625" style="434" customWidth="1"/>
    <col min="16139" max="16139" width="9.42578125" style="434" customWidth="1"/>
    <col min="16140" max="16140" width="6.7109375" style="434" customWidth="1"/>
    <col min="16141" max="16141" width="2.28515625" style="434" customWidth="1"/>
    <col min="16142" max="16143" width="7" style="434" customWidth="1"/>
    <col min="16144" max="16144" width="2.28515625" style="434" customWidth="1"/>
    <col min="16145" max="16145" width="7" style="434" customWidth="1"/>
    <col min="16146" max="16146" width="8" style="434" customWidth="1"/>
    <col min="16147" max="16147" width="2" style="434" customWidth="1"/>
    <col min="16148" max="16148" width="10" style="434" customWidth="1"/>
    <col min="16149" max="16149" width="8" style="434" customWidth="1"/>
    <col min="16150" max="16150" width="2.28515625" style="434" customWidth="1"/>
    <col min="16151" max="16151" width="6.85546875" style="434" customWidth="1"/>
    <col min="16152" max="16152" width="10.7109375" style="434" customWidth="1"/>
    <col min="16153" max="16153" width="2.28515625" style="434" customWidth="1"/>
    <col min="16154" max="16384" width="9.140625" style="434"/>
  </cols>
  <sheetData>
    <row r="1" spans="1:25" s="42" customFormat="1">
      <c r="A1" s="42" t="s">
        <v>755</v>
      </c>
    </row>
    <row r="2" spans="1:25" s="42" customFormat="1">
      <c r="A2" s="42" t="s">
        <v>756</v>
      </c>
    </row>
    <row r="3" spans="1:25" s="42" customFormat="1"/>
    <row r="4" spans="1:25" s="42" customFormat="1">
      <c r="A4" s="42" t="s">
        <v>1430</v>
      </c>
    </row>
    <row r="5" spans="1:25" s="42" customFormat="1" ht="13.5" thickBot="1"/>
    <row r="6" spans="1:25" s="42" customFormat="1" ht="12.75" customHeight="1">
      <c r="A6" s="237"/>
      <c r="B6" s="237"/>
      <c r="C6" s="237"/>
      <c r="D6" s="237"/>
      <c r="E6" s="237"/>
      <c r="F6" s="237"/>
      <c r="G6" s="237"/>
      <c r="H6" s="237"/>
      <c r="I6" s="237"/>
      <c r="J6" s="237"/>
      <c r="K6" s="237"/>
      <c r="L6" s="237"/>
      <c r="M6" s="237"/>
      <c r="N6" s="237"/>
      <c r="O6" s="237"/>
      <c r="P6" s="237"/>
      <c r="Q6" s="237"/>
      <c r="R6" s="237"/>
      <c r="S6" s="237"/>
      <c r="T6" s="237"/>
      <c r="U6" s="237"/>
      <c r="V6" s="237"/>
      <c r="W6" s="237"/>
      <c r="X6" s="237"/>
      <c r="Y6" s="237"/>
    </row>
    <row r="7" spans="1:25" s="42" customFormat="1" ht="12.75" customHeight="1">
      <c r="A7" s="95"/>
      <c r="B7" s="95"/>
      <c r="C7" s="95"/>
      <c r="D7" s="95"/>
      <c r="E7" s="95"/>
      <c r="F7" s="95"/>
      <c r="G7" s="95"/>
      <c r="H7" s="95"/>
      <c r="I7" s="95"/>
      <c r="J7" s="95"/>
      <c r="W7" s="1305" t="s">
        <v>1431</v>
      </c>
      <c r="X7" s="1305"/>
    </row>
    <row r="8" spans="1:25" s="42" customFormat="1" ht="14.25">
      <c r="A8" s="469" t="s">
        <v>1415</v>
      </c>
      <c r="B8" s="1305" t="s">
        <v>1416</v>
      </c>
      <c r="C8" s="1305"/>
      <c r="D8" s="846"/>
      <c r="E8" s="1305" t="s">
        <v>1432</v>
      </c>
      <c r="F8" s="1305"/>
      <c r="G8" s="846"/>
      <c r="H8" s="1305" t="s">
        <v>1433</v>
      </c>
      <c r="I8" s="1305"/>
      <c r="J8" s="846"/>
      <c r="K8" s="1305" t="s">
        <v>1434</v>
      </c>
      <c r="L8" s="1305"/>
      <c r="N8" s="1305" t="s">
        <v>1435</v>
      </c>
      <c r="O8" s="1305"/>
      <c r="Q8" s="1305" t="s">
        <v>1436</v>
      </c>
      <c r="R8" s="1305"/>
      <c r="T8" s="1305" t="s">
        <v>1437</v>
      </c>
      <c r="U8" s="1305"/>
      <c r="W8" s="1306" t="s">
        <v>1438</v>
      </c>
      <c r="X8" s="1306"/>
    </row>
    <row r="9" spans="1:25" s="42" customFormat="1">
      <c r="A9" s="846" t="s">
        <v>1420</v>
      </c>
      <c r="B9" s="272" t="s">
        <v>9</v>
      </c>
      <c r="C9" s="272" t="s">
        <v>10</v>
      </c>
      <c r="D9" s="846"/>
      <c r="E9" s="272" t="s">
        <v>9</v>
      </c>
      <c r="F9" s="272" t="s">
        <v>10</v>
      </c>
      <c r="G9" s="846"/>
      <c r="H9" s="272" t="s">
        <v>9</v>
      </c>
      <c r="I9" s="272" t="s">
        <v>10</v>
      </c>
      <c r="J9" s="846"/>
      <c r="K9" s="272" t="s">
        <v>9</v>
      </c>
      <c r="L9" s="272" t="s">
        <v>10</v>
      </c>
      <c r="N9" s="272" t="s">
        <v>9</v>
      </c>
      <c r="O9" s="272" t="s">
        <v>10</v>
      </c>
      <c r="Q9" s="272" t="s">
        <v>9</v>
      </c>
      <c r="R9" s="272" t="s">
        <v>10</v>
      </c>
      <c r="T9" s="272" t="s">
        <v>9</v>
      </c>
      <c r="U9" s="272" t="s">
        <v>10</v>
      </c>
      <c r="W9" s="272" t="s">
        <v>9</v>
      </c>
      <c r="X9" s="272" t="s">
        <v>10</v>
      </c>
    </row>
    <row r="10" spans="1:25" s="42" customFormat="1" ht="13.5" thickBot="1">
      <c r="A10" s="249"/>
      <c r="B10" s="249"/>
      <c r="C10" s="249"/>
      <c r="D10" s="249"/>
      <c r="E10" s="249"/>
      <c r="F10" s="249"/>
      <c r="G10" s="249"/>
      <c r="H10" s="249"/>
      <c r="I10" s="249"/>
      <c r="J10" s="249"/>
    </row>
    <row r="11" spans="1:25" s="42" customFormat="1">
      <c r="K11" s="237"/>
      <c r="L11" s="237"/>
      <c r="M11" s="237"/>
      <c r="N11" s="237"/>
      <c r="O11" s="237"/>
      <c r="P11" s="237"/>
      <c r="Q11" s="237"/>
      <c r="R11" s="237"/>
      <c r="S11" s="237"/>
      <c r="T11" s="237"/>
      <c r="U11" s="237"/>
      <c r="V11" s="237"/>
      <c r="W11" s="237"/>
      <c r="X11" s="237"/>
      <c r="Y11" s="237"/>
    </row>
    <row r="12" spans="1:25" s="42" customFormat="1">
      <c r="A12" s="63" t="s">
        <v>5</v>
      </c>
      <c r="B12" s="474">
        <f>SUM(B14:B24)</f>
        <v>3454455</v>
      </c>
      <c r="C12" s="94">
        <f>SUM(C14:C24)</f>
        <v>100</v>
      </c>
      <c r="E12" s="93">
        <f>SUM(E14:E24)</f>
        <v>160054</v>
      </c>
      <c r="F12" s="94">
        <f>SUM(F14:F24)</f>
        <v>99.999999999999986</v>
      </c>
      <c r="H12" s="474">
        <f>SUM(H14:H24)</f>
        <v>143280</v>
      </c>
      <c r="I12" s="94">
        <f>SUM(I14:I24)</f>
        <v>100</v>
      </c>
      <c r="K12" s="474">
        <f>SUM(K14:K24)</f>
        <v>2827329</v>
      </c>
      <c r="L12" s="94">
        <f>SUM(L14:L24)</f>
        <v>100</v>
      </c>
      <c r="N12" s="93">
        <f>SUM(N14:N24)</f>
        <v>97032</v>
      </c>
      <c r="O12" s="94">
        <f>SUM(O14:O24)</f>
        <v>100</v>
      </c>
      <c r="Q12" s="93">
        <f>SUM(Q14:Q24)</f>
        <v>37315</v>
      </c>
      <c r="R12" s="94">
        <f>SUM(R14:R24)</f>
        <v>100</v>
      </c>
      <c r="T12" s="474">
        <f>SUM(T14:T24)</f>
        <v>5422007</v>
      </c>
      <c r="U12" s="94">
        <f>SUM(U14:U24)</f>
        <v>100</v>
      </c>
      <c r="W12" s="93">
        <f>SUM(W14:W24)</f>
        <v>2300</v>
      </c>
      <c r="X12" s="94">
        <f>SUM(X14:X24)</f>
        <v>100</v>
      </c>
    </row>
    <row r="13" spans="1:25" s="42" customFormat="1">
      <c r="B13" s="474"/>
      <c r="C13" s="94"/>
      <c r="E13" s="93"/>
      <c r="H13" s="474"/>
      <c r="K13" s="474"/>
      <c r="N13" s="93"/>
      <c r="T13" s="474"/>
      <c r="W13" s="93"/>
    </row>
    <row r="14" spans="1:25" s="42" customFormat="1">
      <c r="A14" s="42" t="s">
        <v>1421</v>
      </c>
      <c r="B14" s="474">
        <f>2252804+1200000</f>
        <v>3452804</v>
      </c>
      <c r="C14" s="94">
        <f>IF($A14&lt;&gt;"",B14/B$12*100,"")</f>
        <v>99.95220664330553</v>
      </c>
      <c r="E14" s="1192">
        <f>97+159935</f>
        <v>160032</v>
      </c>
      <c r="F14" s="94">
        <f t="shared" ref="F14:F24" si="0">IF($A14&lt;&gt;"",E14/E$12*100,"")</f>
        <v>99.986254639059311</v>
      </c>
      <c r="H14" s="1193">
        <f>0+106200+20000+2166+7750+7000+6+69</f>
        <v>143191</v>
      </c>
      <c r="I14" s="94">
        <f t="shared" ref="I14:I24" si="1">IF($A14&lt;&gt;"",H14/H$12*100,"")</f>
        <v>99.937883863763261</v>
      </c>
      <c r="K14" s="1194">
        <v>2827329</v>
      </c>
      <c r="L14" s="94">
        <f t="shared" ref="L14:L24" si="2">IF($A14&lt;&gt;"",K14/K$12*100,"")</f>
        <v>100</v>
      </c>
      <c r="N14" s="1195">
        <v>97032</v>
      </c>
      <c r="O14" s="94">
        <f t="shared" ref="O14:O24" si="3">IF($A14&lt;&gt;"",N14/N$12*100,"")</f>
        <v>100</v>
      </c>
      <c r="Q14" s="1195">
        <v>37315</v>
      </c>
      <c r="R14" s="94">
        <f>IF($A14&lt;&gt;"",Q14/Q$12*100,"")</f>
        <v>100</v>
      </c>
      <c r="T14" s="581">
        <v>5422007</v>
      </c>
      <c r="U14" s="94">
        <f t="shared" ref="U14:U24" si="4">IF($A14&lt;&gt;"",T14/T$12*100,"")</f>
        <v>100</v>
      </c>
      <c r="W14" s="1195">
        <v>2300</v>
      </c>
      <c r="X14" s="94">
        <f t="shared" ref="X14:X24" si="5">IF($A14&lt;&gt;"",W14/W$12*100,"")</f>
        <v>100</v>
      </c>
    </row>
    <row r="15" spans="1:25" s="42" customFormat="1">
      <c r="B15" s="474"/>
      <c r="C15" s="94" t="str">
        <f t="shared" ref="C15:C24" si="6">IF($A15&lt;&gt;"",B15/B$12*100,"")</f>
        <v/>
      </c>
      <c r="E15" s="1192"/>
      <c r="F15" s="94" t="str">
        <f t="shared" si="0"/>
        <v/>
      </c>
      <c r="H15" s="1196"/>
      <c r="I15" s="94" t="str">
        <f t="shared" si="1"/>
        <v/>
      </c>
      <c r="K15" s="838"/>
      <c r="L15" s="94" t="str">
        <f t="shared" si="2"/>
        <v/>
      </c>
      <c r="N15" s="1195"/>
      <c r="O15" s="94" t="str">
        <f t="shared" si="3"/>
        <v/>
      </c>
      <c r="Q15" s="1195"/>
      <c r="R15" s="94" t="str">
        <f t="shared" ref="R15:R24" si="7">IF($A15&lt;&gt;"",Q15/Q$12*100,"")</f>
        <v/>
      </c>
      <c r="T15" s="583"/>
      <c r="U15" s="94" t="str">
        <f t="shared" si="4"/>
        <v/>
      </c>
      <c r="W15" s="1195"/>
      <c r="X15" s="94" t="str">
        <f t="shared" si="5"/>
        <v/>
      </c>
    </row>
    <row r="16" spans="1:25" s="42" customFormat="1">
      <c r="A16" s="42" t="s">
        <v>1422</v>
      </c>
      <c r="B16" s="474">
        <v>4</v>
      </c>
      <c r="C16" s="94">
        <f t="shared" si="6"/>
        <v>1.1579250561955505E-4</v>
      </c>
      <c r="E16" s="1192">
        <v>12</v>
      </c>
      <c r="F16" s="94">
        <f t="shared" si="0"/>
        <v>7.4974696040086466E-3</v>
      </c>
      <c r="H16" s="838">
        <v>0</v>
      </c>
      <c r="I16" s="94">
        <f t="shared" si="1"/>
        <v>0</v>
      </c>
      <c r="K16" s="1194">
        <v>0</v>
      </c>
      <c r="L16" s="94">
        <f t="shared" si="2"/>
        <v>0</v>
      </c>
      <c r="N16" s="1195">
        <v>0</v>
      </c>
      <c r="O16" s="94">
        <f t="shared" si="3"/>
        <v>0</v>
      </c>
      <c r="Q16" s="1195">
        <v>0</v>
      </c>
      <c r="R16" s="94">
        <f t="shared" si="7"/>
        <v>0</v>
      </c>
      <c r="T16" s="583">
        <v>0</v>
      </c>
      <c r="U16" s="94">
        <f t="shared" si="4"/>
        <v>0</v>
      </c>
      <c r="W16" s="1195">
        <v>0</v>
      </c>
      <c r="X16" s="94">
        <f t="shared" si="5"/>
        <v>0</v>
      </c>
    </row>
    <row r="17" spans="1:25" s="42" customFormat="1">
      <c r="B17" s="474"/>
      <c r="C17" s="94" t="str">
        <f t="shared" si="6"/>
        <v/>
      </c>
      <c r="E17" s="1192"/>
      <c r="F17" s="94" t="str">
        <f t="shared" si="0"/>
        <v/>
      </c>
      <c r="H17" s="838"/>
      <c r="I17" s="94" t="str">
        <f t="shared" si="1"/>
        <v/>
      </c>
      <c r="K17" s="1194"/>
      <c r="L17" s="94" t="str">
        <f t="shared" si="2"/>
        <v/>
      </c>
      <c r="N17" s="1195"/>
      <c r="O17" s="94" t="str">
        <f t="shared" si="3"/>
        <v/>
      </c>
      <c r="Q17" s="1195"/>
      <c r="R17" s="94" t="str">
        <f t="shared" si="7"/>
        <v/>
      </c>
      <c r="T17" s="584"/>
      <c r="U17" s="94" t="str">
        <f t="shared" si="4"/>
        <v/>
      </c>
      <c r="W17" s="1195"/>
      <c r="X17" s="94" t="str">
        <f t="shared" si="5"/>
        <v/>
      </c>
    </row>
    <row r="18" spans="1:25" s="42" customFormat="1">
      <c r="A18" s="42" t="s">
        <v>1423</v>
      </c>
      <c r="B18" s="474">
        <v>94</v>
      </c>
      <c r="C18" s="94">
        <f t="shared" si="6"/>
        <v>2.7211238820595437E-3</v>
      </c>
      <c r="E18" s="1192">
        <v>5</v>
      </c>
      <c r="F18" s="94">
        <f t="shared" si="0"/>
        <v>3.1239456683369361E-3</v>
      </c>
      <c r="H18" s="1197">
        <v>51</v>
      </c>
      <c r="I18" s="94">
        <f t="shared" si="1"/>
        <v>3.5594639865996654E-2</v>
      </c>
      <c r="K18" s="1194">
        <v>0</v>
      </c>
      <c r="L18" s="94">
        <f t="shared" si="2"/>
        <v>0</v>
      </c>
      <c r="N18" s="1195">
        <v>0</v>
      </c>
      <c r="O18" s="94">
        <f t="shared" si="3"/>
        <v>0</v>
      </c>
      <c r="Q18" s="1195">
        <v>0</v>
      </c>
      <c r="R18" s="94">
        <f t="shared" si="7"/>
        <v>0</v>
      </c>
      <c r="T18" s="585">
        <v>0</v>
      </c>
      <c r="U18" s="94">
        <f t="shared" si="4"/>
        <v>0</v>
      </c>
      <c r="W18" s="1195">
        <v>0</v>
      </c>
      <c r="X18" s="94">
        <f t="shared" si="5"/>
        <v>0</v>
      </c>
    </row>
    <row r="19" spans="1:25" s="42" customFormat="1">
      <c r="B19" s="474"/>
      <c r="C19" s="94" t="str">
        <f t="shared" si="6"/>
        <v/>
      </c>
      <c r="E19" s="1192"/>
      <c r="F19" s="94" t="str">
        <f t="shared" si="0"/>
        <v/>
      </c>
      <c r="H19" s="838"/>
      <c r="I19" s="94" t="str">
        <f t="shared" si="1"/>
        <v/>
      </c>
      <c r="K19" s="1194"/>
      <c r="L19" s="94" t="str">
        <f t="shared" si="2"/>
        <v/>
      </c>
      <c r="N19" s="1195"/>
      <c r="O19" s="94" t="str">
        <f t="shared" si="3"/>
        <v/>
      </c>
      <c r="Q19" s="1195"/>
      <c r="R19" s="94" t="str">
        <f t="shared" si="7"/>
        <v/>
      </c>
      <c r="T19" s="584"/>
      <c r="U19" s="94" t="str">
        <f t="shared" si="4"/>
        <v/>
      </c>
      <c r="W19" s="1195"/>
      <c r="X19" s="94" t="str">
        <f t="shared" si="5"/>
        <v/>
      </c>
    </row>
    <row r="20" spans="1:25" s="42" customFormat="1">
      <c r="A20" s="42" t="s">
        <v>1424</v>
      </c>
      <c r="B20" s="474">
        <f>0+1553</f>
        <v>1553</v>
      </c>
      <c r="C20" s="94">
        <f t="shared" si="6"/>
        <v>4.4956440306792245E-2</v>
      </c>
      <c r="E20" s="1192">
        <v>0</v>
      </c>
      <c r="F20" s="94">
        <f t="shared" si="0"/>
        <v>0</v>
      </c>
      <c r="H20" s="1197">
        <v>1</v>
      </c>
      <c r="I20" s="94">
        <f t="shared" si="1"/>
        <v>6.9793411501954217E-4</v>
      </c>
      <c r="K20" s="1194">
        <v>0</v>
      </c>
      <c r="L20" s="94">
        <f t="shared" si="2"/>
        <v>0</v>
      </c>
      <c r="N20" s="1195">
        <v>0</v>
      </c>
      <c r="O20" s="94">
        <f t="shared" si="3"/>
        <v>0</v>
      </c>
      <c r="Q20" s="1195">
        <v>0</v>
      </c>
      <c r="R20" s="94">
        <f t="shared" si="7"/>
        <v>0</v>
      </c>
      <c r="T20" s="584">
        <v>0</v>
      </c>
      <c r="U20" s="94">
        <f t="shared" si="4"/>
        <v>0</v>
      </c>
      <c r="W20" s="1195">
        <v>0</v>
      </c>
      <c r="X20" s="94">
        <f t="shared" si="5"/>
        <v>0</v>
      </c>
    </row>
    <row r="21" spans="1:25" s="42" customFormat="1">
      <c r="B21" s="1198"/>
      <c r="C21" s="94"/>
      <c r="E21" s="1192"/>
      <c r="F21" s="94"/>
      <c r="H21" s="1192"/>
      <c r="I21" s="94"/>
      <c r="K21" s="1194"/>
      <c r="L21" s="94" t="str">
        <f t="shared" si="2"/>
        <v/>
      </c>
      <c r="N21" s="1195"/>
      <c r="O21" s="94" t="str">
        <f t="shared" si="3"/>
        <v/>
      </c>
      <c r="Q21" s="1195"/>
      <c r="R21" s="94" t="str">
        <f t="shared" si="7"/>
        <v/>
      </c>
      <c r="T21" s="584"/>
      <c r="U21" s="94" t="str">
        <f t="shared" si="4"/>
        <v/>
      </c>
      <c r="W21" s="1195"/>
      <c r="X21" s="94" t="str">
        <f t="shared" si="5"/>
        <v/>
      </c>
    </row>
    <row r="22" spans="1:25" s="42" customFormat="1">
      <c r="A22" s="42" t="s">
        <v>1425</v>
      </c>
      <c r="B22" s="598">
        <v>0</v>
      </c>
      <c r="C22" s="94">
        <f t="shared" si="6"/>
        <v>0</v>
      </c>
      <c r="E22" s="1192">
        <v>5</v>
      </c>
      <c r="F22" s="94">
        <f t="shared" si="0"/>
        <v>3.1239456683369361E-3</v>
      </c>
      <c r="H22" s="1197">
        <v>30</v>
      </c>
      <c r="I22" s="94">
        <f t="shared" si="1"/>
        <v>2.0938023450586266E-2</v>
      </c>
      <c r="K22" s="1194">
        <v>0</v>
      </c>
      <c r="L22" s="94">
        <f t="shared" si="2"/>
        <v>0</v>
      </c>
      <c r="N22" s="1195">
        <v>0</v>
      </c>
      <c r="O22" s="94">
        <f t="shared" si="3"/>
        <v>0</v>
      </c>
      <c r="Q22" s="1195">
        <v>0</v>
      </c>
      <c r="R22" s="94">
        <f t="shared" si="7"/>
        <v>0</v>
      </c>
      <c r="T22" s="584">
        <v>0</v>
      </c>
      <c r="U22" s="94">
        <f t="shared" si="4"/>
        <v>0</v>
      </c>
      <c r="W22" s="1195">
        <v>0</v>
      </c>
      <c r="X22" s="94">
        <f t="shared" si="5"/>
        <v>0</v>
      </c>
    </row>
    <row r="23" spans="1:25" s="42" customFormat="1">
      <c r="B23" s="598"/>
      <c r="C23" s="94" t="str">
        <f t="shared" si="6"/>
        <v/>
      </c>
      <c r="E23" s="1192"/>
      <c r="F23" s="94" t="str">
        <f t="shared" si="0"/>
        <v/>
      </c>
      <c r="H23" s="1192"/>
      <c r="I23" s="94" t="str">
        <f t="shared" si="1"/>
        <v/>
      </c>
      <c r="K23" s="1194"/>
      <c r="L23" s="94" t="str">
        <f t="shared" si="2"/>
        <v/>
      </c>
      <c r="N23" s="1195"/>
      <c r="O23" s="94" t="str">
        <f t="shared" si="3"/>
        <v/>
      </c>
      <c r="Q23" s="1195"/>
      <c r="R23" s="94" t="str">
        <f t="shared" si="7"/>
        <v/>
      </c>
      <c r="T23" s="584"/>
      <c r="U23" s="94" t="str">
        <f t="shared" si="4"/>
        <v/>
      </c>
      <c r="W23" s="1195"/>
      <c r="X23" s="94" t="str">
        <f t="shared" si="5"/>
        <v/>
      </c>
    </row>
    <row r="24" spans="1:25" s="42" customFormat="1">
      <c r="A24" s="42" t="s">
        <v>1426</v>
      </c>
      <c r="B24" s="598">
        <v>0</v>
      </c>
      <c r="C24" s="94">
        <f t="shared" si="6"/>
        <v>0</v>
      </c>
      <c r="E24" s="1192">
        <v>0</v>
      </c>
      <c r="F24" s="94">
        <f t="shared" si="0"/>
        <v>0</v>
      </c>
      <c r="H24" s="1197">
        <v>7</v>
      </c>
      <c r="I24" s="94">
        <f t="shared" si="1"/>
        <v>4.8855388051367949E-3</v>
      </c>
      <c r="K24" s="1194">
        <v>0</v>
      </c>
      <c r="L24" s="94">
        <f t="shared" si="2"/>
        <v>0</v>
      </c>
      <c r="N24" s="1195">
        <v>0</v>
      </c>
      <c r="O24" s="94">
        <f t="shared" si="3"/>
        <v>0</v>
      </c>
      <c r="Q24" s="1195">
        <v>0</v>
      </c>
      <c r="R24" s="94">
        <f t="shared" si="7"/>
        <v>0</v>
      </c>
      <c r="T24" s="584">
        <v>0</v>
      </c>
      <c r="U24" s="94">
        <f t="shared" si="4"/>
        <v>0</v>
      </c>
      <c r="W24" s="1195">
        <v>0</v>
      </c>
      <c r="X24" s="94">
        <f t="shared" si="5"/>
        <v>0</v>
      </c>
    </row>
    <row r="25" spans="1:25" s="42" customFormat="1" ht="13.5" thickBot="1">
      <c r="A25" s="249"/>
      <c r="B25" s="249"/>
      <c r="C25" s="249"/>
      <c r="D25" s="249"/>
      <c r="E25" s="249"/>
      <c r="F25" s="249"/>
      <c r="G25" s="249"/>
      <c r="H25" s="249"/>
      <c r="I25" s="249"/>
      <c r="J25" s="249"/>
    </row>
    <row r="26" spans="1:25" s="42" customFormat="1">
      <c r="A26" s="95"/>
      <c r="K26" s="237"/>
      <c r="L26" s="237"/>
      <c r="M26" s="237"/>
      <c r="N26" s="237"/>
      <c r="O26" s="237"/>
      <c r="P26" s="237"/>
      <c r="Q26" s="237"/>
      <c r="R26" s="237"/>
      <c r="S26" s="237"/>
      <c r="T26" s="237"/>
      <c r="U26" s="237"/>
      <c r="V26" s="237"/>
      <c r="W26" s="237"/>
      <c r="X26" s="237"/>
      <c r="Y26" s="237"/>
    </row>
    <row r="27" spans="1:25" s="42" customFormat="1" ht="14.25">
      <c r="A27" s="22" t="s">
        <v>2289</v>
      </c>
      <c r="B27" s="4"/>
      <c r="C27" s="4"/>
      <c r="D27" s="4"/>
      <c r="E27" s="4"/>
      <c r="F27" s="4"/>
      <c r="G27" s="4"/>
      <c r="H27" s="4"/>
      <c r="I27" s="4"/>
      <c r="J27" s="4"/>
    </row>
    <row r="28" spans="1:25" s="42" customFormat="1" ht="14.25">
      <c r="A28" s="256" t="s">
        <v>1439</v>
      </c>
    </row>
    <row r="29" spans="1:25" s="42" customFormat="1" ht="14.25">
      <c r="A29" s="256" t="s">
        <v>1440</v>
      </c>
    </row>
    <row r="30" spans="1:25" s="42" customFormat="1">
      <c r="A30" s="42" t="s">
        <v>2207</v>
      </c>
      <c r="T30" s="581"/>
    </row>
    <row r="31" spans="1:25" s="42" customFormat="1" ht="14.25">
      <c r="A31" s="4" t="s">
        <v>1441</v>
      </c>
      <c r="T31" s="1195"/>
    </row>
    <row r="32" spans="1:25" s="42" customFormat="1"/>
    <row r="33" spans="1:17" s="42" customFormat="1">
      <c r="A33" s="42" t="s">
        <v>1429</v>
      </c>
    </row>
    <row r="34" spans="1:17" s="42" customFormat="1">
      <c r="A34" s="42" t="s">
        <v>683</v>
      </c>
    </row>
    <row r="35" spans="1:17" s="42" customFormat="1"/>
    <row r="36" spans="1:17">
      <c r="A36" s="809"/>
    </row>
    <row r="37" spans="1:17">
      <c r="A37" s="1254"/>
      <c r="B37" s="1199"/>
      <c r="C37" s="1199"/>
      <c r="D37" s="1199"/>
      <c r="E37" s="1199"/>
      <c r="F37" s="1199"/>
      <c r="G37" s="1199"/>
      <c r="H37" s="1199"/>
      <c r="I37" s="1199"/>
      <c r="J37" s="1199"/>
      <c r="K37" s="1199"/>
      <c r="L37" s="1199"/>
      <c r="M37" s="1199"/>
      <c r="N37" s="1199"/>
      <c r="O37" s="1199"/>
      <c r="P37" s="1199"/>
      <c r="Q37" s="1199"/>
    </row>
    <row r="38" spans="1:17">
      <c r="A38" s="182"/>
    </row>
    <row r="40" spans="1:17">
      <c r="A40" s="182"/>
    </row>
  </sheetData>
  <mergeCells count="9">
    <mergeCell ref="W7:X7"/>
    <mergeCell ref="B8:C8"/>
    <mergeCell ref="E8:F8"/>
    <mergeCell ref="H8:I8"/>
    <mergeCell ref="K8:L8"/>
    <mergeCell ref="N8:O8"/>
    <mergeCell ref="Q8:R8"/>
    <mergeCell ref="T8:U8"/>
    <mergeCell ref="W8:X8"/>
  </mergeCells>
  <printOptions horizontalCentered="1" verticalCentered="1"/>
  <pageMargins left="0" right="0" top="0" bottom="0" header="0.31496062992125984" footer="0.31496062992125984"/>
  <pageSetup paperSize="9" scale="80" orientation="landscape" r:id="rId1"/>
  <drawing r:id="rId2"/>
</worksheet>
</file>

<file path=xl/worksheets/sheet79.xml><?xml version="1.0" encoding="utf-8"?>
<worksheet xmlns="http://schemas.openxmlformats.org/spreadsheetml/2006/main" xmlns:r="http://schemas.openxmlformats.org/officeDocument/2006/relationships">
  <dimension ref="A1:J52"/>
  <sheetViews>
    <sheetView topLeftCell="A22" workbookViewId="0">
      <selection activeCell="A48" sqref="A48:I48"/>
    </sheetView>
  </sheetViews>
  <sheetFormatPr baseColWidth="10" defaultColWidth="9.140625" defaultRowHeight="15"/>
  <cols>
    <col min="1" max="1" width="31.5703125" customWidth="1"/>
    <col min="2" max="2" width="9.7109375" style="41" customWidth="1"/>
    <col min="3" max="3" width="9.7109375" customWidth="1"/>
    <col min="4" max="4" width="2.7109375" customWidth="1"/>
    <col min="5" max="5" width="9.7109375" style="41" customWidth="1"/>
    <col min="6" max="6" width="9.7109375" customWidth="1"/>
    <col min="7" max="7" width="2.7109375" customWidth="1"/>
    <col min="8" max="8" width="9.7109375" style="41" customWidth="1"/>
    <col min="9" max="9" width="9.7109375" customWidth="1"/>
    <col min="10" max="10" width="2.5703125" customWidth="1"/>
    <col min="257" max="257" width="31.5703125" customWidth="1"/>
    <col min="258" max="259" width="9.7109375" customWidth="1"/>
    <col min="260" max="260" width="2.7109375" customWidth="1"/>
    <col min="261" max="262" width="9.7109375" customWidth="1"/>
    <col min="263" max="263" width="2.7109375" customWidth="1"/>
    <col min="264" max="265" width="9.7109375" customWidth="1"/>
    <col min="266" max="266" width="2.5703125" customWidth="1"/>
    <col min="513" max="513" width="31.5703125" customWidth="1"/>
    <col min="514" max="515" width="9.7109375" customWidth="1"/>
    <col min="516" max="516" width="2.7109375" customWidth="1"/>
    <col min="517" max="518" width="9.7109375" customWidth="1"/>
    <col min="519" max="519" width="2.7109375" customWidth="1"/>
    <col min="520" max="521" width="9.7109375" customWidth="1"/>
    <col min="522" max="522" width="2.5703125" customWidth="1"/>
    <col min="769" max="769" width="31.5703125" customWidth="1"/>
    <col min="770" max="771" width="9.7109375" customWidth="1"/>
    <col min="772" max="772" width="2.7109375" customWidth="1"/>
    <col min="773" max="774" width="9.7109375" customWidth="1"/>
    <col min="775" max="775" width="2.7109375" customWidth="1"/>
    <col min="776" max="777" width="9.7109375" customWidth="1"/>
    <col min="778" max="778" width="2.5703125" customWidth="1"/>
    <col min="1025" max="1025" width="31.5703125" customWidth="1"/>
    <col min="1026" max="1027" width="9.7109375" customWidth="1"/>
    <col min="1028" max="1028" width="2.7109375" customWidth="1"/>
    <col min="1029" max="1030" width="9.7109375" customWidth="1"/>
    <col min="1031" max="1031" width="2.7109375" customWidth="1"/>
    <col min="1032" max="1033" width="9.7109375" customWidth="1"/>
    <col min="1034" max="1034" width="2.5703125" customWidth="1"/>
    <col min="1281" max="1281" width="31.5703125" customWidth="1"/>
    <col min="1282" max="1283" width="9.7109375" customWidth="1"/>
    <col min="1284" max="1284" width="2.7109375" customWidth="1"/>
    <col min="1285" max="1286" width="9.7109375" customWidth="1"/>
    <col min="1287" max="1287" width="2.7109375" customWidth="1"/>
    <col min="1288" max="1289" width="9.7109375" customWidth="1"/>
    <col min="1290" max="1290" width="2.5703125" customWidth="1"/>
    <col min="1537" max="1537" width="31.5703125" customWidth="1"/>
    <col min="1538" max="1539" width="9.7109375" customWidth="1"/>
    <col min="1540" max="1540" width="2.7109375" customWidth="1"/>
    <col min="1541" max="1542" width="9.7109375" customWidth="1"/>
    <col min="1543" max="1543" width="2.7109375" customWidth="1"/>
    <col min="1544" max="1545" width="9.7109375" customWidth="1"/>
    <col min="1546" max="1546" width="2.5703125" customWidth="1"/>
    <col min="1793" max="1793" width="31.5703125" customWidth="1"/>
    <col min="1794" max="1795" width="9.7109375" customWidth="1"/>
    <col min="1796" max="1796" width="2.7109375" customWidth="1"/>
    <col min="1797" max="1798" width="9.7109375" customWidth="1"/>
    <col min="1799" max="1799" width="2.7109375" customWidth="1"/>
    <col min="1800" max="1801" width="9.7109375" customWidth="1"/>
    <col min="1802" max="1802" width="2.5703125" customWidth="1"/>
    <col min="2049" max="2049" width="31.5703125" customWidth="1"/>
    <col min="2050" max="2051" width="9.7109375" customWidth="1"/>
    <col min="2052" max="2052" width="2.7109375" customWidth="1"/>
    <col min="2053" max="2054" width="9.7109375" customWidth="1"/>
    <col min="2055" max="2055" width="2.7109375" customWidth="1"/>
    <col min="2056" max="2057" width="9.7109375" customWidth="1"/>
    <col min="2058" max="2058" width="2.5703125" customWidth="1"/>
    <col min="2305" max="2305" width="31.5703125" customWidth="1"/>
    <col min="2306" max="2307" width="9.7109375" customWidth="1"/>
    <col min="2308" max="2308" width="2.7109375" customWidth="1"/>
    <col min="2309" max="2310" width="9.7109375" customWidth="1"/>
    <col min="2311" max="2311" width="2.7109375" customWidth="1"/>
    <col min="2312" max="2313" width="9.7109375" customWidth="1"/>
    <col min="2314" max="2314" width="2.5703125" customWidth="1"/>
    <col min="2561" max="2561" width="31.5703125" customWidth="1"/>
    <col min="2562" max="2563" width="9.7109375" customWidth="1"/>
    <col min="2564" max="2564" width="2.7109375" customWidth="1"/>
    <col min="2565" max="2566" width="9.7109375" customWidth="1"/>
    <col min="2567" max="2567" width="2.7109375" customWidth="1"/>
    <col min="2568" max="2569" width="9.7109375" customWidth="1"/>
    <col min="2570" max="2570" width="2.5703125" customWidth="1"/>
    <col min="2817" max="2817" width="31.5703125" customWidth="1"/>
    <col min="2818" max="2819" width="9.7109375" customWidth="1"/>
    <col min="2820" max="2820" width="2.7109375" customWidth="1"/>
    <col min="2821" max="2822" width="9.7109375" customWidth="1"/>
    <col min="2823" max="2823" width="2.7109375" customWidth="1"/>
    <col min="2824" max="2825" width="9.7109375" customWidth="1"/>
    <col min="2826" max="2826" width="2.5703125" customWidth="1"/>
    <col min="3073" max="3073" width="31.5703125" customWidth="1"/>
    <col min="3074" max="3075" width="9.7109375" customWidth="1"/>
    <col min="3076" max="3076" width="2.7109375" customWidth="1"/>
    <col min="3077" max="3078" width="9.7109375" customWidth="1"/>
    <col min="3079" max="3079" width="2.7109375" customWidth="1"/>
    <col min="3080" max="3081" width="9.7109375" customWidth="1"/>
    <col min="3082" max="3082" width="2.5703125" customWidth="1"/>
    <col min="3329" max="3329" width="31.5703125" customWidth="1"/>
    <col min="3330" max="3331" width="9.7109375" customWidth="1"/>
    <col min="3332" max="3332" width="2.7109375" customWidth="1"/>
    <col min="3333" max="3334" width="9.7109375" customWidth="1"/>
    <col min="3335" max="3335" width="2.7109375" customWidth="1"/>
    <col min="3336" max="3337" width="9.7109375" customWidth="1"/>
    <col min="3338" max="3338" width="2.5703125" customWidth="1"/>
    <col min="3585" max="3585" width="31.5703125" customWidth="1"/>
    <col min="3586" max="3587" width="9.7109375" customWidth="1"/>
    <col min="3588" max="3588" width="2.7109375" customWidth="1"/>
    <col min="3589" max="3590" width="9.7109375" customWidth="1"/>
    <col min="3591" max="3591" width="2.7109375" customWidth="1"/>
    <col min="3592" max="3593" width="9.7109375" customWidth="1"/>
    <col min="3594" max="3594" width="2.5703125" customWidth="1"/>
    <col min="3841" max="3841" width="31.5703125" customWidth="1"/>
    <col min="3842" max="3843" width="9.7109375" customWidth="1"/>
    <col min="3844" max="3844" width="2.7109375" customWidth="1"/>
    <col min="3845" max="3846" width="9.7109375" customWidth="1"/>
    <col min="3847" max="3847" width="2.7109375" customWidth="1"/>
    <col min="3848" max="3849" width="9.7109375" customWidth="1"/>
    <col min="3850" max="3850" width="2.5703125" customWidth="1"/>
    <col min="4097" max="4097" width="31.5703125" customWidth="1"/>
    <col min="4098" max="4099" width="9.7109375" customWidth="1"/>
    <col min="4100" max="4100" width="2.7109375" customWidth="1"/>
    <col min="4101" max="4102" width="9.7109375" customWidth="1"/>
    <col min="4103" max="4103" width="2.7109375" customWidth="1"/>
    <col min="4104" max="4105" width="9.7109375" customWidth="1"/>
    <col min="4106" max="4106" width="2.5703125" customWidth="1"/>
    <col min="4353" max="4353" width="31.5703125" customWidth="1"/>
    <col min="4354" max="4355" width="9.7109375" customWidth="1"/>
    <col min="4356" max="4356" width="2.7109375" customWidth="1"/>
    <col min="4357" max="4358" width="9.7109375" customWidth="1"/>
    <col min="4359" max="4359" width="2.7109375" customWidth="1"/>
    <col min="4360" max="4361" width="9.7109375" customWidth="1"/>
    <col min="4362" max="4362" width="2.5703125" customWidth="1"/>
    <col min="4609" max="4609" width="31.5703125" customWidth="1"/>
    <col min="4610" max="4611" width="9.7109375" customWidth="1"/>
    <col min="4612" max="4612" width="2.7109375" customWidth="1"/>
    <col min="4613" max="4614" width="9.7109375" customWidth="1"/>
    <col min="4615" max="4615" width="2.7109375" customWidth="1"/>
    <col min="4616" max="4617" width="9.7109375" customWidth="1"/>
    <col min="4618" max="4618" width="2.5703125" customWidth="1"/>
    <col min="4865" max="4865" width="31.5703125" customWidth="1"/>
    <col min="4866" max="4867" width="9.7109375" customWidth="1"/>
    <col min="4868" max="4868" width="2.7109375" customWidth="1"/>
    <col min="4869" max="4870" width="9.7109375" customWidth="1"/>
    <col min="4871" max="4871" width="2.7109375" customWidth="1"/>
    <col min="4872" max="4873" width="9.7109375" customWidth="1"/>
    <col min="4874" max="4874" width="2.5703125" customWidth="1"/>
    <col min="5121" max="5121" width="31.5703125" customWidth="1"/>
    <col min="5122" max="5123" width="9.7109375" customWidth="1"/>
    <col min="5124" max="5124" width="2.7109375" customWidth="1"/>
    <col min="5125" max="5126" width="9.7109375" customWidth="1"/>
    <col min="5127" max="5127" width="2.7109375" customWidth="1"/>
    <col min="5128" max="5129" width="9.7109375" customWidth="1"/>
    <col min="5130" max="5130" width="2.5703125" customWidth="1"/>
    <col min="5377" max="5377" width="31.5703125" customWidth="1"/>
    <col min="5378" max="5379" width="9.7109375" customWidth="1"/>
    <col min="5380" max="5380" width="2.7109375" customWidth="1"/>
    <col min="5381" max="5382" width="9.7109375" customWidth="1"/>
    <col min="5383" max="5383" width="2.7109375" customWidth="1"/>
    <col min="5384" max="5385" width="9.7109375" customWidth="1"/>
    <col min="5386" max="5386" width="2.5703125" customWidth="1"/>
    <col min="5633" max="5633" width="31.5703125" customWidth="1"/>
    <col min="5634" max="5635" width="9.7109375" customWidth="1"/>
    <col min="5636" max="5636" width="2.7109375" customWidth="1"/>
    <col min="5637" max="5638" width="9.7109375" customWidth="1"/>
    <col min="5639" max="5639" width="2.7109375" customWidth="1"/>
    <col min="5640" max="5641" width="9.7109375" customWidth="1"/>
    <col min="5642" max="5642" width="2.5703125" customWidth="1"/>
    <col min="5889" max="5889" width="31.5703125" customWidth="1"/>
    <col min="5890" max="5891" width="9.7109375" customWidth="1"/>
    <col min="5892" max="5892" width="2.7109375" customWidth="1"/>
    <col min="5893" max="5894" width="9.7109375" customWidth="1"/>
    <col min="5895" max="5895" width="2.7109375" customWidth="1"/>
    <col min="5896" max="5897" width="9.7109375" customWidth="1"/>
    <col min="5898" max="5898" width="2.5703125" customWidth="1"/>
    <col min="6145" max="6145" width="31.5703125" customWidth="1"/>
    <col min="6146" max="6147" width="9.7109375" customWidth="1"/>
    <col min="6148" max="6148" width="2.7109375" customWidth="1"/>
    <col min="6149" max="6150" width="9.7109375" customWidth="1"/>
    <col min="6151" max="6151" width="2.7109375" customWidth="1"/>
    <col min="6152" max="6153" width="9.7109375" customWidth="1"/>
    <col min="6154" max="6154" width="2.5703125" customWidth="1"/>
    <col min="6401" max="6401" width="31.5703125" customWidth="1"/>
    <col min="6402" max="6403" width="9.7109375" customWidth="1"/>
    <col min="6404" max="6404" width="2.7109375" customWidth="1"/>
    <col min="6405" max="6406" width="9.7109375" customWidth="1"/>
    <col min="6407" max="6407" width="2.7109375" customWidth="1"/>
    <col min="6408" max="6409" width="9.7109375" customWidth="1"/>
    <col min="6410" max="6410" width="2.5703125" customWidth="1"/>
    <col min="6657" max="6657" width="31.5703125" customWidth="1"/>
    <col min="6658" max="6659" width="9.7109375" customWidth="1"/>
    <col min="6660" max="6660" width="2.7109375" customWidth="1"/>
    <col min="6661" max="6662" width="9.7109375" customWidth="1"/>
    <col min="6663" max="6663" width="2.7109375" customWidth="1"/>
    <col min="6664" max="6665" width="9.7109375" customWidth="1"/>
    <col min="6666" max="6666" width="2.5703125" customWidth="1"/>
    <col min="6913" max="6913" width="31.5703125" customWidth="1"/>
    <col min="6914" max="6915" width="9.7109375" customWidth="1"/>
    <col min="6916" max="6916" width="2.7109375" customWidth="1"/>
    <col min="6917" max="6918" width="9.7109375" customWidth="1"/>
    <col min="6919" max="6919" width="2.7109375" customWidth="1"/>
    <col min="6920" max="6921" width="9.7109375" customWidth="1"/>
    <col min="6922" max="6922" width="2.5703125" customWidth="1"/>
    <col min="7169" max="7169" width="31.5703125" customWidth="1"/>
    <col min="7170" max="7171" width="9.7109375" customWidth="1"/>
    <col min="7172" max="7172" width="2.7109375" customWidth="1"/>
    <col min="7173" max="7174" width="9.7109375" customWidth="1"/>
    <col min="7175" max="7175" width="2.7109375" customWidth="1"/>
    <col min="7176" max="7177" width="9.7109375" customWidth="1"/>
    <col min="7178" max="7178" width="2.5703125" customWidth="1"/>
    <col min="7425" max="7425" width="31.5703125" customWidth="1"/>
    <col min="7426" max="7427" width="9.7109375" customWidth="1"/>
    <col min="7428" max="7428" width="2.7109375" customWidth="1"/>
    <col min="7429" max="7430" width="9.7109375" customWidth="1"/>
    <col min="7431" max="7431" width="2.7109375" customWidth="1"/>
    <col min="7432" max="7433" width="9.7109375" customWidth="1"/>
    <col min="7434" max="7434" width="2.5703125" customWidth="1"/>
    <col min="7681" max="7681" width="31.5703125" customWidth="1"/>
    <col min="7682" max="7683" width="9.7109375" customWidth="1"/>
    <col min="7684" max="7684" width="2.7109375" customWidth="1"/>
    <col min="7685" max="7686" width="9.7109375" customWidth="1"/>
    <col min="7687" max="7687" width="2.7109375" customWidth="1"/>
    <col min="7688" max="7689" width="9.7109375" customWidth="1"/>
    <col min="7690" max="7690" width="2.5703125" customWidth="1"/>
    <col min="7937" max="7937" width="31.5703125" customWidth="1"/>
    <col min="7938" max="7939" width="9.7109375" customWidth="1"/>
    <col min="7940" max="7940" width="2.7109375" customWidth="1"/>
    <col min="7941" max="7942" width="9.7109375" customWidth="1"/>
    <col min="7943" max="7943" width="2.7109375" customWidth="1"/>
    <col min="7944" max="7945" width="9.7109375" customWidth="1"/>
    <col min="7946" max="7946" width="2.5703125" customWidth="1"/>
    <col min="8193" max="8193" width="31.5703125" customWidth="1"/>
    <col min="8194" max="8195" width="9.7109375" customWidth="1"/>
    <col min="8196" max="8196" width="2.7109375" customWidth="1"/>
    <col min="8197" max="8198" width="9.7109375" customWidth="1"/>
    <col min="8199" max="8199" width="2.7109375" customWidth="1"/>
    <col min="8200" max="8201" width="9.7109375" customWidth="1"/>
    <col min="8202" max="8202" width="2.5703125" customWidth="1"/>
    <col min="8449" max="8449" width="31.5703125" customWidth="1"/>
    <col min="8450" max="8451" width="9.7109375" customWidth="1"/>
    <col min="8452" max="8452" width="2.7109375" customWidth="1"/>
    <col min="8453" max="8454" width="9.7109375" customWidth="1"/>
    <col min="8455" max="8455" width="2.7109375" customWidth="1"/>
    <col min="8456" max="8457" width="9.7109375" customWidth="1"/>
    <col min="8458" max="8458" width="2.5703125" customWidth="1"/>
    <col min="8705" max="8705" width="31.5703125" customWidth="1"/>
    <col min="8706" max="8707" width="9.7109375" customWidth="1"/>
    <col min="8708" max="8708" width="2.7109375" customWidth="1"/>
    <col min="8709" max="8710" width="9.7109375" customWidth="1"/>
    <col min="8711" max="8711" width="2.7109375" customWidth="1"/>
    <col min="8712" max="8713" width="9.7109375" customWidth="1"/>
    <col min="8714" max="8714" width="2.5703125" customWidth="1"/>
    <col min="8961" max="8961" width="31.5703125" customWidth="1"/>
    <col min="8962" max="8963" width="9.7109375" customWidth="1"/>
    <col min="8964" max="8964" width="2.7109375" customWidth="1"/>
    <col min="8965" max="8966" width="9.7109375" customWidth="1"/>
    <col min="8967" max="8967" width="2.7109375" customWidth="1"/>
    <col min="8968" max="8969" width="9.7109375" customWidth="1"/>
    <col min="8970" max="8970" width="2.5703125" customWidth="1"/>
    <col min="9217" max="9217" width="31.5703125" customWidth="1"/>
    <col min="9218" max="9219" width="9.7109375" customWidth="1"/>
    <col min="9220" max="9220" width="2.7109375" customWidth="1"/>
    <col min="9221" max="9222" width="9.7109375" customWidth="1"/>
    <col min="9223" max="9223" width="2.7109375" customWidth="1"/>
    <col min="9224" max="9225" width="9.7109375" customWidth="1"/>
    <col min="9226" max="9226" width="2.5703125" customWidth="1"/>
    <col min="9473" max="9473" width="31.5703125" customWidth="1"/>
    <col min="9474" max="9475" width="9.7109375" customWidth="1"/>
    <col min="9476" max="9476" width="2.7109375" customWidth="1"/>
    <col min="9477" max="9478" width="9.7109375" customWidth="1"/>
    <col min="9479" max="9479" width="2.7109375" customWidth="1"/>
    <col min="9480" max="9481" width="9.7109375" customWidth="1"/>
    <col min="9482" max="9482" width="2.5703125" customWidth="1"/>
    <col min="9729" max="9729" width="31.5703125" customWidth="1"/>
    <col min="9730" max="9731" width="9.7109375" customWidth="1"/>
    <col min="9732" max="9732" width="2.7109375" customWidth="1"/>
    <col min="9733" max="9734" width="9.7109375" customWidth="1"/>
    <col min="9735" max="9735" width="2.7109375" customWidth="1"/>
    <col min="9736" max="9737" width="9.7109375" customWidth="1"/>
    <col min="9738" max="9738" width="2.5703125" customWidth="1"/>
    <col min="9985" max="9985" width="31.5703125" customWidth="1"/>
    <col min="9986" max="9987" width="9.7109375" customWidth="1"/>
    <col min="9988" max="9988" width="2.7109375" customWidth="1"/>
    <col min="9989" max="9990" width="9.7109375" customWidth="1"/>
    <col min="9991" max="9991" width="2.7109375" customWidth="1"/>
    <col min="9992" max="9993" width="9.7109375" customWidth="1"/>
    <col min="9994" max="9994" width="2.5703125" customWidth="1"/>
    <col min="10241" max="10241" width="31.5703125" customWidth="1"/>
    <col min="10242" max="10243" width="9.7109375" customWidth="1"/>
    <col min="10244" max="10244" width="2.7109375" customWidth="1"/>
    <col min="10245" max="10246" width="9.7109375" customWidth="1"/>
    <col min="10247" max="10247" width="2.7109375" customWidth="1"/>
    <col min="10248" max="10249" width="9.7109375" customWidth="1"/>
    <col min="10250" max="10250" width="2.5703125" customWidth="1"/>
    <col min="10497" max="10497" width="31.5703125" customWidth="1"/>
    <col min="10498" max="10499" width="9.7109375" customWidth="1"/>
    <col min="10500" max="10500" width="2.7109375" customWidth="1"/>
    <col min="10501" max="10502" width="9.7109375" customWidth="1"/>
    <col min="10503" max="10503" width="2.7109375" customWidth="1"/>
    <col min="10504" max="10505" width="9.7109375" customWidth="1"/>
    <col min="10506" max="10506" width="2.5703125" customWidth="1"/>
    <col min="10753" max="10753" width="31.5703125" customWidth="1"/>
    <col min="10754" max="10755" width="9.7109375" customWidth="1"/>
    <col min="10756" max="10756" width="2.7109375" customWidth="1"/>
    <col min="10757" max="10758" width="9.7109375" customWidth="1"/>
    <col min="10759" max="10759" width="2.7109375" customWidth="1"/>
    <col min="10760" max="10761" width="9.7109375" customWidth="1"/>
    <col min="10762" max="10762" width="2.5703125" customWidth="1"/>
    <col min="11009" max="11009" width="31.5703125" customWidth="1"/>
    <col min="11010" max="11011" width="9.7109375" customWidth="1"/>
    <col min="11012" max="11012" width="2.7109375" customWidth="1"/>
    <col min="11013" max="11014" width="9.7109375" customWidth="1"/>
    <col min="11015" max="11015" width="2.7109375" customWidth="1"/>
    <col min="11016" max="11017" width="9.7109375" customWidth="1"/>
    <col min="11018" max="11018" width="2.5703125" customWidth="1"/>
    <col min="11265" max="11265" width="31.5703125" customWidth="1"/>
    <col min="11266" max="11267" width="9.7109375" customWidth="1"/>
    <col min="11268" max="11268" width="2.7109375" customWidth="1"/>
    <col min="11269" max="11270" width="9.7109375" customWidth="1"/>
    <col min="11271" max="11271" width="2.7109375" customWidth="1"/>
    <col min="11272" max="11273" width="9.7109375" customWidth="1"/>
    <col min="11274" max="11274" width="2.5703125" customWidth="1"/>
    <col min="11521" max="11521" width="31.5703125" customWidth="1"/>
    <col min="11522" max="11523" width="9.7109375" customWidth="1"/>
    <col min="11524" max="11524" width="2.7109375" customWidth="1"/>
    <col min="11525" max="11526" width="9.7109375" customWidth="1"/>
    <col min="11527" max="11527" width="2.7109375" customWidth="1"/>
    <col min="11528" max="11529" width="9.7109375" customWidth="1"/>
    <col min="11530" max="11530" width="2.5703125" customWidth="1"/>
    <col min="11777" max="11777" width="31.5703125" customWidth="1"/>
    <col min="11778" max="11779" width="9.7109375" customWidth="1"/>
    <col min="11780" max="11780" width="2.7109375" customWidth="1"/>
    <col min="11781" max="11782" width="9.7109375" customWidth="1"/>
    <col min="11783" max="11783" width="2.7109375" customWidth="1"/>
    <col min="11784" max="11785" width="9.7109375" customWidth="1"/>
    <col min="11786" max="11786" width="2.5703125" customWidth="1"/>
    <col min="12033" max="12033" width="31.5703125" customWidth="1"/>
    <col min="12034" max="12035" width="9.7109375" customWidth="1"/>
    <col min="12036" max="12036" width="2.7109375" customWidth="1"/>
    <col min="12037" max="12038" width="9.7109375" customWidth="1"/>
    <col min="12039" max="12039" width="2.7109375" customWidth="1"/>
    <col min="12040" max="12041" width="9.7109375" customWidth="1"/>
    <col min="12042" max="12042" width="2.5703125" customWidth="1"/>
    <col min="12289" max="12289" width="31.5703125" customWidth="1"/>
    <col min="12290" max="12291" width="9.7109375" customWidth="1"/>
    <col min="12292" max="12292" width="2.7109375" customWidth="1"/>
    <col min="12293" max="12294" width="9.7109375" customWidth="1"/>
    <col min="12295" max="12295" width="2.7109375" customWidth="1"/>
    <col min="12296" max="12297" width="9.7109375" customWidth="1"/>
    <col min="12298" max="12298" width="2.5703125" customWidth="1"/>
    <col min="12545" max="12545" width="31.5703125" customWidth="1"/>
    <col min="12546" max="12547" width="9.7109375" customWidth="1"/>
    <col min="12548" max="12548" width="2.7109375" customWidth="1"/>
    <col min="12549" max="12550" width="9.7109375" customWidth="1"/>
    <col min="12551" max="12551" width="2.7109375" customWidth="1"/>
    <col min="12552" max="12553" width="9.7109375" customWidth="1"/>
    <col min="12554" max="12554" width="2.5703125" customWidth="1"/>
    <col min="12801" max="12801" width="31.5703125" customWidth="1"/>
    <col min="12802" max="12803" width="9.7109375" customWidth="1"/>
    <col min="12804" max="12804" width="2.7109375" customWidth="1"/>
    <col min="12805" max="12806" width="9.7109375" customWidth="1"/>
    <col min="12807" max="12807" width="2.7109375" customWidth="1"/>
    <col min="12808" max="12809" width="9.7109375" customWidth="1"/>
    <col min="12810" max="12810" width="2.5703125" customWidth="1"/>
    <col min="13057" max="13057" width="31.5703125" customWidth="1"/>
    <col min="13058" max="13059" width="9.7109375" customWidth="1"/>
    <col min="13060" max="13060" width="2.7109375" customWidth="1"/>
    <col min="13061" max="13062" width="9.7109375" customWidth="1"/>
    <col min="13063" max="13063" width="2.7109375" customWidth="1"/>
    <col min="13064" max="13065" width="9.7109375" customWidth="1"/>
    <col min="13066" max="13066" width="2.5703125" customWidth="1"/>
    <col min="13313" max="13313" width="31.5703125" customWidth="1"/>
    <col min="13314" max="13315" width="9.7109375" customWidth="1"/>
    <col min="13316" max="13316" width="2.7109375" customWidth="1"/>
    <col min="13317" max="13318" width="9.7109375" customWidth="1"/>
    <col min="13319" max="13319" width="2.7109375" customWidth="1"/>
    <col min="13320" max="13321" width="9.7109375" customWidth="1"/>
    <col min="13322" max="13322" width="2.5703125" customWidth="1"/>
    <col min="13569" max="13569" width="31.5703125" customWidth="1"/>
    <col min="13570" max="13571" width="9.7109375" customWidth="1"/>
    <col min="13572" max="13572" width="2.7109375" customWidth="1"/>
    <col min="13573" max="13574" width="9.7109375" customWidth="1"/>
    <col min="13575" max="13575" width="2.7109375" customWidth="1"/>
    <col min="13576" max="13577" width="9.7109375" customWidth="1"/>
    <col min="13578" max="13578" width="2.5703125" customWidth="1"/>
    <col min="13825" max="13825" width="31.5703125" customWidth="1"/>
    <col min="13826" max="13827" width="9.7109375" customWidth="1"/>
    <col min="13828" max="13828" width="2.7109375" customWidth="1"/>
    <col min="13829" max="13830" width="9.7109375" customWidth="1"/>
    <col min="13831" max="13831" width="2.7109375" customWidth="1"/>
    <col min="13832" max="13833" width="9.7109375" customWidth="1"/>
    <col min="13834" max="13834" width="2.5703125" customWidth="1"/>
    <col min="14081" max="14081" width="31.5703125" customWidth="1"/>
    <col min="14082" max="14083" width="9.7109375" customWidth="1"/>
    <col min="14084" max="14084" width="2.7109375" customWidth="1"/>
    <col min="14085" max="14086" width="9.7109375" customWidth="1"/>
    <col min="14087" max="14087" width="2.7109375" customWidth="1"/>
    <col min="14088" max="14089" width="9.7109375" customWidth="1"/>
    <col min="14090" max="14090" width="2.5703125" customWidth="1"/>
    <col min="14337" max="14337" width="31.5703125" customWidth="1"/>
    <col min="14338" max="14339" width="9.7109375" customWidth="1"/>
    <col min="14340" max="14340" width="2.7109375" customWidth="1"/>
    <col min="14341" max="14342" width="9.7109375" customWidth="1"/>
    <col min="14343" max="14343" width="2.7109375" customWidth="1"/>
    <col min="14344" max="14345" width="9.7109375" customWidth="1"/>
    <col min="14346" max="14346" width="2.5703125" customWidth="1"/>
    <col min="14593" max="14593" width="31.5703125" customWidth="1"/>
    <col min="14594" max="14595" width="9.7109375" customWidth="1"/>
    <col min="14596" max="14596" width="2.7109375" customWidth="1"/>
    <col min="14597" max="14598" width="9.7109375" customWidth="1"/>
    <col min="14599" max="14599" width="2.7109375" customWidth="1"/>
    <col min="14600" max="14601" width="9.7109375" customWidth="1"/>
    <col min="14602" max="14602" width="2.5703125" customWidth="1"/>
    <col min="14849" max="14849" width="31.5703125" customWidth="1"/>
    <col min="14850" max="14851" width="9.7109375" customWidth="1"/>
    <col min="14852" max="14852" width="2.7109375" customWidth="1"/>
    <col min="14853" max="14854" width="9.7109375" customWidth="1"/>
    <col min="14855" max="14855" width="2.7109375" customWidth="1"/>
    <col min="14856" max="14857" width="9.7109375" customWidth="1"/>
    <col min="14858" max="14858" width="2.5703125" customWidth="1"/>
    <col min="15105" max="15105" width="31.5703125" customWidth="1"/>
    <col min="15106" max="15107" width="9.7109375" customWidth="1"/>
    <col min="15108" max="15108" width="2.7109375" customWidth="1"/>
    <col min="15109" max="15110" width="9.7109375" customWidth="1"/>
    <col min="15111" max="15111" width="2.7109375" customWidth="1"/>
    <col min="15112" max="15113" width="9.7109375" customWidth="1"/>
    <col min="15114" max="15114" width="2.5703125" customWidth="1"/>
    <col min="15361" max="15361" width="31.5703125" customWidth="1"/>
    <col min="15362" max="15363" width="9.7109375" customWidth="1"/>
    <col min="15364" max="15364" width="2.7109375" customWidth="1"/>
    <col min="15365" max="15366" width="9.7109375" customWidth="1"/>
    <col min="15367" max="15367" width="2.7109375" customWidth="1"/>
    <col min="15368" max="15369" width="9.7109375" customWidth="1"/>
    <col min="15370" max="15370" width="2.5703125" customWidth="1"/>
    <col min="15617" max="15617" width="31.5703125" customWidth="1"/>
    <col min="15618" max="15619" width="9.7109375" customWidth="1"/>
    <col min="15620" max="15620" width="2.7109375" customWidth="1"/>
    <col min="15621" max="15622" width="9.7109375" customWidth="1"/>
    <col min="15623" max="15623" width="2.7109375" customWidth="1"/>
    <col min="15624" max="15625" width="9.7109375" customWidth="1"/>
    <col min="15626" max="15626" width="2.5703125" customWidth="1"/>
    <col min="15873" max="15873" width="31.5703125" customWidth="1"/>
    <col min="15874" max="15875" width="9.7109375" customWidth="1"/>
    <col min="15876" max="15876" width="2.7109375" customWidth="1"/>
    <col min="15877" max="15878" width="9.7109375" customWidth="1"/>
    <col min="15879" max="15879" width="2.7109375" customWidth="1"/>
    <col min="15880" max="15881" width="9.7109375" customWidth="1"/>
    <col min="15882" max="15882" width="2.5703125" customWidth="1"/>
    <col min="16129" max="16129" width="31.5703125" customWidth="1"/>
    <col min="16130" max="16131" width="9.7109375" customWidth="1"/>
    <col min="16132" max="16132" width="2.7109375" customWidth="1"/>
    <col min="16133" max="16134" width="9.7109375" customWidth="1"/>
    <col min="16135" max="16135" width="2.7109375" customWidth="1"/>
    <col min="16136" max="16137" width="9.7109375" customWidth="1"/>
    <col min="16138" max="16138" width="2.5703125" customWidth="1"/>
  </cols>
  <sheetData>
    <row r="1" spans="1:10">
      <c r="A1" t="s">
        <v>936</v>
      </c>
      <c r="E1" s="586"/>
      <c r="G1" s="587"/>
      <c r="H1" s="586"/>
    </row>
    <row r="2" spans="1:10">
      <c r="A2" t="s">
        <v>937</v>
      </c>
    </row>
    <row r="4" spans="1:10">
      <c r="A4" s="42" t="s">
        <v>1442</v>
      </c>
    </row>
    <row r="5" spans="1:10" ht="15.75" thickBot="1">
      <c r="A5" t="s">
        <v>253</v>
      </c>
      <c r="E5"/>
      <c r="H5"/>
    </row>
    <row r="6" spans="1:10">
      <c r="A6" s="6"/>
      <c r="B6" s="52"/>
      <c r="C6" s="6"/>
      <c r="D6" s="6"/>
      <c r="E6" s="6"/>
      <c r="F6" s="6"/>
      <c r="G6" s="6"/>
      <c r="H6" s="6"/>
      <c r="I6" s="6"/>
      <c r="J6" s="6"/>
    </row>
    <row r="7" spans="1:10">
      <c r="A7" t="s">
        <v>1443</v>
      </c>
      <c r="B7" s="75"/>
      <c r="C7" s="69"/>
      <c r="D7" s="36"/>
      <c r="E7" s="1309" t="s">
        <v>1444</v>
      </c>
      <c r="F7" s="1309"/>
      <c r="G7" s="36"/>
      <c r="H7" s="1309" t="s">
        <v>1445</v>
      </c>
      <c r="I7" s="1309"/>
    </row>
    <row r="8" spans="1:10">
      <c r="A8" t="s">
        <v>1446</v>
      </c>
      <c r="B8" s="1270" t="s">
        <v>5</v>
      </c>
      <c r="C8" s="1270"/>
      <c r="E8" s="1270" t="s">
        <v>1447</v>
      </c>
      <c r="F8" s="1270"/>
      <c r="H8" s="1270" t="s">
        <v>1448</v>
      </c>
      <c r="I8" s="1270"/>
    </row>
    <row r="9" spans="1:10">
      <c r="A9" t="s">
        <v>1449</v>
      </c>
      <c r="B9" s="75" t="s">
        <v>9</v>
      </c>
      <c r="C9" s="69" t="s">
        <v>10</v>
      </c>
      <c r="D9" s="69"/>
      <c r="E9" s="75" t="s">
        <v>9</v>
      </c>
      <c r="F9" s="69" t="s">
        <v>10</v>
      </c>
      <c r="G9" s="69"/>
      <c r="H9" s="75" t="s">
        <v>9</v>
      </c>
      <c r="I9" s="69" t="s">
        <v>10</v>
      </c>
    </row>
    <row r="10" spans="1:10" ht="15.75" thickBot="1">
      <c r="A10" s="15"/>
      <c r="B10" s="589"/>
      <c r="C10" s="105"/>
      <c r="D10" s="105"/>
      <c r="E10" s="105"/>
      <c r="F10" s="105"/>
      <c r="G10" s="105"/>
      <c r="H10" s="105"/>
      <c r="I10" s="105"/>
    </row>
    <row r="11" spans="1:10">
      <c r="I11" s="36"/>
      <c r="J11" s="6"/>
    </row>
    <row r="12" spans="1:10">
      <c r="A12" s="63" t="s">
        <v>1450</v>
      </c>
      <c r="B12" s="41">
        <f t="shared" ref="B12:B43" si="0">IF($A12&lt;&gt;"",E12+H12,"")</f>
        <v>57574</v>
      </c>
      <c r="C12" s="43">
        <f t="shared" ref="C12:C44" si="1">IF($A12&lt;&gt;0,B12/B$12*100,"")</f>
        <v>100</v>
      </c>
      <c r="E12" s="41">
        <f>E14+E27+E39</f>
        <v>55340</v>
      </c>
      <c r="F12" s="41">
        <f>F14+F27+F39</f>
        <v>100</v>
      </c>
      <c r="H12" s="41">
        <f>H14+H27+H39</f>
        <v>2234</v>
      </c>
      <c r="I12" s="41">
        <f>I14+I27+I39</f>
        <v>100.00000000000001</v>
      </c>
    </row>
    <row r="13" spans="1:10">
      <c r="B13" s="41" t="str">
        <f t="shared" si="0"/>
        <v/>
      </c>
      <c r="C13" s="46"/>
      <c r="I13" s="36"/>
    </row>
    <row r="14" spans="1:10">
      <c r="A14" s="42" t="s">
        <v>1451</v>
      </c>
      <c r="B14" s="41">
        <f t="shared" ref="B14:B21" si="2">IF($A14&lt;&gt;"",E14+H15,"")</f>
        <v>6676</v>
      </c>
      <c r="C14" s="43">
        <f t="shared" si="1"/>
        <v>11.595511862993712</v>
      </c>
      <c r="E14" s="41">
        <f>SUM(E15:E25)</f>
        <v>6507</v>
      </c>
      <c r="F14" s="43">
        <f t="shared" ref="F14:F44" si="3">IF($A14&lt;&gt;0,E14/E$12*100,"")</f>
        <v>11.758221900975787</v>
      </c>
      <c r="H14" s="41">
        <f>SUM(H15:H25)</f>
        <v>1784</v>
      </c>
      <c r="I14" s="43">
        <f t="shared" ref="I14:I44" si="4">IF($A14&lt;&gt;0,H14/H$12*100,"")</f>
        <v>79.856759176365273</v>
      </c>
    </row>
    <row r="15" spans="1:10">
      <c r="A15" t="s">
        <v>1452</v>
      </c>
      <c r="B15" s="41">
        <f t="shared" si="2"/>
        <v>1197</v>
      </c>
      <c r="C15" s="43">
        <f t="shared" si="1"/>
        <v>2.0790634661479142</v>
      </c>
      <c r="E15" s="590">
        <v>904</v>
      </c>
      <c r="F15" s="43">
        <f t="shared" si="3"/>
        <v>1.6335381279363932</v>
      </c>
      <c r="H15" s="591">
        <v>169</v>
      </c>
      <c r="I15" s="43">
        <f t="shared" si="4"/>
        <v>7.5649059982094897</v>
      </c>
    </row>
    <row r="16" spans="1:10">
      <c r="A16" t="s">
        <v>1453</v>
      </c>
      <c r="B16" s="41">
        <f t="shared" si="2"/>
        <v>955</v>
      </c>
      <c r="C16" s="43">
        <f t="shared" si="1"/>
        <v>1.6587348455900233</v>
      </c>
      <c r="E16" s="590">
        <v>874</v>
      </c>
      <c r="F16" s="43">
        <f t="shared" si="3"/>
        <v>1.5793277918323092</v>
      </c>
      <c r="H16" s="591">
        <v>293</v>
      </c>
      <c r="I16" s="43">
        <f t="shared" si="4"/>
        <v>13.115487914055507</v>
      </c>
    </row>
    <row r="17" spans="1:9">
      <c r="A17" t="s">
        <v>1454</v>
      </c>
      <c r="B17" s="41">
        <f t="shared" si="2"/>
        <v>738</v>
      </c>
      <c r="C17" s="43">
        <f t="shared" si="1"/>
        <v>1.2818286031889394</v>
      </c>
      <c r="E17" s="590">
        <v>355</v>
      </c>
      <c r="F17" s="43">
        <f t="shared" si="3"/>
        <v>0.64148897723165887</v>
      </c>
      <c r="H17" s="591">
        <v>81</v>
      </c>
      <c r="I17" s="43">
        <f t="shared" si="4"/>
        <v>3.6257833482542523</v>
      </c>
    </row>
    <row r="18" spans="1:9">
      <c r="A18" t="s">
        <v>1455</v>
      </c>
      <c r="B18" s="41">
        <f t="shared" si="2"/>
        <v>2299</v>
      </c>
      <c r="C18" s="43">
        <f t="shared" si="1"/>
        <v>3.9931218952999621</v>
      </c>
      <c r="E18" s="590">
        <v>2161</v>
      </c>
      <c r="F18" s="43">
        <f t="shared" si="3"/>
        <v>3.9049512106975062</v>
      </c>
      <c r="H18" s="591">
        <v>383</v>
      </c>
      <c r="I18" s="43">
        <f t="shared" si="4"/>
        <v>17.144136078782456</v>
      </c>
    </row>
    <row r="19" spans="1:9">
      <c r="A19" t="s">
        <v>1456</v>
      </c>
      <c r="B19" s="41">
        <f t="shared" si="2"/>
        <v>437</v>
      </c>
      <c r="C19" s="43">
        <f t="shared" si="1"/>
        <v>0.75902317018098453</v>
      </c>
      <c r="E19" s="590">
        <v>350</v>
      </c>
      <c r="F19" s="43">
        <f t="shared" si="3"/>
        <v>0.63245392121431154</v>
      </c>
      <c r="H19" s="591">
        <v>138</v>
      </c>
      <c r="I19" s="43">
        <f t="shared" si="4"/>
        <v>6.1772605192479864</v>
      </c>
    </row>
    <row r="20" spans="1:9">
      <c r="A20" t="s">
        <v>1457</v>
      </c>
      <c r="B20" s="41">
        <f t="shared" si="2"/>
        <v>805</v>
      </c>
      <c r="C20" s="43">
        <f t="shared" si="1"/>
        <v>1.3982005766491818</v>
      </c>
      <c r="E20" s="590">
        <v>724</v>
      </c>
      <c r="F20" s="43">
        <f t="shared" si="3"/>
        <v>1.3082761113118901</v>
      </c>
      <c r="H20" s="591">
        <v>87</v>
      </c>
      <c r="I20" s="43">
        <f t="shared" si="4"/>
        <v>3.8943598925693825</v>
      </c>
    </row>
    <row r="21" spans="1:9">
      <c r="A21" t="s">
        <v>1458</v>
      </c>
      <c r="B21" s="41">
        <f t="shared" si="2"/>
        <v>109</v>
      </c>
      <c r="C21" s="43">
        <f t="shared" si="1"/>
        <v>0.18932156876367806</v>
      </c>
      <c r="E21" s="590">
        <v>109</v>
      </c>
      <c r="F21" s="43">
        <f t="shared" si="3"/>
        <v>0.19696422117817131</v>
      </c>
      <c r="H21" s="591">
        <v>81</v>
      </c>
      <c r="I21" s="43">
        <f t="shared" si="4"/>
        <v>3.6257833482542523</v>
      </c>
    </row>
    <row r="22" spans="1:9">
      <c r="A22" t="s">
        <v>1459</v>
      </c>
      <c r="B22" s="41" t="s">
        <v>253</v>
      </c>
      <c r="C22" s="43"/>
      <c r="F22" s="43"/>
      <c r="H22"/>
      <c r="I22" s="43"/>
    </row>
    <row r="23" spans="1:9">
      <c r="A23" t="s">
        <v>1460</v>
      </c>
      <c r="B23" s="41">
        <f t="shared" si="0"/>
        <v>334</v>
      </c>
      <c r="C23" s="43">
        <f t="shared" si="1"/>
        <v>0.58012297217494002</v>
      </c>
      <c r="E23" s="590">
        <v>189</v>
      </c>
      <c r="F23" s="43">
        <f t="shared" si="3"/>
        <v>0.34152511745572822</v>
      </c>
      <c r="H23" s="591">
        <v>145</v>
      </c>
      <c r="I23" s="43">
        <f t="shared" si="4"/>
        <v>6.4905998209489706</v>
      </c>
    </row>
    <row r="24" spans="1:9">
      <c r="A24" t="s">
        <v>1461</v>
      </c>
      <c r="B24" s="41">
        <f t="shared" si="0"/>
        <v>1132</v>
      </c>
      <c r="C24" s="43">
        <f t="shared" si="1"/>
        <v>1.9661652829402159</v>
      </c>
      <c r="E24" s="590">
        <v>740</v>
      </c>
      <c r="F24" s="43">
        <f t="shared" si="3"/>
        <v>1.3371882905674015</v>
      </c>
      <c r="H24" s="591">
        <v>392</v>
      </c>
      <c r="I24" s="43">
        <f t="shared" si="4"/>
        <v>17.547000895255145</v>
      </c>
    </row>
    <row r="25" spans="1:9">
      <c r="A25" t="s">
        <v>1462</v>
      </c>
      <c r="B25" s="41">
        <f t="shared" si="0"/>
        <v>116</v>
      </c>
      <c r="C25" s="43">
        <f t="shared" si="1"/>
        <v>0.20147983464758398</v>
      </c>
      <c r="E25" s="590">
        <v>101</v>
      </c>
      <c r="F25" s="43">
        <f t="shared" si="3"/>
        <v>0.18250813155041562</v>
      </c>
      <c r="H25" s="591">
        <v>15</v>
      </c>
      <c r="I25" s="43">
        <f t="shared" si="4"/>
        <v>0.67144136078782446</v>
      </c>
    </row>
    <row r="26" spans="1:9">
      <c r="B26" s="41" t="str">
        <f t="shared" si="0"/>
        <v/>
      </c>
      <c r="C26" s="43" t="str">
        <f t="shared" si="1"/>
        <v/>
      </c>
      <c r="F26" s="43" t="str">
        <f t="shared" si="3"/>
        <v/>
      </c>
      <c r="I26" s="43" t="str">
        <f t="shared" si="4"/>
        <v/>
      </c>
    </row>
    <row r="27" spans="1:9">
      <c r="A27" s="42" t="s">
        <v>1463</v>
      </c>
      <c r="B27" s="41">
        <f t="shared" si="0"/>
        <v>3239</v>
      </c>
      <c r="C27" s="43">
        <f t="shared" si="1"/>
        <v>5.6258033139959007</v>
      </c>
      <c r="E27" s="41">
        <f>SUM(E28:E37)</f>
        <v>2964</v>
      </c>
      <c r="F27" s="43">
        <f t="shared" si="3"/>
        <v>5.3559812070834836</v>
      </c>
      <c r="H27" s="41">
        <f>SUM(H28:H37)</f>
        <v>275</v>
      </c>
      <c r="I27" s="43">
        <f t="shared" si="4"/>
        <v>12.309758281110117</v>
      </c>
    </row>
    <row r="28" spans="1:9">
      <c r="A28" s="42" t="s">
        <v>1464</v>
      </c>
      <c r="B28" s="41">
        <f t="shared" si="0"/>
        <v>314</v>
      </c>
      <c r="C28" s="43">
        <f t="shared" si="1"/>
        <v>0.54538506964949451</v>
      </c>
      <c r="E28" s="592">
        <v>185</v>
      </c>
      <c r="F28" s="43">
        <f t="shared" si="3"/>
        <v>0.33429707264185038</v>
      </c>
      <c r="H28">
        <v>129</v>
      </c>
      <c r="I28" s="593">
        <f t="shared" si="4"/>
        <v>5.7743957027752906</v>
      </c>
    </row>
    <row r="29" spans="1:9">
      <c r="A29" s="594" t="s">
        <v>1465</v>
      </c>
      <c r="B29" s="41">
        <f t="shared" si="0"/>
        <v>177</v>
      </c>
      <c r="C29" s="43">
        <f t="shared" si="1"/>
        <v>0.30743043735019282</v>
      </c>
      <c r="E29" s="592">
        <v>177</v>
      </c>
      <c r="F29" s="43">
        <f t="shared" si="3"/>
        <v>0.31984098301409469</v>
      </c>
      <c r="H29">
        <v>0</v>
      </c>
      <c r="I29" s="593">
        <f t="shared" si="4"/>
        <v>0</v>
      </c>
    </row>
    <row r="30" spans="1:9">
      <c r="A30" s="594" t="s">
        <v>1466</v>
      </c>
      <c r="C30" s="43"/>
      <c r="E30" s="592"/>
      <c r="F30" s="43"/>
      <c r="H30"/>
      <c r="I30" s="593"/>
    </row>
    <row r="31" spans="1:9">
      <c r="A31" s="42" t="s">
        <v>1467</v>
      </c>
      <c r="B31" s="41">
        <f t="shared" si="0"/>
        <v>236</v>
      </c>
      <c r="C31" s="43">
        <f t="shared" si="1"/>
        <v>0.409907249800257</v>
      </c>
      <c r="E31" s="592">
        <v>233</v>
      </c>
      <c r="F31" s="43">
        <f t="shared" si="3"/>
        <v>0.4210336104083845</v>
      </c>
      <c r="H31" s="592">
        <v>3</v>
      </c>
      <c r="I31" s="593">
        <f t="shared" si="4"/>
        <v>0.13428827215756492</v>
      </c>
    </row>
    <row r="32" spans="1:9">
      <c r="A32" t="s">
        <v>1468</v>
      </c>
      <c r="B32" s="41">
        <f t="shared" si="0"/>
        <v>150</v>
      </c>
      <c r="C32" s="43">
        <f t="shared" si="1"/>
        <v>0.26053426894084136</v>
      </c>
      <c r="E32" s="592">
        <v>150</v>
      </c>
      <c r="F32" s="43">
        <f t="shared" si="3"/>
        <v>0.27105168052041922</v>
      </c>
      <c r="H32" s="592">
        <v>0</v>
      </c>
      <c r="I32" s="593">
        <f t="shared" si="4"/>
        <v>0</v>
      </c>
    </row>
    <row r="33" spans="1:10">
      <c r="A33" s="42" t="s">
        <v>1469</v>
      </c>
      <c r="B33" s="41">
        <f t="shared" si="0"/>
        <v>32</v>
      </c>
      <c r="C33" s="43">
        <f t="shared" si="1"/>
        <v>5.5580644040712827E-2</v>
      </c>
      <c r="E33" s="592">
        <v>30</v>
      </c>
      <c r="F33" s="43">
        <f t="shared" si="3"/>
        <v>5.4210336104083844E-2</v>
      </c>
      <c r="H33" s="592">
        <v>2</v>
      </c>
      <c r="I33" s="593">
        <f t="shared" si="4"/>
        <v>8.9525514771709933E-2</v>
      </c>
    </row>
    <row r="34" spans="1:10">
      <c r="A34" s="42" t="s">
        <v>1470</v>
      </c>
      <c r="B34" s="41">
        <f t="shared" si="0"/>
        <v>1</v>
      </c>
      <c r="C34" s="43">
        <f t="shared" si="1"/>
        <v>1.7368951262722759E-3</v>
      </c>
      <c r="E34" s="592">
        <v>1</v>
      </c>
      <c r="F34" s="43">
        <f t="shared" si="3"/>
        <v>1.8070112034694616E-3</v>
      </c>
      <c r="H34" s="592">
        <v>0</v>
      </c>
      <c r="I34" s="593">
        <f t="shared" si="4"/>
        <v>0</v>
      </c>
    </row>
    <row r="35" spans="1:10">
      <c r="A35" s="42" t="s">
        <v>1471</v>
      </c>
      <c r="B35" s="41">
        <f t="shared" si="0"/>
        <v>184</v>
      </c>
      <c r="C35" s="43">
        <f t="shared" si="1"/>
        <v>0.31958870323409871</v>
      </c>
      <c r="E35" s="592">
        <v>165</v>
      </c>
      <c r="F35" s="43">
        <f t="shared" si="3"/>
        <v>0.29815684857246116</v>
      </c>
      <c r="H35" s="592">
        <v>19</v>
      </c>
      <c r="I35" s="43">
        <f t="shared" si="4"/>
        <v>0.85049239033124435</v>
      </c>
    </row>
    <row r="36" spans="1:10">
      <c r="A36" s="42" t="s">
        <v>1472</v>
      </c>
      <c r="B36" s="41">
        <f t="shared" si="0"/>
        <v>2</v>
      </c>
      <c r="C36" s="43">
        <f t="shared" si="1"/>
        <v>3.4737902525445517E-3</v>
      </c>
      <c r="E36" s="592">
        <v>2</v>
      </c>
      <c r="F36" s="43">
        <f t="shared" si="3"/>
        <v>3.6140224069389233E-3</v>
      </c>
      <c r="H36" s="592">
        <v>0</v>
      </c>
      <c r="I36" s="43">
        <f t="shared" si="4"/>
        <v>0</v>
      </c>
    </row>
    <row r="37" spans="1:10">
      <c r="A37" s="42" t="s">
        <v>1473</v>
      </c>
      <c r="B37" s="41">
        <f t="shared" si="0"/>
        <v>2143</v>
      </c>
      <c r="C37" s="43">
        <f t="shared" si="1"/>
        <v>3.7221662556014867</v>
      </c>
      <c r="E37" s="592">
        <v>2021</v>
      </c>
      <c r="F37" s="43">
        <f t="shared" si="3"/>
        <v>3.6519696422117818</v>
      </c>
      <c r="H37" s="592">
        <v>122</v>
      </c>
      <c r="I37" s="43">
        <f t="shared" si="4"/>
        <v>5.4610564010743063</v>
      </c>
    </row>
    <row r="38" spans="1:10">
      <c r="B38" s="41" t="str">
        <f t="shared" si="0"/>
        <v/>
      </c>
      <c r="C38" s="43" t="str">
        <f t="shared" si="1"/>
        <v/>
      </c>
      <c r="F38" s="43" t="str">
        <f t="shared" si="3"/>
        <v/>
      </c>
      <c r="I38" s="43" t="str">
        <f t="shared" si="4"/>
        <v/>
      </c>
    </row>
    <row r="39" spans="1:10">
      <c r="A39" s="63" t="s">
        <v>1474</v>
      </c>
      <c r="B39" s="41">
        <f t="shared" si="0"/>
        <v>46044</v>
      </c>
      <c r="C39" s="43">
        <f t="shared" si="1"/>
        <v>79.973599194080663</v>
      </c>
      <c r="E39" s="41">
        <f>SUM(E40:E44)</f>
        <v>45869</v>
      </c>
      <c r="F39" s="43">
        <f t="shared" si="3"/>
        <v>82.885796891940728</v>
      </c>
      <c r="H39" s="41">
        <f>SUM(H40:H44)</f>
        <v>175</v>
      </c>
      <c r="I39" s="43">
        <f t="shared" si="4"/>
        <v>7.83348254252462</v>
      </c>
    </row>
    <row r="40" spans="1:10">
      <c r="A40" s="42" t="s">
        <v>1475</v>
      </c>
      <c r="B40" s="41">
        <f t="shared" si="0"/>
        <v>200</v>
      </c>
      <c r="C40" s="43">
        <f t="shared" si="1"/>
        <v>0.34737902525445513</v>
      </c>
      <c r="E40" s="595">
        <v>99</v>
      </c>
      <c r="F40" s="43">
        <f t="shared" si="3"/>
        <v>0.1788941091434767</v>
      </c>
      <c r="H40" s="591">
        <v>101</v>
      </c>
      <c r="I40" s="43">
        <f t="shared" si="4"/>
        <v>4.5210384959713519</v>
      </c>
    </row>
    <row r="41" spans="1:10">
      <c r="A41" s="42" t="s">
        <v>1476</v>
      </c>
      <c r="B41" s="41">
        <f t="shared" si="0"/>
        <v>884</v>
      </c>
      <c r="C41" s="43">
        <f t="shared" si="1"/>
        <v>1.5354152916246917</v>
      </c>
      <c r="E41" s="595">
        <v>828</v>
      </c>
      <c r="F41" s="43">
        <f t="shared" si="3"/>
        <v>1.4962052764727141</v>
      </c>
      <c r="H41" s="591">
        <v>56</v>
      </c>
      <c r="I41" s="43">
        <f t="shared" si="4"/>
        <v>2.5067144136078783</v>
      </c>
    </row>
    <row r="42" spans="1:10">
      <c r="A42" s="42" t="s">
        <v>1477</v>
      </c>
      <c r="B42" s="41">
        <f t="shared" si="0"/>
        <v>22</v>
      </c>
      <c r="C42" s="43">
        <f t="shared" si="1"/>
        <v>3.8211692777990067E-2</v>
      </c>
      <c r="E42" s="595">
        <v>17</v>
      </c>
      <c r="F42" s="43">
        <f t="shared" si="3"/>
        <v>3.0719190458980843E-2</v>
      </c>
      <c r="H42" s="591">
        <v>5</v>
      </c>
      <c r="I42" s="43">
        <f t="shared" si="4"/>
        <v>0.22381378692927484</v>
      </c>
    </row>
    <row r="43" spans="1:10">
      <c r="A43" s="42" t="s">
        <v>1478</v>
      </c>
      <c r="B43" s="41">
        <f t="shared" si="0"/>
        <v>217</v>
      </c>
      <c r="C43" s="43">
        <f t="shared" si="1"/>
        <v>0.37690624240108384</v>
      </c>
      <c r="E43" s="595">
        <v>204</v>
      </c>
      <c r="F43" s="43">
        <f t="shared" si="3"/>
        <v>0.36863028550777016</v>
      </c>
      <c r="H43" s="591">
        <v>13</v>
      </c>
      <c r="I43" s="43">
        <f t="shared" si="4"/>
        <v>0.58191584601611457</v>
      </c>
    </row>
    <row r="44" spans="1:10">
      <c r="A44" s="42" t="s">
        <v>1479</v>
      </c>
      <c r="B44" s="41">
        <f>IF($A44&lt;&gt;"",E44+H44,"")</f>
        <v>44721</v>
      </c>
      <c r="C44" s="43">
        <f t="shared" si="1"/>
        <v>77.675686942022438</v>
      </c>
      <c r="E44" s="595">
        <v>44721</v>
      </c>
      <c r="F44" s="43">
        <f t="shared" si="3"/>
        <v>80.811348030357792</v>
      </c>
      <c r="H44" s="596">
        <v>0</v>
      </c>
      <c r="I44" s="43">
        <f t="shared" si="4"/>
        <v>0</v>
      </c>
    </row>
    <row r="45" spans="1:10" ht="15.75" thickBot="1">
      <c r="E45"/>
      <c r="H45"/>
    </row>
    <row r="46" spans="1:10">
      <c r="A46" s="6"/>
      <c r="B46" s="52"/>
      <c r="C46" s="6"/>
      <c r="D46" s="6"/>
      <c r="E46" s="6"/>
      <c r="F46" s="6"/>
      <c r="G46" s="6"/>
      <c r="H46" s="6"/>
      <c r="I46" s="6"/>
      <c r="J46" s="6"/>
    </row>
    <row r="47" spans="1:10" ht="16.5" customHeight="1">
      <c r="A47" s="1307" t="s">
        <v>2208</v>
      </c>
      <c r="B47" s="1307"/>
      <c r="C47" s="1307"/>
      <c r="D47" s="1307"/>
      <c r="E47" s="1307"/>
      <c r="F47" s="1307"/>
      <c r="G47" s="1307"/>
      <c r="H47" s="1307"/>
      <c r="I47" s="1307"/>
      <c r="J47" s="36"/>
    </row>
    <row r="48" spans="1:10" ht="33.75" customHeight="1">
      <c r="A48" s="1308" t="s">
        <v>1480</v>
      </c>
      <c r="B48" s="1308"/>
      <c r="C48" s="1308"/>
      <c r="D48" s="1308"/>
      <c r="E48" s="1308"/>
      <c r="F48" s="1308"/>
      <c r="G48" s="1308"/>
      <c r="H48" s="1308"/>
      <c r="I48" s="1308"/>
      <c r="J48" s="36"/>
    </row>
    <row r="49" spans="1:9">
      <c r="A49" s="256" t="s">
        <v>1481</v>
      </c>
      <c r="B49" s="37"/>
      <c r="C49" s="36"/>
      <c r="D49" s="36"/>
      <c r="E49" s="36"/>
      <c r="F49" s="36"/>
      <c r="G49" s="36"/>
      <c r="H49" s="36"/>
      <c r="I49" s="36"/>
    </row>
    <row r="51" spans="1:9">
      <c r="A51" s="434" t="s">
        <v>1395</v>
      </c>
    </row>
    <row r="52" spans="1:9">
      <c r="A52" s="434" t="s">
        <v>365</v>
      </c>
    </row>
  </sheetData>
  <mergeCells count="7">
    <mergeCell ref="A47:I47"/>
    <mergeCell ref="A48:I48"/>
    <mergeCell ref="E7:F7"/>
    <mergeCell ref="H7:I7"/>
    <mergeCell ref="B8:C8"/>
    <mergeCell ref="E8:F8"/>
    <mergeCell ref="H8:I8"/>
  </mergeCells>
  <printOptions horizontalCentered="1" verticalCentered="1"/>
  <pageMargins left="0" right="0" top="0" bottom="0"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sheetPr>
    <tabColor theme="5" tint="0.59999389629810485"/>
  </sheetPr>
  <dimension ref="A1:D11"/>
  <sheetViews>
    <sheetView workbookViewId="0">
      <selection activeCell="K18" sqref="K18"/>
    </sheetView>
  </sheetViews>
  <sheetFormatPr baseColWidth="10" defaultColWidth="9.140625" defaultRowHeight="15"/>
  <cols>
    <col min="1" max="1" width="21.28515625" customWidth="1"/>
    <col min="2" max="3" width="10.7109375" style="41" customWidth="1"/>
    <col min="4" max="4" width="3.5703125" customWidth="1"/>
    <col min="257" max="257" width="21.28515625" customWidth="1"/>
    <col min="258" max="259" width="10.7109375" customWidth="1"/>
    <col min="260" max="260" width="3.5703125" customWidth="1"/>
    <col min="513" max="513" width="21.28515625" customWidth="1"/>
    <col min="514" max="515" width="10.7109375" customWidth="1"/>
    <col min="516" max="516" width="3.5703125" customWidth="1"/>
    <col min="769" max="769" width="21.28515625" customWidth="1"/>
    <col min="770" max="771" width="10.7109375" customWidth="1"/>
    <col min="772" max="772" width="3.5703125" customWidth="1"/>
    <col min="1025" max="1025" width="21.28515625" customWidth="1"/>
    <col min="1026" max="1027" width="10.7109375" customWidth="1"/>
    <col min="1028" max="1028" width="3.5703125" customWidth="1"/>
    <col min="1281" max="1281" width="21.28515625" customWidth="1"/>
    <col min="1282" max="1283" width="10.7109375" customWidth="1"/>
    <col min="1284" max="1284" width="3.5703125" customWidth="1"/>
    <col min="1537" max="1537" width="21.28515625" customWidth="1"/>
    <col min="1538" max="1539" width="10.7109375" customWidth="1"/>
    <col min="1540" max="1540" width="3.5703125" customWidth="1"/>
    <col min="1793" max="1793" width="21.28515625" customWidth="1"/>
    <col min="1794" max="1795" width="10.7109375" customWidth="1"/>
    <col min="1796" max="1796" width="3.5703125" customWidth="1"/>
    <col min="2049" max="2049" width="21.28515625" customWidth="1"/>
    <col min="2050" max="2051" width="10.7109375" customWidth="1"/>
    <col min="2052" max="2052" width="3.5703125" customWidth="1"/>
    <col min="2305" max="2305" width="21.28515625" customWidth="1"/>
    <col min="2306" max="2307" width="10.7109375" customWidth="1"/>
    <col min="2308" max="2308" width="3.5703125" customWidth="1"/>
    <col min="2561" max="2561" width="21.28515625" customWidth="1"/>
    <col min="2562" max="2563" width="10.7109375" customWidth="1"/>
    <col min="2564" max="2564" width="3.5703125" customWidth="1"/>
    <col min="2817" max="2817" width="21.28515625" customWidth="1"/>
    <col min="2818" max="2819" width="10.7109375" customWidth="1"/>
    <col min="2820" max="2820" width="3.5703125" customWidth="1"/>
    <col min="3073" max="3073" width="21.28515625" customWidth="1"/>
    <col min="3074" max="3075" width="10.7109375" customWidth="1"/>
    <col min="3076" max="3076" width="3.5703125" customWidth="1"/>
    <col min="3329" max="3329" width="21.28515625" customWidth="1"/>
    <col min="3330" max="3331" width="10.7109375" customWidth="1"/>
    <col min="3332" max="3332" width="3.5703125" customWidth="1"/>
    <col min="3585" max="3585" width="21.28515625" customWidth="1"/>
    <col min="3586" max="3587" width="10.7109375" customWidth="1"/>
    <col min="3588" max="3588" width="3.5703125" customWidth="1"/>
    <col min="3841" max="3841" width="21.28515625" customWidth="1"/>
    <col min="3842" max="3843" width="10.7109375" customWidth="1"/>
    <col min="3844" max="3844" width="3.5703125" customWidth="1"/>
    <col min="4097" max="4097" width="21.28515625" customWidth="1"/>
    <col min="4098" max="4099" width="10.7109375" customWidth="1"/>
    <col min="4100" max="4100" width="3.5703125" customWidth="1"/>
    <col min="4353" max="4353" width="21.28515625" customWidth="1"/>
    <col min="4354" max="4355" width="10.7109375" customWidth="1"/>
    <col min="4356" max="4356" width="3.5703125" customWidth="1"/>
    <col min="4609" max="4609" width="21.28515625" customWidth="1"/>
    <col min="4610" max="4611" width="10.7109375" customWidth="1"/>
    <col min="4612" max="4612" width="3.5703125" customWidth="1"/>
    <col min="4865" max="4865" width="21.28515625" customWidth="1"/>
    <col min="4866" max="4867" width="10.7109375" customWidth="1"/>
    <col min="4868" max="4868" width="3.5703125" customWidth="1"/>
    <col min="5121" max="5121" width="21.28515625" customWidth="1"/>
    <col min="5122" max="5123" width="10.7109375" customWidth="1"/>
    <col min="5124" max="5124" width="3.5703125" customWidth="1"/>
    <col min="5377" max="5377" width="21.28515625" customWidth="1"/>
    <col min="5378" max="5379" width="10.7109375" customWidth="1"/>
    <col min="5380" max="5380" width="3.5703125" customWidth="1"/>
    <col min="5633" max="5633" width="21.28515625" customWidth="1"/>
    <col min="5634" max="5635" width="10.7109375" customWidth="1"/>
    <col min="5636" max="5636" width="3.5703125" customWidth="1"/>
    <col min="5889" max="5889" width="21.28515625" customWidth="1"/>
    <col min="5890" max="5891" width="10.7109375" customWidth="1"/>
    <col min="5892" max="5892" width="3.5703125" customWidth="1"/>
    <col min="6145" max="6145" width="21.28515625" customWidth="1"/>
    <col min="6146" max="6147" width="10.7109375" customWidth="1"/>
    <col min="6148" max="6148" width="3.5703125" customWidth="1"/>
    <col min="6401" max="6401" width="21.28515625" customWidth="1"/>
    <col min="6402" max="6403" width="10.7109375" customWidth="1"/>
    <col min="6404" max="6404" width="3.5703125" customWidth="1"/>
    <col min="6657" max="6657" width="21.28515625" customWidth="1"/>
    <col min="6658" max="6659" width="10.7109375" customWidth="1"/>
    <col min="6660" max="6660" width="3.5703125" customWidth="1"/>
    <col min="6913" max="6913" width="21.28515625" customWidth="1"/>
    <col min="6914" max="6915" width="10.7109375" customWidth="1"/>
    <col min="6916" max="6916" width="3.5703125" customWidth="1"/>
    <col min="7169" max="7169" width="21.28515625" customWidth="1"/>
    <col min="7170" max="7171" width="10.7109375" customWidth="1"/>
    <col min="7172" max="7172" width="3.5703125" customWidth="1"/>
    <col min="7425" max="7425" width="21.28515625" customWidth="1"/>
    <col min="7426" max="7427" width="10.7109375" customWidth="1"/>
    <col min="7428" max="7428" width="3.5703125" customWidth="1"/>
    <col min="7681" max="7681" width="21.28515625" customWidth="1"/>
    <col min="7682" max="7683" width="10.7109375" customWidth="1"/>
    <col min="7684" max="7684" width="3.5703125" customWidth="1"/>
    <col min="7937" max="7937" width="21.28515625" customWidth="1"/>
    <col min="7938" max="7939" width="10.7109375" customWidth="1"/>
    <col min="7940" max="7940" width="3.5703125" customWidth="1"/>
    <col min="8193" max="8193" width="21.28515625" customWidth="1"/>
    <col min="8194" max="8195" width="10.7109375" customWidth="1"/>
    <col min="8196" max="8196" width="3.5703125" customWidth="1"/>
    <col min="8449" max="8449" width="21.28515625" customWidth="1"/>
    <col min="8450" max="8451" width="10.7109375" customWidth="1"/>
    <col min="8452" max="8452" width="3.5703125" customWidth="1"/>
    <col min="8705" max="8705" width="21.28515625" customWidth="1"/>
    <col min="8706" max="8707" width="10.7109375" customWidth="1"/>
    <col min="8708" max="8708" width="3.5703125" customWidth="1"/>
    <col min="8961" max="8961" width="21.28515625" customWidth="1"/>
    <col min="8962" max="8963" width="10.7109375" customWidth="1"/>
    <col min="8964" max="8964" width="3.5703125" customWidth="1"/>
    <col min="9217" max="9217" width="21.28515625" customWidth="1"/>
    <col min="9218" max="9219" width="10.7109375" customWidth="1"/>
    <col min="9220" max="9220" width="3.5703125" customWidth="1"/>
    <col min="9473" max="9473" width="21.28515625" customWidth="1"/>
    <col min="9474" max="9475" width="10.7109375" customWidth="1"/>
    <col min="9476" max="9476" width="3.5703125" customWidth="1"/>
    <col min="9729" max="9729" width="21.28515625" customWidth="1"/>
    <col min="9730" max="9731" width="10.7109375" customWidth="1"/>
    <col min="9732" max="9732" width="3.5703125" customWidth="1"/>
    <col min="9985" max="9985" width="21.28515625" customWidth="1"/>
    <col min="9986" max="9987" width="10.7109375" customWidth="1"/>
    <col min="9988" max="9988" width="3.5703125" customWidth="1"/>
    <col min="10241" max="10241" width="21.28515625" customWidth="1"/>
    <col min="10242" max="10243" width="10.7109375" customWidth="1"/>
    <col min="10244" max="10244" width="3.5703125" customWidth="1"/>
    <col min="10497" max="10497" width="21.28515625" customWidth="1"/>
    <col min="10498" max="10499" width="10.7109375" customWidth="1"/>
    <col min="10500" max="10500" width="3.5703125" customWidth="1"/>
    <col min="10753" max="10753" width="21.28515625" customWidth="1"/>
    <col min="10754" max="10755" width="10.7109375" customWidth="1"/>
    <col min="10756" max="10756" width="3.5703125" customWidth="1"/>
    <col min="11009" max="11009" width="21.28515625" customWidth="1"/>
    <col min="11010" max="11011" width="10.7109375" customWidth="1"/>
    <col min="11012" max="11012" width="3.5703125" customWidth="1"/>
    <col min="11265" max="11265" width="21.28515625" customWidth="1"/>
    <col min="11266" max="11267" width="10.7109375" customWidth="1"/>
    <col min="11268" max="11268" width="3.5703125" customWidth="1"/>
    <col min="11521" max="11521" width="21.28515625" customWidth="1"/>
    <col min="11522" max="11523" width="10.7109375" customWidth="1"/>
    <col min="11524" max="11524" width="3.5703125" customWidth="1"/>
    <col min="11777" max="11777" width="21.28515625" customWidth="1"/>
    <col min="11778" max="11779" width="10.7109375" customWidth="1"/>
    <col min="11780" max="11780" width="3.5703125" customWidth="1"/>
    <col min="12033" max="12033" width="21.28515625" customWidth="1"/>
    <col min="12034" max="12035" width="10.7109375" customWidth="1"/>
    <col min="12036" max="12036" width="3.5703125" customWidth="1"/>
    <col min="12289" max="12289" width="21.28515625" customWidth="1"/>
    <col min="12290" max="12291" width="10.7109375" customWidth="1"/>
    <col min="12292" max="12292" width="3.5703125" customWidth="1"/>
    <col min="12545" max="12545" width="21.28515625" customWidth="1"/>
    <col min="12546" max="12547" width="10.7109375" customWidth="1"/>
    <col min="12548" max="12548" width="3.5703125" customWidth="1"/>
    <col min="12801" max="12801" width="21.28515625" customWidth="1"/>
    <col min="12802" max="12803" width="10.7109375" customWidth="1"/>
    <col min="12804" max="12804" width="3.5703125" customWidth="1"/>
    <col min="13057" max="13057" width="21.28515625" customWidth="1"/>
    <col min="13058" max="13059" width="10.7109375" customWidth="1"/>
    <col min="13060" max="13060" width="3.5703125" customWidth="1"/>
    <col min="13313" max="13313" width="21.28515625" customWidth="1"/>
    <col min="13314" max="13315" width="10.7109375" customWidth="1"/>
    <col min="13316" max="13316" width="3.5703125" customWidth="1"/>
    <col min="13569" max="13569" width="21.28515625" customWidth="1"/>
    <col min="13570" max="13571" width="10.7109375" customWidth="1"/>
    <col min="13572" max="13572" width="3.5703125" customWidth="1"/>
    <col min="13825" max="13825" width="21.28515625" customWidth="1"/>
    <col min="13826" max="13827" width="10.7109375" customWidth="1"/>
    <col min="13828" max="13828" width="3.5703125" customWidth="1"/>
    <col min="14081" max="14081" width="21.28515625" customWidth="1"/>
    <col min="14082" max="14083" width="10.7109375" customWidth="1"/>
    <col min="14084" max="14084" width="3.5703125" customWidth="1"/>
    <col min="14337" max="14337" width="21.28515625" customWidth="1"/>
    <col min="14338" max="14339" width="10.7109375" customWidth="1"/>
    <col min="14340" max="14340" width="3.5703125" customWidth="1"/>
    <col min="14593" max="14593" width="21.28515625" customWidth="1"/>
    <col min="14594" max="14595" width="10.7109375" customWidth="1"/>
    <col min="14596" max="14596" width="3.5703125" customWidth="1"/>
    <col min="14849" max="14849" width="21.28515625" customWidth="1"/>
    <col min="14850" max="14851" width="10.7109375" customWidth="1"/>
    <col min="14852" max="14852" width="3.5703125" customWidth="1"/>
    <col min="15105" max="15105" width="21.28515625" customWidth="1"/>
    <col min="15106" max="15107" width="10.7109375" customWidth="1"/>
    <col min="15108" max="15108" width="3.5703125" customWidth="1"/>
    <col min="15361" max="15361" width="21.28515625" customWidth="1"/>
    <col min="15362" max="15363" width="10.7109375" customWidth="1"/>
    <col min="15364" max="15364" width="3.5703125" customWidth="1"/>
    <col min="15617" max="15617" width="21.28515625" customWidth="1"/>
    <col min="15618" max="15619" width="10.7109375" customWidth="1"/>
    <col min="15620" max="15620" width="3.5703125" customWidth="1"/>
    <col min="15873" max="15873" width="21.28515625" customWidth="1"/>
    <col min="15874" max="15875" width="10.7109375" customWidth="1"/>
    <col min="15876" max="15876" width="3.5703125" customWidth="1"/>
    <col min="16129" max="16129" width="21.28515625" customWidth="1"/>
    <col min="16130" max="16131" width="10.7109375" customWidth="1"/>
    <col min="16132" max="16132" width="3.5703125" customWidth="1"/>
  </cols>
  <sheetData>
    <row r="1" spans="1:4" ht="15" customHeight="1">
      <c r="A1" s="36"/>
      <c r="B1" s="37" t="s">
        <v>277</v>
      </c>
      <c r="C1" s="37" t="s">
        <v>278</v>
      </c>
      <c r="D1" s="38"/>
    </row>
    <row r="2" spans="1:4">
      <c r="A2" s="39" t="s">
        <v>279</v>
      </c>
      <c r="B2" s="40">
        <v>1687</v>
      </c>
      <c r="C2" s="40">
        <v>4380</v>
      </c>
    </row>
    <row r="3" spans="1:4">
      <c r="A3" s="39" t="s">
        <v>280</v>
      </c>
      <c r="B3" s="40">
        <v>1677</v>
      </c>
      <c r="C3" s="40">
        <v>4361</v>
      </c>
    </row>
    <row r="4" spans="1:4">
      <c r="A4" s="39" t="s">
        <v>281</v>
      </c>
      <c r="B4" s="40">
        <v>1749</v>
      </c>
      <c r="C4" s="40">
        <v>4325</v>
      </c>
    </row>
    <row r="5" spans="1:4">
      <c r="A5" s="39" t="s">
        <v>282</v>
      </c>
      <c r="B5" s="40">
        <v>1730</v>
      </c>
      <c r="C5" s="40">
        <v>4548</v>
      </c>
    </row>
    <row r="6" spans="1:4">
      <c r="A6" s="39" t="s">
        <v>283</v>
      </c>
      <c r="B6" s="40">
        <v>1920</v>
      </c>
      <c r="C6" s="40">
        <v>4132</v>
      </c>
    </row>
    <row r="7" spans="1:4">
      <c r="A7" s="39" t="s">
        <v>284</v>
      </c>
      <c r="B7" s="40">
        <v>1867</v>
      </c>
      <c r="C7" s="40">
        <v>4152</v>
      </c>
    </row>
    <row r="8" spans="1:4">
      <c r="A8" s="39" t="s">
        <v>285</v>
      </c>
      <c r="B8" s="40">
        <v>1875</v>
      </c>
      <c r="C8" s="40">
        <v>4225</v>
      </c>
    </row>
    <row r="9" spans="1:4">
      <c r="A9" s="39" t="s">
        <v>286</v>
      </c>
      <c r="B9" s="40">
        <v>1877</v>
      </c>
      <c r="C9" s="40">
        <v>4256</v>
      </c>
    </row>
    <row r="10" spans="1:4">
      <c r="A10" s="39" t="s">
        <v>287</v>
      </c>
      <c r="B10" s="40">
        <v>1950</v>
      </c>
      <c r="C10" s="40">
        <v>4350</v>
      </c>
    </row>
    <row r="11" spans="1:4">
      <c r="A11" s="39" t="s">
        <v>288</v>
      </c>
      <c r="B11" s="40">
        <v>1867</v>
      </c>
      <c r="C11" s="40">
        <v>4093</v>
      </c>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dimension ref="A1:P56"/>
  <sheetViews>
    <sheetView topLeftCell="A22" workbookViewId="0">
      <selection activeCell="A40" sqref="A40"/>
    </sheetView>
  </sheetViews>
  <sheetFormatPr baseColWidth="10" defaultColWidth="9.140625" defaultRowHeight="15"/>
  <cols>
    <col min="1" max="1" width="34" customWidth="1"/>
    <col min="2" max="2" width="10" style="41" customWidth="1"/>
    <col min="3" max="3" width="9.140625" customWidth="1"/>
    <col min="4" max="4" width="2.7109375" customWidth="1"/>
    <col min="5" max="5" width="8.85546875" style="41" customWidth="1"/>
    <col min="6" max="6" width="9.140625" customWidth="1"/>
    <col min="7" max="7" width="2.7109375" customWidth="1"/>
    <col min="8" max="8" width="8.85546875" style="41" customWidth="1"/>
    <col min="9" max="9" width="9.140625" customWidth="1"/>
    <col min="10" max="10" width="2.7109375" customWidth="1"/>
    <col min="11" max="11" width="8.85546875" style="41" customWidth="1"/>
    <col min="12" max="12" width="9.140625" customWidth="1"/>
    <col min="13" max="13" width="2.7109375" customWidth="1"/>
    <col min="14" max="14" width="8.85546875" style="41" customWidth="1"/>
    <col min="15" max="15" width="9.140625" customWidth="1"/>
    <col min="16" max="16" width="2.7109375" customWidth="1"/>
    <col min="257" max="257" width="34" customWidth="1"/>
    <col min="258" max="258" width="10" customWidth="1"/>
    <col min="259" max="259" width="9.140625" customWidth="1"/>
    <col min="260" max="260" width="2.7109375" customWidth="1"/>
    <col min="261" max="261" width="8.85546875" customWidth="1"/>
    <col min="262" max="262" width="9.140625" customWidth="1"/>
    <col min="263" max="263" width="2.7109375" customWidth="1"/>
    <col min="264" max="264" width="8.85546875" customWidth="1"/>
    <col min="265" max="265" width="9.140625" customWidth="1"/>
    <col min="266" max="266" width="2.7109375" customWidth="1"/>
    <col min="267" max="267" width="8.85546875" customWidth="1"/>
    <col min="268" max="268" width="9.140625" customWidth="1"/>
    <col min="269" max="269" width="2.7109375" customWidth="1"/>
    <col min="270" max="270" width="8.85546875" customWidth="1"/>
    <col min="271" max="271" width="9.140625" customWidth="1"/>
    <col min="272" max="272" width="2.7109375" customWidth="1"/>
    <col min="513" max="513" width="34" customWidth="1"/>
    <col min="514" max="514" width="10" customWidth="1"/>
    <col min="515" max="515" width="9.140625" customWidth="1"/>
    <col min="516" max="516" width="2.7109375" customWidth="1"/>
    <col min="517" max="517" width="8.85546875" customWidth="1"/>
    <col min="518" max="518" width="9.140625" customWidth="1"/>
    <col min="519" max="519" width="2.7109375" customWidth="1"/>
    <col min="520" max="520" width="8.85546875" customWidth="1"/>
    <col min="521" max="521" width="9.140625" customWidth="1"/>
    <col min="522" max="522" width="2.7109375" customWidth="1"/>
    <col min="523" max="523" width="8.85546875" customWidth="1"/>
    <col min="524" max="524" width="9.140625" customWidth="1"/>
    <col min="525" max="525" width="2.7109375" customWidth="1"/>
    <col min="526" max="526" width="8.85546875" customWidth="1"/>
    <col min="527" max="527" width="9.140625" customWidth="1"/>
    <col min="528" max="528" width="2.7109375" customWidth="1"/>
    <col min="769" max="769" width="34" customWidth="1"/>
    <col min="770" max="770" width="10" customWidth="1"/>
    <col min="771" max="771" width="9.140625" customWidth="1"/>
    <col min="772" max="772" width="2.7109375" customWidth="1"/>
    <col min="773" max="773" width="8.85546875" customWidth="1"/>
    <col min="774" max="774" width="9.140625" customWidth="1"/>
    <col min="775" max="775" width="2.7109375" customWidth="1"/>
    <col min="776" max="776" width="8.85546875" customWidth="1"/>
    <col min="777" max="777" width="9.140625" customWidth="1"/>
    <col min="778" max="778" width="2.7109375" customWidth="1"/>
    <col min="779" max="779" width="8.85546875" customWidth="1"/>
    <col min="780" max="780" width="9.140625" customWidth="1"/>
    <col min="781" max="781" width="2.7109375" customWidth="1"/>
    <col min="782" max="782" width="8.85546875" customWidth="1"/>
    <col min="783" max="783" width="9.140625" customWidth="1"/>
    <col min="784" max="784" width="2.7109375" customWidth="1"/>
    <col min="1025" max="1025" width="34" customWidth="1"/>
    <col min="1026" max="1026" width="10" customWidth="1"/>
    <col min="1027" max="1027" width="9.140625" customWidth="1"/>
    <col min="1028" max="1028" width="2.7109375" customWidth="1"/>
    <col min="1029" max="1029" width="8.85546875" customWidth="1"/>
    <col min="1030" max="1030" width="9.140625" customWidth="1"/>
    <col min="1031" max="1031" width="2.7109375" customWidth="1"/>
    <col min="1032" max="1032" width="8.85546875" customWidth="1"/>
    <col min="1033" max="1033" width="9.140625" customWidth="1"/>
    <col min="1034" max="1034" width="2.7109375" customWidth="1"/>
    <col min="1035" max="1035" width="8.85546875" customWidth="1"/>
    <col min="1036" max="1036" width="9.140625" customWidth="1"/>
    <col min="1037" max="1037" width="2.7109375" customWidth="1"/>
    <col min="1038" max="1038" width="8.85546875" customWidth="1"/>
    <col min="1039" max="1039" width="9.140625" customWidth="1"/>
    <col min="1040" max="1040" width="2.7109375" customWidth="1"/>
    <col min="1281" max="1281" width="34" customWidth="1"/>
    <col min="1282" max="1282" width="10" customWidth="1"/>
    <col min="1283" max="1283" width="9.140625" customWidth="1"/>
    <col min="1284" max="1284" width="2.7109375" customWidth="1"/>
    <col min="1285" max="1285" width="8.85546875" customWidth="1"/>
    <col min="1286" max="1286" width="9.140625" customWidth="1"/>
    <col min="1287" max="1287" width="2.7109375" customWidth="1"/>
    <col min="1288" max="1288" width="8.85546875" customWidth="1"/>
    <col min="1289" max="1289" width="9.140625" customWidth="1"/>
    <col min="1290" max="1290" width="2.7109375" customWidth="1"/>
    <col min="1291" max="1291" width="8.85546875" customWidth="1"/>
    <col min="1292" max="1292" width="9.140625" customWidth="1"/>
    <col min="1293" max="1293" width="2.7109375" customWidth="1"/>
    <col min="1294" max="1294" width="8.85546875" customWidth="1"/>
    <col min="1295" max="1295" width="9.140625" customWidth="1"/>
    <col min="1296" max="1296" width="2.7109375" customWidth="1"/>
    <col min="1537" max="1537" width="34" customWidth="1"/>
    <col min="1538" max="1538" width="10" customWidth="1"/>
    <col min="1539" max="1539" width="9.140625" customWidth="1"/>
    <col min="1540" max="1540" width="2.7109375" customWidth="1"/>
    <col min="1541" max="1541" width="8.85546875" customWidth="1"/>
    <col min="1542" max="1542" width="9.140625" customWidth="1"/>
    <col min="1543" max="1543" width="2.7109375" customWidth="1"/>
    <col min="1544" max="1544" width="8.85546875" customWidth="1"/>
    <col min="1545" max="1545" width="9.140625" customWidth="1"/>
    <col min="1546" max="1546" width="2.7109375" customWidth="1"/>
    <col min="1547" max="1547" width="8.85546875" customWidth="1"/>
    <col min="1548" max="1548" width="9.140625" customWidth="1"/>
    <col min="1549" max="1549" width="2.7109375" customWidth="1"/>
    <col min="1550" max="1550" width="8.85546875" customWidth="1"/>
    <col min="1551" max="1551" width="9.140625" customWidth="1"/>
    <col min="1552" max="1552" width="2.7109375" customWidth="1"/>
    <col min="1793" max="1793" width="34" customWidth="1"/>
    <col min="1794" max="1794" width="10" customWidth="1"/>
    <col min="1795" max="1795" width="9.140625" customWidth="1"/>
    <col min="1796" max="1796" width="2.7109375" customWidth="1"/>
    <col min="1797" max="1797" width="8.85546875" customWidth="1"/>
    <col min="1798" max="1798" width="9.140625" customWidth="1"/>
    <col min="1799" max="1799" width="2.7109375" customWidth="1"/>
    <col min="1800" max="1800" width="8.85546875" customWidth="1"/>
    <col min="1801" max="1801" width="9.140625" customWidth="1"/>
    <col min="1802" max="1802" width="2.7109375" customWidth="1"/>
    <col min="1803" max="1803" width="8.85546875" customWidth="1"/>
    <col min="1804" max="1804" width="9.140625" customWidth="1"/>
    <col min="1805" max="1805" width="2.7109375" customWidth="1"/>
    <col min="1806" max="1806" width="8.85546875" customWidth="1"/>
    <col min="1807" max="1807" width="9.140625" customWidth="1"/>
    <col min="1808" max="1808" width="2.7109375" customWidth="1"/>
    <col min="2049" max="2049" width="34" customWidth="1"/>
    <col min="2050" max="2050" width="10" customWidth="1"/>
    <col min="2051" max="2051" width="9.140625" customWidth="1"/>
    <col min="2052" max="2052" width="2.7109375" customWidth="1"/>
    <col min="2053" max="2053" width="8.85546875" customWidth="1"/>
    <col min="2054" max="2054" width="9.140625" customWidth="1"/>
    <col min="2055" max="2055" width="2.7109375" customWidth="1"/>
    <col min="2056" max="2056" width="8.85546875" customWidth="1"/>
    <col min="2057" max="2057" width="9.140625" customWidth="1"/>
    <col min="2058" max="2058" width="2.7109375" customWidth="1"/>
    <col min="2059" max="2059" width="8.85546875" customWidth="1"/>
    <col min="2060" max="2060" width="9.140625" customWidth="1"/>
    <col min="2061" max="2061" width="2.7109375" customWidth="1"/>
    <col min="2062" max="2062" width="8.85546875" customWidth="1"/>
    <col min="2063" max="2063" width="9.140625" customWidth="1"/>
    <col min="2064" max="2064" width="2.7109375" customWidth="1"/>
    <col min="2305" max="2305" width="34" customWidth="1"/>
    <col min="2306" max="2306" width="10" customWidth="1"/>
    <col min="2307" max="2307" width="9.140625" customWidth="1"/>
    <col min="2308" max="2308" width="2.7109375" customWidth="1"/>
    <col min="2309" max="2309" width="8.85546875" customWidth="1"/>
    <col min="2310" max="2310" width="9.140625" customWidth="1"/>
    <col min="2311" max="2311" width="2.7109375" customWidth="1"/>
    <col min="2312" max="2312" width="8.85546875" customWidth="1"/>
    <col min="2313" max="2313" width="9.140625" customWidth="1"/>
    <col min="2314" max="2314" width="2.7109375" customWidth="1"/>
    <col min="2315" max="2315" width="8.85546875" customWidth="1"/>
    <col min="2316" max="2316" width="9.140625" customWidth="1"/>
    <col min="2317" max="2317" width="2.7109375" customWidth="1"/>
    <col min="2318" max="2318" width="8.85546875" customWidth="1"/>
    <col min="2319" max="2319" width="9.140625" customWidth="1"/>
    <col min="2320" max="2320" width="2.7109375" customWidth="1"/>
    <col min="2561" max="2561" width="34" customWidth="1"/>
    <col min="2562" max="2562" width="10" customWidth="1"/>
    <col min="2563" max="2563" width="9.140625" customWidth="1"/>
    <col min="2564" max="2564" width="2.7109375" customWidth="1"/>
    <col min="2565" max="2565" width="8.85546875" customWidth="1"/>
    <col min="2566" max="2566" width="9.140625" customWidth="1"/>
    <col min="2567" max="2567" width="2.7109375" customWidth="1"/>
    <col min="2568" max="2568" width="8.85546875" customWidth="1"/>
    <col min="2569" max="2569" width="9.140625" customWidth="1"/>
    <col min="2570" max="2570" width="2.7109375" customWidth="1"/>
    <col min="2571" max="2571" width="8.85546875" customWidth="1"/>
    <col min="2572" max="2572" width="9.140625" customWidth="1"/>
    <col min="2573" max="2573" width="2.7109375" customWidth="1"/>
    <col min="2574" max="2574" width="8.85546875" customWidth="1"/>
    <col min="2575" max="2575" width="9.140625" customWidth="1"/>
    <col min="2576" max="2576" width="2.7109375" customWidth="1"/>
    <col min="2817" max="2817" width="34" customWidth="1"/>
    <col min="2818" max="2818" width="10" customWidth="1"/>
    <col min="2819" max="2819" width="9.140625" customWidth="1"/>
    <col min="2820" max="2820" width="2.7109375" customWidth="1"/>
    <col min="2821" max="2821" width="8.85546875" customWidth="1"/>
    <col min="2822" max="2822" width="9.140625" customWidth="1"/>
    <col min="2823" max="2823" width="2.7109375" customWidth="1"/>
    <col min="2824" max="2824" width="8.85546875" customWidth="1"/>
    <col min="2825" max="2825" width="9.140625" customWidth="1"/>
    <col min="2826" max="2826" width="2.7109375" customWidth="1"/>
    <col min="2827" max="2827" width="8.85546875" customWidth="1"/>
    <col min="2828" max="2828" width="9.140625" customWidth="1"/>
    <col min="2829" max="2829" width="2.7109375" customWidth="1"/>
    <col min="2830" max="2830" width="8.85546875" customWidth="1"/>
    <col min="2831" max="2831" width="9.140625" customWidth="1"/>
    <col min="2832" max="2832" width="2.7109375" customWidth="1"/>
    <col min="3073" max="3073" width="34" customWidth="1"/>
    <col min="3074" max="3074" width="10" customWidth="1"/>
    <col min="3075" max="3075" width="9.140625" customWidth="1"/>
    <col min="3076" max="3076" width="2.7109375" customWidth="1"/>
    <col min="3077" max="3077" width="8.85546875" customWidth="1"/>
    <col min="3078" max="3078" width="9.140625" customWidth="1"/>
    <col min="3079" max="3079" width="2.7109375" customWidth="1"/>
    <col min="3080" max="3080" width="8.85546875" customWidth="1"/>
    <col min="3081" max="3081" width="9.140625" customWidth="1"/>
    <col min="3082" max="3082" width="2.7109375" customWidth="1"/>
    <col min="3083" max="3083" width="8.85546875" customWidth="1"/>
    <col min="3084" max="3084" width="9.140625" customWidth="1"/>
    <col min="3085" max="3085" width="2.7109375" customWidth="1"/>
    <col min="3086" max="3086" width="8.85546875" customWidth="1"/>
    <col min="3087" max="3087" width="9.140625" customWidth="1"/>
    <col min="3088" max="3088" width="2.7109375" customWidth="1"/>
    <col min="3329" max="3329" width="34" customWidth="1"/>
    <col min="3330" max="3330" width="10" customWidth="1"/>
    <col min="3331" max="3331" width="9.140625" customWidth="1"/>
    <col min="3332" max="3332" width="2.7109375" customWidth="1"/>
    <col min="3333" max="3333" width="8.85546875" customWidth="1"/>
    <col min="3334" max="3334" width="9.140625" customWidth="1"/>
    <col min="3335" max="3335" width="2.7109375" customWidth="1"/>
    <col min="3336" max="3336" width="8.85546875" customWidth="1"/>
    <col min="3337" max="3337" width="9.140625" customWidth="1"/>
    <col min="3338" max="3338" width="2.7109375" customWidth="1"/>
    <col min="3339" max="3339" width="8.85546875" customWidth="1"/>
    <col min="3340" max="3340" width="9.140625" customWidth="1"/>
    <col min="3341" max="3341" width="2.7109375" customWidth="1"/>
    <col min="3342" max="3342" width="8.85546875" customWidth="1"/>
    <col min="3343" max="3343" width="9.140625" customWidth="1"/>
    <col min="3344" max="3344" width="2.7109375" customWidth="1"/>
    <col min="3585" max="3585" width="34" customWidth="1"/>
    <col min="3586" max="3586" width="10" customWidth="1"/>
    <col min="3587" max="3587" width="9.140625" customWidth="1"/>
    <col min="3588" max="3588" width="2.7109375" customWidth="1"/>
    <col min="3589" max="3589" width="8.85546875" customWidth="1"/>
    <col min="3590" max="3590" width="9.140625" customWidth="1"/>
    <col min="3591" max="3591" width="2.7109375" customWidth="1"/>
    <col min="3592" max="3592" width="8.85546875" customWidth="1"/>
    <col min="3593" max="3593" width="9.140625" customWidth="1"/>
    <col min="3594" max="3594" width="2.7109375" customWidth="1"/>
    <col min="3595" max="3595" width="8.85546875" customWidth="1"/>
    <col min="3596" max="3596" width="9.140625" customWidth="1"/>
    <col min="3597" max="3597" width="2.7109375" customWidth="1"/>
    <col min="3598" max="3598" width="8.85546875" customWidth="1"/>
    <col min="3599" max="3599" width="9.140625" customWidth="1"/>
    <col min="3600" max="3600" width="2.7109375" customWidth="1"/>
    <col min="3841" max="3841" width="34" customWidth="1"/>
    <col min="3842" max="3842" width="10" customWidth="1"/>
    <col min="3843" max="3843" width="9.140625" customWidth="1"/>
    <col min="3844" max="3844" width="2.7109375" customWidth="1"/>
    <col min="3845" max="3845" width="8.85546875" customWidth="1"/>
    <col min="3846" max="3846" width="9.140625" customWidth="1"/>
    <col min="3847" max="3847" width="2.7109375" customWidth="1"/>
    <col min="3848" max="3848" width="8.85546875" customWidth="1"/>
    <col min="3849" max="3849" width="9.140625" customWidth="1"/>
    <col min="3850" max="3850" width="2.7109375" customWidth="1"/>
    <col min="3851" max="3851" width="8.85546875" customWidth="1"/>
    <col min="3852" max="3852" width="9.140625" customWidth="1"/>
    <col min="3853" max="3853" width="2.7109375" customWidth="1"/>
    <col min="3854" max="3854" width="8.85546875" customWidth="1"/>
    <col min="3855" max="3855" width="9.140625" customWidth="1"/>
    <col min="3856" max="3856" width="2.7109375" customWidth="1"/>
    <col min="4097" max="4097" width="34" customWidth="1"/>
    <col min="4098" max="4098" width="10" customWidth="1"/>
    <col min="4099" max="4099" width="9.140625" customWidth="1"/>
    <col min="4100" max="4100" width="2.7109375" customWidth="1"/>
    <col min="4101" max="4101" width="8.85546875" customWidth="1"/>
    <col min="4102" max="4102" width="9.140625" customWidth="1"/>
    <col min="4103" max="4103" width="2.7109375" customWidth="1"/>
    <col min="4104" max="4104" width="8.85546875" customWidth="1"/>
    <col min="4105" max="4105" width="9.140625" customWidth="1"/>
    <col min="4106" max="4106" width="2.7109375" customWidth="1"/>
    <col min="4107" max="4107" width="8.85546875" customWidth="1"/>
    <col min="4108" max="4108" width="9.140625" customWidth="1"/>
    <col min="4109" max="4109" width="2.7109375" customWidth="1"/>
    <col min="4110" max="4110" width="8.85546875" customWidth="1"/>
    <col min="4111" max="4111" width="9.140625" customWidth="1"/>
    <col min="4112" max="4112" width="2.7109375" customWidth="1"/>
    <col min="4353" max="4353" width="34" customWidth="1"/>
    <col min="4354" max="4354" width="10" customWidth="1"/>
    <col min="4355" max="4355" width="9.140625" customWidth="1"/>
    <col min="4356" max="4356" width="2.7109375" customWidth="1"/>
    <col min="4357" max="4357" width="8.85546875" customWidth="1"/>
    <col min="4358" max="4358" width="9.140625" customWidth="1"/>
    <col min="4359" max="4359" width="2.7109375" customWidth="1"/>
    <col min="4360" max="4360" width="8.85546875" customWidth="1"/>
    <col min="4361" max="4361" width="9.140625" customWidth="1"/>
    <col min="4362" max="4362" width="2.7109375" customWidth="1"/>
    <col min="4363" max="4363" width="8.85546875" customWidth="1"/>
    <col min="4364" max="4364" width="9.140625" customWidth="1"/>
    <col min="4365" max="4365" width="2.7109375" customWidth="1"/>
    <col min="4366" max="4366" width="8.85546875" customWidth="1"/>
    <col min="4367" max="4367" width="9.140625" customWidth="1"/>
    <col min="4368" max="4368" width="2.7109375" customWidth="1"/>
    <col min="4609" max="4609" width="34" customWidth="1"/>
    <col min="4610" max="4610" width="10" customWidth="1"/>
    <col min="4611" max="4611" width="9.140625" customWidth="1"/>
    <col min="4612" max="4612" width="2.7109375" customWidth="1"/>
    <col min="4613" max="4613" width="8.85546875" customWidth="1"/>
    <col min="4614" max="4614" width="9.140625" customWidth="1"/>
    <col min="4615" max="4615" width="2.7109375" customWidth="1"/>
    <col min="4616" max="4616" width="8.85546875" customWidth="1"/>
    <col min="4617" max="4617" width="9.140625" customWidth="1"/>
    <col min="4618" max="4618" width="2.7109375" customWidth="1"/>
    <col min="4619" max="4619" width="8.85546875" customWidth="1"/>
    <col min="4620" max="4620" width="9.140625" customWidth="1"/>
    <col min="4621" max="4621" width="2.7109375" customWidth="1"/>
    <col min="4622" max="4622" width="8.85546875" customWidth="1"/>
    <col min="4623" max="4623" width="9.140625" customWidth="1"/>
    <col min="4624" max="4624" width="2.7109375" customWidth="1"/>
    <col min="4865" max="4865" width="34" customWidth="1"/>
    <col min="4866" max="4866" width="10" customWidth="1"/>
    <col min="4867" max="4867" width="9.140625" customWidth="1"/>
    <col min="4868" max="4868" width="2.7109375" customWidth="1"/>
    <col min="4869" max="4869" width="8.85546875" customWidth="1"/>
    <col min="4870" max="4870" width="9.140625" customWidth="1"/>
    <col min="4871" max="4871" width="2.7109375" customWidth="1"/>
    <col min="4872" max="4872" width="8.85546875" customWidth="1"/>
    <col min="4873" max="4873" width="9.140625" customWidth="1"/>
    <col min="4874" max="4874" width="2.7109375" customWidth="1"/>
    <col min="4875" max="4875" width="8.85546875" customWidth="1"/>
    <col min="4876" max="4876" width="9.140625" customWidth="1"/>
    <col min="4877" max="4877" width="2.7109375" customWidth="1"/>
    <col min="4878" max="4878" width="8.85546875" customWidth="1"/>
    <col min="4879" max="4879" width="9.140625" customWidth="1"/>
    <col min="4880" max="4880" width="2.7109375" customWidth="1"/>
    <col min="5121" max="5121" width="34" customWidth="1"/>
    <col min="5122" max="5122" width="10" customWidth="1"/>
    <col min="5123" max="5123" width="9.140625" customWidth="1"/>
    <col min="5124" max="5124" width="2.7109375" customWidth="1"/>
    <col min="5125" max="5125" width="8.85546875" customWidth="1"/>
    <col min="5126" max="5126" width="9.140625" customWidth="1"/>
    <col min="5127" max="5127" width="2.7109375" customWidth="1"/>
    <col min="5128" max="5128" width="8.85546875" customWidth="1"/>
    <col min="5129" max="5129" width="9.140625" customWidth="1"/>
    <col min="5130" max="5130" width="2.7109375" customWidth="1"/>
    <col min="5131" max="5131" width="8.85546875" customWidth="1"/>
    <col min="5132" max="5132" width="9.140625" customWidth="1"/>
    <col min="5133" max="5133" width="2.7109375" customWidth="1"/>
    <col min="5134" max="5134" width="8.85546875" customWidth="1"/>
    <col min="5135" max="5135" width="9.140625" customWidth="1"/>
    <col min="5136" max="5136" width="2.7109375" customWidth="1"/>
    <col min="5377" max="5377" width="34" customWidth="1"/>
    <col min="5378" max="5378" width="10" customWidth="1"/>
    <col min="5379" max="5379" width="9.140625" customWidth="1"/>
    <col min="5380" max="5380" width="2.7109375" customWidth="1"/>
    <col min="5381" max="5381" width="8.85546875" customWidth="1"/>
    <col min="5382" max="5382" width="9.140625" customWidth="1"/>
    <col min="5383" max="5383" width="2.7109375" customWidth="1"/>
    <col min="5384" max="5384" width="8.85546875" customWidth="1"/>
    <col min="5385" max="5385" width="9.140625" customWidth="1"/>
    <col min="5386" max="5386" width="2.7109375" customWidth="1"/>
    <col min="5387" max="5387" width="8.85546875" customWidth="1"/>
    <col min="5388" max="5388" width="9.140625" customWidth="1"/>
    <col min="5389" max="5389" width="2.7109375" customWidth="1"/>
    <col min="5390" max="5390" width="8.85546875" customWidth="1"/>
    <col min="5391" max="5391" width="9.140625" customWidth="1"/>
    <col min="5392" max="5392" width="2.7109375" customWidth="1"/>
    <col min="5633" max="5633" width="34" customWidth="1"/>
    <col min="5634" max="5634" width="10" customWidth="1"/>
    <col min="5635" max="5635" width="9.140625" customWidth="1"/>
    <col min="5636" max="5636" width="2.7109375" customWidth="1"/>
    <col min="5637" max="5637" width="8.85546875" customWidth="1"/>
    <col min="5638" max="5638" width="9.140625" customWidth="1"/>
    <col min="5639" max="5639" width="2.7109375" customWidth="1"/>
    <col min="5640" max="5640" width="8.85546875" customWidth="1"/>
    <col min="5641" max="5641" width="9.140625" customWidth="1"/>
    <col min="5642" max="5642" width="2.7109375" customWidth="1"/>
    <col min="5643" max="5643" width="8.85546875" customWidth="1"/>
    <col min="5644" max="5644" width="9.140625" customWidth="1"/>
    <col min="5645" max="5645" width="2.7109375" customWidth="1"/>
    <col min="5646" max="5646" width="8.85546875" customWidth="1"/>
    <col min="5647" max="5647" width="9.140625" customWidth="1"/>
    <col min="5648" max="5648" width="2.7109375" customWidth="1"/>
    <col min="5889" max="5889" width="34" customWidth="1"/>
    <col min="5890" max="5890" width="10" customWidth="1"/>
    <col min="5891" max="5891" width="9.140625" customWidth="1"/>
    <col min="5892" max="5892" width="2.7109375" customWidth="1"/>
    <col min="5893" max="5893" width="8.85546875" customWidth="1"/>
    <col min="5894" max="5894" width="9.140625" customWidth="1"/>
    <col min="5895" max="5895" width="2.7109375" customWidth="1"/>
    <col min="5896" max="5896" width="8.85546875" customWidth="1"/>
    <col min="5897" max="5897" width="9.140625" customWidth="1"/>
    <col min="5898" max="5898" width="2.7109375" customWidth="1"/>
    <col min="5899" max="5899" width="8.85546875" customWidth="1"/>
    <col min="5900" max="5900" width="9.140625" customWidth="1"/>
    <col min="5901" max="5901" width="2.7109375" customWidth="1"/>
    <col min="5902" max="5902" width="8.85546875" customWidth="1"/>
    <col min="5903" max="5903" width="9.140625" customWidth="1"/>
    <col min="5904" max="5904" width="2.7109375" customWidth="1"/>
    <col min="6145" max="6145" width="34" customWidth="1"/>
    <col min="6146" max="6146" width="10" customWidth="1"/>
    <col min="6147" max="6147" width="9.140625" customWidth="1"/>
    <col min="6148" max="6148" width="2.7109375" customWidth="1"/>
    <col min="6149" max="6149" width="8.85546875" customWidth="1"/>
    <col min="6150" max="6150" width="9.140625" customWidth="1"/>
    <col min="6151" max="6151" width="2.7109375" customWidth="1"/>
    <col min="6152" max="6152" width="8.85546875" customWidth="1"/>
    <col min="6153" max="6153" width="9.140625" customWidth="1"/>
    <col min="6154" max="6154" width="2.7109375" customWidth="1"/>
    <col min="6155" max="6155" width="8.85546875" customWidth="1"/>
    <col min="6156" max="6156" width="9.140625" customWidth="1"/>
    <col min="6157" max="6157" width="2.7109375" customWidth="1"/>
    <col min="6158" max="6158" width="8.85546875" customWidth="1"/>
    <col min="6159" max="6159" width="9.140625" customWidth="1"/>
    <col min="6160" max="6160" width="2.7109375" customWidth="1"/>
    <col min="6401" max="6401" width="34" customWidth="1"/>
    <col min="6402" max="6402" width="10" customWidth="1"/>
    <col min="6403" max="6403" width="9.140625" customWidth="1"/>
    <col min="6404" max="6404" width="2.7109375" customWidth="1"/>
    <col min="6405" max="6405" width="8.85546875" customWidth="1"/>
    <col min="6406" max="6406" width="9.140625" customWidth="1"/>
    <col min="6407" max="6407" width="2.7109375" customWidth="1"/>
    <col min="6408" max="6408" width="8.85546875" customWidth="1"/>
    <col min="6409" max="6409" width="9.140625" customWidth="1"/>
    <col min="6410" max="6410" width="2.7109375" customWidth="1"/>
    <col min="6411" max="6411" width="8.85546875" customWidth="1"/>
    <col min="6412" max="6412" width="9.140625" customWidth="1"/>
    <col min="6413" max="6413" width="2.7109375" customWidth="1"/>
    <col min="6414" max="6414" width="8.85546875" customWidth="1"/>
    <col min="6415" max="6415" width="9.140625" customWidth="1"/>
    <col min="6416" max="6416" width="2.7109375" customWidth="1"/>
    <col min="6657" max="6657" width="34" customWidth="1"/>
    <col min="6658" max="6658" width="10" customWidth="1"/>
    <col min="6659" max="6659" width="9.140625" customWidth="1"/>
    <col min="6660" max="6660" width="2.7109375" customWidth="1"/>
    <col min="6661" max="6661" width="8.85546875" customWidth="1"/>
    <col min="6662" max="6662" width="9.140625" customWidth="1"/>
    <col min="6663" max="6663" width="2.7109375" customWidth="1"/>
    <col min="6664" max="6664" width="8.85546875" customWidth="1"/>
    <col min="6665" max="6665" width="9.140625" customWidth="1"/>
    <col min="6666" max="6666" width="2.7109375" customWidth="1"/>
    <col min="6667" max="6667" width="8.85546875" customWidth="1"/>
    <col min="6668" max="6668" width="9.140625" customWidth="1"/>
    <col min="6669" max="6669" width="2.7109375" customWidth="1"/>
    <col min="6670" max="6670" width="8.85546875" customWidth="1"/>
    <col min="6671" max="6671" width="9.140625" customWidth="1"/>
    <col min="6672" max="6672" width="2.7109375" customWidth="1"/>
    <col min="6913" max="6913" width="34" customWidth="1"/>
    <col min="6914" max="6914" width="10" customWidth="1"/>
    <col min="6915" max="6915" width="9.140625" customWidth="1"/>
    <col min="6916" max="6916" width="2.7109375" customWidth="1"/>
    <col min="6917" max="6917" width="8.85546875" customWidth="1"/>
    <col min="6918" max="6918" width="9.140625" customWidth="1"/>
    <col min="6919" max="6919" width="2.7109375" customWidth="1"/>
    <col min="6920" max="6920" width="8.85546875" customWidth="1"/>
    <col min="6921" max="6921" width="9.140625" customWidth="1"/>
    <col min="6922" max="6922" width="2.7109375" customWidth="1"/>
    <col min="6923" max="6923" width="8.85546875" customWidth="1"/>
    <col min="6924" max="6924" width="9.140625" customWidth="1"/>
    <col min="6925" max="6925" width="2.7109375" customWidth="1"/>
    <col min="6926" max="6926" width="8.85546875" customWidth="1"/>
    <col min="6927" max="6927" width="9.140625" customWidth="1"/>
    <col min="6928" max="6928" width="2.7109375" customWidth="1"/>
    <col min="7169" max="7169" width="34" customWidth="1"/>
    <col min="7170" max="7170" width="10" customWidth="1"/>
    <col min="7171" max="7171" width="9.140625" customWidth="1"/>
    <col min="7172" max="7172" width="2.7109375" customWidth="1"/>
    <col min="7173" max="7173" width="8.85546875" customWidth="1"/>
    <col min="7174" max="7174" width="9.140625" customWidth="1"/>
    <col min="7175" max="7175" width="2.7109375" customWidth="1"/>
    <col min="7176" max="7176" width="8.85546875" customWidth="1"/>
    <col min="7177" max="7177" width="9.140625" customWidth="1"/>
    <col min="7178" max="7178" width="2.7109375" customWidth="1"/>
    <col min="7179" max="7179" width="8.85546875" customWidth="1"/>
    <col min="7180" max="7180" width="9.140625" customWidth="1"/>
    <col min="7181" max="7181" width="2.7109375" customWidth="1"/>
    <col min="7182" max="7182" width="8.85546875" customWidth="1"/>
    <col min="7183" max="7183" width="9.140625" customWidth="1"/>
    <col min="7184" max="7184" width="2.7109375" customWidth="1"/>
    <col min="7425" max="7425" width="34" customWidth="1"/>
    <col min="7426" max="7426" width="10" customWidth="1"/>
    <col min="7427" max="7427" width="9.140625" customWidth="1"/>
    <col min="7428" max="7428" width="2.7109375" customWidth="1"/>
    <col min="7429" max="7429" width="8.85546875" customWidth="1"/>
    <col min="7430" max="7430" width="9.140625" customWidth="1"/>
    <col min="7431" max="7431" width="2.7109375" customWidth="1"/>
    <col min="7432" max="7432" width="8.85546875" customWidth="1"/>
    <col min="7433" max="7433" width="9.140625" customWidth="1"/>
    <col min="7434" max="7434" width="2.7109375" customWidth="1"/>
    <col min="7435" max="7435" width="8.85546875" customWidth="1"/>
    <col min="7436" max="7436" width="9.140625" customWidth="1"/>
    <col min="7437" max="7437" width="2.7109375" customWidth="1"/>
    <col min="7438" max="7438" width="8.85546875" customWidth="1"/>
    <col min="7439" max="7439" width="9.140625" customWidth="1"/>
    <col min="7440" max="7440" width="2.7109375" customWidth="1"/>
    <col min="7681" max="7681" width="34" customWidth="1"/>
    <col min="7682" max="7682" width="10" customWidth="1"/>
    <col min="7683" max="7683" width="9.140625" customWidth="1"/>
    <col min="7684" max="7684" width="2.7109375" customWidth="1"/>
    <col min="7685" max="7685" width="8.85546875" customWidth="1"/>
    <col min="7686" max="7686" width="9.140625" customWidth="1"/>
    <col min="7687" max="7687" width="2.7109375" customWidth="1"/>
    <col min="7688" max="7688" width="8.85546875" customWidth="1"/>
    <col min="7689" max="7689" width="9.140625" customWidth="1"/>
    <col min="7690" max="7690" width="2.7109375" customWidth="1"/>
    <col min="7691" max="7691" width="8.85546875" customWidth="1"/>
    <col min="7692" max="7692" width="9.140625" customWidth="1"/>
    <col min="7693" max="7693" width="2.7109375" customWidth="1"/>
    <col min="7694" max="7694" width="8.85546875" customWidth="1"/>
    <col min="7695" max="7695" width="9.140625" customWidth="1"/>
    <col min="7696" max="7696" width="2.7109375" customWidth="1"/>
    <col min="7937" max="7937" width="34" customWidth="1"/>
    <col min="7938" max="7938" width="10" customWidth="1"/>
    <col min="7939" max="7939" width="9.140625" customWidth="1"/>
    <col min="7940" max="7940" width="2.7109375" customWidth="1"/>
    <col min="7941" max="7941" width="8.85546875" customWidth="1"/>
    <col min="7942" max="7942" width="9.140625" customWidth="1"/>
    <col min="7943" max="7943" width="2.7109375" customWidth="1"/>
    <col min="7944" max="7944" width="8.85546875" customWidth="1"/>
    <col min="7945" max="7945" width="9.140625" customWidth="1"/>
    <col min="7946" max="7946" width="2.7109375" customWidth="1"/>
    <col min="7947" max="7947" width="8.85546875" customWidth="1"/>
    <col min="7948" max="7948" width="9.140625" customWidth="1"/>
    <col min="7949" max="7949" width="2.7109375" customWidth="1"/>
    <col min="7950" max="7950" width="8.85546875" customWidth="1"/>
    <col min="7951" max="7951" width="9.140625" customWidth="1"/>
    <col min="7952" max="7952" width="2.7109375" customWidth="1"/>
    <col min="8193" max="8193" width="34" customWidth="1"/>
    <col min="8194" max="8194" width="10" customWidth="1"/>
    <col min="8195" max="8195" width="9.140625" customWidth="1"/>
    <col min="8196" max="8196" width="2.7109375" customWidth="1"/>
    <col min="8197" max="8197" width="8.85546875" customWidth="1"/>
    <col min="8198" max="8198" width="9.140625" customWidth="1"/>
    <col min="8199" max="8199" width="2.7109375" customWidth="1"/>
    <col min="8200" max="8200" width="8.85546875" customWidth="1"/>
    <col min="8201" max="8201" width="9.140625" customWidth="1"/>
    <col min="8202" max="8202" width="2.7109375" customWidth="1"/>
    <col min="8203" max="8203" width="8.85546875" customWidth="1"/>
    <col min="8204" max="8204" width="9.140625" customWidth="1"/>
    <col min="8205" max="8205" width="2.7109375" customWidth="1"/>
    <col min="8206" max="8206" width="8.85546875" customWidth="1"/>
    <col min="8207" max="8207" width="9.140625" customWidth="1"/>
    <col min="8208" max="8208" width="2.7109375" customWidth="1"/>
    <col min="8449" max="8449" width="34" customWidth="1"/>
    <col min="8450" max="8450" width="10" customWidth="1"/>
    <col min="8451" max="8451" width="9.140625" customWidth="1"/>
    <col min="8452" max="8452" width="2.7109375" customWidth="1"/>
    <col min="8453" max="8453" width="8.85546875" customWidth="1"/>
    <col min="8454" max="8454" width="9.140625" customWidth="1"/>
    <col min="8455" max="8455" width="2.7109375" customWidth="1"/>
    <col min="8456" max="8456" width="8.85546875" customWidth="1"/>
    <col min="8457" max="8457" width="9.140625" customWidth="1"/>
    <col min="8458" max="8458" width="2.7109375" customWidth="1"/>
    <col min="8459" max="8459" width="8.85546875" customWidth="1"/>
    <col min="8460" max="8460" width="9.140625" customWidth="1"/>
    <col min="8461" max="8461" width="2.7109375" customWidth="1"/>
    <col min="8462" max="8462" width="8.85546875" customWidth="1"/>
    <col min="8463" max="8463" width="9.140625" customWidth="1"/>
    <col min="8464" max="8464" width="2.7109375" customWidth="1"/>
    <col min="8705" max="8705" width="34" customWidth="1"/>
    <col min="8706" max="8706" width="10" customWidth="1"/>
    <col min="8707" max="8707" width="9.140625" customWidth="1"/>
    <col min="8708" max="8708" width="2.7109375" customWidth="1"/>
    <col min="8709" max="8709" width="8.85546875" customWidth="1"/>
    <col min="8710" max="8710" width="9.140625" customWidth="1"/>
    <col min="8711" max="8711" width="2.7109375" customWidth="1"/>
    <col min="8712" max="8712" width="8.85546875" customWidth="1"/>
    <col min="8713" max="8713" width="9.140625" customWidth="1"/>
    <col min="8714" max="8714" width="2.7109375" customWidth="1"/>
    <col min="8715" max="8715" width="8.85546875" customWidth="1"/>
    <col min="8716" max="8716" width="9.140625" customWidth="1"/>
    <col min="8717" max="8717" width="2.7109375" customWidth="1"/>
    <col min="8718" max="8718" width="8.85546875" customWidth="1"/>
    <col min="8719" max="8719" width="9.140625" customWidth="1"/>
    <col min="8720" max="8720" width="2.7109375" customWidth="1"/>
    <col min="8961" max="8961" width="34" customWidth="1"/>
    <col min="8962" max="8962" width="10" customWidth="1"/>
    <col min="8963" max="8963" width="9.140625" customWidth="1"/>
    <col min="8964" max="8964" width="2.7109375" customWidth="1"/>
    <col min="8965" max="8965" width="8.85546875" customWidth="1"/>
    <col min="8966" max="8966" width="9.140625" customWidth="1"/>
    <col min="8967" max="8967" width="2.7109375" customWidth="1"/>
    <col min="8968" max="8968" width="8.85546875" customWidth="1"/>
    <col min="8969" max="8969" width="9.140625" customWidth="1"/>
    <col min="8970" max="8970" width="2.7109375" customWidth="1"/>
    <col min="8971" max="8971" width="8.85546875" customWidth="1"/>
    <col min="8972" max="8972" width="9.140625" customWidth="1"/>
    <col min="8973" max="8973" width="2.7109375" customWidth="1"/>
    <col min="8974" max="8974" width="8.85546875" customWidth="1"/>
    <col min="8975" max="8975" width="9.140625" customWidth="1"/>
    <col min="8976" max="8976" width="2.7109375" customWidth="1"/>
    <col min="9217" max="9217" width="34" customWidth="1"/>
    <col min="9218" max="9218" width="10" customWidth="1"/>
    <col min="9219" max="9219" width="9.140625" customWidth="1"/>
    <col min="9220" max="9220" width="2.7109375" customWidth="1"/>
    <col min="9221" max="9221" width="8.85546875" customWidth="1"/>
    <col min="9222" max="9222" width="9.140625" customWidth="1"/>
    <col min="9223" max="9223" width="2.7109375" customWidth="1"/>
    <col min="9224" max="9224" width="8.85546875" customWidth="1"/>
    <col min="9225" max="9225" width="9.140625" customWidth="1"/>
    <col min="9226" max="9226" width="2.7109375" customWidth="1"/>
    <col min="9227" max="9227" width="8.85546875" customWidth="1"/>
    <col min="9228" max="9228" width="9.140625" customWidth="1"/>
    <col min="9229" max="9229" width="2.7109375" customWidth="1"/>
    <col min="9230" max="9230" width="8.85546875" customWidth="1"/>
    <col min="9231" max="9231" width="9.140625" customWidth="1"/>
    <col min="9232" max="9232" width="2.7109375" customWidth="1"/>
    <col min="9473" max="9473" width="34" customWidth="1"/>
    <col min="9474" max="9474" width="10" customWidth="1"/>
    <col min="9475" max="9475" width="9.140625" customWidth="1"/>
    <col min="9476" max="9476" width="2.7109375" customWidth="1"/>
    <col min="9477" max="9477" width="8.85546875" customWidth="1"/>
    <col min="9478" max="9478" width="9.140625" customWidth="1"/>
    <col min="9479" max="9479" width="2.7109375" customWidth="1"/>
    <col min="9480" max="9480" width="8.85546875" customWidth="1"/>
    <col min="9481" max="9481" width="9.140625" customWidth="1"/>
    <col min="9482" max="9482" width="2.7109375" customWidth="1"/>
    <col min="9483" max="9483" width="8.85546875" customWidth="1"/>
    <col min="9484" max="9484" width="9.140625" customWidth="1"/>
    <col min="9485" max="9485" width="2.7109375" customWidth="1"/>
    <col min="9486" max="9486" width="8.85546875" customWidth="1"/>
    <col min="9487" max="9487" width="9.140625" customWidth="1"/>
    <col min="9488" max="9488" width="2.7109375" customWidth="1"/>
    <col min="9729" max="9729" width="34" customWidth="1"/>
    <col min="9730" max="9730" width="10" customWidth="1"/>
    <col min="9731" max="9731" width="9.140625" customWidth="1"/>
    <col min="9732" max="9732" width="2.7109375" customWidth="1"/>
    <col min="9733" max="9733" width="8.85546875" customWidth="1"/>
    <col min="9734" max="9734" width="9.140625" customWidth="1"/>
    <col min="9735" max="9735" width="2.7109375" customWidth="1"/>
    <col min="9736" max="9736" width="8.85546875" customWidth="1"/>
    <col min="9737" max="9737" width="9.140625" customWidth="1"/>
    <col min="9738" max="9738" width="2.7109375" customWidth="1"/>
    <col min="9739" max="9739" width="8.85546875" customWidth="1"/>
    <col min="9740" max="9740" width="9.140625" customWidth="1"/>
    <col min="9741" max="9741" width="2.7109375" customWidth="1"/>
    <col min="9742" max="9742" width="8.85546875" customWidth="1"/>
    <col min="9743" max="9743" width="9.140625" customWidth="1"/>
    <col min="9744" max="9744" width="2.7109375" customWidth="1"/>
    <col min="9985" max="9985" width="34" customWidth="1"/>
    <col min="9986" max="9986" width="10" customWidth="1"/>
    <col min="9987" max="9987" width="9.140625" customWidth="1"/>
    <col min="9988" max="9988" width="2.7109375" customWidth="1"/>
    <col min="9989" max="9989" width="8.85546875" customWidth="1"/>
    <col min="9990" max="9990" width="9.140625" customWidth="1"/>
    <col min="9991" max="9991" width="2.7109375" customWidth="1"/>
    <col min="9992" max="9992" width="8.85546875" customWidth="1"/>
    <col min="9993" max="9993" width="9.140625" customWidth="1"/>
    <col min="9994" max="9994" width="2.7109375" customWidth="1"/>
    <col min="9995" max="9995" width="8.85546875" customWidth="1"/>
    <col min="9996" max="9996" width="9.140625" customWidth="1"/>
    <col min="9997" max="9997" width="2.7109375" customWidth="1"/>
    <col min="9998" max="9998" width="8.85546875" customWidth="1"/>
    <col min="9999" max="9999" width="9.140625" customWidth="1"/>
    <col min="10000" max="10000" width="2.7109375" customWidth="1"/>
    <col min="10241" max="10241" width="34" customWidth="1"/>
    <col min="10242" max="10242" width="10" customWidth="1"/>
    <col min="10243" max="10243" width="9.140625" customWidth="1"/>
    <col min="10244" max="10244" width="2.7109375" customWidth="1"/>
    <col min="10245" max="10245" width="8.85546875" customWidth="1"/>
    <col min="10246" max="10246" width="9.140625" customWidth="1"/>
    <col min="10247" max="10247" width="2.7109375" customWidth="1"/>
    <col min="10248" max="10248" width="8.85546875" customWidth="1"/>
    <col min="10249" max="10249" width="9.140625" customWidth="1"/>
    <col min="10250" max="10250" width="2.7109375" customWidth="1"/>
    <col min="10251" max="10251" width="8.85546875" customWidth="1"/>
    <col min="10252" max="10252" width="9.140625" customWidth="1"/>
    <col min="10253" max="10253" width="2.7109375" customWidth="1"/>
    <col min="10254" max="10254" width="8.85546875" customWidth="1"/>
    <col min="10255" max="10255" width="9.140625" customWidth="1"/>
    <col min="10256" max="10256" width="2.7109375" customWidth="1"/>
    <col min="10497" max="10497" width="34" customWidth="1"/>
    <col min="10498" max="10498" width="10" customWidth="1"/>
    <col min="10499" max="10499" width="9.140625" customWidth="1"/>
    <col min="10500" max="10500" width="2.7109375" customWidth="1"/>
    <col min="10501" max="10501" width="8.85546875" customWidth="1"/>
    <col min="10502" max="10502" width="9.140625" customWidth="1"/>
    <col min="10503" max="10503" width="2.7109375" customWidth="1"/>
    <col min="10504" max="10504" width="8.85546875" customWidth="1"/>
    <col min="10505" max="10505" width="9.140625" customWidth="1"/>
    <col min="10506" max="10506" width="2.7109375" customWidth="1"/>
    <col min="10507" max="10507" width="8.85546875" customWidth="1"/>
    <col min="10508" max="10508" width="9.140625" customWidth="1"/>
    <col min="10509" max="10509" width="2.7109375" customWidth="1"/>
    <col min="10510" max="10510" width="8.85546875" customWidth="1"/>
    <col min="10511" max="10511" width="9.140625" customWidth="1"/>
    <col min="10512" max="10512" width="2.7109375" customWidth="1"/>
    <col min="10753" max="10753" width="34" customWidth="1"/>
    <col min="10754" max="10754" width="10" customWidth="1"/>
    <col min="10755" max="10755" width="9.140625" customWidth="1"/>
    <col min="10756" max="10756" width="2.7109375" customWidth="1"/>
    <col min="10757" max="10757" width="8.85546875" customWidth="1"/>
    <col min="10758" max="10758" width="9.140625" customWidth="1"/>
    <col min="10759" max="10759" width="2.7109375" customWidth="1"/>
    <col min="10760" max="10760" width="8.85546875" customWidth="1"/>
    <col min="10761" max="10761" width="9.140625" customWidth="1"/>
    <col min="10762" max="10762" width="2.7109375" customWidth="1"/>
    <col min="10763" max="10763" width="8.85546875" customWidth="1"/>
    <col min="10764" max="10764" width="9.140625" customWidth="1"/>
    <col min="10765" max="10765" width="2.7109375" customWidth="1"/>
    <col min="10766" max="10766" width="8.85546875" customWidth="1"/>
    <col min="10767" max="10767" width="9.140625" customWidth="1"/>
    <col min="10768" max="10768" width="2.7109375" customWidth="1"/>
    <col min="11009" max="11009" width="34" customWidth="1"/>
    <col min="11010" max="11010" width="10" customWidth="1"/>
    <col min="11011" max="11011" width="9.140625" customWidth="1"/>
    <col min="11012" max="11012" width="2.7109375" customWidth="1"/>
    <col min="11013" max="11013" width="8.85546875" customWidth="1"/>
    <col min="11014" max="11014" width="9.140625" customWidth="1"/>
    <col min="11015" max="11015" width="2.7109375" customWidth="1"/>
    <col min="11016" max="11016" width="8.85546875" customWidth="1"/>
    <col min="11017" max="11017" width="9.140625" customWidth="1"/>
    <col min="11018" max="11018" width="2.7109375" customWidth="1"/>
    <col min="11019" max="11019" width="8.85546875" customWidth="1"/>
    <col min="11020" max="11020" width="9.140625" customWidth="1"/>
    <col min="11021" max="11021" width="2.7109375" customWidth="1"/>
    <col min="11022" max="11022" width="8.85546875" customWidth="1"/>
    <col min="11023" max="11023" width="9.140625" customWidth="1"/>
    <col min="11024" max="11024" width="2.7109375" customWidth="1"/>
    <col min="11265" max="11265" width="34" customWidth="1"/>
    <col min="11266" max="11266" width="10" customWidth="1"/>
    <col min="11267" max="11267" width="9.140625" customWidth="1"/>
    <col min="11268" max="11268" width="2.7109375" customWidth="1"/>
    <col min="11269" max="11269" width="8.85546875" customWidth="1"/>
    <col min="11270" max="11270" width="9.140625" customWidth="1"/>
    <col min="11271" max="11271" width="2.7109375" customWidth="1"/>
    <col min="11272" max="11272" width="8.85546875" customWidth="1"/>
    <col min="11273" max="11273" width="9.140625" customWidth="1"/>
    <col min="11274" max="11274" width="2.7109375" customWidth="1"/>
    <col min="11275" max="11275" width="8.85546875" customWidth="1"/>
    <col min="11276" max="11276" width="9.140625" customWidth="1"/>
    <col min="11277" max="11277" width="2.7109375" customWidth="1"/>
    <col min="11278" max="11278" width="8.85546875" customWidth="1"/>
    <col min="11279" max="11279" width="9.140625" customWidth="1"/>
    <col min="11280" max="11280" width="2.7109375" customWidth="1"/>
    <col min="11521" max="11521" width="34" customWidth="1"/>
    <col min="11522" max="11522" width="10" customWidth="1"/>
    <col min="11523" max="11523" width="9.140625" customWidth="1"/>
    <col min="11524" max="11524" width="2.7109375" customWidth="1"/>
    <col min="11525" max="11525" width="8.85546875" customWidth="1"/>
    <col min="11526" max="11526" width="9.140625" customWidth="1"/>
    <col min="11527" max="11527" width="2.7109375" customWidth="1"/>
    <col min="11528" max="11528" width="8.85546875" customWidth="1"/>
    <col min="11529" max="11529" width="9.140625" customWidth="1"/>
    <col min="11530" max="11530" width="2.7109375" customWidth="1"/>
    <col min="11531" max="11531" width="8.85546875" customWidth="1"/>
    <col min="11532" max="11532" width="9.140625" customWidth="1"/>
    <col min="11533" max="11533" width="2.7109375" customWidth="1"/>
    <col min="11534" max="11534" width="8.85546875" customWidth="1"/>
    <col min="11535" max="11535" width="9.140625" customWidth="1"/>
    <col min="11536" max="11536" width="2.7109375" customWidth="1"/>
    <col min="11777" max="11777" width="34" customWidth="1"/>
    <col min="11778" max="11778" width="10" customWidth="1"/>
    <col min="11779" max="11779" width="9.140625" customWidth="1"/>
    <col min="11780" max="11780" width="2.7109375" customWidth="1"/>
    <col min="11781" max="11781" width="8.85546875" customWidth="1"/>
    <col min="11782" max="11782" width="9.140625" customWidth="1"/>
    <col min="11783" max="11783" width="2.7109375" customWidth="1"/>
    <col min="11784" max="11784" width="8.85546875" customWidth="1"/>
    <col min="11785" max="11785" width="9.140625" customWidth="1"/>
    <col min="11786" max="11786" width="2.7109375" customWidth="1"/>
    <col min="11787" max="11787" width="8.85546875" customWidth="1"/>
    <col min="11788" max="11788" width="9.140625" customWidth="1"/>
    <col min="11789" max="11789" width="2.7109375" customWidth="1"/>
    <col min="11790" max="11790" width="8.85546875" customWidth="1"/>
    <col min="11791" max="11791" width="9.140625" customWidth="1"/>
    <col min="11792" max="11792" width="2.7109375" customWidth="1"/>
    <col min="12033" max="12033" width="34" customWidth="1"/>
    <col min="12034" max="12034" width="10" customWidth="1"/>
    <col min="12035" max="12035" width="9.140625" customWidth="1"/>
    <col min="12036" max="12036" width="2.7109375" customWidth="1"/>
    <col min="12037" max="12037" width="8.85546875" customWidth="1"/>
    <col min="12038" max="12038" width="9.140625" customWidth="1"/>
    <col min="12039" max="12039" width="2.7109375" customWidth="1"/>
    <col min="12040" max="12040" width="8.85546875" customWidth="1"/>
    <col min="12041" max="12041" width="9.140625" customWidth="1"/>
    <col min="12042" max="12042" width="2.7109375" customWidth="1"/>
    <col min="12043" max="12043" width="8.85546875" customWidth="1"/>
    <col min="12044" max="12044" width="9.140625" customWidth="1"/>
    <col min="12045" max="12045" width="2.7109375" customWidth="1"/>
    <col min="12046" max="12046" width="8.85546875" customWidth="1"/>
    <col min="12047" max="12047" width="9.140625" customWidth="1"/>
    <col min="12048" max="12048" width="2.7109375" customWidth="1"/>
    <col min="12289" max="12289" width="34" customWidth="1"/>
    <col min="12290" max="12290" width="10" customWidth="1"/>
    <col min="12291" max="12291" width="9.140625" customWidth="1"/>
    <col min="12292" max="12292" width="2.7109375" customWidth="1"/>
    <col min="12293" max="12293" width="8.85546875" customWidth="1"/>
    <col min="12294" max="12294" width="9.140625" customWidth="1"/>
    <col min="12295" max="12295" width="2.7109375" customWidth="1"/>
    <col min="12296" max="12296" width="8.85546875" customWidth="1"/>
    <col min="12297" max="12297" width="9.140625" customWidth="1"/>
    <col min="12298" max="12298" width="2.7109375" customWidth="1"/>
    <col min="12299" max="12299" width="8.85546875" customWidth="1"/>
    <col min="12300" max="12300" width="9.140625" customWidth="1"/>
    <col min="12301" max="12301" width="2.7109375" customWidth="1"/>
    <col min="12302" max="12302" width="8.85546875" customWidth="1"/>
    <col min="12303" max="12303" width="9.140625" customWidth="1"/>
    <col min="12304" max="12304" width="2.7109375" customWidth="1"/>
    <col min="12545" max="12545" width="34" customWidth="1"/>
    <col min="12546" max="12546" width="10" customWidth="1"/>
    <col min="12547" max="12547" width="9.140625" customWidth="1"/>
    <col min="12548" max="12548" width="2.7109375" customWidth="1"/>
    <col min="12549" max="12549" width="8.85546875" customWidth="1"/>
    <col min="12550" max="12550" width="9.140625" customWidth="1"/>
    <col min="12551" max="12551" width="2.7109375" customWidth="1"/>
    <col min="12552" max="12552" width="8.85546875" customWidth="1"/>
    <col min="12553" max="12553" width="9.140625" customWidth="1"/>
    <col min="12554" max="12554" width="2.7109375" customWidth="1"/>
    <col min="12555" max="12555" width="8.85546875" customWidth="1"/>
    <col min="12556" max="12556" width="9.140625" customWidth="1"/>
    <col min="12557" max="12557" width="2.7109375" customWidth="1"/>
    <col min="12558" max="12558" width="8.85546875" customWidth="1"/>
    <col min="12559" max="12559" width="9.140625" customWidth="1"/>
    <col min="12560" max="12560" width="2.7109375" customWidth="1"/>
    <col min="12801" max="12801" width="34" customWidth="1"/>
    <col min="12802" max="12802" width="10" customWidth="1"/>
    <col min="12803" max="12803" width="9.140625" customWidth="1"/>
    <col min="12804" max="12804" width="2.7109375" customWidth="1"/>
    <col min="12805" max="12805" width="8.85546875" customWidth="1"/>
    <col min="12806" max="12806" width="9.140625" customWidth="1"/>
    <col min="12807" max="12807" width="2.7109375" customWidth="1"/>
    <col min="12808" max="12808" width="8.85546875" customWidth="1"/>
    <col min="12809" max="12809" width="9.140625" customWidth="1"/>
    <col min="12810" max="12810" width="2.7109375" customWidth="1"/>
    <col min="12811" max="12811" width="8.85546875" customWidth="1"/>
    <col min="12812" max="12812" width="9.140625" customWidth="1"/>
    <col min="12813" max="12813" width="2.7109375" customWidth="1"/>
    <col min="12814" max="12814" width="8.85546875" customWidth="1"/>
    <col min="12815" max="12815" width="9.140625" customWidth="1"/>
    <col min="12816" max="12816" width="2.7109375" customWidth="1"/>
    <col min="13057" max="13057" width="34" customWidth="1"/>
    <col min="13058" max="13058" width="10" customWidth="1"/>
    <col min="13059" max="13059" width="9.140625" customWidth="1"/>
    <col min="13060" max="13060" width="2.7109375" customWidth="1"/>
    <col min="13061" max="13061" width="8.85546875" customWidth="1"/>
    <col min="13062" max="13062" width="9.140625" customWidth="1"/>
    <col min="13063" max="13063" width="2.7109375" customWidth="1"/>
    <col min="13064" max="13064" width="8.85546875" customWidth="1"/>
    <col min="13065" max="13065" width="9.140625" customWidth="1"/>
    <col min="13066" max="13066" width="2.7109375" customWidth="1"/>
    <col min="13067" max="13067" width="8.85546875" customWidth="1"/>
    <col min="13068" max="13068" width="9.140625" customWidth="1"/>
    <col min="13069" max="13069" width="2.7109375" customWidth="1"/>
    <col min="13070" max="13070" width="8.85546875" customWidth="1"/>
    <col min="13071" max="13071" width="9.140625" customWidth="1"/>
    <col min="13072" max="13072" width="2.7109375" customWidth="1"/>
    <col min="13313" max="13313" width="34" customWidth="1"/>
    <col min="13314" max="13314" width="10" customWidth="1"/>
    <col min="13315" max="13315" width="9.140625" customWidth="1"/>
    <col min="13316" max="13316" width="2.7109375" customWidth="1"/>
    <col min="13317" max="13317" width="8.85546875" customWidth="1"/>
    <col min="13318" max="13318" width="9.140625" customWidth="1"/>
    <col min="13319" max="13319" width="2.7109375" customWidth="1"/>
    <col min="13320" max="13320" width="8.85546875" customWidth="1"/>
    <col min="13321" max="13321" width="9.140625" customWidth="1"/>
    <col min="13322" max="13322" width="2.7109375" customWidth="1"/>
    <col min="13323" max="13323" width="8.85546875" customWidth="1"/>
    <col min="13324" max="13324" width="9.140625" customWidth="1"/>
    <col min="13325" max="13325" width="2.7109375" customWidth="1"/>
    <col min="13326" max="13326" width="8.85546875" customWidth="1"/>
    <col min="13327" max="13327" width="9.140625" customWidth="1"/>
    <col min="13328" max="13328" width="2.7109375" customWidth="1"/>
    <col min="13569" max="13569" width="34" customWidth="1"/>
    <col min="13570" max="13570" width="10" customWidth="1"/>
    <col min="13571" max="13571" width="9.140625" customWidth="1"/>
    <col min="13572" max="13572" width="2.7109375" customWidth="1"/>
    <col min="13573" max="13573" width="8.85546875" customWidth="1"/>
    <col min="13574" max="13574" width="9.140625" customWidth="1"/>
    <col min="13575" max="13575" width="2.7109375" customWidth="1"/>
    <col min="13576" max="13576" width="8.85546875" customWidth="1"/>
    <col min="13577" max="13577" width="9.140625" customWidth="1"/>
    <col min="13578" max="13578" width="2.7109375" customWidth="1"/>
    <col min="13579" max="13579" width="8.85546875" customWidth="1"/>
    <col min="13580" max="13580" width="9.140625" customWidth="1"/>
    <col min="13581" max="13581" width="2.7109375" customWidth="1"/>
    <col min="13582" max="13582" width="8.85546875" customWidth="1"/>
    <col min="13583" max="13583" width="9.140625" customWidth="1"/>
    <col min="13584" max="13584" width="2.7109375" customWidth="1"/>
    <col min="13825" max="13825" width="34" customWidth="1"/>
    <col min="13826" max="13826" width="10" customWidth="1"/>
    <col min="13827" max="13827" width="9.140625" customWidth="1"/>
    <col min="13828" max="13828" width="2.7109375" customWidth="1"/>
    <col min="13829" max="13829" width="8.85546875" customWidth="1"/>
    <col min="13830" max="13830" width="9.140625" customWidth="1"/>
    <col min="13831" max="13831" width="2.7109375" customWidth="1"/>
    <col min="13832" max="13832" width="8.85546875" customWidth="1"/>
    <col min="13833" max="13833" width="9.140625" customWidth="1"/>
    <col min="13834" max="13834" width="2.7109375" customWidth="1"/>
    <col min="13835" max="13835" width="8.85546875" customWidth="1"/>
    <col min="13836" max="13836" width="9.140625" customWidth="1"/>
    <col min="13837" max="13837" width="2.7109375" customWidth="1"/>
    <col min="13838" max="13838" width="8.85546875" customWidth="1"/>
    <col min="13839" max="13839" width="9.140625" customWidth="1"/>
    <col min="13840" max="13840" width="2.7109375" customWidth="1"/>
    <col min="14081" max="14081" width="34" customWidth="1"/>
    <col min="14082" max="14082" width="10" customWidth="1"/>
    <col min="14083" max="14083" width="9.140625" customWidth="1"/>
    <col min="14084" max="14084" width="2.7109375" customWidth="1"/>
    <col min="14085" max="14085" width="8.85546875" customWidth="1"/>
    <col min="14086" max="14086" width="9.140625" customWidth="1"/>
    <col min="14087" max="14087" width="2.7109375" customWidth="1"/>
    <col min="14088" max="14088" width="8.85546875" customWidth="1"/>
    <col min="14089" max="14089" width="9.140625" customWidth="1"/>
    <col min="14090" max="14090" width="2.7109375" customWidth="1"/>
    <col min="14091" max="14091" width="8.85546875" customWidth="1"/>
    <col min="14092" max="14092" width="9.140625" customWidth="1"/>
    <col min="14093" max="14093" width="2.7109375" customWidth="1"/>
    <col min="14094" max="14094" width="8.85546875" customWidth="1"/>
    <col min="14095" max="14095" width="9.140625" customWidth="1"/>
    <col min="14096" max="14096" width="2.7109375" customWidth="1"/>
    <col min="14337" max="14337" width="34" customWidth="1"/>
    <col min="14338" max="14338" width="10" customWidth="1"/>
    <col min="14339" max="14339" width="9.140625" customWidth="1"/>
    <col min="14340" max="14340" width="2.7109375" customWidth="1"/>
    <col min="14341" max="14341" width="8.85546875" customWidth="1"/>
    <col min="14342" max="14342" width="9.140625" customWidth="1"/>
    <col min="14343" max="14343" width="2.7109375" customWidth="1"/>
    <col min="14344" max="14344" width="8.85546875" customWidth="1"/>
    <col min="14345" max="14345" width="9.140625" customWidth="1"/>
    <col min="14346" max="14346" width="2.7109375" customWidth="1"/>
    <col min="14347" max="14347" width="8.85546875" customWidth="1"/>
    <col min="14348" max="14348" width="9.140625" customWidth="1"/>
    <col min="14349" max="14349" width="2.7109375" customWidth="1"/>
    <col min="14350" max="14350" width="8.85546875" customWidth="1"/>
    <col min="14351" max="14351" width="9.140625" customWidth="1"/>
    <col min="14352" max="14352" width="2.7109375" customWidth="1"/>
    <col min="14593" max="14593" width="34" customWidth="1"/>
    <col min="14594" max="14594" width="10" customWidth="1"/>
    <col min="14595" max="14595" width="9.140625" customWidth="1"/>
    <col min="14596" max="14596" width="2.7109375" customWidth="1"/>
    <col min="14597" max="14597" width="8.85546875" customWidth="1"/>
    <col min="14598" max="14598" width="9.140625" customWidth="1"/>
    <col min="14599" max="14599" width="2.7109375" customWidth="1"/>
    <col min="14600" max="14600" width="8.85546875" customWidth="1"/>
    <col min="14601" max="14601" width="9.140625" customWidth="1"/>
    <col min="14602" max="14602" width="2.7109375" customWidth="1"/>
    <col min="14603" max="14603" width="8.85546875" customWidth="1"/>
    <col min="14604" max="14604" width="9.140625" customWidth="1"/>
    <col min="14605" max="14605" width="2.7109375" customWidth="1"/>
    <col min="14606" max="14606" width="8.85546875" customWidth="1"/>
    <col min="14607" max="14607" width="9.140625" customWidth="1"/>
    <col min="14608" max="14608" width="2.7109375" customWidth="1"/>
    <col min="14849" max="14849" width="34" customWidth="1"/>
    <col min="14850" max="14850" width="10" customWidth="1"/>
    <col min="14851" max="14851" width="9.140625" customWidth="1"/>
    <col min="14852" max="14852" width="2.7109375" customWidth="1"/>
    <col min="14853" max="14853" width="8.85546875" customWidth="1"/>
    <col min="14854" max="14854" width="9.140625" customWidth="1"/>
    <col min="14855" max="14855" width="2.7109375" customWidth="1"/>
    <col min="14856" max="14856" width="8.85546875" customWidth="1"/>
    <col min="14857" max="14857" width="9.140625" customWidth="1"/>
    <col min="14858" max="14858" width="2.7109375" customWidth="1"/>
    <col min="14859" max="14859" width="8.85546875" customWidth="1"/>
    <col min="14860" max="14860" width="9.140625" customWidth="1"/>
    <col min="14861" max="14861" width="2.7109375" customWidth="1"/>
    <col min="14862" max="14862" width="8.85546875" customWidth="1"/>
    <col min="14863" max="14863" width="9.140625" customWidth="1"/>
    <col min="14864" max="14864" width="2.7109375" customWidth="1"/>
    <col min="15105" max="15105" width="34" customWidth="1"/>
    <col min="15106" max="15106" width="10" customWidth="1"/>
    <col min="15107" max="15107" width="9.140625" customWidth="1"/>
    <col min="15108" max="15108" width="2.7109375" customWidth="1"/>
    <col min="15109" max="15109" width="8.85546875" customWidth="1"/>
    <col min="15110" max="15110" width="9.140625" customWidth="1"/>
    <col min="15111" max="15111" width="2.7109375" customWidth="1"/>
    <col min="15112" max="15112" width="8.85546875" customWidth="1"/>
    <col min="15113" max="15113" width="9.140625" customWidth="1"/>
    <col min="15114" max="15114" width="2.7109375" customWidth="1"/>
    <col min="15115" max="15115" width="8.85546875" customWidth="1"/>
    <col min="15116" max="15116" width="9.140625" customWidth="1"/>
    <col min="15117" max="15117" width="2.7109375" customWidth="1"/>
    <col min="15118" max="15118" width="8.85546875" customWidth="1"/>
    <col min="15119" max="15119" width="9.140625" customWidth="1"/>
    <col min="15120" max="15120" width="2.7109375" customWidth="1"/>
    <col min="15361" max="15361" width="34" customWidth="1"/>
    <col min="15362" max="15362" width="10" customWidth="1"/>
    <col min="15363" max="15363" width="9.140625" customWidth="1"/>
    <col min="15364" max="15364" width="2.7109375" customWidth="1"/>
    <col min="15365" max="15365" width="8.85546875" customWidth="1"/>
    <col min="15366" max="15366" width="9.140625" customWidth="1"/>
    <col min="15367" max="15367" width="2.7109375" customWidth="1"/>
    <col min="15368" max="15368" width="8.85546875" customWidth="1"/>
    <col min="15369" max="15369" width="9.140625" customWidth="1"/>
    <col min="15370" max="15370" width="2.7109375" customWidth="1"/>
    <col min="15371" max="15371" width="8.85546875" customWidth="1"/>
    <col min="15372" max="15372" width="9.140625" customWidth="1"/>
    <col min="15373" max="15373" width="2.7109375" customWidth="1"/>
    <col min="15374" max="15374" width="8.85546875" customWidth="1"/>
    <col min="15375" max="15375" width="9.140625" customWidth="1"/>
    <col min="15376" max="15376" width="2.7109375" customWidth="1"/>
    <col min="15617" max="15617" width="34" customWidth="1"/>
    <col min="15618" max="15618" width="10" customWidth="1"/>
    <col min="15619" max="15619" width="9.140625" customWidth="1"/>
    <col min="15620" max="15620" width="2.7109375" customWidth="1"/>
    <col min="15621" max="15621" width="8.85546875" customWidth="1"/>
    <col min="15622" max="15622" width="9.140625" customWidth="1"/>
    <col min="15623" max="15623" width="2.7109375" customWidth="1"/>
    <col min="15624" max="15624" width="8.85546875" customWidth="1"/>
    <col min="15625" max="15625" width="9.140625" customWidth="1"/>
    <col min="15626" max="15626" width="2.7109375" customWidth="1"/>
    <col min="15627" max="15627" width="8.85546875" customWidth="1"/>
    <col min="15628" max="15628" width="9.140625" customWidth="1"/>
    <col min="15629" max="15629" width="2.7109375" customWidth="1"/>
    <col min="15630" max="15630" width="8.85546875" customWidth="1"/>
    <col min="15631" max="15631" width="9.140625" customWidth="1"/>
    <col min="15632" max="15632" width="2.7109375" customWidth="1"/>
    <col min="15873" max="15873" width="34" customWidth="1"/>
    <col min="15874" max="15874" width="10" customWidth="1"/>
    <col min="15875" max="15875" width="9.140625" customWidth="1"/>
    <col min="15876" max="15876" width="2.7109375" customWidth="1"/>
    <col min="15877" max="15877" width="8.85546875" customWidth="1"/>
    <col min="15878" max="15878" width="9.140625" customWidth="1"/>
    <col min="15879" max="15879" width="2.7109375" customWidth="1"/>
    <col min="15880" max="15880" width="8.85546875" customWidth="1"/>
    <col min="15881" max="15881" width="9.140625" customWidth="1"/>
    <col min="15882" max="15882" width="2.7109375" customWidth="1"/>
    <col min="15883" max="15883" width="8.85546875" customWidth="1"/>
    <col min="15884" max="15884" width="9.140625" customWidth="1"/>
    <col min="15885" max="15885" width="2.7109375" customWidth="1"/>
    <col min="15886" max="15886" width="8.85546875" customWidth="1"/>
    <col min="15887" max="15887" width="9.140625" customWidth="1"/>
    <col min="15888" max="15888" width="2.7109375" customWidth="1"/>
    <col min="16129" max="16129" width="34" customWidth="1"/>
    <col min="16130" max="16130" width="10" customWidth="1"/>
    <col min="16131" max="16131" width="9.140625" customWidth="1"/>
    <col min="16132" max="16132" width="2.7109375" customWidth="1"/>
    <col min="16133" max="16133" width="8.85546875" customWidth="1"/>
    <col min="16134" max="16134" width="9.140625" customWidth="1"/>
    <col min="16135" max="16135" width="2.7109375" customWidth="1"/>
    <col min="16136" max="16136" width="8.85546875" customWidth="1"/>
    <col min="16137" max="16137" width="9.140625" customWidth="1"/>
    <col min="16138" max="16138" width="2.7109375" customWidth="1"/>
    <col min="16139" max="16139" width="8.85546875" customWidth="1"/>
    <col min="16140" max="16140" width="9.140625" customWidth="1"/>
    <col min="16141" max="16141" width="2.7109375" customWidth="1"/>
    <col min="16142" max="16142" width="8.85546875" customWidth="1"/>
    <col min="16143" max="16143" width="9.140625" customWidth="1"/>
    <col min="16144" max="16144" width="2.7109375" customWidth="1"/>
  </cols>
  <sheetData>
    <row r="1" spans="1:16">
      <c r="A1" s="42" t="s">
        <v>755</v>
      </c>
      <c r="B1" s="93"/>
      <c r="C1" s="42"/>
      <c r="D1" s="42"/>
      <c r="E1" s="93"/>
      <c r="F1" s="42"/>
      <c r="G1" s="42"/>
      <c r="H1" s="93"/>
      <c r="I1" s="42"/>
      <c r="J1" s="42"/>
      <c r="K1" s="93"/>
      <c r="L1" s="42"/>
      <c r="M1" s="42"/>
      <c r="N1" s="93"/>
      <c r="O1" s="42"/>
      <c r="P1" s="42"/>
    </row>
    <row r="2" spans="1:16">
      <c r="A2" s="42" t="s">
        <v>756</v>
      </c>
      <c r="B2" s="93"/>
      <c r="C2" s="42"/>
      <c r="D2" s="42"/>
      <c r="E2" s="93"/>
      <c r="F2" s="42"/>
      <c r="G2" s="42"/>
      <c r="H2" s="93"/>
      <c r="I2" s="42"/>
      <c r="J2" s="42"/>
      <c r="K2" s="93"/>
      <c r="L2" s="42"/>
      <c r="M2" s="42"/>
      <c r="N2" s="93"/>
      <c r="O2" s="42"/>
      <c r="P2" s="42"/>
    </row>
    <row r="3" spans="1:16">
      <c r="A3" s="42"/>
      <c r="B3" s="93"/>
      <c r="C3" s="42"/>
      <c r="D3" s="42"/>
      <c r="E3" s="93"/>
      <c r="F3" s="42"/>
      <c r="G3" s="42"/>
      <c r="H3" s="93"/>
      <c r="I3" s="42"/>
      <c r="J3" s="42"/>
      <c r="K3" s="93"/>
      <c r="L3" s="42"/>
      <c r="M3" s="42"/>
      <c r="N3" s="93"/>
      <c r="O3" s="42"/>
      <c r="P3" s="42"/>
    </row>
    <row r="4" spans="1:16" ht="12.6" customHeight="1">
      <c r="A4" s="42" t="s">
        <v>1482</v>
      </c>
      <c r="B4" s="93"/>
      <c r="C4" s="42"/>
      <c r="D4" s="42"/>
      <c r="E4" s="93"/>
      <c r="F4" s="42"/>
      <c r="G4" s="42"/>
      <c r="H4" s="93"/>
      <c r="I4" s="42"/>
      <c r="J4" s="42"/>
      <c r="K4" s="93"/>
      <c r="L4" s="42"/>
      <c r="M4" s="42"/>
      <c r="N4" s="93"/>
      <c r="O4" s="42"/>
      <c r="P4" s="42"/>
    </row>
    <row r="5" spans="1:16" ht="15.75" thickBot="1">
      <c r="A5" s="42"/>
      <c r="B5" s="93"/>
      <c r="C5" s="42"/>
      <c r="D5" s="42"/>
      <c r="E5" s="93"/>
      <c r="F5" s="42"/>
      <c r="G5" s="42"/>
      <c r="H5" s="93"/>
      <c r="I5" s="42"/>
      <c r="J5" s="42"/>
      <c r="K5" s="93"/>
      <c r="L5" s="42"/>
      <c r="M5" s="42"/>
      <c r="N5" s="93"/>
      <c r="O5" s="42"/>
      <c r="P5" s="42"/>
    </row>
    <row r="6" spans="1:16" ht="19.899999999999999" customHeight="1">
      <c r="A6" s="237"/>
      <c r="B6" s="238"/>
      <c r="C6" s="237"/>
      <c r="D6" s="237"/>
      <c r="E6" s="238"/>
      <c r="F6" s="237"/>
      <c r="G6" s="237"/>
      <c r="H6" s="238"/>
      <c r="I6" s="237"/>
      <c r="J6" s="237"/>
      <c r="K6" s="238"/>
      <c r="L6" s="237"/>
      <c r="M6" s="237"/>
      <c r="N6" s="238"/>
      <c r="O6" s="237"/>
      <c r="P6" s="237"/>
    </row>
    <row r="7" spans="1:16" ht="19.899999999999999" customHeight="1">
      <c r="A7" s="180" t="s">
        <v>1364</v>
      </c>
      <c r="B7" s="93" t="s">
        <v>1365</v>
      </c>
      <c r="C7" s="42"/>
      <c r="D7" s="42"/>
      <c r="E7" s="1268" t="s">
        <v>1366</v>
      </c>
      <c r="F7" s="1268"/>
      <c r="G7" s="42"/>
      <c r="H7" s="1268" t="s">
        <v>1367</v>
      </c>
      <c r="I7" s="1268"/>
      <c r="J7" s="42"/>
      <c r="K7" s="1268" t="s">
        <v>1368</v>
      </c>
      <c r="L7" s="1268"/>
      <c r="M7" s="42"/>
      <c r="N7" s="1268" t="s">
        <v>1483</v>
      </c>
      <c r="O7" s="1268"/>
      <c r="P7" s="42"/>
    </row>
    <row r="8" spans="1:16" ht="19.899999999999999" customHeight="1">
      <c r="A8" s="39" t="s">
        <v>1371</v>
      </c>
      <c r="B8" s="246" t="s">
        <v>1372</v>
      </c>
      <c r="C8" s="272" t="s">
        <v>1373</v>
      </c>
      <c r="D8" s="242"/>
      <c r="E8" s="246" t="s">
        <v>1372</v>
      </c>
      <c r="F8" s="272" t="s">
        <v>1373</v>
      </c>
      <c r="G8" s="242"/>
      <c r="H8" s="246" t="s">
        <v>1372</v>
      </c>
      <c r="I8" s="272" t="s">
        <v>1373</v>
      </c>
      <c r="J8" s="242"/>
      <c r="K8" s="246" t="s">
        <v>9</v>
      </c>
      <c r="L8" s="272" t="s">
        <v>10</v>
      </c>
      <c r="M8" s="242"/>
      <c r="N8" s="246" t="s">
        <v>9</v>
      </c>
      <c r="O8" s="272" t="s">
        <v>10</v>
      </c>
      <c r="P8" s="242"/>
    </row>
    <row r="9" spans="1:16" ht="19.899999999999999" customHeight="1" thickBot="1">
      <c r="A9" s="249"/>
      <c r="B9" s="249"/>
      <c r="C9" s="249"/>
      <c r="D9" s="249"/>
      <c r="E9" s="249"/>
      <c r="F9" s="249"/>
      <c r="G9" s="249"/>
      <c r="H9" s="249"/>
      <c r="I9" s="249"/>
      <c r="J9" s="249"/>
      <c r="K9" s="249"/>
      <c r="L9" s="249"/>
      <c r="M9" s="249"/>
      <c r="N9" s="249"/>
      <c r="O9" s="249"/>
      <c r="P9" s="249"/>
    </row>
    <row r="10" spans="1:16" ht="14.25" customHeight="1">
      <c r="A10" s="42"/>
      <c r="B10" s="93"/>
      <c r="C10" s="42"/>
      <c r="D10" s="42"/>
      <c r="E10" s="93"/>
      <c r="F10" s="42"/>
      <c r="G10" s="42"/>
      <c r="H10" s="93"/>
      <c r="I10" s="42"/>
      <c r="J10" s="42"/>
      <c r="K10" s="93"/>
      <c r="L10" s="42"/>
      <c r="M10" s="42"/>
      <c r="N10" s="93"/>
      <c r="O10" s="42"/>
      <c r="P10" s="42"/>
    </row>
    <row r="11" spans="1:16" ht="19.899999999999999" customHeight="1">
      <c r="A11" s="565" t="s">
        <v>5</v>
      </c>
      <c r="B11" s="93">
        <f>SUM(B13:B35)</f>
        <v>248914</v>
      </c>
      <c r="C11" s="94">
        <f>IF(A11&lt;&gt;0,B11/$B$11*100,"")</f>
        <v>100</v>
      </c>
      <c r="D11" s="42"/>
      <c r="E11" s="93">
        <f>SUM(E13:E35)</f>
        <v>184814</v>
      </c>
      <c r="F11" s="94">
        <f>IF($A11&lt;&gt;"",E11/$B11*100,"")</f>
        <v>74.248133893633948</v>
      </c>
      <c r="G11" s="42"/>
      <c r="H11" s="93">
        <f>SUM(H13:H35)</f>
        <v>34548</v>
      </c>
      <c r="I11" s="94">
        <f>IF($A11&lt;&gt;"",H11/$B11*100,"")</f>
        <v>13.879492515487277</v>
      </c>
      <c r="J11" s="42"/>
      <c r="K11" s="93">
        <f>SUM(K13:K35)</f>
        <v>24045</v>
      </c>
      <c r="L11" s="94">
        <f>IF($A11&lt;&gt;"",K11/$B11*100,"")</f>
        <v>9.6599628787452687</v>
      </c>
      <c r="M11" s="42"/>
      <c r="N11" s="93">
        <f>SUM(N13:N35)</f>
        <v>5507</v>
      </c>
      <c r="O11" s="94">
        <f>IF($A11&lt;&gt;"",N11/$B11*100,"")</f>
        <v>2.2124107121335079</v>
      </c>
      <c r="P11" s="42"/>
    </row>
    <row r="12" spans="1:16" ht="11.25" customHeight="1">
      <c r="A12" s="95"/>
      <c r="B12" s="251"/>
      <c r="C12" s="240" t="str">
        <f t="shared" ref="C12:C35" si="0">IF(A12&lt;&gt;0,B12/$B$11*100,"")</f>
        <v/>
      </c>
      <c r="D12" s="95"/>
      <c r="E12" s="251"/>
      <c r="F12" s="240" t="str">
        <f t="shared" ref="F12:F35" si="1">IF($A12&lt;&gt;"",E12/$B12*100,"")</f>
        <v/>
      </c>
      <c r="G12" s="95"/>
      <c r="H12" s="251"/>
      <c r="I12" s="240" t="str">
        <f t="shared" ref="I12:I35" si="2">IF($A12&lt;&gt;"",H12/$B12*100,"")</f>
        <v/>
      </c>
      <c r="J12" s="95"/>
      <c r="K12" s="251"/>
      <c r="L12" s="240" t="str">
        <f t="shared" ref="L12:L35" si="3">IF($A12&lt;&gt;"",K12/$B12*100,"")</f>
        <v/>
      </c>
      <c r="M12" s="95"/>
      <c r="N12" s="251"/>
      <c r="O12" s="240" t="str">
        <f t="shared" ref="O12:O35" si="4">IF($A12&lt;&gt;"",N12/$B12*100,"")</f>
        <v/>
      </c>
      <c r="P12" s="42"/>
    </row>
    <row r="13" spans="1:16" ht="19.899999999999999" customHeight="1">
      <c r="A13" s="597" t="s">
        <v>1484</v>
      </c>
      <c r="B13" s="251">
        <f>E13+H13+K13+N13</f>
        <v>106309</v>
      </c>
      <c r="C13" s="240">
        <f t="shared" si="0"/>
        <v>42.709128454004194</v>
      </c>
      <c r="D13" s="95"/>
      <c r="E13" s="598">
        <v>86542</v>
      </c>
      <c r="F13" s="240">
        <f t="shared" si="1"/>
        <v>81.406089794843339</v>
      </c>
      <c r="G13" s="95"/>
      <c r="H13" s="598">
        <v>2257</v>
      </c>
      <c r="I13" s="240">
        <f t="shared" si="2"/>
        <v>2.1230563734020635</v>
      </c>
      <c r="J13" s="95"/>
      <c r="K13" s="598">
        <v>14430</v>
      </c>
      <c r="L13" s="240">
        <f t="shared" si="3"/>
        <v>13.573639108636145</v>
      </c>
      <c r="M13" s="95"/>
      <c r="N13" s="598">
        <v>3080</v>
      </c>
      <c r="O13" s="240">
        <f t="shared" si="4"/>
        <v>2.8972147231184566</v>
      </c>
      <c r="P13" s="42"/>
    </row>
    <row r="14" spans="1:16" ht="11.25" customHeight="1">
      <c r="A14" s="597"/>
      <c r="B14" s="251"/>
      <c r="C14" s="240"/>
      <c r="D14" s="95"/>
      <c r="E14" s="598"/>
      <c r="F14" s="240"/>
      <c r="G14" s="95"/>
      <c r="H14" s="598"/>
      <c r="I14" s="240"/>
      <c r="J14" s="95"/>
      <c r="K14" s="598"/>
      <c r="L14" s="240"/>
      <c r="M14" s="95"/>
      <c r="N14" s="598"/>
      <c r="O14" s="240"/>
      <c r="P14" s="42"/>
    </row>
    <row r="15" spans="1:16" ht="19.899999999999999" customHeight="1">
      <c r="A15" s="599" t="s">
        <v>1485</v>
      </c>
      <c r="B15" s="251">
        <f>E15+H15+K15+N15</f>
        <v>95980</v>
      </c>
      <c r="C15" s="240">
        <f t="shared" si="0"/>
        <v>38.559502478767769</v>
      </c>
      <c r="D15" s="95"/>
      <c r="E15" s="598">
        <v>61011</v>
      </c>
      <c r="F15" s="240">
        <f t="shared" si="1"/>
        <v>63.566367993331937</v>
      </c>
      <c r="G15" s="95"/>
      <c r="H15" s="598">
        <v>28807</v>
      </c>
      <c r="I15" s="240">
        <f t="shared" si="2"/>
        <v>30.013544488435091</v>
      </c>
      <c r="J15" s="95"/>
      <c r="K15" s="598">
        <v>5355</v>
      </c>
      <c r="L15" s="240">
        <f t="shared" si="3"/>
        <v>5.5792873515315691</v>
      </c>
      <c r="M15" s="95"/>
      <c r="N15" s="598">
        <v>807</v>
      </c>
      <c r="O15" s="240">
        <f t="shared" si="4"/>
        <v>0.84080016670139612</v>
      </c>
      <c r="P15" s="42"/>
    </row>
    <row r="16" spans="1:16" ht="11.25" customHeight="1">
      <c r="A16" s="599"/>
      <c r="B16" s="251"/>
      <c r="C16" s="240"/>
      <c r="D16" s="95"/>
      <c r="E16" s="598"/>
      <c r="F16" s="240"/>
      <c r="G16" s="95"/>
      <c r="H16" s="598"/>
      <c r="I16" s="240"/>
      <c r="J16" s="95"/>
      <c r="K16" s="598"/>
      <c r="L16" s="240"/>
      <c r="M16" s="95"/>
      <c r="N16" s="598"/>
      <c r="O16" s="240"/>
      <c r="P16" s="42"/>
    </row>
    <row r="17" spans="1:16" ht="19.899999999999999" customHeight="1">
      <c r="A17" s="599" t="s">
        <v>1486</v>
      </c>
      <c r="B17" s="251">
        <f>E17+H17+K17+N17</f>
        <v>14175</v>
      </c>
      <c r="C17" s="240">
        <f t="shared" si="0"/>
        <v>5.6947379416183903</v>
      </c>
      <c r="D17" s="95"/>
      <c r="E17" s="598">
        <v>10501</v>
      </c>
      <c r="F17" s="240">
        <f t="shared" si="1"/>
        <v>74.081128747795404</v>
      </c>
      <c r="G17" s="95"/>
      <c r="H17" s="598">
        <v>557</v>
      </c>
      <c r="I17" s="240">
        <f t="shared" si="2"/>
        <v>3.9294532627865961</v>
      </c>
      <c r="J17" s="95"/>
      <c r="K17" s="598">
        <v>2256</v>
      </c>
      <c r="L17" s="240">
        <f t="shared" si="3"/>
        <v>15.915343915343916</v>
      </c>
      <c r="M17" s="95"/>
      <c r="N17" s="598">
        <v>861</v>
      </c>
      <c r="O17" s="240">
        <f t="shared" si="4"/>
        <v>6.0740740740740744</v>
      </c>
      <c r="P17" s="42"/>
    </row>
    <row r="18" spans="1:16" ht="11.25" customHeight="1">
      <c r="A18" s="599"/>
      <c r="B18" s="251"/>
      <c r="C18" s="240"/>
      <c r="D18" s="95"/>
      <c r="E18" s="598"/>
      <c r="F18" s="240"/>
      <c r="G18" s="95"/>
      <c r="H18" s="598"/>
      <c r="I18" s="240"/>
      <c r="J18" s="95"/>
      <c r="K18" s="598"/>
      <c r="L18" s="240"/>
      <c r="M18" s="95"/>
      <c r="N18" s="598"/>
      <c r="O18" s="240"/>
      <c r="P18" s="42"/>
    </row>
    <row r="19" spans="1:16" ht="19.899999999999999" customHeight="1">
      <c r="A19" s="600" t="s">
        <v>1377</v>
      </c>
      <c r="B19" s="251">
        <f t="shared" ref="B19:B35" si="5">E19+H19+K19+N19</f>
        <v>5310</v>
      </c>
      <c r="C19" s="240">
        <f t="shared" si="0"/>
        <v>2.1332669114633971</v>
      </c>
      <c r="D19" s="95"/>
      <c r="E19" s="598">
        <v>3885</v>
      </c>
      <c r="F19" s="240">
        <f t="shared" si="1"/>
        <v>73.163841807909606</v>
      </c>
      <c r="G19" s="95"/>
      <c r="H19" s="598">
        <v>272</v>
      </c>
      <c r="I19" s="240">
        <f t="shared" si="2"/>
        <v>5.1224105461393599</v>
      </c>
      <c r="J19" s="95"/>
      <c r="K19" s="598">
        <v>1153</v>
      </c>
      <c r="L19" s="240">
        <f>IF($A19&lt;&gt;"",K19/$B19*100,"")</f>
        <v>21.713747645951038</v>
      </c>
      <c r="M19" s="95"/>
      <c r="N19" s="598">
        <v>0</v>
      </c>
      <c r="O19" s="240">
        <f t="shared" si="4"/>
        <v>0</v>
      </c>
      <c r="P19" s="42"/>
    </row>
    <row r="20" spans="1:16" ht="11.25" customHeight="1">
      <c r="A20" s="599"/>
      <c r="B20" s="251"/>
      <c r="C20" s="240"/>
      <c r="D20" s="95"/>
      <c r="E20" s="598"/>
      <c r="F20" s="240"/>
      <c r="G20" s="95"/>
      <c r="H20" s="598"/>
      <c r="I20" s="240"/>
      <c r="J20" s="95"/>
      <c r="K20" s="598"/>
      <c r="L20" s="240"/>
      <c r="M20" s="95"/>
      <c r="N20" s="598"/>
      <c r="O20" s="240"/>
      <c r="P20" s="42"/>
    </row>
    <row r="21" spans="1:16" ht="19.899999999999999" customHeight="1">
      <c r="A21" s="599" t="s">
        <v>1378</v>
      </c>
      <c r="B21" s="251">
        <f t="shared" si="5"/>
        <v>6955</v>
      </c>
      <c r="C21" s="240">
        <f t="shared" si="0"/>
        <v>2.7941377343178768</v>
      </c>
      <c r="D21" s="95"/>
      <c r="E21" s="598">
        <v>6291</v>
      </c>
      <c r="F21" s="240">
        <f t="shared" si="1"/>
        <v>90.452911574406897</v>
      </c>
      <c r="G21" s="95"/>
      <c r="H21" s="598">
        <v>662</v>
      </c>
      <c r="I21" s="240">
        <f t="shared" si="2"/>
        <v>9.5183321351545658</v>
      </c>
      <c r="J21" s="95"/>
      <c r="K21" s="598">
        <v>0</v>
      </c>
      <c r="L21" s="240">
        <f t="shared" si="3"/>
        <v>0</v>
      </c>
      <c r="M21" s="95"/>
      <c r="N21" s="598">
        <v>2</v>
      </c>
      <c r="O21" s="240">
        <f t="shared" si="4"/>
        <v>2.8756290438533429E-2</v>
      </c>
      <c r="P21" s="42"/>
    </row>
    <row r="22" spans="1:16" ht="11.25" customHeight="1">
      <c r="A22" s="599"/>
      <c r="B22" s="251"/>
      <c r="C22" s="240"/>
      <c r="D22" s="95"/>
      <c r="E22" s="601"/>
      <c r="F22" s="240"/>
      <c r="G22" s="95"/>
      <c r="H22" s="598"/>
      <c r="I22" s="240"/>
      <c r="J22" s="95"/>
      <c r="K22" s="598"/>
      <c r="L22" s="240"/>
      <c r="M22" s="95"/>
      <c r="N22" s="598"/>
      <c r="O22" s="240"/>
      <c r="P22" s="42"/>
    </row>
    <row r="23" spans="1:16" ht="19.899999999999999" customHeight="1">
      <c r="A23" s="599" t="s">
        <v>1379</v>
      </c>
      <c r="B23" s="251">
        <f t="shared" si="5"/>
        <v>5179</v>
      </c>
      <c r="C23" s="240">
        <f t="shared" si="0"/>
        <v>2.0806382927436786</v>
      </c>
      <c r="D23" s="95"/>
      <c r="E23" s="598">
        <v>3482</v>
      </c>
      <c r="F23" s="240">
        <f>IF($A23&lt;&gt;"",E23/$B23*100,"")</f>
        <v>67.233056574628307</v>
      </c>
      <c r="G23" s="95"/>
      <c r="H23" s="598">
        <v>147</v>
      </c>
      <c r="I23" s="240">
        <f t="shared" si="2"/>
        <v>2.838385788762309</v>
      </c>
      <c r="J23" s="95"/>
      <c r="K23" s="598">
        <v>798</v>
      </c>
      <c r="L23" s="240">
        <f t="shared" si="3"/>
        <v>15.408379996138249</v>
      </c>
      <c r="M23" s="95"/>
      <c r="N23" s="598">
        <v>752</v>
      </c>
      <c r="O23" s="240">
        <f t="shared" si="4"/>
        <v>14.520177640471132</v>
      </c>
      <c r="P23" s="42"/>
    </row>
    <row r="24" spans="1:16" ht="11.25" customHeight="1">
      <c r="A24" s="599"/>
      <c r="B24" s="251"/>
      <c r="C24" s="240"/>
      <c r="D24" s="95"/>
      <c r="E24" s="601"/>
      <c r="F24" s="240"/>
      <c r="G24" s="95"/>
      <c r="H24" s="598"/>
      <c r="I24" s="240"/>
      <c r="J24" s="95"/>
      <c r="K24" s="598"/>
      <c r="L24" s="240"/>
      <c r="M24" s="95"/>
      <c r="N24" s="598"/>
      <c r="O24" s="240"/>
      <c r="P24" s="42"/>
    </row>
    <row r="25" spans="1:16" ht="19.899999999999999" customHeight="1">
      <c r="A25" s="602" t="s">
        <v>137</v>
      </c>
      <c r="B25" s="251">
        <f t="shared" si="5"/>
        <v>3007</v>
      </c>
      <c r="C25" s="240">
        <f t="shared" si="0"/>
        <v>1.2080477594671253</v>
      </c>
      <c r="D25" s="95"/>
      <c r="E25" s="598">
        <v>2303</v>
      </c>
      <c r="F25" s="240">
        <f t="shared" si="1"/>
        <v>76.587961423345533</v>
      </c>
      <c r="G25" s="95"/>
      <c r="H25" s="598">
        <v>704</v>
      </c>
      <c r="I25" s="240">
        <f t="shared" si="2"/>
        <v>23.412038576654474</v>
      </c>
      <c r="J25" s="95"/>
      <c r="K25" s="598">
        <v>0</v>
      </c>
      <c r="L25" s="240">
        <f t="shared" si="3"/>
        <v>0</v>
      </c>
      <c r="M25" s="95"/>
      <c r="N25" s="598">
        <v>0</v>
      </c>
      <c r="O25" s="240">
        <f t="shared" si="4"/>
        <v>0</v>
      </c>
      <c r="P25" s="95"/>
    </row>
    <row r="26" spans="1:16" ht="11.25" customHeight="1">
      <c r="A26" s="599"/>
      <c r="B26" s="251"/>
      <c r="C26" s="240"/>
      <c r="D26" s="95"/>
      <c r="E26" s="601"/>
      <c r="F26" s="240"/>
      <c r="G26" s="95"/>
      <c r="H26" s="598"/>
      <c r="I26" s="240"/>
      <c r="J26" s="95"/>
      <c r="K26" s="598"/>
      <c r="L26" s="240"/>
      <c r="M26" s="95"/>
      <c r="N26" s="598"/>
      <c r="O26" s="240"/>
      <c r="P26" s="95"/>
    </row>
    <row r="27" spans="1:16" ht="19.899999999999999" customHeight="1">
      <c r="A27" s="600" t="s">
        <v>1381</v>
      </c>
      <c r="B27" s="251">
        <f t="shared" si="5"/>
        <v>3500</v>
      </c>
      <c r="C27" s="240">
        <f t="shared" si="0"/>
        <v>1.4061081337329357</v>
      </c>
      <c r="D27" s="95"/>
      <c r="E27" s="598">
        <v>3453</v>
      </c>
      <c r="F27" s="240">
        <f t="shared" si="1"/>
        <v>98.657142857142858</v>
      </c>
      <c r="G27" s="95"/>
      <c r="H27" s="598">
        <v>47</v>
      </c>
      <c r="I27" s="240">
        <f t="shared" si="2"/>
        <v>1.342857142857143</v>
      </c>
      <c r="J27" s="95"/>
      <c r="K27" s="598">
        <v>0</v>
      </c>
      <c r="L27" s="240">
        <f t="shared" si="3"/>
        <v>0</v>
      </c>
      <c r="M27" s="95"/>
      <c r="N27" s="598">
        <v>0</v>
      </c>
      <c r="O27" s="240">
        <f t="shared" si="4"/>
        <v>0</v>
      </c>
      <c r="P27" s="95"/>
    </row>
    <row r="28" spans="1:16" ht="11.25" customHeight="1">
      <c r="A28" s="599"/>
      <c r="B28" s="251"/>
      <c r="C28" s="240"/>
      <c r="D28" s="95"/>
      <c r="E28" s="601"/>
      <c r="F28" s="240"/>
      <c r="G28" s="95"/>
      <c r="H28" s="598"/>
      <c r="I28" s="240"/>
      <c r="J28" s="95"/>
      <c r="K28" s="598"/>
      <c r="L28" s="240"/>
      <c r="M28" s="95"/>
      <c r="N28" s="598"/>
      <c r="O28" s="240"/>
      <c r="P28" s="95"/>
    </row>
    <row r="29" spans="1:16" ht="19.899999999999999" customHeight="1">
      <c r="A29" s="600" t="s">
        <v>1382</v>
      </c>
      <c r="B29" s="251">
        <f t="shared" si="5"/>
        <v>4566</v>
      </c>
      <c r="C29" s="240">
        <f t="shared" si="0"/>
        <v>1.8343684967498817</v>
      </c>
      <c r="D29" s="95"/>
      <c r="E29" s="598">
        <v>4320</v>
      </c>
      <c r="F29" s="240">
        <f t="shared" si="1"/>
        <v>94.612352168199749</v>
      </c>
      <c r="G29" s="95"/>
      <c r="H29" s="598">
        <v>241</v>
      </c>
      <c r="I29" s="240">
        <f t="shared" si="2"/>
        <v>5.2781427945685504</v>
      </c>
      <c r="J29" s="95"/>
      <c r="K29" s="598">
        <v>0</v>
      </c>
      <c r="L29" s="240">
        <f t="shared" si="3"/>
        <v>0</v>
      </c>
      <c r="M29" s="95"/>
      <c r="N29" s="598">
        <v>5</v>
      </c>
      <c r="O29" s="240">
        <f t="shared" si="4"/>
        <v>0.10950503723171265</v>
      </c>
      <c r="P29" s="95"/>
    </row>
    <row r="30" spans="1:16" ht="11.25" customHeight="1">
      <c r="A30" s="599"/>
      <c r="B30" s="251"/>
      <c r="C30" s="240"/>
      <c r="D30" s="95"/>
      <c r="E30" s="601"/>
      <c r="F30" s="240"/>
      <c r="G30" s="95"/>
      <c r="H30" s="598"/>
      <c r="I30" s="240"/>
      <c r="J30" s="95"/>
      <c r="K30" s="598"/>
      <c r="L30" s="240"/>
      <c r="M30" s="95"/>
      <c r="N30" s="598"/>
      <c r="O30" s="240"/>
      <c r="P30" s="95"/>
    </row>
    <row r="31" spans="1:16" ht="19.899999999999999" customHeight="1">
      <c r="A31" s="600" t="s">
        <v>1383</v>
      </c>
      <c r="B31" s="251">
        <f t="shared" si="5"/>
        <v>2110</v>
      </c>
      <c r="C31" s="240">
        <f t="shared" si="0"/>
        <v>0.84768233205042698</v>
      </c>
      <c r="D31" s="95"/>
      <c r="E31" s="598">
        <v>1990</v>
      </c>
      <c r="F31" s="240">
        <f t="shared" si="1"/>
        <v>94.312796208530798</v>
      </c>
      <c r="G31" s="95"/>
      <c r="H31" s="598">
        <v>115</v>
      </c>
      <c r="I31" s="240">
        <f t="shared" si="2"/>
        <v>5.4502369668246446</v>
      </c>
      <c r="J31" s="95"/>
      <c r="K31" s="598">
        <v>5</v>
      </c>
      <c r="L31" s="240">
        <f t="shared" si="3"/>
        <v>0.23696682464454977</v>
      </c>
      <c r="M31" s="95"/>
      <c r="N31" s="598">
        <v>0</v>
      </c>
      <c r="O31" s="240">
        <f t="shared" si="4"/>
        <v>0</v>
      </c>
      <c r="P31" s="95"/>
    </row>
    <row r="32" spans="1:16" ht="11.25" customHeight="1">
      <c r="A32" s="599"/>
      <c r="B32" s="251"/>
      <c r="C32" s="240"/>
      <c r="D32" s="95"/>
      <c r="E32" s="601"/>
      <c r="F32" s="240"/>
      <c r="G32" s="95"/>
      <c r="H32" s="598"/>
      <c r="I32" s="240"/>
      <c r="J32" s="95"/>
      <c r="K32" s="598"/>
      <c r="L32" s="240"/>
      <c r="M32" s="95"/>
      <c r="N32" s="598"/>
      <c r="O32" s="240"/>
      <c r="P32" s="95"/>
    </row>
    <row r="33" spans="1:16" ht="19.899999999999999" customHeight="1">
      <c r="A33" s="600" t="s">
        <v>1384</v>
      </c>
      <c r="B33" s="251">
        <f t="shared" si="5"/>
        <v>1553</v>
      </c>
      <c r="C33" s="240">
        <f t="shared" si="0"/>
        <v>0.62391026619635692</v>
      </c>
      <c r="D33" s="95"/>
      <c r="E33" s="598">
        <v>785</v>
      </c>
      <c r="F33" s="240">
        <f t="shared" si="1"/>
        <v>50.547327752736635</v>
      </c>
      <c r="G33" s="95"/>
      <c r="H33" s="598">
        <v>729</v>
      </c>
      <c r="I33" s="240">
        <f t="shared" si="2"/>
        <v>46.941403734707023</v>
      </c>
      <c r="J33" s="95"/>
      <c r="K33" s="598">
        <v>39</v>
      </c>
      <c r="L33" s="240">
        <f t="shared" si="3"/>
        <v>2.5112685125563425</v>
      </c>
      <c r="M33" s="95"/>
      <c r="N33" s="598">
        <v>0</v>
      </c>
      <c r="O33" s="240">
        <f t="shared" si="4"/>
        <v>0</v>
      </c>
      <c r="P33" s="95"/>
    </row>
    <row r="34" spans="1:16" ht="11.25" customHeight="1">
      <c r="A34" s="599"/>
      <c r="B34" s="251"/>
      <c r="C34" s="240"/>
      <c r="D34" s="95"/>
      <c r="E34" s="601"/>
      <c r="F34" s="240"/>
      <c r="G34" s="95"/>
      <c r="H34" s="598"/>
      <c r="I34" s="240"/>
      <c r="J34" s="95"/>
      <c r="K34" s="598"/>
      <c r="L34" s="240"/>
      <c r="M34" s="95"/>
      <c r="N34" s="598"/>
      <c r="O34" s="240"/>
      <c r="P34" s="95"/>
    </row>
    <row r="35" spans="1:16" ht="19.899999999999999" customHeight="1">
      <c r="A35" s="600" t="s">
        <v>1385</v>
      </c>
      <c r="B35" s="251">
        <f t="shared" si="5"/>
        <v>270</v>
      </c>
      <c r="C35" s="240">
        <f t="shared" si="0"/>
        <v>0.10847119888796933</v>
      </c>
      <c r="D35" s="95"/>
      <c r="E35" s="598">
        <v>251</v>
      </c>
      <c r="F35" s="240">
        <f t="shared" si="1"/>
        <v>92.962962962962962</v>
      </c>
      <c r="G35" s="95"/>
      <c r="H35" s="598">
        <v>10</v>
      </c>
      <c r="I35" s="240">
        <f t="shared" si="2"/>
        <v>3.7037037037037033</v>
      </c>
      <c r="J35" s="95"/>
      <c r="K35" s="598">
        <v>9</v>
      </c>
      <c r="L35" s="240">
        <f t="shared" si="3"/>
        <v>3.3333333333333335</v>
      </c>
      <c r="M35" s="95"/>
      <c r="N35" s="598">
        <v>0</v>
      </c>
      <c r="O35" s="240">
        <f t="shared" si="4"/>
        <v>0</v>
      </c>
      <c r="P35" s="95"/>
    </row>
    <row r="36" spans="1:16" ht="11.25" customHeight="1" thickBot="1">
      <c r="A36" s="42"/>
      <c r="B36" s="93"/>
      <c r="C36" s="42"/>
      <c r="D36" s="42"/>
      <c r="E36" s="93"/>
      <c r="F36" s="42"/>
      <c r="G36" s="42"/>
      <c r="H36" s="93"/>
      <c r="I36" s="42"/>
      <c r="J36" s="42"/>
      <c r="K36" s="93"/>
      <c r="L36" s="42"/>
      <c r="M36" s="42"/>
      <c r="N36" s="93"/>
      <c r="O36" s="42"/>
      <c r="P36" s="42"/>
    </row>
    <row r="37" spans="1:16">
      <c r="A37" s="237"/>
      <c r="B37" s="238"/>
      <c r="C37" s="237"/>
      <c r="D37" s="237"/>
      <c r="E37" s="238"/>
      <c r="F37" s="237"/>
      <c r="G37" s="237"/>
      <c r="H37" s="238"/>
      <c r="I37" s="237"/>
      <c r="J37" s="237"/>
      <c r="K37" s="238"/>
      <c r="L37" s="237"/>
      <c r="M37" s="237"/>
      <c r="N37" s="238"/>
      <c r="O37" s="237"/>
      <c r="P37" s="237"/>
    </row>
    <row r="38" spans="1:16">
      <c r="A38" s="256" t="s">
        <v>1387</v>
      </c>
      <c r="B38" s="93"/>
      <c r="C38" s="42"/>
      <c r="D38" s="42"/>
      <c r="E38" s="93"/>
      <c r="F38" s="42"/>
      <c r="G38" s="42"/>
      <c r="H38" s="93"/>
      <c r="I38" s="42"/>
      <c r="J38" s="42"/>
      <c r="K38" s="93"/>
      <c r="L38" s="42"/>
      <c r="M38" s="42"/>
      <c r="N38" s="93"/>
      <c r="O38" s="42"/>
      <c r="P38" s="42"/>
    </row>
    <row r="39" spans="1:16">
      <c r="A39" s="256" t="s">
        <v>2209</v>
      </c>
      <c r="B39" s="93"/>
      <c r="C39" s="42"/>
      <c r="D39" s="42"/>
      <c r="E39" s="93"/>
      <c r="F39" s="42"/>
      <c r="G39" s="42"/>
      <c r="H39" s="93"/>
      <c r="I39" s="42"/>
      <c r="J39" s="42"/>
      <c r="K39" s="93"/>
      <c r="L39" s="42"/>
      <c r="M39" s="42"/>
      <c r="N39" s="93"/>
      <c r="O39" s="42"/>
      <c r="P39" s="42"/>
    </row>
    <row r="40" spans="1:16">
      <c r="A40" s="256" t="s">
        <v>1487</v>
      </c>
      <c r="B40" s="93"/>
      <c r="C40" s="42"/>
      <c r="D40" s="42"/>
      <c r="E40" s="93"/>
      <c r="F40" s="42"/>
      <c r="G40" s="42"/>
      <c r="H40" s="93"/>
      <c r="I40" s="42"/>
      <c r="J40" s="42"/>
      <c r="K40" s="93"/>
      <c r="L40" s="42"/>
      <c r="M40" s="42"/>
      <c r="N40" s="93"/>
      <c r="O40" s="42"/>
      <c r="P40" s="42"/>
    </row>
    <row r="41" spans="1:16">
      <c r="A41" s="42" t="s">
        <v>1488</v>
      </c>
      <c r="B41" s="93"/>
      <c r="C41" s="42"/>
      <c r="D41" s="42"/>
      <c r="E41" s="93"/>
      <c r="F41" s="42"/>
      <c r="G41" s="42"/>
      <c r="H41" s="93"/>
      <c r="I41" s="42"/>
      <c r="J41" s="42"/>
      <c r="K41" s="93"/>
      <c r="L41" s="42"/>
      <c r="M41" s="42"/>
      <c r="N41" s="93"/>
      <c r="O41" s="42"/>
      <c r="P41" s="42"/>
    </row>
    <row r="42" spans="1:16">
      <c r="A42" s="256" t="s">
        <v>1489</v>
      </c>
      <c r="B42" s="93"/>
      <c r="C42" s="42"/>
      <c r="D42" s="42"/>
      <c r="E42" s="93"/>
      <c r="F42" s="42"/>
      <c r="G42" s="42"/>
      <c r="H42" s="93"/>
      <c r="I42" s="42"/>
      <c r="J42" s="42"/>
      <c r="K42" s="93"/>
      <c r="L42" s="42"/>
      <c r="M42" s="42"/>
      <c r="N42" s="93"/>
      <c r="O42" s="42"/>
      <c r="P42" s="42"/>
    </row>
    <row r="43" spans="1:16">
      <c r="A43" s="256" t="s">
        <v>1490</v>
      </c>
      <c r="B43" s="93"/>
      <c r="C43" s="42"/>
      <c r="D43" s="42"/>
      <c r="E43" s="93"/>
      <c r="F43" s="42"/>
      <c r="G43" s="42"/>
      <c r="H43" s="93"/>
      <c r="I43" s="42"/>
      <c r="J43" s="42"/>
      <c r="K43" s="93"/>
      <c r="L43" s="42"/>
      <c r="M43" s="42"/>
      <c r="N43" s="93"/>
      <c r="O43" s="42"/>
      <c r="P43" s="42"/>
    </row>
    <row r="44" spans="1:16">
      <c r="A44" s="42"/>
      <c r="B44" s="93"/>
      <c r="C44" s="42"/>
      <c r="D44" s="42"/>
      <c r="E44" s="93"/>
      <c r="F44" s="42"/>
      <c r="G44" s="42"/>
      <c r="H44" s="93"/>
      <c r="I44" s="42"/>
      <c r="J44" s="42"/>
      <c r="K44" s="93"/>
      <c r="L44" s="42"/>
      <c r="M44" s="42"/>
      <c r="N44" s="93"/>
      <c r="O44" s="42"/>
      <c r="P44" s="42"/>
    </row>
    <row r="45" spans="1:16">
      <c r="A45" s="42" t="s">
        <v>1395</v>
      </c>
      <c r="B45" s="93"/>
      <c r="C45" s="42"/>
      <c r="D45" s="42"/>
      <c r="E45" s="93"/>
      <c r="F45" s="42"/>
      <c r="G45" s="42"/>
      <c r="H45" s="93"/>
      <c r="I45" s="42"/>
      <c r="J45" s="42"/>
      <c r="K45" s="93"/>
      <c r="L45" s="42"/>
      <c r="M45" s="42"/>
      <c r="N45" s="93"/>
      <c r="O45" s="42"/>
      <c r="P45" s="42"/>
    </row>
    <row r="46" spans="1:16">
      <c r="A46" s="42" t="s">
        <v>1396</v>
      </c>
      <c r="B46" s="93"/>
      <c r="C46" s="42"/>
      <c r="D46" s="42"/>
      <c r="E46" s="93"/>
      <c r="F46" s="42"/>
      <c r="G46" s="42"/>
      <c r="H46" s="93"/>
      <c r="I46" s="42"/>
      <c r="J46" s="42"/>
      <c r="K46" s="93"/>
      <c r="L46" s="42"/>
      <c r="M46" s="42"/>
      <c r="N46" s="93"/>
      <c r="O46" s="42"/>
      <c r="P46" s="42"/>
    </row>
    <row r="47" spans="1:16">
      <c r="A47" s="42"/>
      <c r="B47" s="93"/>
      <c r="C47" s="42"/>
      <c r="D47" s="42"/>
      <c r="E47" s="93"/>
      <c r="F47" s="42"/>
      <c r="G47" s="42"/>
      <c r="H47" s="93"/>
      <c r="I47" s="42"/>
      <c r="J47" s="42"/>
      <c r="K47" s="93"/>
      <c r="L47" s="42"/>
      <c r="M47" s="42"/>
      <c r="N47" s="93"/>
      <c r="O47" s="42"/>
      <c r="P47" s="42"/>
    </row>
    <row r="49" spans="1:6">
      <c r="A49" s="31"/>
    </row>
    <row r="50" spans="1:6">
      <c r="A50" s="31"/>
      <c r="B50" s="93"/>
    </row>
    <row r="51" spans="1:6">
      <c r="A51" s="31"/>
      <c r="B51" s="93"/>
      <c r="F51" t="s">
        <v>253</v>
      </c>
    </row>
    <row r="52" spans="1:6">
      <c r="A52" s="31"/>
      <c r="B52" s="93"/>
    </row>
    <row r="53" spans="1:6">
      <c r="A53" s="31"/>
      <c r="B53" s="93"/>
    </row>
    <row r="54" spans="1:6">
      <c r="A54" s="31"/>
      <c r="B54" s="93"/>
    </row>
    <row r="55" spans="1:6">
      <c r="A55" s="31"/>
    </row>
    <row r="56" spans="1:6">
      <c r="A56" s="31"/>
    </row>
  </sheetData>
  <mergeCells count="4">
    <mergeCell ref="E7:F7"/>
    <mergeCell ref="H7:I7"/>
    <mergeCell ref="K7:L7"/>
    <mergeCell ref="N7:O7"/>
  </mergeCells>
  <printOptions horizontalCentered="1" verticalCentered="1"/>
  <pageMargins left="0" right="0" top="0" bottom="0" header="0.31496062992125984" footer="0.31496062992125984"/>
  <pageSetup paperSize="9" scale="65" orientation="landscape" r:id="rId1"/>
  <drawing r:id="rId2"/>
</worksheet>
</file>

<file path=xl/worksheets/sheet81.xml><?xml version="1.0" encoding="utf-8"?>
<worksheet xmlns="http://schemas.openxmlformats.org/spreadsheetml/2006/main" xmlns:r="http://schemas.openxmlformats.org/officeDocument/2006/relationships">
  <sheetPr>
    <tabColor rgb="FFFFFF00"/>
  </sheetPr>
  <dimension ref="A1:B23"/>
  <sheetViews>
    <sheetView workbookViewId="0">
      <selection activeCell="B23" sqref="B23"/>
    </sheetView>
  </sheetViews>
  <sheetFormatPr baseColWidth="10" defaultRowHeight="15"/>
  <cols>
    <col min="1" max="1" width="13.7109375" customWidth="1"/>
    <col min="2" max="2" width="118.85546875" customWidth="1"/>
  </cols>
  <sheetData>
    <row r="1" spans="1:2" ht="15.75">
      <c r="A1" s="28" t="s">
        <v>251</v>
      </c>
    </row>
    <row r="2" spans="1:2" ht="15.75">
      <c r="A2" s="26" t="s">
        <v>1505</v>
      </c>
    </row>
    <row r="3" spans="1:2">
      <c r="A3" s="25"/>
    </row>
    <row r="4" spans="1:2" ht="15.75">
      <c r="A4" s="26" t="s">
        <v>722</v>
      </c>
    </row>
    <row r="5" spans="1:2" ht="15.75">
      <c r="A5" s="27" t="s">
        <v>1506</v>
      </c>
      <c r="B5" s="30" t="s">
        <v>1507</v>
      </c>
    </row>
    <row r="6" spans="1:2" ht="15.75">
      <c r="A6" s="605"/>
    </row>
    <row r="7" spans="1:2" ht="15.75">
      <c r="A7" s="26" t="s">
        <v>1508</v>
      </c>
    </row>
    <row r="8" spans="1:2" ht="15.75">
      <c r="A8" s="27" t="s">
        <v>1509</v>
      </c>
      <c r="B8" s="29" t="s">
        <v>1510</v>
      </c>
    </row>
    <row r="9" spans="1:2" ht="15.75">
      <c r="A9" s="27" t="s">
        <v>1511</v>
      </c>
      <c r="B9" s="29" t="s">
        <v>1512</v>
      </c>
    </row>
    <row r="10" spans="1:2">
      <c r="A10" s="25"/>
    </row>
    <row r="11" spans="1:2" ht="15.75">
      <c r="A11" s="26" t="s">
        <v>1513</v>
      </c>
    </row>
    <row r="12" spans="1:2" ht="15.75">
      <c r="A12" s="27" t="s">
        <v>1514</v>
      </c>
      <c r="B12" s="29" t="s">
        <v>1515</v>
      </c>
    </row>
    <row r="13" spans="1:2" ht="31.5">
      <c r="A13" s="27" t="s">
        <v>1516</v>
      </c>
      <c r="B13" s="947" t="s">
        <v>2210</v>
      </c>
    </row>
    <row r="14" spans="1:2">
      <c r="A14" s="25"/>
    </row>
    <row r="15" spans="1:2" ht="15.75">
      <c r="A15" s="26" t="s">
        <v>1517</v>
      </c>
    </row>
    <row r="16" spans="1:2" ht="15.75">
      <c r="A16" s="27" t="s">
        <v>1518</v>
      </c>
      <c r="B16" s="29" t="s">
        <v>1519</v>
      </c>
    </row>
    <row r="17" spans="1:2" ht="15.75">
      <c r="A17" s="27" t="s">
        <v>1520</v>
      </c>
      <c r="B17" s="29" t="s">
        <v>1521</v>
      </c>
    </row>
    <row r="18" spans="1:2" ht="15.75">
      <c r="A18" s="26"/>
    </row>
    <row r="19" spans="1:2" ht="15.75">
      <c r="A19" s="26" t="s">
        <v>1523</v>
      </c>
    </row>
    <row r="20" spans="1:2" ht="31.5">
      <c r="A20" s="27" t="s">
        <v>1522</v>
      </c>
      <c r="B20" s="27" t="s">
        <v>1525</v>
      </c>
    </row>
    <row r="21" spans="1:2" ht="31.5">
      <c r="A21" s="29" t="s">
        <v>1524</v>
      </c>
      <c r="B21" s="27" t="s">
        <v>1527</v>
      </c>
    </row>
    <row r="22" spans="1:2" ht="31.5">
      <c r="A22" s="27" t="s">
        <v>1526</v>
      </c>
      <c r="B22" s="1253" t="s">
        <v>2283</v>
      </c>
    </row>
    <row r="23" spans="1:2">
      <c r="A23" s="25"/>
    </row>
  </sheetData>
  <pageMargins left="0.70866141732283472" right="0.70866141732283472" top="0.74803149606299213" bottom="0.74803149606299213" header="0.31496062992125984" footer="0.31496062992125984"/>
  <pageSetup paperSize="9" scale="90" orientation="landscape" r:id="rId1"/>
</worksheet>
</file>

<file path=xl/worksheets/sheet82.xml><?xml version="1.0" encoding="utf-8"?>
<worksheet xmlns="http://schemas.openxmlformats.org/spreadsheetml/2006/main" xmlns:r="http://schemas.openxmlformats.org/officeDocument/2006/relationships">
  <dimension ref="A1:N49"/>
  <sheetViews>
    <sheetView topLeftCell="A10" workbookViewId="0">
      <selection activeCell="A41" sqref="A41:A44"/>
    </sheetView>
  </sheetViews>
  <sheetFormatPr baseColWidth="10" defaultColWidth="8.85546875" defaultRowHeight="15"/>
  <cols>
    <col min="1" max="1" width="31.42578125" style="852" customWidth="1"/>
    <col min="2" max="2" width="2.42578125" style="847" customWidth="1"/>
    <col min="3" max="3" width="9.7109375" style="1200" customWidth="1"/>
    <col min="4" max="4" width="8.7109375" style="852" customWidth="1"/>
    <col min="5" max="5" width="2.5703125" style="852" customWidth="1"/>
    <col min="6" max="6" width="9.7109375" style="1200" customWidth="1"/>
    <col min="7" max="7" width="8.7109375" style="1200" customWidth="1"/>
    <col min="8" max="8" width="2.7109375" style="1200" customWidth="1"/>
    <col min="9" max="9" width="9.7109375" style="1200" customWidth="1"/>
    <col min="10" max="10" width="8.7109375" style="1200" customWidth="1"/>
    <col min="11" max="11" width="2.85546875" style="1200" customWidth="1"/>
    <col min="12" max="12" width="9.42578125" style="1200" customWidth="1"/>
    <col min="13" max="13" width="9.7109375" style="1200" customWidth="1"/>
    <col min="14" max="14" width="3.7109375" style="998" customWidth="1"/>
    <col min="15" max="256" width="8.85546875" style="847"/>
    <col min="257" max="257" width="30.85546875" style="847" customWidth="1"/>
    <col min="258" max="258" width="2.42578125" style="847" customWidth="1"/>
    <col min="259" max="259" width="9.7109375" style="847" customWidth="1"/>
    <col min="260" max="260" width="8.7109375" style="847" customWidth="1"/>
    <col min="261" max="261" width="2.5703125" style="847" customWidth="1"/>
    <col min="262" max="262" width="9.7109375" style="847" customWidth="1"/>
    <col min="263" max="263" width="8.7109375" style="847" customWidth="1"/>
    <col min="264" max="264" width="2.7109375" style="847" customWidth="1"/>
    <col min="265" max="265" width="9.7109375" style="847" customWidth="1"/>
    <col min="266" max="266" width="8.7109375" style="847" customWidth="1"/>
    <col min="267" max="267" width="2.85546875" style="847" customWidth="1"/>
    <col min="268" max="268" width="9.42578125" style="847" customWidth="1"/>
    <col min="269" max="269" width="9.7109375" style="847" customWidth="1"/>
    <col min="270" max="270" width="3.7109375" style="847" customWidth="1"/>
    <col min="271" max="512" width="8.85546875" style="847"/>
    <col min="513" max="513" width="30.85546875" style="847" customWidth="1"/>
    <col min="514" max="514" width="2.42578125" style="847" customWidth="1"/>
    <col min="515" max="515" width="9.7109375" style="847" customWidth="1"/>
    <col min="516" max="516" width="8.7109375" style="847" customWidth="1"/>
    <col min="517" max="517" width="2.5703125" style="847" customWidth="1"/>
    <col min="518" max="518" width="9.7109375" style="847" customWidth="1"/>
    <col min="519" max="519" width="8.7109375" style="847" customWidth="1"/>
    <col min="520" max="520" width="2.7109375" style="847" customWidth="1"/>
    <col min="521" max="521" width="9.7109375" style="847" customWidth="1"/>
    <col min="522" max="522" width="8.7109375" style="847" customWidth="1"/>
    <col min="523" max="523" width="2.85546875" style="847" customWidth="1"/>
    <col min="524" max="524" width="9.42578125" style="847" customWidth="1"/>
    <col min="525" max="525" width="9.7109375" style="847" customWidth="1"/>
    <col min="526" max="526" width="3.7109375" style="847" customWidth="1"/>
    <col min="527" max="768" width="8.85546875" style="847"/>
    <col min="769" max="769" width="30.85546875" style="847" customWidth="1"/>
    <col min="770" max="770" width="2.42578125" style="847" customWidth="1"/>
    <col min="771" max="771" width="9.7109375" style="847" customWidth="1"/>
    <col min="772" max="772" width="8.7109375" style="847" customWidth="1"/>
    <col min="773" max="773" width="2.5703125" style="847" customWidth="1"/>
    <col min="774" max="774" width="9.7109375" style="847" customWidth="1"/>
    <col min="775" max="775" width="8.7109375" style="847" customWidth="1"/>
    <col min="776" max="776" width="2.7109375" style="847" customWidth="1"/>
    <col min="777" max="777" width="9.7109375" style="847" customWidth="1"/>
    <col min="778" max="778" width="8.7109375" style="847" customWidth="1"/>
    <col min="779" max="779" width="2.85546875" style="847" customWidth="1"/>
    <col min="780" max="780" width="9.42578125" style="847" customWidth="1"/>
    <col min="781" max="781" width="9.7109375" style="847" customWidth="1"/>
    <col min="782" max="782" width="3.7109375" style="847" customWidth="1"/>
    <col min="783" max="1024" width="8.85546875" style="847"/>
    <col min="1025" max="1025" width="30.85546875" style="847" customWidth="1"/>
    <col min="1026" max="1026" width="2.42578125" style="847" customWidth="1"/>
    <col min="1027" max="1027" width="9.7109375" style="847" customWidth="1"/>
    <col min="1028" max="1028" width="8.7109375" style="847" customWidth="1"/>
    <col min="1029" max="1029" width="2.5703125" style="847" customWidth="1"/>
    <col min="1030" max="1030" width="9.7109375" style="847" customWidth="1"/>
    <col min="1031" max="1031" width="8.7109375" style="847" customWidth="1"/>
    <col min="1032" max="1032" width="2.7109375" style="847" customWidth="1"/>
    <col min="1033" max="1033" width="9.7109375" style="847" customWidth="1"/>
    <col min="1034" max="1034" width="8.7109375" style="847" customWidth="1"/>
    <col min="1035" max="1035" width="2.85546875" style="847" customWidth="1"/>
    <col min="1036" max="1036" width="9.42578125" style="847" customWidth="1"/>
    <col min="1037" max="1037" width="9.7109375" style="847" customWidth="1"/>
    <col min="1038" max="1038" width="3.7109375" style="847" customWidth="1"/>
    <col min="1039" max="1280" width="8.85546875" style="847"/>
    <col min="1281" max="1281" width="30.85546875" style="847" customWidth="1"/>
    <col min="1282" max="1282" width="2.42578125" style="847" customWidth="1"/>
    <col min="1283" max="1283" width="9.7109375" style="847" customWidth="1"/>
    <col min="1284" max="1284" width="8.7109375" style="847" customWidth="1"/>
    <col min="1285" max="1285" width="2.5703125" style="847" customWidth="1"/>
    <col min="1286" max="1286" width="9.7109375" style="847" customWidth="1"/>
    <col min="1287" max="1287" width="8.7109375" style="847" customWidth="1"/>
    <col min="1288" max="1288" width="2.7109375" style="847" customWidth="1"/>
    <col min="1289" max="1289" width="9.7109375" style="847" customWidth="1"/>
    <col min="1290" max="1290" width="8.7109375" style="847" customWidth="1"/>
    <col min="1291" max="1291" width="2.85546875" style="847" customWidth="1"/>
    <col min="1292" max="1292" width="9.42578125" style="847" customWidth="1"/>
    <col min="1293" max="1293" width="9.7109375" style="847" customWidth="1"/>
    <col min="1294" max="1294" width="3.7109375" style="847" customWidth="1"/>
    <col min="1295" max="1536" width="8.85546875" style="847"/>
    <col min="1537" max="1537" width="30.85546875" style="847" customWidth="1"/>
    <col min="1538" max="1538" width="2.42578125" style="847" customWidth="1"/>
    <col min="1539" max="1539" width="9.7109375" style="847" customWidth="1"/>
    <col min="1540" max="1540" width="8.7109375" style="847" customWidth="1"/>
    <col min="1541" max="1541" width="2.5703125" style="847" customWidth="1"/>
    <col min="1542" max="1542" width="9.7109375" style="847" customWidth="1"/>
    <col min="1543" max="1543" width="8.7109375" style="847" customWidth="1"/>
    <col min="1544" max="1544" width="2.7109375" style="847" customWidth="1"/>
    <col min="1545" max="1545" width="9.7109375" style="847" customWidth="1"/>
    <col min="1546" max="1546" width="8.7109375" style="847" customWidth="1"/>
    <col min="1547" max="1547" width="2.85546875" style="847" customWidth="1"/>
    <col min="1548" max="1548" width="9.42578125" style="847" customWidth="1"/>
    <col min="1549" max="1549" width="9.7109375" style="847" customWidth="1"/>
    <col min="1550" max="1550" width="3.7109375" style="847" customWidth="1"/>
    <col min="1551" max="1792" width="8.85546875" style="847"/>
    <col min="1793" max="1793" width="30.85546875" style="847" customWidth="1"/>
    <col min="1794" max="1794" width="2.42578125" style="847" customWidth="1"/>
    <col min="1795" max="1795" width="9.7109375" style="847" customWidth="1"/>
    <col min="1796" max="1796" width="8.7109375" style="847" customWidth="1"/>
    <col min="1797" max="1797" width="2.5703125" style="847" customWidth="1"/>
    <col min="1798" max="1798" width="9.7109375" style="847" customWidth="1"/>
    <col min="1799" max="1799" width="8.7109375" style="847" customWidth="1"/>
    <col min="1800" max="1800" width="2.7109375" style="847" customWidth="1"/>
    <col min="1801" max="1801" width="9.7109375" style="847" customWidth="1"/>
    <col min="1802" max="1802" width="8.7109375" style="847" customWidth="1"/>
    <col min="1803" max="1803" width="2.85546875" style="847" customWidth="1"/>
    <col min="1804" max="1804" width="9.42578125" style="847" customWidth="1"/>
    <col min="1805" max="1805" width="9.7109375" style="847" customWidth="1"/>
    <col min="1806" max="1806" width="3.7109375" style="847" customWidth="1"/>
    <col min="1807" max="2048" width="8.85546875" style="847"/>
    <col min="2049" max="2049" width="30.85546875" style="847" customWidth="1"/>
    <col min="2050" max="2050" width="2.42578125" style="847" customWidth="1"/>
    <col min="2051" max="2051" width="9.7109375" style="847" customWidth="1"/>
    <col min="2052" max="2052" width="8.7109375" style="847" customWidth="1"/>
    <col min="2053" max="2053" width="2.5703125" style="847" customWidth="1"/>
    <col min="2054" max="2054" width="9.7109375" style="847" customWidth="1"/>
    <col min="2055" max="2055" width="8.7109375" style="847" customWidth="1"/>
    <col min="2056" max="2056" width="2.7109375" style="847" customWidth="1"/>
    <col min="2057" max="2057" width="9.7109375" style="847" customWidth="1"/>
    <col min="2058" max="2058" width="8.7109375" style="847" customWidth="1"/>
    <col min="2059" max="2059" width="2.85546875" style="847" customWidth="1"/>
    <col min="2060" max="2060" width="9.42578125" style="847" customWidth="1"/>
    <col min="2061" max="2061" width="9.7109375" style="847" customWidth="1"/>
    <col min="2062" max="2062" width="3.7109375" style="847" customWidth="1"/>
    <col min="2063" max="2304" width="8.85546875" style="847"/>
    <col min="2305" max="2305" width="30.85546875" style="847" customWidth="1"/>
    <col min="2306" max="2306" width="2.42578125" style="847" customWidth="1"/>
    <col min="2307" max="2307" width="9.7109375" style="847" customWidth="1"/>
    <col min="2308" max="2308" width="8.7109375" style="847" customWidth="1"/>
    <col min="2309" max="2309" width="2.5703125" style="847" customWidth="1"/>
    <col min="2310" max="2310" width="9.7109375" style="847" customWidth="1"/>
    <col min="2311" max="2311" width="8.7109375" style="847" customWidth="1"/>
    <col min="2312" max="2312" width="2.7109375" style="847" customWidth="1"/>
    <col min="2313" max="2313" width="9.7109375" style="847" customWidth="1"/>
    <col min="2314" max="2314" width="8.7109375" style="847" customWidth="1"/>
    <col min="2315" max="2315" width="2.85546875" style="847" customWidth="1"/>
    <col min="2316" max="2316" width="9.42578125" style="847" customWidth="1"/>
    <col min="2317" max="2317" width="9.7109375" style="847" customWidth="1"/>
    <col min="2318" max="2318" width="3.7109375" style="847" customWidth="1"/>
    <col min="2319" max="2560" width="8.85546875" style="847"/>
    <col min="2561" max="2561" width="30.85546875" style="847" customWidth="1"/>
    <col min="2562" max="2562" width="2.42578125" style="847" customWidth="1"/>
    <col min="2563" max="2563" width="9.7109375" style="847" customWidth="1"/>
    <col min="2564" max="2564" width="8.7109375" style="847" customWidth="1"/>
    <col min="2565" max="2565" width="2.5703125" style="847" customWidth="1"/>
    <col min="2566" max="2566" width="9.7109375" style="847" customWidth="1"/>
    <col min="2567" max="2567" width="8.7109375" style="847" customWidth="1"/>
    <col min="2568" max="2568" width="2.7109375" style="847" customWidth="1"/>
    <col min="2569" max="2569" width="9.7109375" style="847" customWidth="1"/>
    <col min="2570" max="2570" width="8.7109375" style="847" customWidth="1"/>
    <col min="2571" max="2571" width="2.85546875" style="847" customWidth="1"/>
    <col min="2572" max="2572" width="9.42578125" style="847" customWidth="1"/>
    <col min="2573" max="2573" width="9.7109375" style="847" customWidth="1"/>
    <col min="2574" max="2574" width="3.7109375" style="847" customWidth="1"/>
    <col min="2575" max="2816" width="8.85546875" style="847"/>
    <col min="2817" max="2817" width="30.85546875" style="847" customWidth="1"/>
    <col min="2818" max="2818" width="2.42578125" style="847" customWidth="1"/>
    <col min="2819" max="2819" width="9.7109375" style="847" customWidth="1"/>
    <col min="2820" max="2820" width="8.7109375" style="847" customWidth="1"/>
    <col min="2821" max="2821" width="2.5703125" style="847" customWidth="1"/>
    <col min="2822" max="2822" width="9.7109375" style="847" customWidth="1"/>
    <col min="2823" max="2823" width="8.7109375" style="847" customWidth="1"/>
    <col min="2824" max="2824" width="2.7109375" style="847" customWidth="1"/>
    <col min="2825" max="2825" width="9.7109375" style="847" customWidth="1"/>
    <col min="2826" max="2826" width="8.7109375" style="847" customWidth="1"/>
    <col min="2827" max="2827" width="2.85546875" style="847" customWidth="1"/>
    <col min="2828" max="2828" width="9.42578125" style="847" customWidth="1"/>
    <col min="2829" max="2829" width="9.7109375" style="847" customWidth="1"/>
    <col min="2830" max="2830" width="3.7109375" style="847" customWidth="1"/>
    <col min="2831" max="3072" width="8.85546875" style="847"/>
    <col min="3073" max="3073" width="30.85546875" style="847" customWidth="1"/>
    <col min="3074" max="3074" width="2.42578125" style="847" customWidth="1"/>
    <col min="3075" max="3075" width="9.7109375" style="847" customWidth="1"/>
    <col min="3076" max="3076" width="8.7109375" style="847" customWidth="1"/>
    <col min="3077" max="3077" width="2.5703125" style="847" customWidth="1"/>
    <col min="3078" max="3078" width="9.7109375" style="847" customWidth="1"/>
    <col min="3079" max="3079" width="8.7109375" style="847" customWidth="1"/>
    <col min="3080" max="3080" width="2.7109375" style="847" customWidth="1"/>
    <col min="3081" max="3081" width="9.7109375" style="847" customWidth="1"/>
    <col min="3082" max="3082" width="8.7109375" style="847" customWidth="1"/>
    <col min="3083" max="3083" width="2.85546875" style="847" customWidth="1"/>
    <col min="3084" max="3084" width="9.42578125" style="847" customWidth="1"/>
    <col min="3085" max="3085" width="9.7109375" style="847" customWidth="1"/>
    <col min="3086" max="3086" width="3.7109375" style="847" customWidth="1"/>
    <col min="3087" max="3328" width="8.85546875" style="847"/>
    <col min="3329" max="3329" width="30.85546875" style="847" customWidth="1"/>
    <col min="3330" max="3330" width="2.42578125" style="847" customWidth="1"/>
    <col min="3331" max="3331" width="9.7109375" style="847" customWidth="1"/>
    <col min="3332" max="3332" width="8.7109375" style="847" customWidth="1"/>
    <col min="3333" max="3333" width="2.5703125" style="847" customWidth="1"/>
    <col min="3334" max="3334" width="9.7109375" style="847" customWidth="1"/>
    <col min="3335" max="3335" width="8.7109375" style="847" customWidth="1"/>
    <col min="3336" max="3336" width="2.7109375" style="847" customWidth="1"/>
    <col min="3337" max="3337" width="9.7109375" style="847" customWidth="1"/>
    <col min="3338" max="3338" width="8.7109375" style="847" customWidth="1"/>
    <col min="3339" max="3339" width="2.85546875" style="847" customWidth="1"/>
    <col min="3340" max="3340" width="9.42578125" style="847" customWidth="1"/>
    <col min="3341" max="3341" width="9.7109375" style="847" customWidth="1"/>
    <col min="3342" max="3342" width="3.7109375" style="847" customWidth="1"/>
    <col min="3343" max="3584" width="8.85546875" style="847"/>
    <col min="3585" max="3585" width="30.85546875" style="847" customWidth="1"/>
    <col min="3586" max="3586" width="2.42578125" style="847" customWidth="1"/>
    <col min="3587" max="3587" width="9.7109375" style="847" customWidth="1"/>
    <col min="3588" max="3588" width="8.7109375" style="847" customWidth="1"/>
    <col min="3589" max="3589" width="2.5703125" style="847" customWidth="1"/>
    <col min="3590" max="3590" width="9.7109375" style="847" customWidth="1"/>
    <col min="3591" max="3591" width="8.7109375" style="847" customWidth="1"/>
    <col min="3592" max="3592" width="2.7109375" style="847" customWidth="1"/>
    <col min="3593" max="3593" width="9.7109375" style="847" customWidth="1"/>
    <col min="3594" max="3594" width="8.7109375" style="847" customWidth="1"/>
    <col min="3595" max="3595" width="2.85546875" style="847" customWidth="1"/>
    <col min="3596" max="3596" width="9.42578125" style="847" customWidth="1"/>
    <col min="3597" max="3597" width="9.7109375" style="847" customWidth="1"/>
    <col min="3598" max="3598" width="3.7109375" style="847" customWidth="1"/>
    <col min="3599" max="3840" width="8.85546875" style="847"/>
    <col min="3841" max="3841" width="30.85546875" style="847" customWidth="1"/>
    <col min="3842" max="3842" width="2.42578125" style="847" customWidth="1"/>
    <col min="3843" max="3843" width="9.7109375" style="847" customWidth="1"/>
    <col min="3844" max="3844" width="8.7109375" style="847" customWidth="1"/>
    <col min="3845" max="3845" width="2.5703125" style="847" customWidth="1"/>
    <col min="3846" max="3846" width="9.7109375" style="847" customWidth="1"/>
    <col min="3847" max="3847" width="8.7109375" style="847" customWidth="1"/>
    <col min="3848" max="3848" width="2.7109375" style="847" customWidth="1"/>
    <col min="3849" max="3849" width="9.7109375" style="847" customWidth="1"/>
    <col min="3850" max="3850" width="8.7109375" style="847" customWidth="1"/>
    <col min="3851" max="3851" width="2.85546875" style="847" customWidth="1"/>
    <col min="3852" max="3852" width="9.42578125" style="847" customWidth="1"/>
    <col min="3853" max="3853" width="9.7109375" style="847" customWidth="1"/>
    <col min="3854" max="3854" width="3.7109375" style="847" customWidth="1"/>
    <col min="3855" max="4096" width="8.85546875" style="847"/>
    <col min="4097" max="4097" width="30.85546875" style="847" customWidth="1"/>
    <col min="4098" max="4098" width="2.42578125" style="847" customWidth="1"/>
    <col min="4099" max="4099" width="9.7109375" style="847" customWidth="1"/>
    <col min="4100" max="4100" width="8.7109375" style="847" customWidth="1"/>
    <col min="4101" max="4101" width="2.5703125" style="847" customWidth="1"/>
    <col min="4102" max="4102" width="9.7109375" style="847" customWidth="1"/>
    <col min="4103" max="4103" width="8.7109375" style="847" customWidth="1"/>
    <col min="4104" max="4104" width="2.7109375" style="847" customWidth="1"/>
    <col min="4105" max="4105" width="9.7109375" style="847" customWidth="1"/>
    <col min="4106" max="4106" width="8.7109375" style="847" customWidth="1"/>
    <col min="4107" max="4107" width="2.85546875" style="847" customWidth="1"/>
    <col min="4108" max="4108" width="9.42578125" style="847" customWidth="1"/>
    <col min="4109" max="4109" width="9.7109375" style="847" customWidth="1"/>
    <col min="4110" max="4110" width="3.7109375" style="847" customWidth="1"/>
    <col min="4111" max="4352" width="8.85546875" style="847"/>
    <col min="4353" max="4353" width="30.85546875" style="847" customWidth="1"/>
    <col min="4354" max="4354" width="2.42578125" style="847" customWidth="1"/>
    <col min="4355" max="4355" width="9.7109375" style="847" customWidth="1"/>
    <col min="4356" max="4356" width="8.7109375" style="847" customWidth="1"/>
    <col min="4357" max="4357" width="2.5703125" style="847" customWidth="1"/>
    <col min="4358" max="4358" width="9.7109375" style="847" customWidth="1"/>
    <col min="4359" max="4359" width="8.7109375" style="847" customWidth="1"/>
    <col min="4360" max="4360" width="2.7109375" style="847" customWidth="1"/>
    <col min="4361" max="4361" width="9.7109375" style="847" customWidth="1"/>
    <col min="4362" max="4362" width="8.7109375" style="847" customWidth="1"/>
    <col min="4363" max="4363" width="2.85546875" style="847" customWidth="1"/>
    <col min="4364" max="4364" width="9.42578125" style="847" customWidth="1"/>
    <col min="4365" max="4365" width="9.7109375" style="847" customWidth="1"/>
    <col min="4366" max="4366" width="3.7109375" style="847" customWidth="1"/>
    <col min="4367" max="4608" width="8.85546875" style="847"/>
    <col min="4609" max="4609" width="30.85546875" style="847" customWidth="1"/>
    <col min="4610" max="4610" width="2.42578125" style="847" customWidth="1"/>
    <col min="4611" max="4611" width="9.7109375" style="847" customWidth="1"/>
    <col min="4612" max="4612" width="8.7109375" style="847" customWidth="1"/>
    <col min="4613" max="4613" width="2.5703125" style="847" customWidth="1"/>
    <col min="4614" max="4614" width="9.7109375" style="847" customWidth="1"/>
    <col min="4615" max="4615" width="8.7109375" style="847" customWidth="1"/>
    <col min="4616" max="4616" width="2.7109375" style="847" customWidth="1"/>
    <col min="4617" max="4617" width="9.7109375" style="847" customWidth="1"/>
    <col min="4618" max="4618" width="8.7109375" style="847" customWidth="1"/>
    <col min="4619" max="4619" width="2.85546875" style="847" customWidth="1"/>
    <col min="4620" max="4620" width="9.42578125" style="847" customWidth="1"/>
    <col min="4621" max="4621" width="9.7109375" style="847" customWidth="1"/>
    <col min="4622" max="4622" width="3.7109375" style="847" customWidth="1"/>
    <col min="4623" max="4864" width="8.85546875" style="847"/>
    <col min="4865" max="4865" width="30.85546875" style="847" customWidth="1"/>
    <col min="4866" max="4866" width="2.42578125" style="847" customWidth="1"/>
    <col min="4867" max="4867" width="9.7109375" style="847" customWidth="1"/>
    <col min="4868" max="4868" width="8.7109375" style="847" customWidth="1"/>
    <col min="4869" max="4869" width="2.5703125" style="847" customWidth="1"/>
    <col min="4870" max="4870" width="9.7109375" style="847" customWidth="1"/>
    <col min="4871" max="4871" width="8.7109375" style="847" customWidth="1"/>
    <col min="4872" max="4872" width="2.7109375" style="847" customWidth="1"/>
    <col min="4873" max="4873" width="9.7109375" style="847" customWidth="1"/>
    <col min="4874" max="4874" width="8.7109375" style="847" customWidth="1"/>
    <col min="4875" max="4875" width="2.85546875" style="847" customWidth="1"/>
    <col min="4876" max="4876" width="9.42578125" style="847" customWidth="1"/>
    <col min="4877" max="4877" width="9.7109375" style="847" customWidth="1"/>
    <col min="4878" max="4878" width="3.7109375" style="847" customWidth="1"/>
    <col min="4879" max="5120" width="8.85546875" style="847"/>
    <col min="5121" max="5121" width="30.85546875" style="847" customWidth="1"/>
    <col min="5122" max="5122" width="2.42578125" style="847" customWidth="1"/>
    <col min="5123" max="5123" width="9.7109375" style="847" customWidth="1"/>
    <col min="5124" max="5124" width="8.7109375" style="847" customWidth="1"/>
    <col min="5125" max="5125" width="2.5703125" style="847" customWidth="1"/>
    <col min="5126" max="5126" width="9.7109375" style="847" customWidth="1"/>
    <col min="5127" max="5127" width="8.7109375" style="847" customWidth="1"/>
    <col min="5128" max="5128" width="2.7109375" style="847" customWidth="1"/>
    <col min="5129" max="5129" width="9.7109375" style="847" customWidth="1"/>
    <col min="5130" max="5130" width="8.7109375" style="847" customWidth="1"/>
    <col min="5131" max="5131" width="2.85546875" style="847" customWidth="1"/>
    <col min="5132" max="5132" width="9.42578125" style="847" customWidth="1"/>
    <col min="5133" max="5133" width="9.7109375" style="847" customWidth="1"/>
    <col min="5134" max="5134" width="3.7109375" style="847" customWidth="1"/>
    <col min="5135" max="5376" width="8.85546875" style="847"/>
    <col min="5377" max="5377" width="30.85546875" style="847" customWidth="1"/>
    <col min="5378" max="5378" width="2.42578125" style="847" customWidth="1"/>
    <col min="5379" max="5379" width="9.7109375" style="847" customWidth="1"/>
    <col min="5380" max="5380" width="8.7109375" style="847" customWidth="1"/>
    <col min="5381" max="5381" width="2.5703125" style="847" customWidth="1"/>
    <col min="5382" max="5382" width="9.7109375" style="847" customWidth="1"/>
    <col min="5383" max="5383" width="8.7109375" style="847" customWidth="1"/>
    <col min="5384" max="5384" width="2.7109375" style="847" customWidth="1"/>
    <col min="5385" max="5385" width="9.7109375" style="847" customWidth="1"/>
    <col min="5386" max="5386" width="8.7109375" style="847" customWidth="1"/>
    <col min="5387" max="5387" width="2.85546875" style="847" customWidth="1"/>
    <col min="5388" max="5388" width="9.42578125" style="847" customWidth="1"/>
    <col min="5389" max="5389" width="9.7109375" style="847" customWidth="1"/>
    <col min="5390" max="5390" width="3.7109375" style="847" customWidth="1"/>
    <col min="5391" max="5632" width="8.85546875" style="847"/>
    <col min="5633" max="5633" width="30.85546875" style="847" customWidth="1"/>
    <col min="5634" max="5634" width="2.42578125" style="847" customWidth="1"/>
    <col min="5635" max="5635" width="9.7109375" style="847" customWidth="1"/>
    <col min="5636" max="5636" width="8.7109375" style="847" customWidth="1"/>
    <col min="5637" max="5637" width="2.5703125" style="847" customWidth="1"/>
    <col min="5638" max="5638" width="9.7109375" style="847" customWidth="1"/>
    <col min="5639" max="5639" width="8.7109375" style="847" customWidth="1"/>
    <col min="5640" max="5640" width="2.7109375" style="847" customWidth="1"/>
    <col min="5641" max="5641" width="9.7109375" style="847" customWidth="1"/>
    <col min="5642" max="5642" width="8.7109375" style="847" customWidth="1"/>
    <col min="5643" max="5643" width="2.85546875" style="847" customWidth="1"/>
    <col min="5644" max="5644" width="9.42578125" style="847" customWidth="1"/>
    <col min="5645" max="5645" width="9.7109375" style="847" customWidth="1"/>
    <col min="5646" max="5646" width="3.7109375" style="847" customWidth="1"/>
    <col min="5647" max="5888" width="8.85546875" style="847"/>
    <col min="5889" max="5889" width="30.85546875" style="847" customWidth="1"/>
    <col min="5890" max="5890" width="2.42578125" style="847" customWidth="1"/>
    <col min="5891" max="5891" width="9.7109375" style="847" customWidth="1"/>
    <col min="5892" max="5892" width="8.7109375" style="847" customWidth="1"/>
    <col min="5893" max="5893" width="2.5703125" style="847" customWidth="1"/>
    <col min="5894" max="5894" width="9.7109375" style="847" customWidth="1"/>
    <col min="5895" max="5895" width="8.7109375" style="847" customWidth="1"/>
    <col min="5896" max="5896" width="2.7109375" style="847" customWidth="1"/>
    <col min="5897" max="5897" width="9.7109375" style="847" customWidth="1"/>
    <col min="5898" max="5898" width="8.7109375" style="847" customWidth="1"/>
    <col min="5899" max="5899" width="2.85546875" style="847" customWidth="1"/>
    <col min="5900" max="5900" width="9.42578125" style="847" customWidth="1"/>
    <col min="5901" max="5901" width="9.7109375" style="847" customWidth="1"/>
    <col min="5902" max="5902" width="3.7109375" style="847" customWidth="1"/>
    <col min="5903" max="6144" width="8.85546875" style="847"/>
    <col min="6145" max="6145" width="30.85546875" style="847" customWidth="1"/>
    <col min="6146" max="6146" width="2.42578125" style="847" customWidth="1"/>
    <col min="6147" max="6147" width="9.7109375" style="847" customWidth="1"/>
    <col min="6148" max="6148" width="8.7109375" style="847" customWidth="1"/>
    <col min="6149" max="6149" width="2.5703125" style="847" customWidth="1"/>
    <col min="6150" max="6150" width="9.7109375" style="847" customWidth="1"/>
    <col min="6151" max="6151" width="8.7109375" style="847" customWidth="1"/>
    <col min="6152" max="6152" width="2.7109375" style="847" customWidth="1"/>
    <col min="6153" max="6153" width="9.7109375" style="847" customWidth="1"/>
    <col min="6154" max="6154" width="8.7109375" style="847" customWidth="1"/>
    <col min="6155" max="6155" width="2.85546875" style="847" customWidth="1"/>
    <col min="6156" max="6156" width="9.42578125" style="847" customWidth="1"/>
    <col min="6157" max="6157" width="9.7109375" style="847" customWidth="1"/>
    <col min="6158" max="6158" width="3.7109375" style="847" customWidth="1"/>
    <col min="6159" max="6400" width="8.85546875" style="847"/>
    <col min="6401" max="6401" width="30.85546875" style="847" customWidth="1"/>
    <col min="6402" max="6402" width="2.42578125" style="847" customWidth="1"/>
    <col min="6403" max="6403" width="9.7109375" style="847" customWidth="1"/>
    <col min="6404" max="6404" width="8.7109375" style="847" customWidth="1"/>
    <col min="6405" max="6405" width="2.5703125" style="847" customWidth="1"/>
    <col min="6406" max="6406" width="9.7109375" style="847" customWidth="1"/>
    <col min="6407" max="6407" width="8.7109375" style="847" customWidth="1"/>
    <col min="6408" max="6408" width="2.7109375" style="847" customWidth="1"/>
    <col min="6409" max="6409" width="9.7109375" style="847" customWidth="1"/>
    <col min="6410" max="6410" width="8.7109375" style="847" customWidth="1"/>
    <col min="6411" max="6411" width="2.85546875" style="847" customWidth="1"/>
    <col min="6412" max="6412" width="9.42578125" style="847" customWidth="1"/>
    <col min="6413" max="6413" width="9.7109375" style="847" customWidth="1"/>
    <col min="6414" max="6414" width="3.7109375" style="847" customWidth="1"/>
    <col min="6415" max="6656" width="8.85546875" style="847"/>
    <col min="6657" max="6657" width="30.85546875" style="847" customWidth="1"/>
    <col min="6658" max="6658" width="2.42578125" style="847" customWidth="1"/>
    <col min="6659" max="6659" width="9.7109375" style="847" customWidth="1"/>
    <col min="6660" max="6660" width="8.7109375" style="847" customWidth="1"/>
    <col min="6661" max="6661" width="2.5703125" style="847" customWidth="1"/>
    <col min="6662" max="6662" width="9.7109375" style="847" customWidth="1"/>
    <col min="6663" max="6663" width="8.7109375" style="847" customWidth="1"/>
    <col min="6664" max="6664" width="2.7109375" style="847" customWidth="1"/>
    <col min="6665" max="6665" width="9.7109375" style="847" customWidth="1"/>
    <col min="6666" max="6666" width="8.7109375" style="847" customWidth="1"/>
    <col min="6667" max="6667" width="2.85546875" style="847" customWidth="1"/>
    <col min="6668" max="6668" width="9.42578125" style="847" customWidth="1"/>
    <col min="6669" max="6669" width="9.7109375" style="847" customWidth="1"/>
    <col min="6670" max="6670" width="3.7109375" style="847" customWidth="1"/>
    <col min="6671" max="6912" width="8.85546875" style="847"/>
    <col min="6913" max="6913" width="30.85546875" style="847" customWidth="1"/>
    <col min="6914" max="6914" width="2.42578125" style="847" customWidth="1"/>
    <col min="6915" max="6915" width="9.7109375" style="847" customWidth="1"/>
    <col min="6916" max="6916" width="8.7109375" style="847" customWidth="1"/>
    <col min="6917" max="6917" width="2.5703125" style="847" customWidth="1"/>
    <col min="6918" max="6918" width="9.7109375" style="847" customWidth="1"/>
    <col min="6919" max="6919" width="8.7109375" style="847" customWidth="1"/>
    <col min="6920" max="6920" width="2.7109375" style="847" customWidth="1"/>
    <col min="6921" max="6921" width="9.7109375" style="847" customWidth="1"/>
    <col min="6922" max="6922" width="8.7109375" style="847" customWidth="1"/>
    <col min="6923" max="6923" width="2.85546875" style="847" customWidth="1"/>
    <col min="6924" max="6924" width="9.42578125" style="847" customWidth="1"/>
    <col min="6925" max="6925" width="9.7109375" style="847" customWidth="1"/>
    <col min="6926" max="6926" width="3.7109375" style="847" customWidth="1"/>
    <col min="6927" max="7168" width="8.85546875" style="847"/>
    <col min="7169" max="7169" width="30.85546875" style="847" customWidth="1"/>
    <col min="7170" max="7170" width="2.42578125" style="847" customWidth="1"/>
    <col min="7171" max="7171" width="9.7109375" style="847" customWidth="1"/>
    <col min="7172" max="7172" width="8.7109375" style="847" customWidth="1"/>
    <col min="7173" max="7173" width="2.5703125" style="847" customWidth="1"/>
    <col min="7174" max="7174" width="9.7109375" style="847" customWidth="1"/>
    <col min="7175" max="7175" width="8.7109375" style="847" customWidth="1"/>
    <col min="7176" max="7176" width="2.7109375" style="847" customWidth="1"/>
    <col min="7177" max="7177" width="9.7109375" style="847" customWidth="1"/>
    <col min="7178" max="7178" width="8.7109375" style="847" customWidth="1"/>
    <col min="7179" max="7179" width="2.85546875" style="847" customWidth="1"/>
    <col min="7180" max="7180" width="9.42578125" style="847" customWidth="1"/>
    <col min="7181" max="7181" width="9.7109375" style="847" customWidth="1"/>
    <col min="7182" max="7182" width="3.7109375" style="847" customWidth="1"/>
    <col min="7183" max="7424" width="8.85546875" style="847"/>
    <col min="7425" max="7425" width="30.85546875" style="847" customWidth="1"/>
    <col min="7426" max="7426" width="2.42578125" style="847" customWidth="1"/>
    <col min="7427" max="7427" width="9.7109375" style="847" customWidth="1"/>
    <col min="7428" max="7428" width="8.7109375" style="847" customWidth="1"/>
    <col min="7429" max="7429" width="2.5703125" style="847" customWidth="1"/>
    <col min="7430" max="7430" width="9.7109375" style="847" customWidth="1"/>
    <col min="7431" max="7431" width="8.7109375" style="847" customWidth="1"/>
    <col min="7432" max="7432" width="2.7109375" style="847" customWidth="1"/>
    <col min="7433" max="7433" width="9.7109375" style="847" customWidth="1"/>
    <col min="7434" max="7434" width="8.7109375" style="847" customWidth="1"/>
    <col min="7435" max="7435" width="2.85546875" style="847" customWidth="1"/>
    <col min="7436" max="7436" width="9.42578125" style="847" customWidth="1"/>
    <col min="7437" max="7437" width="9.7109375" style="847" customWidth="1"/>
    <col min="7438" max="7438" width="3.7109375" style="847" customWidth="1"/>
    <col min="7439" max="7680" width="8.85546875" style="847"/>
    <col min="7681" max="7681" width="30.85546875" style="847" customWidth="1"/>
    <col min="7682" max="7682" width="2.42578125" style="847" customWidth="1"/>
    <col min="7683" max="7683" width="9.7109375" style="847" customWidth="1"/>
    <col min="7684" max="7684" width="8.7109375" style="847" customWidth="1"/>
    <col min="7685" max="7685" width="2.5703125" style="847" customWidth="1"/>
    <col min="7686" max="7686" width="9.7109375" style="847" customWidth="1"/>
    <col min="7687" max="7687" width="8.7109375" style="847" customWidth="1"/>
    <col min="7688" max="7688" width="2.7109375" style="847" customWidth="1"/>
    <col min="7689" max="7689" width="9.7109375" style="847" customWidth="1"/>
    <col min="7690" max="7690" width="8.7109375" style="847" customWidth="1"/>
    <col min="7691" max="7691" width="2.85546875" style="847" customWidth="1"/>
    <col min="7692" max="7692" width="9.42578125" style="847" customWidth="1"/>
    <col min="7693" max="7693" width="9.7109375" style="847" customWidth="1"/>
    <col min="7694" max="7694" width="3.7109375" style="847" customWidth="1"/>
    <col min="7695" max="7936" width="8.85546875" style="847"/>
    <col min="7937" max="7937" width="30.85546875" style="847" customWidth="1"/>
    <col min="7938" max="7938" width="2.42578125" style="847" customWidth="1"/>
    <col min="7939" max="7939" width="9.7109375" style="847" customWidth="1"/>
    <col min="7940" max="7940" width="8.7109375" style="847" customWidth="1"/>
    <col min="7941" max="7941" width="2.5703125" style="847" customWidth="1"/>
    <col min="7942" max="7942" width="9.7109375" style="847" customWidth="1"/>
    <col min="7943" max="7943" width="8.7109375" style="847" customWidth="1"/>
    <col min="7944" max="7944" width="2.7109375" style="847" customWidth="1"/>
    <col min="7945" max="7945" width="9.7109375" style="847" customWidth="1"/>
    <col min="7946" max="7946" width="8.7109375" style="847" customWidth="1"/>
    <col min="7947" max="7947" width="2.85546875" style="847" customWidth="1"/>
    <col min="7948" max="7948" width="9.42578125" style="847" customWidth="1"/>
    <col min="7949" max="7949" width="9.7109375" style="847" customWidth="1"/>
    <col min="7950" max="7950" width="3.7109375" style="847" customWidth="1"/>
    <col min="7951" max="8192" width="8.85546875" style="847"/>
    <col min="8193" max="8193" width="30.85546875" style="847" customWidth="1"/>
    <col min="8194" max="8194" width="2.42578125" style="847" customWidth="1"/>
    <col min="8195" max="8195" width="9.7109375" style="847" customWidth="1"/>
    <col min="8196" max="8196" width="8.7109375" style="847" customWidth="1"/>
    <col min="8197" max="8197" width="2.5703125" style="847" customWidth="1"/>
    <col min="8198" max="8198" width="9.7109375" style="847" customWidth="1"/>
    <col min="8199" max="8199" width="8.7109375" style="847" customWidth="1"/>
    <col min="8200" max="8200" width="2.7109375" style="847" customWidth="1"/>
    <col min="8201" max="8201" width="9.7109375" style="847" customWidth="1"/>
    <col min="8202" max="8202" width="8.7109375" style="847" customWidth="1"/>
    <col min="8203" max="8203" width="2.85546875" style="847" customWidth="1"/>
    <col min="8204" max="8204" width="9.42578125" style="847" customWidth="1"/>
    <col min="8205" max="8205" width="9.7109375" style="847" customWidth="1"/>
    <col min="8206" max="8206" width="3.7109375" style="847" customWidth="1"/>
    <col min="8207" max="8448" width="8.85546875" style="847"/>
    <col min="8449" max="8449" width="30.85546875" style="847" customWidth="1"/>
    <col min="8450" max="8450" width="2.42578125" style="847" customWidth="1"/>
    <col min="8451" max="8451" width="9.7109375" style="847" customWidth="1"/>
    <col min="8452" max="8452" width="8.7109375" style="847" customWidth="1"/>
    <col min="8453" max="8453" width="2.5703125" style="847" customWidth="1"/>
    <col min="8454" max="8454" width="9.7109375" style="847" customWidth="1"/>
    <col min="8455" max="8455" width="8.7109375" style="847" customWidth="1"/>
    <col min="8456" max="8456" width="2.7109375" style="847" customWidth="1"/>
    <col min="8457" max="8457" width="9.7109375" style="847" customWidth="1"/>
    <col min="8458" max="8458" width="8.7109375" style="847" customWidth="1"/>
    <col min="8459" max="8459" width="2.85546875" style="847" customWidth="1"/>
    <col min="8460" max="8460" width="9.42578125" style="847" customWidth="1"/>
    <col min="8461" max="8461" width="9.7109375" style="847" customWidth="1"/>
    <col min="8462" max="8462" width="3.7109375" style="847" customWidth="1"/>
    <col min="8463" max="8704" width="8.85546875" style="847"/>
    <col min="8705" max="8705" width="30.85546875" style="847" customWidth="1"/>
    <col min="8706" max="8706" width="2.42578125" style="847" customWidth="1"/>
    <col min="8707" max="8707" width="9.7109375" style="847" customWidth="1"/>
    <col min="8708" max="8708" width="8.7109375" style="847" customWidth="1"/>
    <col min="8709" max="8709" width="2.5703125" style="847" customWidth="1"/>
    <col min="8710" max="8710" width="9.7109375" style="847" customWidth="1"/>
    <col min="8711" max="8711" width="8.7109375" style="847" customWidth="1"/>
    <col min="8712" max="8712" width="2.7109375" style="847" customWidth="1"/>
    <col min="8713" max="8713" width="9.7109375" style="847" customWidth="1"/>
    <col min="8714" max="8714" width="8.7109375" style="847" customWidth="1"/>
    <col min="8715" max="8715" width="2.85546875" style="847" customWidth="1"/>
    <col min="8716" max="8716" width="9.42578125" style="847" customWidth="1"/>
    <col min="8717" max="8717" width="9.7109375" style="847" customWidth="1"/>
    <col min="8718" max="8718" width="3.7109375" style="847" customWidth="1"/>
    <col min="8719" max="8960" width="8.85546875" style="847"/>
    <col min="8961" max="8961" width="30.85546875" style="847" customWidth="1"/>
    <col min="8962" max="8962" width="2.42578125" style="847" customWidth="1"/>
    <col min="8963" max="8963" width="9.7109375" style="847" customWidth="1"/>
    <col min="8964" max="8964" width="8.7109375" style="847" customWidth="1"/>
    <col min="8965" max="8965" width="2.5703125" style="847" customWidth="1"/>
    <col min="8966" max="8966" width="9.7109375" style="847" customWidth="1"/>
    <col min="8967" max="8967" width="8.7109375" style="847" customWidth="1"/>
    <col min="8968" max="8968" width="2.7109375" style="847" customWidth="1"/>
    <col min="8969" max="8969" width="9.7109375" style="847" customWidth="1"/>
    <col min="8970" max="8970" width="8.7109375" style="847" customWidth="1"/>
    <col min="8971" max="8971" width="2.85546875" style="847" customWidth="1"/>
    <col min="8972" max="8972" width="9.42578125" style="847" customWidth="1"/>
    <col min="8973" max="8973" width="9.7109375" style="847" customWidth="1"/>
    <col min="8974" max="8974" width="3.7109375" style="847" customWidth="1"/>
    <col min="8975" max="9216" width="8.85546875" style="847"/>
    <col min="9217" max="9217" width="30.85546875" style="847" customWidth="1"/>
    <col min="9218" max="9218" width="2.42578125" style="847" customWidth="1"/>
    <col min="9219" max="9219" width="9.7109375" style="847" customWidth="1"/>
    <col min="9220" max="9220" width="8.7109375" style="847" customWidth="1"/>
    <col min="9221" max="9221" width="2.5703125" style="847" customWidth="1"/>
    <col min="9222" max="9222" width="9.7109375" style="847" customWidth="1"/>
    <col min="9223" max="9223" width="8.7109375" style="847" customWidth="1"/>
    <col min="9224" max="9224" width="2.7109375" style="847" customWidth="1"/>
    <col min="9225" max="9225" width="9.7109375" style="847" customWidth="1"/>
    <col min="9226" max="9226" width="8.7109375" style="847" customWidth="1"/>
    <col min="9227" max="9227" width="2.85546875" style="847" customWidth="1"/>
    <col min="9228" max="9228" width="9.42578125" style="847" customWidth="1"/>
    <col min="9229" max="9229" width="9.7109375" style="847" customWidth="1"/>
    <col min="9230" max="9230" width="3.7109375" style="847" customWidth="1"/>
    <col min="9231" max="9472" width="8.85546875" style="847"/>
    <col min="9473" max="9473" width="30.85546875" style="847" customWidth="1"/>
    <col min="9474" max="9474" width="2.42578125" style="847" customWidth="1"/>
    <col min="9475" max="9475" width="9.7109375" style="847" customWidth="1"/>
    <col min="9476" max="9476" width="8.7109375" style="847" customWidth="1"/>
    <col min="9477" max="9477" width="2.5703125" style="847" customWidth="1"/>
    <col min="9478" max="9478" width="9.7109375" style="847" customWidth="1"/>
    <col min="9479" max="9479" width="8.7109375" style="847" customWidth="1"/>
    <col min="9480" max="9480" width="2.7109375" style="847" customWidth="1"/>
    <col min="9481" max="9481" width="9.7109375" style="847" customWidth="1"/>
    <col min="9482" max="9482" width="8.7109375" style="847" customWidth="1"/>
    <col min="9483" max="9483" width="2.85546875" style="847" customWidth="1"/>
    <col min="9484" max="9484" width="9.42578125" style="847" customWidth="1"/>
    <col min="9485" max="9485" width="9.7109375" style="847" customWidth="1"/>
    <col min="9486" max="9486" width="3.7109375" style="847" customWidth="1"/>
    <col min="9487" max="9728" width="8.85546875" style="847"/>
    <col min="9729" max="9729" width="30.85546875" style="847" customWidth="1"/>
    <col min="9730" max="9730" width="2.42578125" style="847" customWidth="1"/>
    <col min="9731" max="9731" width="9.7109375" style="847" customWidth="1"/>
    <col min="9732" max="9732" width="8.7109375" style="847" customWidth="1"/>
    <col min="9733" max="9733" width="2.5703125" style="847" customWidth="1"/>
    <col min="9734" max="9734" width="9.7109375" style="847" customWidth="1"/>
    <col min="9735" max="9735" width="8.7109375" style="847" customWidth="1"/>
    <col min="9736" max="9736" width="2.7109375" style="847" customWidth="1"/>
    <col min="9737" max="9737" width="9.7109375" style="847" customWidth="1"/>
    <col min="9738" max="9738" width="8.7109375" style="847" customWidth="1"/>
    <col min="9739" max="9739" width="2.85546875" style="847" customWidth="1"/>
    <col min="9740" max="9740" width="9.42578125" style="847" customWidth="1"/>
    <col min="9741" max="9741" width="9.7109375" style="847" customWidth="1"/>
    <col min="9742" max="9742" width="3.7109375" style="847" customWidth="1"/>
    <col min="9743" max="9984" width="8.85546875" style="847"/>
    <col min="9985" max="9985" width="30.85546875" style="847" customWidth="1"/>
    <col min="9986" max="9986" width="2.42578125" style="847" customWidth="1"/>
    <col min="9987" max="9987" width="9.7109375" style="847" customWidth="1"/>
    <col min="9988" max="9988" width="8.7109375" style="847" customWidth="1"/>
    <col min="9989" max="9989" width="2.5703125" style="847" customWidth="1"/>
    <col min="9990" max="9990" width="9.7109375" style="847" customWidth="1"/>
    <col min="9991" max="9991" width="8.7109375" style="847" customWidth="1"/>
    <col min="9992" max="9992" width="2.7109375" style="847" customWidth="1"/>
    <col min="9993" max="9993" width="9.7109375" style="847" customWidth="1"/>
    <col min="9994" max="9994" width="8.7109375" style="847" customWidth="1"/>
    <col min="9995" max="9995" width="2.85546875" style="847" customWidth="1"/>
    <col min="9996" max="9996" width="9.42578125" style="847" customWidth="1"/>
    <col min="9997" max="9997" width="9.7109375" style="847" customWidth="1"/>
    <col min="9998" max="9998" width="3.7109375" style="847" customWidth="1"/>
    <col min="9999" max="10240" width="8.85546875" style="847"/>
    <col min="10241" max="10241" width="30.85546875" style="847" customWidth="1"/>
    <col min="10242" max="10242" width="2.42578125" style="847" customWidth="1"/>
    <col min="10243" max="10243" width="9.7109375" style="847" customWidth="1"/>
    <col min="10244" max="10244" width="8.7109375" style="847" customWidth="1"/>
    <col min="10245" max="10245" width="2.5703125" style="847" customWidth="1"/>
    <col min="10246" max="10246" width="9.7109375" style="847" customWidth="1"/>
    <col min="10247" max="10247" width="8.7109375" style="847" customWidth="1"/>
    <col min="10248" max="10248" width="2.7109375" style="847" customWidth="1"/>
    <col min="10249" max="10249" width="9.7109375" style="847" customWidth="1"/>
    <col min="10250" max="10250" width="8.7109375" style="847" customWidth="1"/>
    <col min="10251" max="10251" width="2.85546875" style="847" customWidth="1"/>
    <col min="10252" max="10252" width="9.42578125" style="847" customWidth="1"/>
    <col min="10253" max="10253" width="9.7109375" style="847" customWidth="1"/>
    <col min="10254" max="10254" width="3.7109375" style="847" customWidth="1"/>
    <col min="10255" max="10496" width="8.85546875" style="847"/>
    <col min="10497" max="10497" width="30.85546875" style="847" customWidth="1"/>
    <col min="10498" max="10498" width="2.42578125" style="847" customWidth="1"/>
    <col min="10499" max="10499" width="9.7109375" style="847" customWidth="1"/>
    <col min="10500" max="10500" width="8.7109375" style="847" customWidth="1"/>
    <col min="10501" max="10501" width="2.5703125" style="847" customWidth="1"/>
    <col min="10502" max="10502" width="9.7109375" style="847" customWidth="1"/>
    <col min="10503" max="10503" width="8.7109375" style="847" customWidth="1"/>
    <col min="10504" max="10504" width="2.7109375" style="847" customWidth="1"/>
    <col min="10505" max="10505" width="9.7109375" style="847" customWidth="1"/>
    <col min="10506" max="10506" width="8.7109375" style="847" customWidth="1"/>
    <col min="10507" max="10507" width="2.85546875" style="847" customWidth="1"/>
    <col min="10508" max="10508" width="9.42578125" style="847" customWidth="1"/>
    <col min="10509" max="10509" width="9.7109375" style="847" customWidth="1"/>
    <col min="10510" max="10510" width="3.7109375" style="847" customWidth="1"/>
    <col min="10511" max="10752" width="8.85546875" style="847"/>
    <col min="10753" max="10753" width="30.85546875" style="847" customWidth="1"/>
    <col min="10754" max="10754" width="2.42578125" style="847" customWidth="1"/>
    <col min="10755" max="10755" width="9.7109375" style="847" customWidth="1"/>
    <col min="10756" max="10756" width="8.7109375" style="847" customWidth="1"/>
    <col min="10757" max="10757" width="2.5703125" style="847" customWidth="1"/>
    <col min="10758" max="10758" width="9.7109375" style="847" customWidth="1"/>
    <col min="10759" max="10759" width="8.7109375" style="847" customWidth="1"/>
    <col min="10760" max="10760" width="2.7109375" style="847" customWidth="1"/>
    <col min="10761" max="10761" width="9.7109375" style="847" customWidth="1"/>
    <col min="10762" max="10762" width="8.7109375" style="847" customWidth="1"/>
    <col min="10763" max="10763" width="2.85546875" style="847" customWidth="1"/>
    <col min="10764" max="10764" width="9.42578125" style="847" customWidth="1"/>
    <col min="10765" max="10765" width="9.7109375" style="847" customWidth="1"/>
    <col min="10766" max="10766" width="3.7109375" style="847" customWidth="1"/>
    <col min="10767" max="11008" width="8.85546875" style="847"/>
    <col min="11009" max="11009" width="30.85546875" style="847" customWidth="1"/>
    <col min="11010" max="11010" width="2.42578125" style="847" customWidth="1"/>
    <col min="11011" max="11011" width="9.7109375" style="847" customWidth="1"/>
    <col min="11012" max="11012" width="8.7109375" style="847" customWidth="1"/>
    <col min="11013" max="11013" width="2.5703125" style="847" customWidth="1"/>
    <col min="11014" max="11014" width="9.7109375" style="847" customWidth="1"/>
    <col min="11015" max="11015" width="8.7109375" style="847" customWidth="1"/>
    <col min="11016" max="11016" width="2.7109375" style="847" customWidth="1"/>
    <col min="11017" max="11017" width="9.7109375" style="847" customWidth="1"/>
    <col min="11018" max="11018" width="8.7109375" style="847" customWidth="1"/>
    <col min="11019" max="11019" width="2.85546875" style="847" customWidth="1"/>
    <col min="11020" max="11020" width="9.42578125" style="847" customWidth="1"/>
    <col min="11021" max="11021" width="9.7109375" style="847" customWidth="1"/>
    <col min="11022" max="11022" width="3.7109375" style="847" customWidth="1"/>
    <col min="11023" max="11264" width="8.85546875" style="847"/>
    <col min="11265" max="11265" width="30.85546875" style="847" customWidth="1"/>
    <col min="11266" max="11266" width="2.42578125" style="847" customWidth="1"/>
    <col min="11267" max="11267" width="9.7109375" style="847" customWidth="1"/>
    <col min="11268" max="11268" width="8.7109375" style="847" customWidth="1"/>
    <col min="11269" max="11269" width="2.5703125" style="847" customWidth="1"/>
    <col min="11270" max="11270" width="9.7109375" style="847" customWidth="1"/>
    <col min="11271" max="11271" width="8.7109375" style="847" customWidth="1"/>
    <col min="11272" max="11272" width="2.7109375" style="847" customWidth="1"/>
    <col min="11273" max="11273" width="9.7109375" style="847" customWidth="1"/>
    <col min="11274" max="11274" width="8.7109375" style="847" customWidth="1"/>
    <col min="11275" max="11275" width="2.85546875" style="847" customWidth="1"/>
    <col min="11276" max="11276" width="9.42578125" style="847" customWidth="1"/>
    <col min="11277" max="11277" width="9.7109375" style="847" customWidth="1"/>
    <col min="11278" max="11278" width="3.7109375" style="847" customWidth="1"/>
    <col min="11279" max="11520" width="8.85546875" style="847"/>
    <col min="11521" max="11521" width="30.85546875" style="847" customWidth="1"/>
    <col min="11522" max="11522" width="2.42578125" style="847" customWidth="1"/>
    <col min="11523" max="11523" width="9.7109375" style="847" customWidth="1"/>
    <col min="11524" max="11524" width="8.7109375" style="847" customWidth="1"/>
    <col min="11525" max="11525" width="2.5703125" style="847" customWidth="1"/>
    <col min="11526" max="11526" width="9.7109375" style="847" customWidth="1"/>
    <col min="11527" max="11527" width="8.7109375" style="847" customWidth="1"/>
    <col min="11528" max="11528" width="2.7109375" style="847" customWidth="1"/>
    <col min="11529" max="11529" width="9.7109375" style="847" customWidth="1"/>
    <col min="11530" max="11530" width="8.7109375" style="847" customWidth="1"/>
    <col min="11531" max="11531" width="2.85546875" style="847" customWidth="1"/>
    <col min="11532" max="11532" width="9.42578125" style="847" customWidth="1"/>
    <col min="11533" max="11533" width="9.7109375" style="847" customWidth="1"/>
    <col min="11534" max="11534" width="3.7109375" style="847" customWidth="1"/>
    <col min="11535" max="11776" width="8.85546875" style="847"/>
    <col min="11777" max="11777" width="30.85546875" style="847" customWidth="1"/>
    <col min="11778" max="11778" width="2.42578125" style="847" customWidth="1"/>
    <col min="11779" max="11779" width="9.7109375" style="847" customWidth="1"/>
    <col min="11780" max="11780" width="8.7109375" style="847" customWidth="1"/>
    <col min="11781" max="11781" width="2.5703125" style="847" customWidth="1"/>
    <col min="11782" max="11782" width="9.7109375" style="847" customWidth="1"/>
    <col min="11783" max="11783" width="8.7109375" style="847" customWidth="1"/>
    <col min="11784" max="11784" width="2.7109375" style="847" customWidth="1"/>
    <col min="11785" max="11785" width="9.7109375" style="847" customWidth="1"/>
    <col min="11786" max="11786" width="8.7109375" style="847" customWidth="1"/>
    <col min="11787" max="11787" width="2.85546875" style="847" customWidth="1"/>
    <col min="11788" max="11788" width="9.42578125" style="847" customWidth="1"/>
    <col min="11789" max="11789" width="9.7109375" style="847" customWidth="1"/>
    <col min="11790" max="11790" width="3.7109375" style="847" customWidth="1"/>
    <col min="11791" max="12032" width="8.85546875" style="847"/>
    <col min="12033" max="12033" width="30.85546875" style="847" customWidth="1"/>
    <col min="12034" max="12034" width="2.42578125" style="847" customWidth="1"/>
    <col min="12035" max="12035" width="9.7109375" style="847" customWidth="1"/>
    <col min="12036" max="12036" width="8.7109375" style="847" customWidth="1"/>
    <col min="12037" max="12037" width="2.5703125" style="847" customWidth="1"/>
    <col min="12038" max="12038" width="9.7109375" style="847" customWidth="1"/>
    <col min="12039" max="12039" width="8.7109375" style="847" customWidth="1"/>
    <col min="12040" max="12040" width="2.7109375" style="847" customWidth="1"/>
    <col min="12041" max="12041" width="9.7109375" style="847" customWidth="1"/>
    <col min="12042" max="12042" width="8.7109375" style="847" customWidth="1"/>
    <col min="12043" max="12043" width="2.85546875" style="847" customWidth="1"/>
    <col min="12044" max="12044" width="9.42578125" style="847" customWidth="1"/>
    <col min="12045" max="12045" width="9.7109375" style="847" customWidth="1"/>
    <col min="12046" max="12046" width="3.7109375" style="847" customWidth="1"/>
    <col min="12047" max="12288" width="8.85546875" style="847"/>
    <col min="12289" max="12289" width="30.85546875" style="847" customWidth="1"/>
    <col min="12290" max="12290" width="2.42578125" style="847" customWidth="1"/>
    <col min="12291" max="12291" width="9.7109375" style="847" customWidth="1"/>
    <col min="12292" max="12292" width="8.7109375" style="847" customWidth="1"/>
    <col min="12293" max="12293" width="2.5703125" style="847" customWidth="1"/>
    <col min="12294" max="12294" width="9.7109375" style="847" customWidth="1"/>
    <col min="12295" max="12295" width="8.7109375" style="847" customWidth="1"/>
    <col min="12296" max="12296" width="2.7109375" style="847" customWidth="1"/>
    <col min="12297" max="12297" width="9.7109375" style="847" customWidth="1"/>
    <col min="12298" max="12298" width="8.7109375" style="847" customWidth="1"/>
    <col min="12299" max="12299" width="2.85546875" style="847" customWidth="1"/>
    <col min="12300" max="12300" width="9.42578125" style="847" customWidth="1"/>
    <col min="12301" max="12301" width="9.7109375" style="847" customWidth="1"/>
    <col min="12302" max="12302" width="3.7109375" style="847" customWidth="1"/>
    <col min="12303" max="12544" width="8.85546875" style="847"/>
    <col min="12545" max="12545" width="30.85546875" style="847" customWidth="1"/>
    <col min="12546" max="12546" width="2.42578125" style="847" customWidth="1"/>
    <col min="12547" max="12547" width="9.7109375" style="847" customWidth="1"/>
    <col min="12548" max="12548" width="8.7109375" style="847" customWidth="1"/>
    <col min="12549" max="12549" width="2.5703125" style="847" customWidth="1"/>
    <col min="12550" max="12550" width="9.7109375" style="847" customWidth="1"/>
    <col min="12551" max="12551" width="8.7109375" style="847" customWidth="1"/>
    <col min="12552" max="12552" width="2.7109375" style="847" customWidth="1"/>
    <col min="12553" max="12553" width="9.7109375" style="847" customWidth="1"/>
    <col min="12554" max="12554" width="8.7109375" style="847" customWidth="1"/>
    <col min="12555" max="12555" width="2.85546875" style="847" customWidth="1"/>
    <col min="12556" max="12556" width="9.42578125" style="847" customWidth="1"/>
    <col min="12557" max="12557" width="9.7109375" style="847" customWidth="1"/>
    <col min="12558" max="12558" width="3.7109375" style="847" customWidth="1"/>
    <col min="12559" max="12800" width="8.85546875" style="847"/>
    <col min="12801" max="12801" width="30.85546875" style="847" customWidth="1"/>
    <col min="12802" max="12802" width="2.42578125" style="847" customWidth="1"/>
    <col min="12803" max="12803" width="9.7109375" style="847" customWidth="1"/>
    <col min="12804" max="12804" width="8.7109375" style="847" customWidth="1"/>
    <col min="12805" max="12805" width="2.5703125" style="847" customWidth="1"/>
    <col min="12806" max="12806" width="9.7109375" style="847" customWidth="1"/>
    <col min="12807" max="12807" width="8.7109375" style="847" customWidth="1"/>
    <col min="12808" max="12808" width="2.7109375" style="847" customWidth="1"/>
    <col min="12809" max="12809" width="9.7109375" style="847" customWidth="1"/>
    <col min="12810" max="12810" width="8.7109375" style="847" customWidth="1"/>
    <col min="12811" max="12811" width="2.85546875" style="847" customWidth="1"/>
    <col min="12812" max="12812" width="9.42578125" style="847" customWidth="1"/>
    <col min="12813" max="12813" width="9.7109375" style="847" customWidth="1"/>
    <col min="12814" max="12814" width="3.7109375" style="847" customWidth="1"/>
    <col min="12815" max="13056" width="8.85546875" style="847"/>
    <col min="13057" max="13057" width="30.85546875" style="847" customWidth="1"/>
    <col min="13058" max="13058" width="2.42578125" style="847" customWidth="1"/>
    <col min="13059" max="13059" width="9.7109375" style="847" customWidth="1"/>
    <col min="13060" max="13060" width="8.7109375" style="847" customWidth="1"/>
    <col min="13061" max="13061" width="2.5703125" style="847" customWidth="1"/>
    <col min="13062" max="13062" width="9.7109375" style="847" customWidth="1"/>
    <col min="13063" max="13063" width="8.7109375" style="847" customWidth="1"/>
    <col min="13064" max="13064" width="2.7109375" style="847" customWidth="1"/>
    <col min="13065" max="13065" width="9.7109375" style="847" customWidth="1"/>
    <col min="13066" max="13066" width="8.7109375" style="847" customWidth="1"/>
    <col min="13067" max="13067" width="2.85546875" style="847" customWidth="1"/>
    <col min="13068" max="13068" width="9.42578125" style="847" customWidth="1"/>
    <col min="13069" max="13069" width="9.7109375" style="847" customWidth="1"/>
    <col min="13070" max="13070" width="3.7109375" style="847" customWidth="1"/>
    <col min="13071" max="13312" width="8.85546875" style="847"/>
    <col min="13313" max="13313" width="30.85546875" style="847" customWidth="1"/>
    <col min="13314" max="13314" width="2.42578125" style="847" customWidth="1"/>
    <col min="13315" max="13315" width="9.7109375" style="847" customWidth="1"/>
    <col min="13316" max="13316" width="8.7109375" style="847" customWidth="1"/>
    <col min="13317" max="13317" width="2.5703125" style="847" customWidth="1"/>
    <col min="13318" max="13318" width="9.7109375" style="847" customWidth="1"/>
    <col min="13319" max="13319" width="8.7109375" style="847" customWidth="1"/>
    <col min="13320" max="13320" width="2.7109375" style="847" customWidth="1"/>
    <col min="13321" max="13321" width="9.7109375" style="847" customWidth="1"/>
    <col min="13322" max="13322" width="8.7109375" style="847" customWidth="1"/>
    <col min="13323" max="13323" width="2.85546875" style="847" customWidth="1"/>
    <col min="13324" max="13324" width="9.42578125" style="847" customWidth="1"/>
    <col min="13325" max="13325" width="9.7109375" style="847" customWidth="1"/>
    <col min="13326" max="13326" width="3.7109375" style="847" customWidth="1"/>
    <col min="13327" max="13568" width="8.85546875" style="847"/>
    <col min="13569" max="13569" width="30.85546875" style="847" customWidth="1"/>
    <col min="13570" max="13570" width="2.42578125" style="847" customWidth="1"/>
    <col min="13571" max="13571" width="9.7109375" style="847" customWidth="1"/>
    <col min="13572" max="13572" width="8.7109375" style="847" customWidth="1"/>
    <col min="13573" max="13573" width="2.5703125" style="847" customWidth="1"/>
    <col min="13574" max="13574" width="9.7109375" style="847" customWidth="1"/>
    <col min="13575" max="13575" width="8.7109375" style="847" customWidth="1"/>
    <col min="13576" max="13576" width="2.7109375" style="847" customWidth="1"/>
    <col min="13577" max="13577" width="9.7109375" style="847" customWidth="1"/>
    <col min="13578" max="13578" width="8.7109375" style="847" customWidth="1"/>
    <col min="13579" max="13579" width="2.85546875" style="847" customWidth="1"/>
    <col min="13580" max="13580" width="9.42578125" style="847" customWidth="1"/>
    <col min="13581" max="13581" width="9.7109375" style="847" customWidth="1"/>
    <col min="13582" max="13582" width="3.7109375" style="847" customWidth="1"/>
    <col min="13583" max="13824" width="8.85546875" style="847"/>
    <col min="13825" max="13825" width="30.85546875" style="847" customWidth="1"/>
    <col min="13826" max="13826" width="2.42578125" style="847" customWidth="1"/>
    <col min="13827" max="13827" width="9.7109375" style="847" customWidth="1"/>
    <col min="13828" max="13828" width="8.7109375" style="847" customWidth="1"/>
    <col min="13829" max="13829" width="2.5703125" style="847" customWidth="1"/>
    <col min="13830" max="13830" width="9.7109375" style="847" customWidth="1"/>
    <col min="13831" max="13831" width="8.7109375" style="847" customWidth="1"/>
    <col min="13832" max="13832" width="2.7109375" style="847" customWidth="1"/>
    <col min="13833" max="13833" width="9.7109375" style="847" customWidth="1"/>
    <col min="13834" max="13834" width="8.7109375" style="847" customWidth="1"/>
    <col min="13835" max="13835" width="2.85546875" style="847" customWidth="1"/>
    <col min="13836" max="13836" width="9.42578125" style="847" customWidth="1"/>
    <col min="13837" max="13837" width="9.7109375" style="847" customWidth="1"/>
    <col min="13838" max="13838" width="3.7109375" style="847" customWidth="1"/>
    <col min="13839" max="14080" width="8.85546875" style="847"/>
    <col min="14081" max="14081" width="30.85546875" style="847" customWidth="1"/>
    <col min="14082" max="14082" width="2.42578125" style="847" customWidth="1"/>
    <col min="14083" max="14083" width="9.7109375" style="847" customWidth="1"/>
    <col min="14084" max="14084" width="8.7109375" style="847" customWidth="1"/>
    <col min="14085" max="14085" width="2.5703125" style="847" customWidth="1"/>
    <col min="14086" max="14086" width="9.7109375" style="847" customWidth="1"/>
    <col min="14087" max="14087" width="8.7109375" style="847" customWidth="1"/>
    <col min="14088" max="14088" width="2.7109375" style="847" customWidth="1"/>
    <col min="14089" max="14089" width="9.7109375" style="847" customWidth="1"/>
    <col min="14090" max="14090" width="8.7109375" style="847" customWidth="1"/>
    <col min="14091" max="14091" width="2.85546875" style="847" customWidth="1"/>
    <col min="14092" max="14092" width="9.42578125" style="847" customWidth="1"/>
    <col min="14093" max="14093" width="9.7109375" style="847" customWidth="1"/>
    <col min="14094" max="14094" width="3.7109375" style="847" customWidth="1"/>
    <col min="14095" max="14336" width="8.85546875" style="847"/>
    <col min="14337" max="14337" width="30.85546875" style="847" customWidth="1"/>
    <col min="14338" max="14338" width="2.42578125" style="847" customWidth="1"/>
    <col min="14339" max="14339" width="9.7109375" style="847" customWidth="1"/>
    <col min="14340" max="14340" width="8.7109375" style="847" customWidth="1"/>
    <col min="14341" max="14341" width="2.5703125" style="847" customWidth="1"/>
    <col min="14342" max="14342" width="9.7109375" style="847" customWidth="1"/>
    <col min="14343" max="14343" width="8.7109375" style="847" customWidth="1"/>
    <col min="14344" max="14344" width="2.7109375" style="847" customWidth="1"/>
    <col min="14345" max="14345" width="9.7109375" style="847" customWidth="1"/>
    <col min="14346" max="14346" width="8.7109375" style="847" customWidth="1"/>
    <col min="14347" max="14347" width="2.85546875" style="847" customWidth="1"/>
    <col min="14348" max="14348" width="9.42578125" style="847" customWidth="1"/>
    <col min="14349" max="14349" width="9.7109375" style="847" customWidth="1"/>
    <col min="14350" max="14350" width="3.7109375" style="847" customWidth="1"/>
    <col min="14351" max="14592" width="8.85546875" style="847"/>
    <col min="14593" max="14593" width="30.85546875" style="847" customWidth="1"/>
    <col min="14594" max="14594" width="2.42578125" style="847" customWidth="1"/>
    <col min="14595" max="14595" width="9.7109375" style="847" customWidth="1"/>
    <col min="14596" max="14596" width="8.7109375" style="847" customWidth="1"/>
    <col min="14597" max="14597" width="2.5703125" style="847" customWidth="1"/>
    <col min="14598" max="14598" width="9.7109375" style="847" customWidth="1"/>
    <col min="14599" max="14599" width="8.7109375" style="847" customWidth="1"/>
    <col min="14600" max="14600" width="2.7109375" style="847" customWidth="1"/>
    <col min="14601" max="14601" width="9.7109375" style="847" customWidth="1"/>
    <col min="14602" max="14602" width="8.7109375" style="847" customWidth="1"/>
    <col min="14603" max="14603" width="2.85546875" style="847" customWidth="1"/>
    <col min="14604" max="14604" width="9.42578125" style="847" customWidth="1"/>
    <col min="14605" max="14605" width="9.7109375" style="847" customWidth="1"/>
    <col min="14606" max="14606" width="3.7109375" style="847" customWidth="1"/>
    <col min="14607" max="14848" width="8.85546875" style="847"/>
    <col min="14849" max="14849" width="30.85546875" style="847" customWidth="1"/>
    <col min="14850" max="14850" width="2.42578125" style="847" customWidth="1"/>
    <col min="14851" max="14851" width="9.7109375" style="847" customWidth="1"/>
    <col min="14852" max="14852" width="8.7109375" style="847" customWidth="1"/>
    <col min="14853" max="14853" width="2.5703125" style="847" customWidth="1"/>
    <col min="14854" max="14854" width="9.7109375" style="847" customWidth="1"/>
    <col min="14855" max="14855" width="8.7109375" style="847" customWidth="1"/>
    <col min="14856" max="14856" width="2.7109375" style="847" customWidth="1"/>
    <col min="14857" max="14857" width="9.7109375" style="847" customWidth="1"/>
    <col min="14858" max="14858" width="8.7109375" style="847" customWidth="1"/>
    <col min="14859" max="14859" width="2.85546875" style="847" customWidth="1"/>
    <col min="14860" max="14860" width="9.42578125" style="847" customWidth="1"/>
    <col min="14861" max="14861" width="9.7109375" style="847" customWidth="1"/>
    <col min="14862" max="14862" width="3.7109375" style="847" customWidth="1"/>
    <col min="14863" max="15104" width="8.85546875" style="847"/>
    <col min="15105" max="15105" width="30.85546875" style="847" customWidth="1"/>
    <col min="15106" max="15106" width="2.42578125" style="847" customWidth="1"/>
    <col min="15107" max="15107" width="9.7109375" style="847" customWidth="1"/>
    <col min="15108" max="15108" width="8.7109375" style="847" customWidth="1"/>
    <col min="15109" max="15109" width="2.5703125" style="847" customWidth="1"/>
    <col min="15110" max="15110" width="9.7109375" style="847" customWidth="1"/>
    <col min="15111" max="15111" width="8.7109375" style="847" customWidth="1"/>
    <col min="15112" max="15112" width="2.7109375" style="847" customWidth="1"/>
    <col min="15113" max="15113" width="9.7109375" style="847" customWidth="1"/>
    <col min="15114" max="15114" width="8.7109375" style="847" customWidth="1"/>
    <col min="15115" max="15115" width="2.85546875" style="847" customWidth="1"/>
    <col min="15116" max="15116" width="9.42578125" style="847" customWidth="1"/>
    <col min="15117" max="15117" width="9.7109375" style="847" customWidth="1"/>
    <col min="15118" max="15118" width="3.7109375" style="847" customWidth="1"/>
    <col min="15119" max="15360" width="8.85546875" style="847"/>
    <col min="15361" max="15361" width="30.85546875" style="847" customWidth="1"/>
    <col min="15362" max="15362" width="2.42578125" style="847" customWidth="1"/>
    <col min="15363" max="15363" width="9.7109375" style="847" customWidth="1"/>
    <col min="15364" max="15364" width="8.7109375" style="847" customWidth="1"/>
    <col min="15365" max="15365" width="2.5703125" style="847" customWidth="1"/>
    <col min="15366" max="15366" width="9.7109375" style="847" customWidth="1"/>
    <col min="15367" max="15367" width="8.7109375" style="847" customWidth="1"/>
    <col min="15368" max="15368" width="2.7109375" style="847" customWidth="1"/>
    <col min="15369" max="15369" width="9.7109375" style="847" customWidth="1"/>
    <col min="15370" max="15370" width="8.7109375" style="847" customWidth="1"/>
    <col min="15371" max="15371" width="2.85546875" style="847" customWidth="1"/>
    <col min="15372" max="15372" width="9.42578125" style="847" customWidth="1"/>
    <col min="15373" max="15373" width="9.7109375" style="847" customWidth="1"/>
    <col min="15374" max="15374" width="3.7109375" style="847" customWidth="1"/>
    <col min="15375" max="15616" width="8.85546875" style="847"/>
    <col min="15617" max="15617" width="30.85546875" style="847" customWidth="1"/>
    <col min="15618" max="15618" width="2.42578125" style="847" customWidth="1"/>
    <col min="15619" max="15619" width="9.7109375" style="847" customWidth="1"/>
    <col min="15620" max="15620" width="8.7109375" style="847" customWidth="1"/>
    <col min="15621" max="15621" width="2.5703125" style="847" customWidth="1"/>
    <col min="15622" max="15622" width="9.7109375" style="847" customWidth="1"/>
    <col min="15623" max="15623" width="8.7109375" style="847" customWidth="1"/>
    <col min="15624" max="15624" width="2.7109375" style="847" customWidth="1"/>
    <col min="15625" max="15625" width="9.7109375" style="847" customWidth="1"/>
    <col min="15626" max="15626" width="8.7109375" style="847" customWidth="1"/>
    <col min="15627" max="15627" width="2.85546875" style="847" customWidth="1"/>
    <col min="15628" max="15628" width="9.42578125" style="847" customWidth="1"/>
    <col min="15629" max="15629" width="9.7109375" style="847" customWidth="1"/>
    <col min="15630" max="15630" width="3.7109375" style="847" customWidth="1"/>
    <col min="15631" max="15872" width="8.85546875" style="847"/>
    <col min="15873" max="15873" width="30.85546875" style="847" customWidth="1"/>
    <col min="15874" max="15874" width="2.42578125" style="847" customWidth="1"/>
    <col min="15875" max="15875" width="9.7109375" style="847" customWidth="1"/>
    <col min="15876" max="15876" width="8.7109375" style="847" customWidth="1"/>
    <col min="15877" max="15877" width="2.5703125" style="847" customWidth="1"/>
    <col min="15878" max="15878" width="9.7109375" style="847" customWidth="1"/>
    <col min="15879" max="15879" width="8.7109375" style="847" customWidth="1"/>
    <col min="15880" max="15880" width="2.7109375" style="847" customWidth="1"/>
    <col min="15881" max="15881" width="9.7109375" style="847" customWidth="1"/>
    <col min="15882" max="15882" width="8.7109375" style="847" customWidth="1"/>
    <col min="15883" max="15883" width="2.85546875" style="847" customWidth="1"/>
    <col min="15884" max="15884" width="9.42578125" style="847" customWidth="1"/>
    <col min="15885" max="15885" width="9.7109375" style="847" customWidth="1"/>
    <col min="15886" max="15886" width="3.7109375" style="847" customWidth="1"/>
    <col min="15887" max="16128" width="8.85546875" style="847"/>
    <col min="16129" max="16129" width="30.85546875" style="847" customWidth="1"/>
    <col min="16130" max="16130" width="2.42578125" style="847" customWidth="1"/>
    <col min="16131" max="16131" width="9.7109375" style="847" customWidth="1"/>
    <col min="16132" max="16132" width="8.7109375" style="847" customWidth="1"/>
    <col min="16133" max="16133" width="2.5703125" style="847" customWidth="1"/>
    <col min="16134" max="16134" width="9.7109375" style="847" customWidth="1"/>
    <col min="16135" max="16135" width="8.7109375" style="847" customWidth="1"/>
    <col min="16136" max="16136" width="2.7109375" style="847" customWidth="1"/>
    <col min="16137" max="16137" width="9.7109375" style="847" customWidth="1"/>
    <col min="16138" max="16138" width="8.7109375" style="847" customWidth="1"/>
    <col min="16139" max="16139" width="2.85546875" style="847" customWidth="1"/>
    <col min="16140" max="16140" width="9.42578125" style="847" customWidth="1"/>
    <col min="16141" max="16141" width="9.7109375" style="847" customWidth="1"/>
    <col min="16142" max="16142" width="3.7109375" style="847" customWidth="1"/>
    <col min="16143" max="16384" width="8.85546875" style="847"/>
  </cols>
  <sheetData>
    <row r="1" spans="1:14">
      <c r="A1" s="852" t="s">
        <v>0</v>
      </c>
    </row>
    <row r="2" spans="1:14">
      <c r="A2" s="852" t="s">
        <v>1</v>
      </c>
    </row>
    <row r="3" spans="1:14" ht="6.95" customHeight="1"/>
    <row r="4" spans="1:14">
      <c r="A4" s="855" t="s">
        <v>1528</v>
      </c>
    </row>
    <row r="5" spans="1:14" ht="7.5" customHeight="1" thickBot="1"/>
    <row r="6" spans="1:14" ht="6.95" customHeight="1">
      <c r="A6" s="1201"/>
      <c r="B6" s="850"/>
      <c r="C6" s="1202"/>
      <c r="D6" s="1201"/>
      <c r="E6" s="1201"/>
      <c r="F6" s="1202"/>
      <c r="G6" s="1202"/>
      <c r="H6" s="1202"/>
      <c r="I6" s="1202"/>
      <c r="J6" s="1202"/>
      <c r="K6" s="1202"/>
      <c r="L6" s="1202"/>
      <c r="M6" s="1202"/>
    </row>
    <row r="7" spans="1:14" ht="17.25">
      <c r="C7" s="1310" t="s">
        <v>2211</v>
      </c>
      <c r="D7" s="1310"/>
      <c r="E7" s="1310"/>
      <c r="F7" s="1310"/>
      <c r="G7" s="1310"/>
      <c r="H7" s="1310"/>
      <c r="I7" s="1310"/>
      <c r="J7" s="1310"/>
      <c r="K7" s="1310"/>
      <c r="L7" s="1310"/>
      <c r="M7" s="1310"/>
      <c r="N7" s="907"/>
    </row>
    <row r="8" spans="1:14">
      <c r="A8" s="1206" t="s">
        <v>4</v>
      </c>
      <c r="C8" s="1311" t="s">
        <v>5</v>
      </c>
      <c r="D8" s="1311"/>
      <c r="F8" s="1207" t="s">
        <v>6</v>
      </c>
      <c r="G8" s="1208"/>
      <c r="H8" s="1138"/>
      <c r="I8" s="1207" t="s">
        <v>7</v>
      </c>
      <c r="J8" s="1208"/>
      <c r="K8" s="1138"/>
      <c r="L8" s="1207" t="s">
        <v>8</v>
      </c>
      <c r="M8" s="1208"/>
      <c r="N8" s="907"/>
    </row>
    <row r="9" spans="1:14">
      <c r="C9" s="1209" t="s">
        <v>9</v>
      </c>
      <c r="D9" s="1210" t="s">
        <v>10</v>
      </c>
      <c r="F9" s="1210" t="s">
        <v>9</v>
      </c>
      <c r="G9" s="1210" t="s">
        <v>10</v>
      </c>
      <c r="I9" s="1210" t="s">
        <v>9</v>
      </c>
      <c r="J9" s="1210" t="s">
        <v>10</v>
      </c>
      <c r="L9" s="1210" t="s">
        <v>9</v>
      </c>
      <c r="M9" s="1210" t="s">
        <v>10</v>
      </c>
      <c r="N9" s="1211"/>
    </row>
    <row r="10" spans="1:14" ht="6.95" customHeight="1" thickBot="1">
      <c r="A10" s="1203"/>
      <c r="B10" s="848"/>
      <c r="C10" s="1204"/>
      <c r="D10" s="1203"/>
      <c r="E10" s="1203"/>
      <c r="F10" s="1204"/>
      <c r="G10" s="1204"/>
      <c r="H10" s="1204"/>
      <c r="I10" s="1204"/>
      <c r="J10" s="1204"/>
      <c r="K10" s="1204"/>
      <c r="L10" s="1204"/>
      <c r="M10" s="1204"/>
    </row>
    <row r="11" spans="1:14" ht="6.95" customHeight="1"/>
    <row r="12" spans="1:14">
      <c r="A12" s="1206" t="s">
        <v>150</v>
      </c>
      <c r="C12" s="1200">
        <f>IF($A12&lt;&gt;0,F12+I12+L12,"")</f>
        <v>225.625</v>
      </c>
      <c r="D12" s="1159">
        <f>IF($A12&lt;&gt;0,G12+J12+M12,"")</f>
        <v>100</v>
      </c>
      <c r="F12" s="1200">
        <f>SUM(F14+F32)</f>
        <v>51.5</v>
      </c>
      <c r="G12" s="1200">
        <f>IF($A12&lt;&gt;0,F12/$C12*100,"")</f>
        <v>22.825484764542935</v>
      </c>
      <c r="I12" s="1200">
        <f>SUM(I14+I32)</f>
        <v>116.125</v>
      </c>
      <c r="J12" s="1200">
        <f>IF($A12&lt;&gt;0,I12/$C12*100,"")</f>
        <v>51.468144044321328</v>
      </c>
      <c r="L12" s="1200">
        <f>SUM(L14+L32)</f>
        <v>58</v>
      </c>
      <c r="M12" s="1200">
        <f>IF($A12&lt;&gt;0,L12/$C12*100,"")</f>
        <v>25.706371191135734</v>
      </c>
    </row>
    <row r="13" spans="1:14" ht="6.95" customHeight="1">
      <c r="C13" s="1200" t="str">
        <f t="shared" ref="C13:D28" si="0">IF($A13&lt;&gt;0,F13+I13+L13,"")</f>
        <v/>
      </c>
      <c r="D13" s="1159" t="str">
        <f t="shared" si="0"/>
        <v/>
      </c>
      <c r="G13" s="1200" t="str">
        <f>IF($A13&lt;&gt;0,F13/$C13*100,"")</f>
        <v/>
      </c>
      <c r="J13" s="1200" t="str">
        <f>IF($A13&lt;&gt;0,I13/$C13*100,"")</f>
        <v/>
      </c>
      <c r="L13" s="1200" t="s">
        <v>11</v>
      </c>
      <c r="M13" s="1200" t="str">
        <f>IF($A13&lt;&gt;0,L13/$C13*100,"")</f>
        <v/>
      </c>
    </row>
    <row r="14" spans="1:14">
      <c r="A14" s="1206" t="s">
        <v>1529</v>
      </c>
      <c r="C14" s="1200">
        <f t="shared" si="0"/>
        <v>206.625</v>
      </c>
      <c r="D14" s="1159">
        <f t="shared" si="0"/>
        <v>100</v>
      </c>
      <c r="F14" s="1200">
        <f>F16+F23</f>
        <v>40.25</v>
      </c>
      <c r="G14" s="1200">
        <f>IF($A14&lt;&gt;0,F14/$C14*100,"")</f>
        <v>19.479733817301874</v>
      </c>
      <c r="I14" s="1200">
        <f>I16+I23</f>
        <v>113.125</v>
      </c>
      <c r="J14" s="1200">
        <f>IF($A14&lt;&gt;0,I14/$C14*100,"")</f>
        <v>54.748941318814282</v>
      </c>
      <c r="L14" s="1200">
        <f>L16+L23</f>
        <v>53.25</v>
      </c>
      <c r="M14" s="1200">
        <f>IF($A14&lt;&gt;0,L14/$C14*100,"")</f>
        <v>25.771324863883848</v>
      </c>
    </row>
    <row r="15" spans="1:14" ht="6.95" customHeight="1">
      <c r="C15" s="1200" t="str">
        <f t="shared" si="0"/>
        <v/>
      </c>
      <c r="D15" s="1159" t="str">
        <f t="shared" si="0"/>
        <v/>
      </c>
      <c r="G15" s="1200" t="str">
        <f>IF($A15&lt;&gt;0,F15/$C15*100,"")</f>
        <v/>
      </c>
      <c r="J15" s="1200" t="str">
        <f>IF($A15&lt;&gt;0,I15/$C15*100,"")</f>
        <v/>
      </c>
      <c r="L15" s="1200" t="s">
        <v>11</v>
      </c>
      <c r="M15" s="1200" t="str">
        <f>IF($A15&lt;&gt;0,L15/$C15*100,"")</f>
        <v/>
      </c>
    </row>
    <row r="16" spans="1:14">
      <c r="A16" s="852" t="s">
        <v>151</v>
      </c>
      <c r="C16" s="1200">
        <f t="shared" si="0"/>
        <v>118.25</v>
      </c>
      <c r="D16" s="1159">
        <f t="shared" si="0"/>
        <v>100</v>
      </c>
      <c r="F16" s="1200">
        <f>SUM(F18:F21)</f>
        <v>0</v>
      </c>
      <c r="G16" s="1200">
        <f t="shared" ref="G16:G38" si="1">IF($A16&lt;&gt;0,F16/$C16*100,"")</f>
        <v>0</v>
      </c>
      <c r="I16" s="1200">
        <f>SUM(I18:I21)</f>
        <v>87.5</v>
      </c>
      <c r="J16" s="1200">
        <f t="shared" ref="J16:J38" si="2">IF($A16&lt;&gt;0,I16/$C16*100,"")</f>
        <v>73.99577167019028</v>
      </c>
      <c r="L16" s="1200">
        <f>SUM(L18:L21)</f>
        <v>30.75</v>
      </c>
      <c r="M16" s="1200">
        <f t="shared" ref="M16:M38" si="3">IF($A16&lt;&gt;0,L16/$C16*100,"")</f>
        <v>26.004228329809724</v>
      </c>
    </row>
    <row r="17" spans="1:13">
      <c r="C17" s="1200" t="str">
        <f t="shared" si="0"/>
        <v/>
      </c>
      <c r="D17" s="1159" t="str">
        <f t="shared" si="0"/>
        <v/>
      </c>
      <c r="G17" s="1200" t="str">
        <f t="shared" si="1"/>
        <v/>
      </c>
      <c r="J17" s="1200" t="str">
        <f t="shared" si="2"/>
        <v/>
      </c>
      <c r="L17" s="1200" t="s">
        <v>11</v>
      </c>
      <c r="M17" s="1200" t="str">
        <f t="shared" si="3"/>
        <v/>
      </c>
    </row>
    <row r="18" spans="1:13">
      <c r="A18" s="1212" t="s">
        <v>152</v>
      </c>
      <c r="C18" s="1200">
        <f t="shared" si="0"/>
        <v>20.5</v>
      </c>
      <c r="D18" s="1159">
        <f t="shared" si="0"/>
        <v>100</v>
      </c>
      <c r="F18" s="1213">
        <v>0</v>
      </c>
      <c r="G18" s="1200">
        <f t="shared" si="1"/>
        <v>0</v>
      </c>
      <c r="H18" s="1213"/>
      <c r="I18" s="1213">
        <v>11</v>
      </c>
      <c r="J18" s="1200">
        <f t="shared" si="2"/>
        <v>53.658536585365859</v>
      </c>
      <c r="K18" s="1213"/>
      <c r="L18" s="1200">
        <v>9.5</v>
      </c>
      <c r="M18" s="1200">
        <f t="shared" si="3"/>
        <v>46.341463414634148</v>
      </c>
    </row>
    <row r="19" spans="1:13">
      <c r="A19" s="1212" t="s">
        <v>153</v>
      </c>
      <c r="C19" s="1200">
        <f t="shared" si="0"/>
        <v>29</v>
      </c>
      <c r="D19" s="1159">
        <f t="shared" si="0"/>
        <v>99.999999999999986</v>
      </c>
      <c r="F19" s="1213">
        <v>0</v>
      </c>
      <c r="G19" s="1200">
        <f t="shared" si="1"/>
        <v>0</v>
      </c>
      <c r="H19" s="1213"/>
      <c r="I19" s="1213">
        <v>21.25</v>
      </c>
      <c r="J19" s="1200">
        <f t="shared" si="2"/>
        <v>73.275862068965509</v>
      </c>
      <c r="K19" s="1213"/>
      <c r="L19" s="1200">
        <v>7.75</v>
      </c>
      <c r="M19" s="1200">
        <f t="shared" si="3"/>
        <v>26.72413793103448</v>
      </c>
    </row>
    <row r="20" spans="1:13">
      <c r="A20" s="1212" t="s">
        <v>154</v>
      </c>
      <c r="C20" s="1200">
        <f t="shared" si="0"/>
        <v>40</v>
      </c>
      <c r="D20" s="1159">
        <f t="shared" si="0"/>
        <v>100</v>
      </c>
      <c r="F20" s="1213">
        <v>0</v>
      </c>
      <c r="G20" s="1200">
        <f t="shared" si="1"/>
        <v>0</v>
      </c>
      <c r="H20" s="1213"/>
      <c r="I20" s="1213">
        <v>37</v>
      </c>
      <c r="J20" s="1200">
        <f t="shared" si="2"/>
        <v>92.5</v>
      </c>
      <c r="K20" s="1213"/>
      <c r="L20" s="1200">
        <v>3</v>
      </c>
      <c r="M20" s="1200">
        <f t="shared" si="3"/>
        <v>7.5</v>
      </c>
    </row>
    <row r="21" spans="1:13">
      <c r="A21" s="1212" t="s">
        <v>155</v>
      </c>
      <c r="C21" s="1200">
        <f t="shared" si="0"/>
        <v>28.75</v>
      </c>
      <c r="D21" s="1159">
        <f t="shared" si="0"/>
        <v>100</v>
      </c>
      <c r="F21" s="1213">
        <v>0</v>
      </c>
      <c r="G21" s="1200">
        <f t="shared" si="1"/>
        <v>0</v>
      </c>
      <c r="H21" s="1213"/>
      <c r="I21" s="1213">
        <v>18.25</v>
      </c>
      <c r="J21" s="1200">
        <f t="shared" si="2"/>
        <v>63.478260869565219</v>
      </c>
      <c r="K21" s="1213"/>
      <c r="L21" s="1200">
        <v>10.5</v>
      </c>
      <c r="M21" s="1200">
        <f t="shared" si="3"/>
        <v>36.521739130434781</v>
      </c>
    </row>
    <row r="22" spans="1:13">
      <c r="A22" s="1212"/>
      <c r="C22" s="1200" t="str">
        <f t="shared" si="0"/>
        <v/>
      </c>
      <c r="D22" s="1159" t="str">
        <f t="shared" si="0"/>
        <v/>
      </c>
      <c r="G22" s="1200" t="str">
        <f t="shared" si="1"/>
        <v/>
      </c>
      <c r="J22" s="1200" t="str">
        <f t="shared" si="2"/>
        <v/>
      </c>
      <c r="L22" s="1200" t="s">
        <v>11</v>
      </c>
      <c r="M22" s="1200" t="str">
        <f t="shared" si="3"/>
        <v/>
      </c>
    </row>
    <row r="23" spans="1:13">
      <c r="A23" s="855" t="s">
        <v>156</v>
      </c>
      <c r="C23" s="1200">
        <f t="shared" si="0"/>
        <v>88.375</v>
      </c>
      <c r="D23" s="1159">
        <f t="shared" si="0"/>
        <v>100</v>
      </c>
      <c r="F23" s="1200">
        <f>SUM(F25:F30)</f>
        <v>40.25</v>
      </c>
      <c r="G23" s="1200">
        <f t="shared" si="1"/>
        <v>45.544554455445549</v>
      </c>
      <c r="I23" s="1200">
        <f>SUM(I25:I30)</f>
        <v>25.625</v>
      </c>
      <c r="J23" s="1200">
        <f t="shared" si="2"/>
        <v>28.995756718528998</v>
      </c>
      <c r="L23" s="1200">
        <f>SUM(L25:L30)</f>
        <v>22.5</v>
      </c>
      <c r="M23" s="1200">
        <f t="shared" si="3"/>
        <v>25.459688826025463</v>
      </c>
    </row>
    <row r="24" spans="1:13">
      <c r="A24" s="855"/>
      <c r="C24" s="1200" t="str">
        <f t="shared" si="0"/>
        <v/>
      </c>
      <c r="D24" s="1159" t="str">
        <f t="shared" si="0"/>
        <v/>
      </c>
      <c r="G24" s="1200" t="str">
        <f t="shared" si="1"/>
        <v/>
      </c>
      <c r="J24" s="1200" t="str">
        <f t="shared" si="2"/>
        <v/>
      </c>
      <c r="L24" s="1200" t="s">
        <v>11</v>
      </c>
      <c r="M24" s="1200" t="str">
        <f t="shared" si="3"/>
        <v/>
      </c>
    </row>
    <row r="25" spans="1:13">
      <c r="A25" s="1212" t="s">
        <v>157</v>
      </c>
      <c r="C25" s="1200">
        <f t="shared" si="0"/>
        <v>7.75</v>
      </c>
      <c r="D25" s="1159">
        <f t="shared" si="0"/>
        <v>100</v>
      </c>
      <c r="F25" s="1213">
        <v>1.5</v>
      </c>
      <c r="G25" s="1200">
        <f t="shared" si="1"/>
        <v>19.35483870967742</v>
      </c>
      <c r="H25" s="1213"/>
      <c r="I25" s="1213">
        <v>1</v>
      </c>
      <c r="J25" s="1200">
        <f t="shared" si="2"/>
        <v>12.903225806451612</v>
      </c>
      <c r="K25" s="1213"/>
      <c r="L25" s="1200">
        <v>5.25</v>
      </c>
      <c r="M25" s="1200">
        <f t="shared" si="3"/>
        <v>67.741935483870961</v>
      </c>
    </row>
    <row r="26" spans="1:13">
      <c r="A26" s="855" t="s">
        <v>158</v>
      </c>
      <c r="C26" s="1200">
        <f t="shared" si="0"/>
        <v>1.25</v>
      </c>
      <c r="D26" s="1159">
        <f t="shared" si="0"/>
        <v>100</v>
      </c>
      <c r="F26" s="1213">
        <v>0</v>
      </c>
      <c r="G26" s="1200">
        <f t="shared" si="1"/>
        <v>0</v>
      </c>
      <c r="H26" s="1213"/>
      <c r="I26" s="1213">
        <v>1</v>
      </c>
      <c r="J26" s="1200">
        <f t="shared" si="2"/>
        <v>80</v>
      </c>
      <c r="K26" s="1213"/>
      <c r="L26" s="1200">
        <v>0.25</v>
      </c>
      <c r="M26" s="1200">
        <f t="shared" si="3"/>
        <v>20</v>
      </c>
    </row>
    <row r="27" spans="1:13">
      <c r="A27" s="1212" t="s">
        <v>159</v>
      </c>
      <c r="C27" s="1200">
        <f t="shared" si="0"/>
        <v>19.75</v>
      </c>
      <c r="D27" s="1159">
        <f t="shared" si="0"/>
        <v>100</v>
      </c>
      <c r="F27" s="1213">
        <v>0</v>
      </c>
      <c r="G27" s="1200">
        <f t="shared" si="1"/>
        <v>0</v>
      </c>
      <c r="H27" s="1213"/>
      <c r="I27" s="1213">
        <v>17.75</v>
      </c>
      <c r="J27" s="1200">
        <f t="shared" si="2"/>
        <v>89.87341772151899</v>
      </c>
      <c r="K27" s="1213"/>
      <c r="L27" s="1200">
        <v>2</v>
      </c>
      <c r="M27" s="1200">
        <f t="shared" si="3"/>
        <v>10.126582278481013</v>
      </c>
    </row>
    <row r="28" spans="1:13">
      <c r="A28" s="855" t="s">
        <v>160</v>
      </c>
      <c r="C28" s="1200">
        <f t="shared" si="0"/>
        <v>38.5</v>
      </c>
      <c r="D28" s="1159">
        <f t="shared" si="0"/>
        <v>100</v>
      </c>
      <c r="F28" s="1213">
        <v>36.25</v>
      </c>
      <c r="G28" s="1200">
        <f t="shared" si="1"/>
        <v>94.155844155844164</v>
      </c>
      <c r="H28" s="1213"/>
      <c r="I28" s="1213">
        <v>1.25</v>
      </c>
      <c r="J28" s="1200">
        <f t="shared" si="2"/>
        <v>3.2467532467532463</v>
      </c>
      <c r="K28" s="1213"/>
      <c r="L28" s="1200">
        <v>1</v>
      </c>
      <c r="M28" s="1200">
        <f t="shared" si="3"/>
        <v>2.5974025974025974</v>
      </c>
    </row>
    <row r="29" spans="1:13">
      <c r="A29" s="855" t="s">
        <v>161</v>
      </c>
      <c r="C29" s="1200">
        <f t="shared" ref="C29:D38" si="4">IF($A29&lt;&gt;0,F29+I29+L29,"")</f>
        <v>7</v>
      </c>
      <c r="D29" s="1159">
        <f t="shared" si="4"/>
        <v>100</v>
      </c>
      <c r="F29" s="1213">
        <v>1.5</v>
      </c>
      <c r="G29" s="1200">
        <f t="shared" si="1"/>
        <v>21.428571428571427</v>
      </c>
      <c r="H29" s="1213"/>
      <c r="I29" s="1213">
        <v>1</v>
      </c>
      <c r="J29" s="1200">
        <f t="shared" si="2"/>
        <v>14.285714285714285</v>
      </c>
      <c r="K29" s="1213"/>
      <c r="L29" s="1200">
        <v>4.5</v>
      </c>
      <c r="M29" s="1200">
        <f t="shared" si="3"/>
        <v>64.285714285714292</v>
      </c>
    </row>
    <row r="30" spans="1:13">
      <c r="A30" s="855" t="s">
        <v>162</v>
      </c>
      <c r="C30" s="1200">
        <f t="shared" si="4"/>
        <v>14.125</v>
      </c>
      <c r="D30" s="1159">
        <f t="shared" si="4"/>
        <v>100</v>
      </c>
      <c r="F30" s="1213">
        <v>1</v>
      </c>
      <c r="G30" s="1200">
        <f t="shared" si="1"/>
        <v>7.0796460176991154</v>
      </c>
      <c r="H30" s="1213"/>
      <c r="I30" s="1213">
        <v>3.625</v>
      </c>
      <c r="J30" s="1200">
        <f t="shared" si="2"/>
        <v>25.663716814159294</v>
      </c>
      <c r="K30" s="1213"/>
      <c r="L30" s="1200">
        <v>9.5</v>
      </c>
      <c r="M30" s="1200">
        <f t="shared" si="3"/>
        <v>67.256637168141594</v>
      </c>
    </row>
    <row r="31" spans="1:13" ht="6.95" customHeight="1">
      <c r="A31" s="855"/>
      <c r="C31" s="1200" t="str">
        <f t="shared" si="4"/>
        <v/>
      </c>
      <c r="D31" s="1159" t="str">
        <f t="shared" si="4"/>
        <v/>
      </c>
      <c r="G31" s="1200" t="str">
        <f t="shared" si="1"/>
        <v/>
      </c>
      <c r="J31" s="1200" t="str">
        <f t="shared" si="2"/>
        <v/>
      </c>
      <c r="L31" s="1200" t="s">
        <v>11</v>
      </c>
      <c r="M31" s="1200" t="str">
        <f t="shared" si="3"/>
        <v/>
      </c>
    </row>
    <row r="32" spans="1:13">
      <c r="A32" s="1206" t="s">
        <v>213</v>
      </c>
      <c r="C32" s="1200">
        <f t="shared" si="4"/>
        <v>19</v>
      </c>
      <c r="D32" s="1159">
        <f t="shared" si="4"/>
        <v>99.999999999999986</v>
      </c>
      <c r="F32" s="1200">
        <f>SUM(F34:F38)</f>
        <v>11.25</v>
      </c>
      <c r="G32" s="1200">
        <f t="shared" si="1"/>
        <v>59.210526315789465</v>
      </c>
      <c r="I32" s="1200">
        <f>SUM(I34:I38)</f>
        <v>3</v>
      </c>
      <c r="J32" s="1200">
        <f t="shared" si="2"/>
        <v>15.789473684210526</v>
      </c>
      <c r="L32" s="1200">
        <f>SUM(L34:L38)</f>
        <v>4.75</v>
      </c>
      <c r="M32" s="1200">
        <f t="shared" si="3"/>
        <v>25</v>
      </c>
    </row>
    <row r="33" spans="1:13" ht="6.95" customHeight="1">
      <c r="C33" s="1200" t="str">
        <f t="shared" si="4"/>
        <v/>
      </c>
      <c r="D33" s="1159" t="str">
        <f t="shared" si="4"/>
        <v/>
      </c>
      <c r="G33" s="1200" t="str">
        <f t="shared" si="1"/>
        <v/>
      </c>
      <c r="J33" s="1200" t="str">
        <f t="shared" si="2"/>
        <v/>
      </c>
      <c r="L33" s="1200" t="s">
        <v>11</v>
      </c>
      <c r="M33" s="1200" t="str">
        <f t="shared" si="3"/>
        <v/>
      </c>
    </row>
    <row r="34" spans="1:13" ht="17.25">
      <c r="A34" s="1212" t="s">
        <v>2280</v>
      </c>
      <c r="C34" s="1200">
        <f t="shared" si="4"/>
        <v>6.25</v>
      </c>
      <c r="D34" s="1159">
        <f t="shared" si="4"/>
        <v>100</v>
      </c>
      <c r="F34" s="1205">
        <v>1</v>
      </c>
      <c r="G34" s="1200">
        <f t="shared" si="1"/>
        <v>16</v>
      </c>
      <c r="H34" s="1213"/>
      <c r="I34" s="1213">
        <v>3</v>
      </c>
      <c r="J34" s="1200">
        <f t="shared" si="2"/>
        <v>48</v>
      </c>
      <c r="K34" s="1213"/>
      <c r="L34" s="1200">
        <v>2.25</v>
      </c>
      <c r="M34" s="1200">
        <f t="shared" si="3"/>
        <v>36</v>
      </c>
    </row>
    <row r="35" spans="1:13" ht="17.25">
      <c r="A35" s="1212" t="s">
        <v>2281</v>
      </c>
      <c r="C35" s="1200">
        <f t="shared" si="4"/>
        <v>4.75</v>
      </c>
      <c r="D35" s="1159">
        <f t="shared" si="4"/>
        <v>100</v>
      </c>
      <c r="F35" s="1213">
        <v>4.75</v>
      </c>
      <c r="G35" s="1200">
        <f t="shared" si="1"/>
        <v>100</v>
      </c>
      <c r="H35" s="1213"/>
      <c r="I35" s="1213">
        <v>0</v>
      </c>
      <c r="J35" s="1200">
        <f t="shared" si="2"/>
        <v>0</v>
      </c>
      <c r="K35" s="1213"/>
      <c r="L35" s="1200">
        <v>0</v>
      </c>
      <c r="M35" s="1200">
        <f t="shared" si="3"/>
        <v>0</v>
      </c>
    </row>
    <row r="36" spans="1:13" ht="17.25">
      <c r="A36" s="1212" t="s">
        <v>2282</v>
      </c>
      <c r="C36" s="1200">
        <f t="shared" si="4"/>
        <v>2</v>
      </c>
      <c r="D36" s="1159">
        <f t="shared" si="4"/>
        <v>100</v>
      </c>
      <c r="F36" s="1205">
        <v>0.5</v>
      </c>
      <c r="G36" s="1200">
        <f t="shared" si="1"/>
        <v>25</v>
      </c>
      <c r="H36" s="1213"/>
      <c r="I36" s="1213">
        <v>0</v>
      </c>
      <c r="J36" s="1200">
        <f t="shared" si="2"/>
        <v>0</v>
      </c>
      <c r="K36" s="1213"/>
      <c r="L36" s="1200">
        <v>1.5</v>
      </c>
      <c r="M36" s="1200">
        <f t="shared" si="3"/>
        <v>75</v>
      </c>
    </row>
    <row r="37" spans="1:13">
      <c r="A37" s="1212" t="s">
        <v>235</v>
      </c>
      <c r="C37" s="1200">
        <f t="shared" si="4"/>
        <v>1</v>
      </c>
      <c r="D37" s="1159">
        <f t="shared" si="4"/>
        <v>100</v>
      </c>
      <c r="F37" s="1213">
        <v>0</v>
      </c>
      <c r="G37" s="1200">
        <f t="shared" si="1"/>
        <v>0</v>
      </c>
      <c r="H37" s="1213"/>
      <c r="I37" s="1213">
        <v>0</v>
      </c>
      <c r="J37" s="1200">
        <f t="shared" si="2"/>
        <v>0</v>
      </c>
      <c r="K37" s="1213"/>
      <c r="L37" s="1200">
        <v>1</v>
      </c>
      <c r="M37" s="1200">
        <f t="shared" si="3"/>
        <v>100</v>
      </c>
    </row>
    <row r="38" spans="1:13">
      <c r="A38" s="1212" t="s">
        <v>241</v>
      </c>
      <c r="C38" s="1200">
        <f t="shared" si="4"/>
        <v>5</v>
      </c>
      <c r="D38" s="1159">
        <f t="shared" si="4"/>
        <v>100</v>
      </c>
      <c r="F38" s="1200">
        <v>5</v>
      </c>
      <c r="G38" s="1200">
        <f t="shared" si="1"/>
        <v>100</v>
      </c>
      <c r="I38" s="1200">
        <v>0</v>
      </c>
      <c r="J38" s="1200">
        <f t="shared" si="2"/>
        <v>0</v>
      </c>
      <c r="L38" s="1200">
        <v>0</v>
      </c>
      <c r="M38" s="1200">
        <f t="shared" si="3"/>
        <v>0</v>
      </c>
    </row>
    <row r="39" spans="1:13" ht="6.95" customHeight="1" thickBot="1">
      <c r="A39" s="1203"/>
      <c r="B39" s="848"/>
      <c r="C39" s="1204"/>
      <c r="D39" s="1203"/>
      <c r="E39" s="1203"/>
      <c r="F39" s="1204"/>
      <c r="G39" s="1204"/>
      <c r="H39" s="1204"/>
      <c r="I39" s="1204"/>
      <c r="J39" s="1204"/>
      <c r="K39" s="1204"/>
      <c r="L39" s="1204"/>
      <c r="M39" s="1204"/>
    </row>
    <row r="40" spans="1:13" ht="6.95" customHeight="1"/>
    <row r="41" spans="1:13" ht="13.5" customHeight="1">
      <c r="A41" s="1165" t="s">
        <v>2215</v>
      </c>
    </row>
    <row r="42" spans="1:13" ht="17.25">
      <c r="A42" s="1165" t="s">
        <v>2212</v>
      </c>
    </row>
    <row r="43" spans="1:13" ht="17.25">
      <c r="A43" s="1165" t="s">
        <v>2213</v>
      </c>
    </row>
    <row r="44" spans="1:13" ht="17.25">
      <c r="A44" s="1165" t="s">
        <v>2214</v>
      </c>
    </row>
    <row r="45" spans="1:13" ht="12.75" customHeight="1">
      <c r="A45" s="1165" t="s">
        <v>248</v>
      </c>
    </row>
    <row r="46" spans="1:13">
      <c r="A46" s="855" t="s">
        <v>249</v>
      </c>
    </row>
    <row r="47" spans="1:13">
      <c r="A47" s="852" t="s">
        <v>250</v>
      </c>
    </row>
    <row r="49" spans="1:1">
      <c r="A49" s="1214"/>
    </row>
  </sheetData>
  <mergeCells count="2">
    <mergeCell ref="C7:M7"/>
    <mergeCell ref="C8:D8"/>
  </mergeCells>
  <printOptions horizontalCentered="1" verticalCentered="1"/>
  <pageMargins left="0" right="0" top="0" bottom="0" header="0.31496062992125984" footer="0.31496062992125984"/>
  <pageSetup paperSize="9" scale="80" orientation="landscape" r:id="rId1"/>
</worksheet>
</file>

<file path=xl/worksheets/sheet83.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J2" sqref="J2"/>
    </sheetView>
  </sheetViews>
  <sheetFormatPr baseColWidth="10" defaultRowHeight="15"/>
  <sheetData>
    <row r="1" spans="2:11" ht="12.75" customHeight="1"/>
    <row r="2" spans="2:11" ht="12.75" customHeight="1">
      <c r="J2" s="429"/>
    </row>
    <row r="3" spans="2:11" ht="12.75" customHeight="1">
      <c r="B3" t="s">
        <v>7</v>
      </c>
      <c r="C3" t="s">
        <v>8</v>
      </c>
      <c r="D3" t="s">
        <v>6</v>
      </c>
      <c r="H3" s="33"/>
    </row>
    <row r="4" spans="2:11" ht="12.75" customHeight="1">
      <c r="B4" s="606">
        <v>116.13</v>
      </c>
      <c r="C4" s="606">
        <v>58</v>
      </c>
      <c r="D4" s="606">
        <v>51.5</v>
      </c>
      <c r="H4" s="34"/>
      <c r="K4" s="35"/>
    </row>
  </sheetData>
  <printOptions horizontalCentered="1" verticalCentered="1"/>
  <pageMargins left="0" right="0" top="0" bottom="0" header="0.31496062992125984" footer="0.31496062992125984"/>
  <pageSetup paperSize="9" scale="85" orientation="landscape" r:id="rId1"/>
  <drawing r:id="rId2"/>
</worksheet>
</file>

<file path=xl/worksheets/sheet84.xml><?xml version="1.0" encoding="utf-8"?>
<worksheet xmlns="http://schemas.openxmlformats.org/spreadsheetml/2006/main" xmlns:r="http://schemas.openxmlformats.org/officeDocument/2006/relationships">
  <dimension ref="A1:Q112"/>
  <sheetViews>
    <sheetView topLeftCell="A10" workbookViewId="0"/>
  </sheetViews>
  <sheetFormatPr baseColWidth="10" defaultColWidth="8.85546875" defaultRowHeight="15"/>
  <cols>
    <col min="1" max="1" width="35.7109375" customWidth="1"/>
    <col min="2" max="2" width="2.7109375" customWidth="1"/>
    <col min="5" max="5" width="2.85546875" customWidth="1"/>
    <col min="8" max="8" width="3" customWidth="1"/>
    <col min="11" max="11" width="3.140625" customWidth="1"/>
    <col min="14" max="14" width="3" customWidth="1"/>
    <col min="17" max="17" width="3" customWidth="1"/>
    <col min="257" max="257" width="35.7109375" customWidth="1"/>
    <col min="258" max="258" width="2.7109375" customWidth="1"/>
    <col min="261" max="261" width="2.85546875" customWidth="1"/>
    <col min="264" max="264" width="3" customWidth="1"/>
    <col min="267" max="267" width="3.140625" customWidth="1"/>
    <col min="270" max="270" width="3" customWidth="1"/>
    <col min="273" max="273" width="3" customWidth="1"/>
    <col min="513" max="513" width="35.7109375" customWidth="1"/>
    <col min="514" max="514" width="2.7109375" customWidth="1"/>
    <col min="517" max="517" width="2.85546875" customWidth="1"/>
    <col min="520" max="520" width="3" customWidth="1"/>
    <col min="523" max="523" width="3.140625" customWidth="1"/>
    <col min="526" max="526" width="3" customWidth="1"/>
    <col min="529" max="529" width="3" customWidth="1"/>
    <col min="769" max="769" width="35.7109375" customWidth="1"/>
    <col min="770" max="770" width="2.7109375" customWidth="1"/>
    <col min="773" max="773" width="2.85546875" customWidth="1"/>
    <col min="776" max="776" width="3" customWidth="1"/>
    <col min="779" max="779" width="3.140625" customWidth="1"/>
    <col min="782" max="782" width="3" customWidth="1"/>
    <col min="785" max="785" width="3" customWidth="1"/>
    <col min="1025" max="1025" width="35.7109375" customWidth="1"/>
    <col min="1026" max="1026" width="2.7109375" customWidth="1"/>
    <col min="1029" max="1029" width="2.85546875" customWidth="1"/>
    <col min="1032" max="1032" width="3" customWidth="1"/>
    <col min="1035" max="1035" width="3.140625" customWidth="1"/>
    <col min="1038" max="1038" width="3" customWidth="1"/>
    <col min="1041" max="1041" width="3" customWidth="1"/>
    <col min="1281" max="1281" width="35.7109375" customWidth="1"/>
    <col min="1282" max="1282" width="2.7109375" customWidth="1"/>
    <col min="1285" max="1285" width="2.85546875" customWidth="1"/>
    <col min="1288" max="1288" width="3" customWidth="1"/>
    <col min="1291" max="1291" width="3.140625" customWidth="1"/>
    <col min="1294" max="1294" width="3" customWidth="1"/>
    <col min="1297" max="1297" width="3" customWidth="1"/>
    <col min="1537" max="1537" width="35.7109375" customWidth="1"/>
    <col min="1538" max="1538" width="2.7109375" customWidth="1"/>
    <col min="1541" max="1541" width="2.85546875" customWidth="1"/>
    <col min="1544" max="1544" width="3" customWidth="1"/>
    <col min="1547" max="1547" width="3.140625" customWidth="1"/>
    <col min="1550" max="1550" width="3" customWidth="1"/>
    <col min="1553" max="1553" width="3" customWidth="1"/>
    <col min="1793" max="1793" width="35.7109375" customWidth="1"/>
    <col min="1794" max="1794" width="2.7109375" customWidth="1"/>
    <col min="1797" max="1797" width="2.85546875" customWidth="1"/>
    <col min="1800" max="1800" width="3" customWidth="1"/>
    <col min="1803" max="1803" width="3.140625" customWidth="1"/>
    <col min="1806" max="1806" width="3" customWidth="1"/>
    <col min="1809" max="1809" width="3" customWidth="1"/>
    <col min="2049" max="2049" width="35.7109375" customWidth="1"/>
    <col min="2050" max="2050" width="2.7109375" customWidth="1"/>
    <col min="2053" max="2053" width="2.85546875" customWidth="1"/>
    <col min="2056" max="2056" width="3" customWidth="1"/>
    <col min="2059" max="2059" width="3.140625" customWidth="1"/>
    <col min="2062" max="2062" width="3" customWidth="1"/>
    <col min="2065" max="2065" width="3" customWidth="1"/>
    <col min="2305" max="2305" width="35.7109375" customWidth="1"/>
    <col min="2306" max="2306" width="2.7109375" customWidth="1"/>
    <col min="2309" max="2309" width="2.85546875" customWidth="1"/>
    <col min="2312" max="2312" width="3" customWidth="1"/>
    <col min="2315" max="2315" width="3.140625" customWidth="1"/>
    <col min="2318" max="2318" width="3" customWidth="1"/>
    <col min="2321" max="2321" width="3" customWidth="1"/>
    <col min="2561" max="2561" width="35.7109375" customWidth="1"/>
    <col min="2562" max="2562" width="2.7109375" customWidth="1"/>
    <col min="2565" max="2565" width="2.85546875" customWidth="1"/>
    <col min="2568" max="2568" width="3" customWidth="1"/>
    <col min="2571" max="2571" width="3.140625" customWidth="1"/>
    <col min="2574" max="2574" width="3" customWidth="1"/>
    <col min="2577" max="2577" width="3" customWidth="1"/>
    <col min="2817" max="2817" width="35.7109375" customWidth="1"/>
    <col min="2818" max="2818" width="2.7109375" customWidth="1"/>
    <col min="2821" max="2821" width="2.85546875" customWidth="1"/>
    <col min="2824" max="2824" width="3" customWidth="1"/>
    <col min="2827" max="2827" width="3.140625" customWidth="1"/>
    <col min="2830" max="2830" width="3" customWidth="1"/>
    <col min="2833" max="2833" width="3" customWidth="1"/>
    <col min="3073" max="3073" width="35.7109375" customWidth="1"/>
    <col min="3074" max="3074" width="2.7109375" customWidth="1"/>
    <col min="3077" max="3077" width="2.85546875" customWidth="1"/>
    <col min="3080" max="3080" width="3" customWidth="1"/>
    <col min="3083" max="3083" width="3.140625" customWidth="1"/>
    <col min="3086" max="3086" width="3" customWidth="1"/>
    <col min="3089" max="3089" width="3" customWidth="1"/>
    <col min="3329" max="3329" width="35.7109375" customWidth="1"/>
    <col min="3330" max="3330" width="2.7109375" customWidth="1"/>
    <col min="3333" max="3333" width="2.85546875" customWidth="1"/>
    <col min="3336" max="3336" width="3" customWidth="1"/>
    <col min="3339" max="3339" width="3.140625" customWidth="1"/>
    <col min="3342" max="3342" width="3" customWidth="1"/>
    <col min="3345" max="3345" width="3" customWidth="1"/>
    <col min="3585" max="3585" width="35.7109375" customWidth="1"/>
    <col min="3586" max="3586" width="2.7109375" customWidth="1"/>
    <col min="3589" max="3589" width="2.85546875" customWidth="1"/>
    <col min="3592" max="3592" width="3" customWidth="1"/>
    <col min="3595" max="3595" width="3.140625" customWidth="1"/>
    <col min="3598" max="3598" width="3" customWidth="1"/>
    <col min="3601" max="3601" width="3" customWidth="1"/>
    <col min="3841" max="3841" width="35.7109375" customWidth="1"/>
    <col min="3842" max="3842" width="2.7109375" customWidth="1"/>
    <col min="3845" max="3845" width="2.85546875" customWidth="1"/>
    <col min="3848" max="3848" width="3" customWidth="1"/>
    <col min="3851" max="3851" width="3.140625" customWidth="1"/>
    <col min="3854" max="3854" width="3" customWidth="1"/>
    <col min="3857" max="3857" width="3" customWidth="1"/>
    <col min="4097" max="4097" width="35.7109375" customWidth="1"/>
    <col min="4098" max="4098" width="2.7109375" customWidth="1"/>
    <col min="4101" max="4101" width="2.85546875" customWidth="1"/>
    <col min="4104" max="4104" width="3" customWidth="1"/>
    <col min="4107" max="4107" width="3.140625" customWidth="1"/>
    <col min="4110" max="4110" width="3" customWidth="1"/>
    <col min="4113" max="4113" width="3" customWidth="1"/>
    <col min="4353" max="4353" width="35.7109375" customWidth="1"/>
    <col min="4354" max="4354" width="2.7109375" customWidth="1"/>
    <col min="4357" max="4357" width="2.85546875" customWidth="1"/>
    <col min="4360" max="4360" width="3" customWidth="1"/>
    <col min="4363" max="4363" width="3.140625" customWidth="1"/>
    <col min="4366" max="4366" width="3" customWidth="1"/>
    <col min="4369" max="4369" width="3" customWidth="1"/>
    <col min="4609" max="4609" width="35.7109375" customWidth="1"/>
    <col min="4610" max="4610" width="2.7109375" customWidth="1"/>
    <col min="4613" max="4613" width="2.85546875" customWidth="1"/>
    <col min="4616" max="4616" width="3" customWidth="1"/>
    <col min="4619" max="4619" width="3.140625" customWidth="1"/>
    <col min="4622" max="4622" width="3" customWidth="1"/>
    <col min="4625" max="4625" width="3" customWidth="1"/>
    <col min="4865" max="4865" width="35.7109375" customWidth="1"/>
    <col min="4866" max="4866" width="2.7109375" customWidth="1"/>
    <col min="4869" max="4869" width="2.85546875" customWidth="1"/>
    <col min="4872" max="4872" width="3" customWidth="1"/>
    <col min="4875" max="4875" width="3.140625" customWidth="1"/>
    <col min="4878" max="4878" width="3" customWidth="1"/>
    <col min="4881" max="4881" width="3" customWidth="1"/>
    <col min="5121" max="5121" width="35.7109375" customWidth="1"/>
    <col min="5122" max="5122" width="2.7109375" customWidth="1"/>
    <col min="5125" max="5125" width="2.85546875" customWidth="1"/>
    <col min="5128" max="5128" width="3" customWidth="1"/>
    <col min="5131" max="5131" width="3.140625" customWidth="1"/>
    <col min="5134" max="5134" width="3" customWidth="1"/>
    <col min="5137" max="5137" width="3" customWidth="1"/>
    <col min="5377" max="5377" width="35.7109375" customWidth="1"/>
    <col min="5378" max="5378" width="2.7109375" customWidth="1"/>
    <col min="5381" max="5381" width="2.85546875" customWidth="1"/>
    <col min="5384" max="5384" width="3" customWidth="1"/>
    <col min="5387" max="5387" width="3.140625" customWidth="1"/>
    <col min="5390" max="5390" width="3" customWidth="1"/>
    <col min="5393" max="5393" width="3" customWidth="1"/>
    <col min="5633" max="5633" width="35.7109375" customWidth="1"/>
    <col min="5634" max="5634" width="2.7109375" customWidth="1"/>
    <col min="5637" max="5637" width="2.85546875" customWidth="1"/>
    <col min="5640" max="5640" width="3" customWidth="1"/>
    <col min="5643" max="5643" width="3.140625" customWidth="1"/>
    <col min="5646" max="5646" width="3" customWidth="1"/>
    <col min="5649" max="5649" width="3" customWidth="1"/>
    <col min="5889" max="5889" width="35.7109375" customWidth="1"/>
    <col min="5890" max="5890" width="2.7109375" customWidth="1"/>
    <col min="5893" max="5893" width="2.85546875" customWidth="1"/>
    <col min="5896" max="5896" width="3" customWidth="1"/>
    <col min="5899" max="5899" width="3.140625" customWidth="1"/>
    <col min="5902" max="5902" width="3" customWidth="1"/>
    <col min="5905" max="5905" width="3" customWidth="1"/>
    <col min="6145" max="6145" width="35.7109375" customWidth="1"/>
    <col min="6146" max="6146" width="2.7109375" customWidth="1"/>
    <col min="6149" max="6149" width="2.85546875" customWidth="1"/>
    <col min="6152" max="6152" width="3" customWidth="1"/>
    <col min="6155" max="6155" width="3.140625" customWidth="1"/>
    <col min="6158" max="6158" width="3" customWidth="1"/>
    <col min="6161" max="6161" width="3" customWidth="1"/>
    <col min="6401" max="6401" width="35.7109375" customWidth="1"/>
    <col min="6402" max="6402" width="2.7109375" customWidth="1"/>
    <col min="6405" max="6405" width="2.85546875" customWidth="1"/>
    <col min="6408" max="6408" width="3" customWidth="1"/>
    <col min="6411" max="6411" width="3.140625" customWidth="1"/>
    <col min="6414" max="6414" width="3" customWidth="1"/>
    <col min="6417" max="6417" width="3" customWidth="1"/>
    <col min="6657" max="6657" width="35.7109375" customWidth="1"/>
    <col min="6658" max="6658" width="2.7109375" customWidth="1"/>
    <col min="6661" max="6661" width="2.85546875" customWidth="1"/>
    <col min="6664" max="6664" width="3" customWidth="1"/>
    <col min="6667" max="6667" width="3.140625" customWidth="1"/>
    <col min="6670" max="6670" width="3" customWidth="1"/>
    <col min="6673" max="6673" width="3" customWidth="1"/>
    <col min="6913" max="6913" width="35.7109375" customWidth="1"/>
    <col min="6914" max="6914" width="2.7109375" customWidth="1"/>
    <col min="6917" max="6917" width="2.85546875" customWidth="1"/>
    <col min="6920" max="6920" width="3" customWidth="1"/>
    <col min="6923" max="6923" width="3.140625" customWidth="1"/>
    <col min="6926" max="6926" width="3" customWidth="1"/>
    <col min="6929" max="6929" width="3" customWidth="1"/>
    <col min="7169" max="7169" width="35.7109375" customWidth="1"/>
    <col min="7170" max="7170" width="2.7109375" customWidth="1"/>
    <col min="7173" max="7173" width="2.85546875" customWidth="1"/>
    <col min="7176" max="7176" width="3" customWidth="1"/>
    <col min="7179" max="7179" width="3.140625" customWidth="1"/>
    <col min="7182" max="7182" width="3" customWidth="1"/>
    <col min="7185" max="7185" width="3" customWidth="1"/>
    <col min="7425" max="7425" width="35.7109375" customWidth="1"/>
    <col min="7426" max="7426" width="2.7109375" customWidth="1"/>
    <col min="7429" max="7429" width="2.85546875" customWidth="1"/>
    <col min="7432" max="7432" width="3" customWidth="1"/>
    <col min="7435" max="7435" width="3.140625" customWidth="1"/>
    <col min="7438" max="7438" width="3" customWidth="1"/>
    <col min="7441" max="7441" width="3" customWidth="1"/>
    <col min="7681" max="7681" width="35.7109375" customWidth="1"/>
    <col min="7682" max="7682" width="2.7109375" customWidth="1"/>
    <col min="7685" max="7685" width="2.85546875" customWidth="1"/>
    <col min="7688" max="7688" width="3" customWidth="1"/>
    <col min="7691" max="7691" width="3.140625" customWidth="1"/>
    <col min="7694" max="7694" width="3" customWidth="1"/>
    <col min="7697" max="7697" width="3" customWidth="1"/>
    <col min="7937" max="7937" width="35.7109375" customWidth="1"/>
    <col min="7938" max="7938" width="2.7109375" customWidth="1"/>
    <col min="7941" max="7941" width="2.85546875" customWidth="1"/>
    <col min="7944" max="7944" width="3" customWidth="1"/>
    <col min="7947" max="7947" width="3.140625" customWidth="1"/>
    <col min="7950" max="7950" width="3" customWidth="1"/>
    <col min="7953" max="7953" width="3" customWidth="1"/>
    <col min="8193" max="8193" width="35.7109375" customWidth="1"/>
    <col min="8194" max="8194" width="2.7109375" customWidth="1"/>
    <col min="8197" max="8197" width="2.85546875" customWidth="1"/>
    <col min="8200" max="8200" width="3" customWidth="1"/>
    <col min="8203" max="8203" width="3.140625" customWidth="1"/>
    <col min="8206" max="8206" width="3" customWidth="1"/>
    <col min="8209" max="8209" width="3" customWidth="1"/>
    <col min="8449" max="8449" width="35.7109375" customWidth="1"/>
    <col min="8450" max="8450" width="2.7109375" customWidth="1"/>
    <col min="8453" max="8453" width="2.85546875" customWidth="1"/>
    <col min="8456" max="8456" width="3" customWidth="1"/>
    <col min="8459" max="8459" width="3.140625" customWidth="1"/>
    <col min="8462" max="8462" width="3" customWidth="1"/>
    <col min="8465" max="8465" width="3" customWidth="1"/>
    <col min="8705" max="8705" width="35.7109375" customWidth="1"/>
    <col min="8706" max="8706" width="2.7109375" customWidth="1"/>
    <col min="8709" max="8709" width="2.85546875" customWidth="1"/>
    <col min="8712" max="8712" width="3" customWidth="1"/>
    <col min="8715" max="8715" width="3.140625" customWidth="1"/>
    <col min="8718" max="8718" width="3" customWidth="1"/>
    <col min="8721" max="8721" width="3" customWidth="1"/>
    <col min="8961" max="8961" width="35.7109375" customWidth="1"/>
    <col min="8962" max="8962" width="2.7109375" customWidth="1"/>
    <col min="8965" max="8965" width="2.85546875" customWidth="1"/>
    <col min="8968" max="8968" width="3" customWidth="1"/>
    <col min="8971" max="8971" width="3.140625" customWidth="1"/>
    <col min="8974" max="8974" width="3" customWidth="1"/>
    <col min="8977" max="8977" width="3" customWidth="1"/>
    <col min="9217" max="9217" width="35.7109375" customWidth="1"/>
    <col min="9218" max="9218" width="2.7109375" customWidth="1"/>
    <col min="9221" max="9221" width="2.85546875" customWidth="1"/>
    <col min="9224" max="9224" width="3" customWidth="1"/>
    <col min="9227" max="9227" width="3.140625" customWidth="1"/>
    <col min="9230" max="9230" width="3" customWidth="1"/>
    <col min="9233" max="9233" width="3" customWidth="1"/>
    <col min="9473" max="9473" width="35.7109375" customWidth="1"/>
    <col min="9474" max="9474" width="2.7109375" customWidth="1"/>
    <col min="9477" max="9477" width="2.85546875" customWidth="1"/>
    <col min="9480" max="9480" width="3" customWidth="1"/>
    <col min="9483" max="9483" width="3.140625" customWidth="1"/>
    <col min="9486" max="9486" width="3" customWidth="1"/>
    <col min="9489" max="9489" width="3" customWidth="1"/>
    <col min="9729" max="9729" width="35.7109375" customWidth="1"/>
    <col min="9730" max="9730" width="2.7109375" customWidth="1"/>
    <col min="9733" max="9733" width="2.85546875" customWidth="1"/>
    <col min="9736" max="9736" width="3" customWidth="1"/>
    <col min="9739" max="9739" width="3.140625" customWidth="1"/>
    <col min="9742" max="9742" width="3" customWidth="1"/>
    <col min="9745" max="9745" width="3" customWidth="1"/>
    <col min="9985" max="9985" width="35.7109375" customWidth="1"/>
    <col min="9986" max="9986" width="2.7109375" customWidth="1"/>
    <col min="9989" max="9989" width="2.85546875" customWidth="1"/>
    <col min="9992" max="9992" width="3" customWidth="1"/>
    <col min="9995" max="9995" width="3.140625" customWidth="1"/>
    <col min="9998" max="9998" width="3" customWidth="1"/>
    <col min="10001" max="10001" width="3" customWidth="1"/>
    <col min="10241" max="10241" width="35.7109375" customWidth="1"/>
    <col min="10242" max="10242" width="2.7109375" customWidth="1"/>
    <col min="10245" max="10245" width="2.85546875" customWidth="1"/>
    <col min="10248" max="10248" width="3" customWidth="1"/>
    <col min="10251" max="10251" width="3.140625" customWidth="1"/>
    <col min="10254" max="10254" width="3" customWidth="1"/>
    <col min="10257" max="10257" width="3" customWidth="1"/>
    <col min="10497" max="10497" width="35.7109375" customWidth="1"/>
    <col min="10498" max="10498" width="2.7109375" customWidth="1"/>
    <col min="10501" max="10501" width="2.85546875" customWidth="1"/>
    <col min="10504" max="10504" width="3" customWidth="1"/>
    <col min="10507" max="10507" width="3.140625" customWidth="1"/>
    <col min="10510" max="10510" width="3" customWidth="1"/>
    <col min="10513" max="10513" width="3" customWidth="1"/>
    <col min="10753" max="10753" width="35.7109375" customWidth="1"/>
    <col min="10754" max="10754" width="2.7109375" customWidth="1"/>
    <col min="10757" max="10757" width="2.85546875" customWidth="1"/>
    <col min="10760" max="10760" width="3" customWidth="1"/>
    <col min="10763" max="10763" width="3.140625" customWidth="1"/>
    <col min="10766" max="10766" width="3" customWidth="1"/>
    <col min="10769" max="10769" width="3" customWidth="1"/>
    <col min="11009" max="11009" width="35.7109375" customWidth="1"/>
    <col min="11010" max="11010" width="2.7109375" customWidth="1"/>
    <col min="11013" max="11013" width="2.85546875" customWidth="1"/>
    <col min="11016" max="11016" width="3" customWidth="1"/>
    <col min="11019" max="11019" width="3.140625" customWidth="1"/>
    <col min="11022" max="11022" width="3" customWidth="1"/>
    <col min="11025" max="11025" width="3" customWidth="1"/>
    <col min="11265" max="11265" width="35.7109375" customWidth="1"/>
    <col min="11266" max="11266" width="2.7109375" customWidth="1"/>
    <col min="11269" max="11269" width="2.85546875" customWidth="1"/>
    <col min="11272" max="11272" width="3" customWidth="1"/>
    <col min="11275" max="11275" width="3.140625" customWidth="1"/>
    <col min="11278" max="11278" width="3" customWidth="1"/>
    <col min="11281" max="11281" width="3" customWidth="1"/>
    <col min="11521" max="11521" width="35.7109375" customWidth="1"/>
    <col min="11522" max="11522" width="2.7109375" customWidth="1"/>
    <col min="11525" max="11525" width="2.85546875" customWidth="1"/>
    <col min="11528" max="11528" width="3" customWidth="1"/>
    <col min="11531" max="11531" width="3.140625" customWidth="1"/>
    <col min="11534" max="11534" width="3" customWidth="1"/>
    <col min="11537" max="11537" width="3" customWidth="1"/>
    <col min="11777" max="11777" width="35.7109375" customWidth="1"/>
    <col min="11778" max="11778" width="2.7109375" customWidth="1"/>
    <col min="11781" max="11781" width="2.85546875" customWidth="1"/>
    <col min="11784" max="11784" width="3" customWidth="1"/>
    <col min="11787" max="11787" width="3.140625" customWidth="1"/>
    <col min="11790" max="11790" width="3" customWidth="1"/>
    <col min="11793" max="11793" width="3" customWidth="1"/>
    <col min="12033" max="12033" width="35.7109375" customWidth="1"/>
    <col min="12034" max="12034" width="2.7109375" customWidth="1"/>
    <col min="12037" max="12037" width="2.85546875" customWidth="1"/>
    <col min="12040" max="12040" width="3" customWidth="1"/>
    <col min="12043" max="12043" width="3.140625" customWidth="1"/>
    <col min="12046" max="12046" width="3" customWidth="1"/>
    <col min="12049" max="12049" width="3" customWidth="1"/>
    <col min="12289" max="12289" width="35.7109375" customWidth="1"/>
    <col min="12290" max="12290" width="2.7109375" customWidth="1"/>
    <col min="12293" max="12293" width="2.85546875" customWidth="1"/>
    <col min="12296" max="12296" width="3" customWidth="1"/>
    <col min="12299" max="12299" width="3.140625" customWidth="1"/>
    <col min="12302" max="12302" width="3" customWidth="1"/>
    <col min="12305" max="12305" width="3" customWidth="1"/>
    <col min="12545" max="12545" width="35.7109375" customWidth="1"/>
    <col min="12546" max="12546" width="2.7109375" customWidth="1"/>
    <col min="12549" max="12549" width="2.85546875" customWidth="1"/>
    <col min="12552" max="12552" width="3" customWidth="1"/>
    <col min="12555" max="12555" width="3.140625" customWidth="1"/>
    <col min="12558" max="12558" width="3" customWidth="1"/>
    <col min="12561" max="12561" width="3" customWidth="1"/>
    <col min="12801" max="12801" width="35.7109375" customWidth="1"/>
    <col min="12802" max="12802" width="2.7109375" customWidth="1"/>
    <col min="12805" max="12805" width="2.85546875" customWidth="1"/>
    <col min="12808" max="12808" width="3" customWidth="1"/>
    <col min="12811" max="12811" width="3.140625" customWidth="1"/>
    <col min="12814" max="12814" width="3" customWidth="1"/>
    <col min="12817" max="12817" width="3" customWidth="1"/>
    <col min="13057" max="13057" width="35.7109375" customWidth="1"/>
    <col min="13058" max="13058" width="2.7109375" customWidth="1"/>
    <col min="13061" max="13061" width="2.85546875" customWidth="1"/>
    <col min="13064" max="13064" width="3" customWidth="1"/>
    <col min="13067" max="13067" width="3.140625" customWidth="1"/>
    <col min="13070" max="13070" width="3" customWidth="1"/>
    <col min="13073" max="13073" width="3" customWidth="1"/>
    <col min="13313" max="13313" width="35.7109375" customWidth="1"/>
    <col min="13314" max="13314" width="2.7109375" customWidth="1"/>
    <col min="13317" max="13317" width="2.85546875" customWidth="1"/>
    <col min="13320" max="13320" width="3" customWidth="1"/>
    <col min="13323" max="13323" width="3.140625" customWidth="1"/>
    <col min="13326" max="13326" width="3" customWidth="1"/>
    <col min="13329" max="13329" width="3" customWidth="1"/>
    <col min="13569" max="13569" width="35.7109375" customWidth="1"/>
    <col min="13570" max="13570" width="2.7109375" customWidth="1"/>
    <col min="13573" max="13573" width="2.85546875" customWidth="1"/>
    <col min="13576" max="13576" width="3" customWidth="1"/>
    <col min="13579" max="13579" width="3.140625" customWidth="1"/>
    <col min="13582" max="13582" width="3" customWidth="1"/>
    <col min="13585" max="13585" width="3" customWidth="1"/>
    <col min="13825" max="13825" width="35.7109375" customWidth="1"/>
    <col min="13826" max="13826" width="2.7109375" customWidth="1"/>
    <col min="13829" max="13829" width="2.85546875" customWidth="1"/>
    <col min="13832" max="13832" width="3" customWidth="1"/>
    <col min="13835" max="13835" width="3.140625" customWidth="1"/>
    <col min="13838" max="13838" width="3" customWidth="1"/>
    <col min="13841" max="13841" width="3" customWidth="1"/>
    <col min="14081" max="14081" width="35.7109375" customWidth="1"/>
    <col min="14082" max="14082" width="2.7109375" customWidth="1"/>
    <col min="14085" max="14085" width="2.85546875" customWidth="1"/>
    <col min="14088" max="14088" width="3" customWidth="1"/>
    <col min="14091" max="14091" width="3.140625" customWidth="1"/>
    <col min="14094" max="14094" width="3" customWidth="1"/>
    <col min="14097" max="14097" width="3" customWidth="1"/>
    <col min="14337" max="14337" width="35.7109375" customWidth="1"/>
    <col min="14338" max="14338" width="2.7109375" customWidth="1"/>
    <col min="14341" max="14341" width="2.85546875" customWidth="1"/>
    <col min="14344" max="14344" width="3" customWidth="1"/>
    <col min="14347" max="14347" width="3.140625" customWidth="1"/>
    <col min="14350" max="14350" width="3" customWidth="1"/>
    <col min="14353" max="14353" width="3" customWidth="1"/>
    <col min="14593" max="14593" width="35.7109375" customWidth="1"/>
    <col min="14594" max="14594" width="2.7109375" customWidth="1"/>
    <col min="14597" max="14597" width="2.85546875" customWidth="1"/>
    <col min="14600" max="14600" width="3" customWidth="1"/>
    <col min="14603" max="14603" width="3.140625" customWidth="1"/>
    <col min="14606" max="14606" width="3" customWidth="1"/>
    <col min="14609" max="14609" width="3" customWidth="1"/>
    <col min="14849" max="14849" width="35.7109375" customWidth="1"/>
    <col min="14850" max="14850" width="2.7109375" customWidth="1"/>
    <col min="14853" max="14853" width="2.85546875" customWidth="1"/>
    <col min="14856" max="14856" width="3" customWidth="1"/>
    <col min="14859" max="14859" width="3.140625" customWidth="1"/>
    <col min="14862" max="14862" width="3" customWidth="1"/>
    <col min="14865" max="14865" width="3" customWidth="1"/>
    <col min="15105" max="15105" width="35.7109375" customWidth="1"/>
    <col min="15106" max="15106" width="2.7109375" customWidth="1"/>
    <col min="15109" max="15109" width="2.85546875" customWidth="1"/>
    <col min="15112" max="15112" width="3" customWidth="1"/>
    <col min="15115" max="15115" width="3.140625" customWidth="1"/>
    <col min="15118" max="15118" width="3" customWidth="1"/>
    <col min="15121" max="15121" width="3" customWidth="1"/>
    <col min="15361" max="15361" width="35.7109375" customWidth="1"/>
    <col min="15362" max="15362" width="2.7109375" customWidth="1"/>
    <col min="15365" max="15365" width="2.85546875" customWidth="1"/>
    <col min="15368" max="15368" width="3" customWidth="1"/>
    <col min="15371" max="15371" width="3.140625" customWidth="1"/>
    <col min="15374" max="15374" width="3" customWidth="1"/>
    <col min="15377" max="15377" width="3" customWidth="1"/>
    <col min="15617" max="15617" width="35.7109375" customWidth="1"/>
    <col min="15618" max="15618" width="2.7109375" customWidth="1"/>
    <col min="15621" max="15621" width="2.85546875" customWidth="1"/>
    <col min="15624" max="15624" width="3" customWidth="1"/>
    <col min="15627" max="15627" width="3.140625" customWidth="1"/>
    <col min="15630" max="15630" width="3" customWidth="1"/>
    <col min="15633" max="15633" width="3" customWidth="1"/>
    <col min="15873" max="15873" width="35.7109375" customWidth="1"/>
    <col min="15874" max="15874" width="2.7109375" customWidth="1"/>
    <col min="15877" max="15877" width="2.85546875" customWidth="1"/>
    <col min="15880" max="15880" width="3" customWidth="1"/>
    <col min="15883" max="15883" width="3.140625" customWidth="1"/>
    <col min="15886" max="15886" width="3" customWidth="1"/>
    <col min="15889" max="15889" width="3" customWidth="1"/>
    <col min="16129" max="16129" width="35.7109375" customWidth="1"/>
    <col min="16130" max="16130" width="2.7109375" customWidth="1"/>
    <col min="16133" max="16133" width="2.85546875" customWidth="1"/>
    <col min="16136" max="16136" width="3" customWidth="1"/>
    <col min="16139" max="16139" width="3.140625" customWidth="1"/>
    <col min="16142" max="16142" width="3" customWidth="1"/>
    <col min="16145" max="16145" width="3" customWidth="1"/>
  </cols>
  <sheetData>
    <row r="1" spans="1:17" ht="15.75">
      <c r="A1" s="339" t="s">
        <v>0</v>
      </c>
    </row>
    <row r="2" spans="1:17" ht="15.75">
      <c r="A2" s="339" t="s">
        <v>1</v>
      </c>
    </row>
    <row r="3" spans="1:17" ht="15.75">
      <c r="A3" s="339"/>
    </row>
    <row r="4" spans="1:17" ht="15.75">
      <c r="A4" s="339" t="s">
        <v>1530</v>
      </c>
    </row>
    <row r="5" spans="1:17" ht="16.5" thickBot="1">
      <c r="A5" s="339"/>
    </row>
    <row r="6" spans="1:17" ht="19.899999999999999" customHeight="1">
      <c r="A6" s="340"/>
      <c r="B6" s="6"/>
      <c r="C6" s="6"/>
      <c r="D6" s="6"/>
      <c r="E6" s="6"/>
      <c r="F6" s="6"/>
      <c r="G6" s="6"/>
      <c r="H6" s="6"/>
      <c r="I6" s="6"/>
      <c r="J6" s="6"/>
      <c r="K6" s="6"/>
      <c r="L6" s="6"/>
      <c r="M6" s="6"/>
      <c r="N6" s="6"/>
      <c r="O6" s="6"/>
      <c r="P6" s="6"/>
      <c r="Q6" s="6"/>
    </row>
    <row r="7" spans="1:17" ht="19.899999999999999" customHeight="1">
      <c r="A7" s="339" t="s">
        <v>1531</v>
      </c>
      <c r="C7" s="1312">
        <v>2013</v>
      </c>
      <c r="D7" s="1313"/>
      <c r="F7" s="1312">
        <v>2014</v>
      </c>
      <c r="G7" s="1313"/>
      <c r="I7" s="1312">
        <v>2015</v>
      </c>
      <c r="J7" s="1313"/>
      <c r="L7" s="1312">
        <v>2016</v>
      </c>
      <c r="M7" s="1313"/>
      <c r="O7" s="1312">
        <v>2017</v>
      </c>
      <c r="P7" s="1313"/>
    </row>
    <row r="8" spans="1:17" ht="19.899999999999999" customHeight="1">
      <c r="A8" s="349" t="s">
        <v>1532</v>
      </c>
      <c r="C8" s="342" t="s">
        <v>9</v>
      </c>
      <c r="D8" s="365" t="s">
        <v>10</v>
      </c>
      <c r="F8" s="342" t="s">
        <v>9</v>
      </c>
      <c r="G8" s="365" t="s">
        <v>10</v>
      </c>
      <c r="I8" s="342" t="s">
        <v>9</v>
      </c>
      <c r="J8" s="365" t="s">
        <v>10</v>
      </c>
      <c r="L8" s="342" t="s">
        <v>9</v>
      </c>
      <c r="M8" s="365" t="s">
        <v>10</v>
      </c>
      <c r="O8" s="342" t="s">
        <v>9</v>
      </c>
      <c r="P8" s="365" t="s">
        <v>10</v>
      </c>
    </row>
    <row r="9" spans="1:17" ht="19.899999999999999" customHeight="1" thickBot="1">
      <c r="A9" s="345"/>
      <c r="C9" s="15"/>
      <c r="D9" s="15"/>
      <c r="F9" s="15"/>
      <c r="G9" s="15"/>
      <c r="I9" s="15"/>
      <c r="J9" s="15"/>
      <c r="L9" s="15"/>
      <c r="M9" s="15"/>
      <c r="O9" s="15"/>
      <c r="P9" s="15"/>
    </row>
    <row r="10" spans="1:17" ht="17.100000000000001" customHeight="1">
      <c r="A10" s="341"/>
      <c r="B10" s="6"/>
      <c r="E10" s="6"/>
      <c r="H10" s="6"/>
      <c r="K10" s="6"/>
      <c r="N10" s="6"/>
      <c r="Q10" s="6"/>
    </row>
    <row r="11" spans="1:17" ht="17.100000000000001" customHeight="1">
      <c r="A11" s="348" t="s">
        <v>325</v>
      </c>
      <c r="C11" s="339">
        <f>SUM(C13+C94)</f>
        <v>483</v>
      </c>
      <c r="D11" s="607">
        <f>(SUM(D13+D94))</f>
        <v>99.999999999999986</v>
      </c>
      <c r="F11" s="339">
        <f>SUM(F13+F94)</f>
        <v>440</v>
      </c>
      <c r="G11" s="607">
        <f>(SUM(G13+G94))</f>
        <v>100</v>
      </c>
      <c r="I11" s="339">
        <f>SUM(I13+I94)</f>
        <v>470</v>
      </c>
      <c r="J11" s="607">
        <f>(SUM(J13+J94))</f>
        <v>100</v>
      </c>
      <c r="L11" s="339">
        <f>SUM(L13+L94)</f>
        <v>463</v>
      </c>
      <c r="M11" s="607">
        <f>(SUM(M13+M94))</f>
        <v>100</v>
      </c>
      <c r="O11" s="339">
        <f>SUM(O13+O94)</f>
        <v>460</v>
      </c>
      <c r="P11" s="607">
        <f>(SUM(P13+P94))</f>
        <v>100</v>
      </c>
    </row>
    <row r="12" spans="1:17" ht="17.100000000000001" customHeight="1">
      <c r="A12" s="339"/>
      <c r="C12" s="339"/>
      <c r="D12" s="339"/>
      <c r="F12" s="339"/>
      <c r="G12" s="339"/>
      <c r="I12" s="339"/>
      <c r="J12" s="339"/>
      <c r="L12" s="339"/>
      <c r="M12" s="339"/>
      <c r="O12" s="339"/>
      <c r="P12" s="339"/>
    </row>
    <row r="13" spans="1:17" ht="17.100000000000001" customHeight="1">
      <c r="A13" s="348" t="s">
        <v>1529</v>
      </c>
      <c r="C13" s="339">
        <f>SUM(C15:C92)</f>
        <v>382</v>
      </c>
      <c r="D13" s="607">
        <f>IF($A13&lt;&gt;0,C13/C$11*100,"")</f>
        <v>79.089026915113863</v>
      </c>
      <c r="F13" s="339">
        <f>SUM(F15:F92)</f>
        <v>352</v>
      </c>
      <c r="G13" s="607">
        <f>IF($A13&lt;&gt;0,F13/F$11*100,"")</f>
        <v>80</v>
      </c>
      <c r="I13" s="339">
        <f>SUM(I15:I92)</f>
        <v>375</v>
      </c>
      <c r="J13" s="607">
        <f>IF($A13&lt;&gt;0,I13/I$11*100,"")</f>
        <v>79.787234042553195</v>
      </c>
      <c r="L13" s="339">
        <f>SUM(L15:L92)</f>
        <v>368</v>
      </c>
      <c r="M13" s="607">
        <f>IF($A13&lt;&gt;0,L13/L$11*100,"")</f>
        <v>79.481641468682511</v>
      </c>
      <c r="O13" s="339">
        <f>SUM(O15:O92)</f>
        <v>363</v>
      </c>
      <c r="P13" s="607">
        <f>IF($A13&lt;&gt;0,O13/O$11*100,"")</f>
        <v>78.913043478260875</v>
      </c>
    </row>
    <row r="14" spans="1:17" ht="17.100000000000001" customHeight="1">
      <c r="A14" s="339"/>
      <c r="C14" s="339"/>
      <c r="D14" s="607" t="str">
        <f t="shared" ref="D14:D77" si="0">IF($A14&lt;&gt;0,C14/C$11*100,"")</f>
        <v/>
      </c>
      <c r="F14" s="339"/>
      <c r="G14" s="607" t="str">
        <f t="shared" ref="G14:G77" si="1">IF($A14&lt;&gt;0,F14/F$11*100,"")</f>
        <v/>
      </c>
      <c r="I14" s="339"/>
      <c r="J14" s="607" t="str">
        <f t="shared" ref="J14:J77" si="2">IF($A14&lt;&gt;0,I14/I$11*100,"")</f>
        <v/>
      </c>
      <c r="L14" s="339"/>
      <c r="M14" s="607" t="str">
        <f t="shared" ref="M14:M77" si="3">IF($A14&lt;&gt;0,L14/L$11*100,"")</f>
        <v/>
      </c>
    </row>
    <row r="15" spans="1:17" ht="17.100000000000001" customHeight="1">
      <c r="A15" s="339" t="s">
        <v>1533</v>
      </c>
      <c r="C15" s="338">
        <v>27</v>
      </c>
      <c r="D15" s="607">
        <f t="shared" si="0"/>
        <v>5.5900621118012426</v>
      </c>
      <c r="F15" s="338">
        <v>26</v>
      </c>
      <c r="G15" s="607">
        <f t="shared" si="1"/>
        <v>5.9090909090909092</v>
      </c>
      <c r="I15" s="338">
        <v>27</v>
      </c>
      <c r="J15" s="607">
        <f t="shared" si="2"/>
        <v>5.7446808510638299</v>
      </c>
      <c r="L15" s="338">
        <v>25</v>
      </c>
      <c r="M15" s="607">
        <f t="shared" si="3"/>
        <v>5.3995680345572357</v>
      </c>
      <c r="O15" s="338">
        <v>27</v>
      </c>
      <c r="P15" s="607">
        <f>IF($A15&lt;&gt;0,O15/O$11*100,"")</f>
        <v>5.8695652173913047</v>
      </c>
    </row>
    <row r="16" spans="1:17" ht="18" hidden="1" customHeight="1">
      <c r="A16" s="339" t="s">
        <v>20</v>
      </c>
      <c r="C16" s="338"/>
      <c r="D16" s="607">
        <f t="shared" si="0"/>
        <v>0</v>
      </c>
      <c r="F16" s="338"/>
      <c r="G16" s="607">
        <f t="shared" si="1"/>
        <v>0</v>
      </c>
      <c r="I16" s="338"/>
      <c r="J16" s="607">
        <f t="shared" si="2"/>
        <v>0</v>
      </c>
      <c r="L16" s="338"/>
      <c r="M16" s="607">
        <f t="shared" si="3"/>
        <v>0</v>
      </c>
      <c r="O16" s="338"/>
      <c r="P16" s="607">
        <f t="shared" ref="P16:P79" si="4">IF($A16&lt;&gt;0,O16/O$11*100,"")</f>
        <v>0</v>
      </c>
    </row>
    <row r="17" spans="1:16" ht="18" hidden="1" customHeight="1">
      <c r="A17" s="339" t="s">
        <v>21</v>
      </c>
      <c r="C17" s="338"/>
      <c r="D17" s="607">
        <f t="shared" si="0"/>
        <v>0</v>
      </c>
      <c r="F17" s="338"/>
      <c r="G17" s="607">
        <f t="shared" si="1"/>
        <v>0</v>
      </c>
      <c r="I17" s="338"/>
      <c r="J17" s="607">
        <f t="shared" si="2"/>
        <v>0</v>
      </c>
      <c r="L17" s="338"/>
      <c r="M17" s="607">
        <f t="shared" si="3"/>
        <v>0</v>
      </c>
      <c r="O17" s="338"/>
      <c r="P17" s="607">
        <f t="shared" si="4"/>
        <v>0</v>
      </c>
    </row>
    <row r="18" spans="1:16" ht="18" hidden="1" customHeight="1">
      <c r="A18" s="339" t="s">
        <v>22</v>
      </c>
      <c r="C18" s="338"/>
      <c r="D18" s="607">
        <f t="shared" si="0"/>
        <v>0</v>
      </c>
      <c r="F18" s="338"/>
      <c r="G18" s="607">
        <f t="shared" si="1"/>
        <v>0</v>
      </c>
      <c r="I18" s="338"/>
      <c r="J18" s="607">
        <f t="shared" si="2"/>
        <v>0</v>
      </c>
      <c r="L18" s="338"/>
      <c r="M18" s="607">
        <f t="shared" si="3"/>
        <v>0</v>
      </c>
      <c r="O18" s="338"/>
      <c r="P18" s="607">
        <f t="shared" si="4"/>
        <v>0</v>
      </c>
    </row>
    <row r="19" spans="1:16" ht="18" hidden="1" customHeight="1">
      <c r="A19" s="339" t="s">
        <v>23</v>
      </c>
      <c r="C19" s="338"/>
      <c r="D19" s="607">
        <f t="shared" si="0"/>
        <v>0</v>
      </c>
      <c r="F19" s="338"/>
      <c r="G19" s="607">
        <f t="shared" si="1"/>
        <v>0</v>
      </c>
      <c r="I19" s="338"/>
      <c r="J19" s="607">
        <f t="shared" si="2"/>
        <v>0</v>
      </c>
      <c r="L19" s="338"/>
      <c r="M19" s="607">
        <f t="shared" si="3"/>
        <v>0</v>
      </c>
      <c r="O19" s="338"/>
      <c r="P19" s="607">
        <f t="shared" si="4"/>
        <v>0</v>
      </c>
    </row>
    <row r="20" spans="1:16" ht="18" hidden="1" customHeight="1">
      <c r="A20" s="339"/>
      <c r="C20" s="338"/>
      <c r="D20" s="607" t="str">
        <f t="shared" si="0"/>
        <v/>
      </c>
      <c r="F20" s="338"/>
      <c r="G20" s="607" t="str">
        <f t="shared" si="1"/>
        <v/>
      </c>
      <c r="I20" s="338"/>
      <c r="J20" s="607" t="str">
        <f t="shared" si="2"/>
        <v/>
      </c>
      <c r="L20" s="338"/>
      <c r="M20" s="607" t="str">
        <f t="shared" si="3"/>
        <v/>
      </c>
      <c r="O20" s="338"/>
      <c r="P20" s="607" t="str">
        <f t="shared" si="4"/>
        <v/>
      </c>
    </row>
    <row r="21" spans="1:16" ht="18" hidden="1" customHeight="1">
      <c r="A21" s="339" t="s">
        <v>24</v>
      </c>
      <c r="C21" s="338"/>
      <c r="D21" s="607">
        <f t="shared" si="0"/>
        <v>0</v>
      </c>
      <c r="F21" s="338"/>
      <c r="G21" s="607">
        <f t="shared" si="1"/>
        <v>0</v>
      </c>
      <c r="I21" s="338"/>
      <c r="J21" s="607">
        <f t="shared" si="2"/>
        <v>0</v>
      </c>
      <c r="L21" s="338"/>
      <c r="M21" s="607">
        <f t="shared" si="3"/>
        <v>0</v>
      </c>
      <c r="O21" s="338"/>
      <c r="P21" s="607">
        <f t="shared" si="4"/>
        <v>0</v>
      </c>
    </row>
    <row r="22" spans="1:16" ht="18" hidden="1" customHeight="1">
      <c r="A22" s="339" t="s">
        <v>25</v>
      </c>
      <c r="C22" s="338"/>
      <c r="D22" s="607">
        <f t="shared" si="0"/>
        <v>0</v>
      </c>
      <c r="F22" s="338"/>
      <c r="G22" s="607">
        <f t="shared" si="1"/>
        <v>0</v>
      </c>
      <c r="I22" s="338"/>
      <c r="J22" s="607">
        <f t="shared" si="2"/>
        <v>0</v>
      </c>
      <c r="L22" s="338"/>
      <c r="M22" s="607">
        <f t="shared" si="3"/>
        <v>0</v>
      </c>
      <c r="O22" s="338"/>
      <c r="P22" s="607">
        <f t="shared" si="4"/>
        <v>0</v>
      </c>
    </row>
    <row r="23" spans="1:16" ht="18" hidden="1" customHeight="1">
      <c r="A23" s="339" t="s">
        <v>26</v>
      </c>
      <c r="C23" s="338"/>
      <c r="D23" s="607">
        <f t="shared" si="0"/>
        <v>0</v>
      </c>
      <c r="F23" s="338"/>
      <c r="G23" s="607">
        <f t="shared" si="1"/>
        <v>0</v>
      </c>
      <c r="I23" s="338"/>
      <c r="J23" s="607">
        <f t="shared" si="2"/>
        <v>0</v>
      </c>
      <c r="L23" s="338"/>
      <c r="M23" s="607">
        <f t="shared" si="3"/>
        <v>0</v>
      </c>
      <c r="O23" s="338"/>
      <c r="P23" s="607">
        <f t="shared" si="4"/>
        <v>0</v>
      </c>
    </row>
    <row r="24" spans="1:16" ht="18" hidden="1" customHeight="1">
      <c r="A24" s="339" t="s">
        <v>27</v>
      </c>
      <c r="C24" s="338"/>
      <c r="D24" s="607">
        <f t="shared" si="0"/>
        <v>0</v>
      </c>
      <c r="F24" s="338"/>
      <c r="G24" s="607">
        <f t="shared" si="1"/>
        <v>0</v>
      </c>
      <c r="I24" s="338"/>
      <c r="J24" s="607">
        <f t="shared" si="2"/>
        <v>0</v>
      </c>
      <c r="L24" s="338"/>
      <c r="M24" s="607">
        <f t="shared" si="3"/>
        <v>0</v>
      </c>
      <c r="O24" s="338"/>
      <c r="P24" s="607">
        <f t="shared" si="4"/>
        <v>0</v>
      </c>
    </row>
    <row r="25" spans="1:16" ht="17.100000000000001" customHeight="1">
      <c r="A25" s="339"/>
      <c r="C25" s="338"/>
      <c r="D25" s="607" t="str">
        <f t="shared" si="0"/>
        <v/>
      </c>
      <c r="F25" s="338"/>
      <c r="G25" s="607" t="str">
        <f t="shared" si="1"/>
        <v/>
      </c>
      <c r="I25" s="338"/>
      <c r="J25" s="607" t="str">
        <f t="shared" si="2"/>
        <v/>
      </c>
      <c r="L25" s="338"/>
      <c r="M25" s="607" t="str">
        <f t="shared" si="3"/>
        <v/>
      </c>
      <c r="O25" s="338"/>
      <c r="P25" s="607" t="str">
        <f t="shared" si="4"/>
        <v/>
      </c>
    </row>
    <row r="26" spans="1:16" ht="17.100000000000001" customHeight="1">
      <c r="A26" s="339" t="s">
        <v>1534</v>
      </c>
      <c r="C26" s="338">
        <v>35</v>
      </c>
      <c r="D26" s="607">
        <f t="shared" si="0"/>
        <v>7.2463768115942031</v>
      </c>
      <c r="F26" s="338">
        <v>27</v>
      </c>
      <c r="G26" s="607">
        <f t="shared" si="1"/>
        <v>6.1363636363636367</v>
      </c>
      <c r="I26" s="338">
        <v>31</v>
      </c>
      <c r="J26" s="607">
        <f t="shared" si="2"/>
        <v>6.5957446808510634</v>
      </c>
      <c r="L26" s="338">
        <v>33</v>
      </c>
      <c r="M26" s="607">
        <f t="shared" si="3"/>
        <v>7.1274298056155514</v>
      </c>
      <c r="O26" s="338">
        <v>37</v>
      </c>
      <c r="P26" s="607">
        <f t="shared" si="4"/>
        <v>8.0434782608695645</v>
      </c>
    </row>
    <row r="27" spans="1:16" ht="18" hidden="1" customHeight="1">
      <c r="A27" s="339" t="s">
        <v>29</v>
      </c>
      <c r="C27" s="338"/>
      <c r="D27" s="607">
        <f t="shared" si="0"/>
        <v>0</v>
      </c>
      <c r="F27" s="338"/>
      <c r="G27" s="607">
        <f t="shared" si="1"/>
        <v>0</v>
      </c>
      <c r="I27" s="338"/>
      <c r="J27" s="607">
        <f t="shared" si="2"/>
        <v>0</v>
      </c>
      <c r="L27" s="338"/>
      <c r="M27" s="607">
        <f t="shared" si="3"/>
        <v>0</v>
      </c>
      <c r="O27" s="338"/>
      <c r="P27" s="607">
        <f t="shared" si="4"/>
        <v>0</v>
      </c>
    </row>
    <row r="28" spans="1:16" ht="18" hidden="1" customHeight="1">
      <c r="A28" s="339" t="s">
        <v>30</v>
      </c>
      <c r="C28" s="338"/>
      <c r="D28" s="607">
        <f t="shared" si="0"/>
        <v>0</v>
      </c>
      <c r="F28" s="338"/>
      <c r="G28" s="607">
        <f t="shared" si="1"/>
        <v>0</v>
      </c>
      <c r="I28" s="338"/>
      <c r="J28" s="607">
        <f t="shared" si="2"/>
        <v>0</v>
      </c>
      <c r="L28" s="338"/>
      <c r="M28" s="607">
        <f t="shared" si="3"/>
        <v>0</v>
      </c>
      <c r="O28" s="338"/>
      <c r="P28" s="607">
        <f t="shared" si="4"/>
        <v>0</v>
      </c>
    </row>
    <row r="29" spans="1:16" ht="18" hidden="1" customHeight="1">
      <c r="A29" s="339" t="s">
        <v>31</v>
      </c>
      <c r="C29" s="338"/>
      <c r="D29" s="607">
        <f t="shared" si="0"/>
        <v>0</v>
      </c>
      <c r="F29" s="338"/>
      <c r="G29" s="607">
        <f t="shared" si="1"/>
        <v>0</v>
      </c>
      <c r="I29" s="338"/>
      <c r="J29" s="607">
        <f t="shared" si="2"/>
        <v>0</v>
      </c>
      <c r="L29" s="338"/>
      <c r="M29" s="607">
        <f t="shared" si="3"/>
        <v>0</v>
      </c>
      <c r="O29" s="338"/>
      <c r="P29" s="607">
        <f t="shared" si="4"/>
        <v>0</v>
      </c>
    </row>
    <row r="30" spans="1:16" ht="18" hidden="1" customHeight="1">
      <c r="A30" s="339" t="s">
        <v>32</v>
      </c>
      <c r="C30" s="338"/>
      <c r="D30" s="607">
        <f t="shared" si="0"/>
        <v>0</v>
      </c>
      <c r="F30" s="338"/>
      <c r="G30" s="607">
        <f t="shared" si="1"/>
        <v>0</v>
      </c>
      <c r="I30" s="338"/>
      <c r="J30" s="607">
        <f t="shared" si="2"/>
        <v>0</v>
      </c>
      <c r="L30" s="338"/>
      <c r="M30" s="607">
        <f t="shared" si="3"/>
        <v>0</v>
      </c>
      <c r="O30" s="338"/>
      <c r="P30" s="607">
        <f t="shared" si="4"/>
        <v>0</v>
      </c>
    </row>
    <row r="31" spans="1:16" ht="18" hidden="1" customHeight="1">
      <c r="A31" s="339" t="s">
        <v>33</v>
      </c>
      <c r="C31" s="338"/>
      <c r="D31" s="607">
        <f t="shared" si="0"/>
        <v>0</v>
      </c>
      <c r="F31" s="338"/>
      <c r="G31" s="607">
        <f t="shared" si="1"/>
        <v>0</v>
      </c>
      <c r="I31" s="338"/>
      <c r="J31" s="607">
        <f t="shared" si="2"/>
        <v>0</v>
      </c>
      <c r="L31" s="338"/>
      <c r="M31" s="607">
        <f t="shared" si="3"/>
        <v>0</v>
      </c>
      <c r="O31" s="338"/>
      <c r="P31" s="607">
        <f t="shared" si="4"/>
        <v>0</v>
      </c>
    </row>
    <row r="32" spans="1:16" ht="18" hidden="1" customHeight="1">
      <c r="A32" s="339" t="s">
        <v>34</v>
      </c>
      <c r="C32" s="338"/>
      <c r="D32" s="607">
        <f t="shared" si="0"/>
        <v>0</v>
      </c>
      <c r="F32" s="338"/>
      <c r="G32" s="607">
        <f t="shared" si="1"/>
        <v>0</v>
      </c>
      <c r="I32" s="338"/>
      <c r="J32" s="607">
        <f t="shared" si="2"/>
        <v>0</v>
      </c>
      <c r="L32" s="338"/>
      <c r="M32" s="607">
        <f t="shared" si="3"/>
        <v>0</v>
      </c>
      <c r="O32" s="338"/>
      <c r="P32" s="607">
        <f t="shared" si="4"/>
        <v>0</v>
      </c>
    </row>
    <row r="33" spans="1:16" ht="17.100000000000001" customHeight="1">
      <c r="A33" s="339"/>
      <c r="C33" s="338"/>
      <c r="D33" s="607" t="str">
        <f t="shared" si="0"/>
        <v/>
      </c>
      <c r="F33" s="338"/>
      <c r="G33" s="607" t="str">
        <f t="shared" si="1"/>
        <v/>
      </c>
      <c r="I33" s="338"/>
      <c r="J33" s="607" t="str">
        <f t="shared" si="2"/>
        <v/>
      </c>
      <c r="L33" s="338"/>
      <c r="M33" s="607" t="str">
        <f t="shared" si="3"/>
        <v/>
      </c>
      <c r="O33" s="338"/>
      <c r="P33" s="607" t="str">
        <f t="shared" si="4"/>
        <v/>
      </c>
    </row>
    <row r="34" spans="1:16" ht="17.100000000000001" customHeight="1">
      <c r="A34" s="339" t="s">
        <v>1535</v>
      </c>
      <c r="C34" s="338">
        <v>134</v>
      </c>
      <c r="D34" s="607">
        <f t="shared" si="0"/>
        <v>27.74327122153209</v>
      </c>
      <c r="F34" s="338">
        <v>122</v>
      </c>
      <c r="G34" s="607">
        <f t="shared" si="1"/>
        <v>27.727272727272727</v>
      </c>
      <c r="I34" s="338">
        <v>129</v>
      </c>
      <c r="J34" s="607">
        <f t="shared" si="2"/>
        <v>27.446808510638299</v>
      </c>
      <c r="L34" s="338">
        <v>126</v>
      </c>
      <c r="M34" s="607">
        <f t="shared" si="3"/>
        <v>27.213822894168466</v>
      </c>
      <c r="O34" s="338">
        <v>128</v>
      </c>
      <c r="P34" s="607">
        <f t="shared" si="4"/>
        <v>27.826086956521738</v>
      </c>
    </row>
    <row r="35" spans="1:16" ht="18" hidden="1" customHeight="1">
      <c r="A35" s="339" t="s">
        <v>36</v>
      </c>
      <c r="C35" s="338"/>
      <c r="D35" s="607">
        <f t="shared" si="0"/>
        <v>0</v>
      </c>
      <c r="F35" s="338"/>
      <c r="G35" s="607">
        <f t="shared" si="1"/>
        <v>0</v>
      </c>
      <c r="I35" s="338"/>
      <c r="J35" s="607">
        <f t="shared" si="2"/>
        <v>0</v>
      </c>
      <c r="L35" s="338"/>
      <c r="M35" s="607">
        <f t="shared" si="3"/>
        <v>0</v>
      </c>
      <c r="O35" s="338"/>
      <c r="P35" s="607">
        <f t="shared" si="4"/>
        <v>0</v>
      </c>
    </row>
    <row r="36" spans="1:16" ht="18" hidden="1" customHeight="1">
      <c r="A36" s="339" t="s">
        <v>37</v>
      </c>
      <c r="C36" s="338"/>
      <c r="D36" s="607">
        <f t="shared" si="0"/>
        <v>0</v>
      </c>
      <c r="F36" s="338"/>
      <c r="G36" s="607">
        <f t="shared" si="1"/>
        <v>0</v>
      </c>
      <c r="I36" s="338"/>
      <c r="J36" s="607">
        <f t="shared" si="2"/>
        <v>0</v>
      </c>
      <c r="L36" s="338"/>
      <c r="M36" s="607">
        <f t="shared" si="3"/>
        <v>0</v>
      </c>
      <c r="O36" s="338"/>
      <c r="P36" s="607">
        <f t="shared" si="4"/>
        <v>0</v>
      </c>
    </row>
    <row r="37" spans="1:16" ht="18" hidden="1" customHeight="1">
      <c r="A37" s="339" t="s">
        <v>38</v>
      </c>
      <c r="C37" s="338"/>
      <c r="D37" s="607">
        <f t="shared" si="0"/>
        <v>0</v>
      </c>
      <c r="F37" s="338"/>
      <c r="G37" s="607">
        <f t="shared" si="1"/>
        <v>0</v>
      </c>
      <c r="I37" s="338"/>
      <c r="J37" s="607">
        <f t="shared" si="2"/>
        <v>0</v>
      </c>
      <c r="L37" s="338"/>
      <c r="M37" s="607">
        <f t="shared" si="3"/>
        <v>0</v>
      </c>
      <c r="O37" s="338"/>
      <c r="P37" s="607">
        <f t="shared" si="4"/>
        <v>0</v>
      </c>
    </row>
    <row r="38" spans="1:16" ht="18" hidden="1" customHeight="1">
      <c r="A38" s="339" t="s">
        <v>39</v>
      </c>
      <c r="C38" s="338"/>
      <c r="D38" s="607">
        <f t="shared" si="0"/>
        <v>0</v>
      </c>
      <c r="F38" s="338"/>
      <c r="G38" s="607">
        <f t="shared" si="1"/>
        <v>0</v>
      </c>
      <c r="I38" s="338"/>
      <c r="J38" s="607">
        <f t="shared" si="2"/>
        <v>0</v>
      </c>
      <c r="L38" s="338"/>
      <c r="M38" s="607">
        <f t="shared" si="3"/>
        <v>0</v>
      </c>
      <c r="O38" s="338"/>
      <c r="P38" s="607">
        <f t="shared" si="4"/>
        <v>0</v>
      </c>
    </row>
    <row r="39" spans="1:16" ht="18" hidden="1" customHeight="1">
      <c r="A39" s="339" t="s">
        <v>40</v>
      </c>
      <c r="C39" s="338"/>
      <c r="D39" s="607">
        <f t="shared" si="0"/>
        <v>0</v>
      </c>
      <c r="F39" s="338"/>
      <c r="G39" s="607">
        <f t="shared" si="1"/>
        <v>0</v>
      </c>
      <c r="I39" s="338"/>
      <c r="J39" s="607">
        <f t="shared" si="2"/>
        <v>0</v>
      </c>
      <c r="L39" s="338"/>
      <c r="M39" s="607">
        <f t="shared" si="3"/>
        <v>0</v>
      </c>
      <c r="O39" s="338"/>
      <c r="P39" s="607">
        <f t="shared" si="4"/>
        <v>0</v>
      </c>
    </row>
    <row r="40" spans="1:16" ht="18" hidden="1" customHeight="1">
      <c r="A40" s="339"/>
      <c r="C40" s="338"/>
      <c r="D40" s="607" t="str">
        <f t="shared" si="0"/>
        <v/>
      </c>
      <c r="F40" s="338"/>
      <c r="G40" s="607" t="str">
        <f t="shared" si="1"/>
        <v/>
      </c>
      <c r="I40" s="338"/>
      <c r="J40" s="607" t="str">
        <f t="shared" si="2"/>
        <v/>
      </c>
      <c r="L40" s="338"/>
      <c r="M40" s="607" t="str">
        <f t="shared" si="3"/>
        <v/>
      </c>
      <c r="O40" s="338"/>
      <c r="P40" s="607" t="str">
        <f t="shared" si="4"/>
        <v/>
      </c>
    </row>
    <row r="41" spans="1:16" ht="18" hidden="1" customHeight="1">
      <c r="A41" s="339" t="s">
        <v>41</v>
      </c>
      <c r="C41" s="338"/>
      <c r="D41" s="607">
        <f t="shared" si="0"/>
        <v>0</v>
      </c>
      <c r="F41" s="338"/>
      <c r="G41" s="607">
        <f t="shared" si="1"/>
        <v>0</v>
      </c>
      <c r="I41" s="338"/>
      <c r="J41" s="607">
        <f t="shared" si="2"/>
        <v>0</v>
      </c>
      <c r="L41" s="338"/>
      <c r="M41" s="607">
        <f t="shared" si="3"/>
        <v>0</v>
      </c>
      <c r="O41" s="338"/>
      <c r="P41" s="607">
        <f t="shared" si="4"/>
        <v>0</v>
      </c>
    </row>
    <row r="42" spans="1:16" ht="18" hidden="1" customHeight="1">
      <c r="A42" s="339" t="s">
        <v>1536</v>
      </c>
      <c r="C42" s="338"/>
      <c r="D42" s="607">
        <f t="shared" si="0"/>
        <v>0</v>
      </c>
      <c r="F42" s="338"/>
      <c r="G42" s="607">
        <f t="shared" si="1"/>
        <v>0</v>
      </c>
      <c r="I42" s="338"/>
      <c r="J42" s="607">
        <f t="shared" si="2"/>
        <v>0</v>
      </c>
      <c r="L42" s="338"/>
      <c r="M42" s="607">
        <f t="shared" si="3"/>
        <v>0</v>
      </c>
      <c r="O42" s="338"/>
      <c r="P42" s="607">
        <f t="shared" si="4"/>
        <v>0</v>
      </c>
    </row>
    <row r="43" spans="1:16" ht="18" hidden="1" customHeight="1">
      <c r="A43" s="339" t="s">
        <v>43</v>
      </c>
      <c r="C43" s="338"/>
      <c r="D43" s="607">
        <f t="shared" si="0"/>
        <v>0</v>
      </c>
      <c r="F43" s="338"/>
      <c r="G43" s="607">
        <f t="shared" si="1"/>
        <v>0</v>
      </c>
      <c r="I43" s="338"/>
      <c r="J43" s="607">
        <f t="shared" si="2"/>
        <v>0</v>
      </c>
      <c r="L43" s="338"/>
      <c r="M43" s="607">
        <f t="shared" si="3"/>
        <v>0</v>
      </c>
      <c r="O43" s="338"/>
      <c r="P43" s="607">
        <f t="shared" si="4"/>
        <v>0</v>
      </c>
    </row>
    <row r="44" spans="1:16" ht="18" hidden="1" customHeight="1">
      <c r="A44" s="339" t="s">
        <v>44</v>
      </c>
      <c r="C44" s="338"/>
      <c r="D44" s="607">
        <f t="shared" si="0"/>
        <v>0</v>
      </c>
      <c r="F44" s="338"/>
      <c r="G44" s="607">
        <f t="shared" si="1"/>
        <v>0</v>
      </c>
      <c r="I44" s="338"/>
      <c r="J44" s="607">
        <f t="shared" si="2"/>
        <v>0</v>
      </c>
      <c r="L44" s="338"/>
      <c r="M44" s="607">
        <f t="shared" si="3"/>
        <v>0</v>
      </c>
      <c r="O44" s="338"/>
      <c r="P44" s="607">
        <f t="shared" si="4"/>
        <v>0</v>
      </c>
    </row>
    <row r="45" spans="1:16" ht="18" hidden="1" customHeight="1">
      <c r="A45" s="339" t="s">
        <v>1537</v>
      </c>
      <c r="C45" s="338"/>
      <c r="D45" s="607">
        <f t="shared" si="0"/>
        <v>0</v>
      </c>
      <c r="F45" s="338"/>
      <c r="G45" s="607">
        <f t="shared" si="1"/>
        <v>0</v>
      </c>
      <c r="I45" s="338"/>
      <c r="J45" s="607">
        <f t="shared" si="2"/>
        <v>0</v>
      </c>
      <c r="L45" s="338"/>
      <c r="M45" s="607">
        <f t="shared" si="3"/>
        <v>0</v>
      </c>
      <c r="O45" s="338"/>
      <c r="P45" s="607">
        <f t="shared" si="4"/>
        <v>0</v>
      </c>
    </row>
    <row r="46" spans="1:16" ht="18" hidden="1" customHeight="1">
      <c r="A46" s="339" t="s">
        <v>47</v>
      </c>
      <c r="C46" s="338"/>
      <c r="D46" s="607">
        <f t="shared" si="0"/>
        <v>0</v>
      </c>
      <c r="F46" s="338"/>
      <c r="G46" s="607">
        <f t="shared" si="1"/>
        <v>0</v>
      </c>
      <c r="I46" s="338"/>
      <c r="J46" s="607">
        <f t="shared" si="2"/>
        <v>0</v>
      </c>
      <c r="L46" s="338"/>
      <c r="M46" s="607">
        <f t="shared" si="3"/>
        <v>0</v>
      </c>
      <c r="O46" s="338"/>
      <c r="P46" s="607">
        <f t="shared" si="4"/>
        <v>0</v>
      </c>
    </row>
    <row r="47" spans="1:16" ht="18" hidden="1" customHeight="1">
      <c r="A47" s="339" t="s">
        <v>46</v>
      </c>
      <c r="C47" s="338"/>
      <c r="D47" s="607">
        <f t="shared" si="0"/>
        <v>0</v>
      </c>
      <c r="F47" s="338"/>
      <c r="G47" s="607">
        <f t="shared" si="1"/>
        <v>0</v>
      </c>
      <c r="I47" s="338"/>
      <c r="J47" s="607">
        <f t="shared" si="2"/>
        <v>0</v>
      </c>
      <c r="L47" s="338"/>
      <c r="M47" s="607">
        <f t="shared" si="3"/>
        <v>0</v>
      </c>
      <c r="O47" s="338"/>
      <c r="P47" s="607">
        <f t="shared" si="4"/>
        <v>0</v>
      </c>
    </row>
    <row r="48" spans="1:16" ht="18" hidden="1" customHeight="1">
      <c r="A48" s="339"/>
      <c r="C48" s="338"/>
      <c r="D48" s="607" t="str">
        <f t="shared" si="0"/>
        <v/>
      </c>
      <c r="F48" s="338"/>
      <c r="G48" s="607" t="str">
        <f t="shared" si="1"/>
        <v/>
      </c>
      <c r="I48" s="338"/>
      <c r="J48" s="607" t="str">
        <f t="shared" si="2"/>
        <v/>
      </c>
      <c r="L48" s="338"/>
      <c r="M48" s="607" t="str">
        <f t="shared" si="3"/>
        <v/>
      </c>
      <c r="O48" s="338"/>
      <c r="P48" s="607" t="str">
        <f t="shared" si="4"/>
        <v/>
      </c>
    </row>
    <row r="49" spans="1:16" ht="18" hidden="1" customHeight="1">
      <c r="A49" s="339" t="s">
        <v>50</v>
      </c>
      <c r="C49" s="338"/>
      <c r="D49" s="607">
        <f t="shared" si="0"/>
        <v>0</v>
      </c>
      <c r="F49" s="338"/>
      <c r="G49" s="607">
        <f t="shared" si="1"/>
        <v>0</v>
      </c>
      <c r="I49" s="338"/>
      <c r="J49" s="607">
        <f t="shared" si="2"/>
        <v>0</v>
      </c>
      <c r="L49" s="338"/>
      <c r="M49" s="607">
        <f t="shared" si="3"/>
        <v>0</v>
      </c>
      <c r="O49" s="338"/>
      <c r="P49" s="607">
        <f t="shared" si="4"/>
        <v>0</v>
      </c>
    </row>
    <row r="50" spans="1:16" ht="18" hidden="1" customHeight="1">
      <c r="A50" s="339"/>
      <c r="C50" s="338"/>
      <c r="D50" s="607" t="str">
        <f t="shared" si="0"/>
        <v/>
      </c>
      <c r="F50" s="338"/>
      <c r="G50" s="607" t="str">
        <f t="shared" si="1"/>
        <v/>
      </c>
      <c r="I50" s="338"/>
      <c r="J50" s="607" t="str">
        <f t="shared" si="2"/>
        <v/>
      </c>
      <c r="L50" s="338"/>
      <c r="M50" s="607" t="str">
        <f t="shared" si="3"/>
        <v/>
      </c>
      <c r="O50" s="338"/>
      <c r="P50" s="607" t="str">
        <f t="shared" si="4"/>
        <v/>
      </c>
    </row>
    <row r="51" spans="1:16" ht="18" hidden="1" customHeight="1">
      <c r="A51" s="339" t="s">
        <v>51</v>
      </c>
      <c r="C51" s="338"/>
      <c r="D51" s="607">
        <f t="shared" si="0"/>
        <v>0</v>
      </c>
      <c r="F51" s="338"/>
      <c r="G51" s="607">
        <f t="shared" si="1"/>
        <v>0</v>
      </c>
      <c r="I51" s="338"/>
      <c r="J51" s="607">
        <f t="shared" si="2"/>
        <v>0</v>
      </c>
      <c r="L51" s="338"/>
      <c r="M51" s="607">
        <f t="shared" si="3"/>
        <v>0</v>
      </c>
      <c r="O51" s="338"/>
      <c r="P51" s="607">
        <f t="shared" si="4"/>
        <v>0</v>
      </c>
    </row>
    <row r="52" spans="1:16" ht="18" hidden="1" customHeight="1">
      <c r="A52" s="339" t="s">
        <v>52</v>
      </c>
      <c r="C52" s="338"/>
      <c r="D52" s="607">
        <f t="shared" si="0"/>
        <v>0</v>
      </c>
      <c r="F52" s="338"/>
      <c r="G52" s="607">
        <f t="shared" si="1"/>
        <v>0</v>
      </c>
      <c r="I52" s="338"/>
      <c r="J52" s="607">
        <f t="shared" si="2"/>
        <v>0</v>
      </c>
      <c r="L52" s="338"/>
      <c r="M52" s="607">
        <f t="shared" si="3"/>
        <v>0</v>
      </c>
      <c r="O52" s="338"/>
      <c r="P52" s="607">
        <f t="shared" si="4"/>
        <v>0</v>
      </c>
    </row>
    <row r="53" spans="1:16" ht="18" hidden="1" customHeight="1">
      <c r="A53" s="339" t="s">
        <v>53</v>
      </c>
      <c r="C53" s="338"/>
      <c r="D53" s="607">
        <f t="shared" si="0"/>
        <v>0</v>
      </c>
      <c r="F53" s="338"/>
      <c r="G53" s="607">
        <f t="shared" si="1"/>
        <v>0</v>
      </c>
      <c r="I53" s="338"/>
      <c r="J53" s="607">
        <f t="shared" si="2"/>
        <v>0</v>
      </c>
      <c r="L53" s="338"/>
      <c r="M53" s="607">
        <f t="shared" si="3"/>
        <v>0</v>
      </c>
      <c r="O53" s="338"/>
      <c r="P53" s="607">
        <f t="shared" si="4"/>
        <v>0</v>
      </c>
    </row>
    <row r="54" spans="1:16" ht="18" hidden="1" customHeight="1">
      <c r="A54" s="339" t="s">
        <v>54</v>
      </c>
      <c r="C54" s="338"/>
      <c r="D54" s="607">
        <f t="shared" si="0"/>
        <v>0</v>
      </c>
      <c r="F54" s="338"/>
      <c r="G54" s="607">
        <f t="shared" si="1"/>
        <v>0</v>
      </c>
      <c r="I54" s="338"/>
      <c r="J54" s="607">
        <f t="shared" si="2"/>
        <v>0</v>
      </c>
      <c r="L54" s="338"/>
      <c r="M54" s="607">
        <f t="shared" si="3"/>
        <v>0</v>
      </c>
      <c r="O54" s="338"/>
      <c r="P54" s="607">
        <f t="shared" si="4"/>
        <v>0</v>
      </c>
    </row>
    <row r="55" spans="1:16" ht="18" hidden="1" customHeight="1">
      <c r="A55" s="339" t="s">
        <v>332</v>
      </c>
      <c r="C55" s="338"/>
      <c r="D55" s="607">
        <f t="shared" si="0"/>
        <v>0</v>
      </c>
      <c r="F55" s="338"/>
      <c r="G55" s="607">
        <f t="shared" si="1"/>
        <v>0</v>
      </c>
      <c r="I55" s="338"/>
      <c r="J55" s="607">
        <f t="shared" si="2"/>
        <v>0</v>
      </c>
      <c r="L55" s="338"/>
      <c r="M55" s="607">
        <f t="shared" si="3"/>
        <v>0</v>
      </c>
      <c r="O55" s="338"/>
      <c r="P55" s="607">
        <f t="shared" si="4"/>
        <v>0</v>
      </c>
    </row>
    <row r="56" spans="1:16" ht="18" hidden="1" customHeight="1">
      <c r="A56" s="339" t="s">
        <v>56</v>
      </c>
      <c r="C56" s="338"/>
      <c r="D56" s="607">
        <f t="shared" si="0"/>
        <v>0</v>
      </c>
      <c r="F56" s="338"/>
      <c r="G56" s="607">
        <f t="shared" si="1"/>
        <v>0</v>
      </c>
      <c r="I56" s="338"/>
      <c r="J56" s="607">
        <f t="shared" si="2"/>
        <v>0</v>
      </c>
      <c r="L56" s="338"/>
      <c r="M56" s="607">
        <f t="shared" si="3"/>
        <v>0</v>
      </c>
      <c r="O56" s="338"/>
      <c r="P56" s="607">
        <f t="shared" si="4"/>
        <v>0</v>
      </c>
    </row>
    <row r="57" spans="1:16" ht="17.100000000000001" customHeight="1">
      <c r="A57" s="339"/>
      <c r="C57" s="338"/>
      <c r="D57" s="607" t="str">
        <f t="shared" si="0"/>
        <v/>
      </c>
      <c r="F57" s="338"/>
      <c r="G57" s="607" t="str">
        <f t="shared" si="1"/>
        <v/>
      </c>
      <c r="I57" s="338"/>
      <c r="J57" s="607" t="str">
        <f t="shared" si="2"/>
        <v/>
      </c>
      <c r="L57" s="338"/>
      <c r="M57" s="607" t="str">
        <f t="shared" si="3"/>
        <v/>
      </c>
      <c r="O57" s="338"/>
      <c r="P57" s="607" t="str">
        <f t="shared" si="4"/>
        <v/>
      </c>
    </row>
    <row r="58" spans="1:16" ht="17.100000000000001" customHeight="1">
      <c r="A58" s="339" t="s">
        <v>1538</v>
      </c>
      <c r="C58" s="338">
        <v>83</v>
      </c>
      <c r="D58" s="607">
        <f t="shared" si="0"/>
        <v>17.184265010351968</v>
      </c>
      <c r="F58" s="338">
        <v>85</v>
      </c>
      <c r="G58" s="607">
        <f t="shared" si="1"/>
        <v>19.318181818181817</v>
      </c>
      <c r="I58" s="338">
        <v>89</v>
      </c>
      <c r="J58" s="607">
        <f t="shared" si="2"/>
        <v>18.936170212765958</v>
      </c>
      <c r="L58" s="338">
        <v>83</v>
      </c>
      <c r="M58" s="607">
        <f t="shared" si="3"/>
        <v>17.92656587473002</v>
      </c>
      <c r="O58" s="338">
        <v>77</v>
      </c>
      <c r="P58" s="607">
        <f t="shared" si="4"/>
        <v>16.739130434782609</v>
      </c>
    </row>
    <row r="59" spans="1:16" ht="18" hidden="1" customHeight="1">
      <c r="A59" s="339" t="s">
        <v>334</v>
      </c>
      <c r="C59" s="338"/>
      <c r="D59" s="607">
        <f t="shared" si="0"/>
        <v>0</v>
      </c>
      <c r="F59" s="338"/>
      <c r="G59" s="607">
        <f t="shared" si="1"/>
        <v>0</v>
      </c>
      <c r="I59" s="338"/>
      <c r="J59" s="607">
        <f t="shared" si="2"/>
        <v>0</v>
      </c>
      <c r="L59" s="338"/>
      <c r="M59" s="607">
        <f t="shared" si="3"/>
        <v>0</v>
      </c>
      <c r="O59" s="338"/>
      <c r="P59" s="607">
        <f t="shared" si="4"/>
        <v>0</v>
      </c>
    </row>
    <row r="60" spans="1:16" ht="18" hidden="1" customHeight="1">
      <c r="A60" s="339"/>
      <c r="C60" s="338"/>
      <c r="D60" s="607" t="str">
        <f t="shared" si="0"/>
        <v/>
      </c>
      <c r="F60" s="338"/>
      <c r="G60" s="607" t="str">
        <f t="shared" si="1"/>
        <v/>
      </c>
      <c r="I60" s="338"/>
      <c r="J60" s="607" t="str">
        <f t="shared" si="2"/>
        <v/>
      </c>
      <c r="L60" s="338"/>
      <c r="M60" s="607" t="str">
        <f t="shared" si="3"/>
        <v/>
      </c>
      <c r="O60" s="338"/>
      <c r="P60" s="607" t="str">
        <f t="shared" si="4"/>
        <v/>
      </c>
    </row>
    <row r="61" spans="1:16" ht="18" hidden="1" customHeight="1">
      <c r="A61" s="339" t="s">
        <v>60</v>
      </c>
      <c r="C61" s="338"/>
      <c r="D61" s="607">
        <f t="shared" si="0"/>
        <v>0</v>
      </c>
      <c r="F61" s="338"/>
      <c r="G61" s="607">
        <f t="shared" si="1"/>
        <v>0</v>
      </c>
      <c r="I61" s="338"/>
      <c r="J61" s="607">
        <f t="shared" si="2"/>
        <v>0</v>
      </c>
      <c r="L61" s="338"/>
      <c r="M61" s="607">
        <f t="shared" si="3"/>
        <v>0</v>
      </c>
      <c r="O61" s="338"/>
      <c r="P61" s="607">
        <f t="shared" si="4"/>
        <v>0</v>
      </c>
    </row>
    <row r="62" spans="1:16" ht="18" hidden="1" customHeight="1">
      <c r="A62" s="339" t="s">
        <v>61</v>
      </c>
      <c r="C62" s="338"/>
      <c r="D62" s="607">
        <f t="shared" si="0"/>
        <v>0</v>
      </c>
      <c r="F62" s="338"/>
      <c r="G62" s="607">
        <f t="shared" si="1"/>
        <v>0</v>
      </c>
      <c r="I62" s="338"/>
      <c r="J62" s="607">
        <f t="shared" si="2"/>
        <v>0</v>
      </c>
      <c r="L62" s="338"/>
      <c r="M62" s="607">
        <f t="shared" si="3"/>
        <v>0</v>
      </c>
      <c r="O62" s="338"/>
      <c r="P62" s="607">
        <f t="shared" si="4"/>
        <v>0</v>
      </c>
    </row>
    <row r="63" spans="1:16" ht="18" hidden="1" customHeight="1">
      <c r="A63" s="339" t="s">
        <v>62</v>
      </c>
      <c r="C63" s="338"/>
      <c r="D63" s="607">
        <f t="shared" si="0"/>
        <v>0</v>
      </c>
      <c r="F63" s="338"/>
      <c r="G63" s="607">
        <f t="shared" si="1"/>
        <v>0</v>
      </c>
      <c r="I63" s="338"/>
      <c r="J63" s="607">
        <f t="shared" si="2"/>
        <v>0</v>
      </c>
      <c r="L63" s="338"/>
      <c r="M63" s="607">
        <f t="shared" si="3"/>
        <v>0</v>
      </c>
      <c r="O63" s="338"/>
      <c r="P63" s="607">
        <f t="shared" si="4"/>
        <v>0</v>
      </c>
    </row>
    <row r="64" spans="1:16" ht="18" hidden="1" customHeight="1">
      <c r="A64" s="339" t="s">
        <v>64</v>
      </c>
      <c r="C64" s="338"/>
      <c r="D64" s="607">
        <f t="shared" si="0"/>
        <v>0</v>
      </c>
      <c r="F64" s="338"/>
      <c r="G64" s="607">
        <f t="shared" si="1"/>
        <v>0</v>
      </c>
      <c r="I64" s="338"/>
      <c r="J64" s="607">
        <f t="shared" si="2"/>
        <v>0</v>
      </c>
      <c r="L64" s="338"/>
      <c r="M64" s="607">
        <f t="shared" si="3"/>
        <v>0</v>
      </c>
      <c r="O64" s="338"/>
      <c r="P64" s="607">
        <f t="shared" si="4"/>
        <v>0</v>
      </c>
    </row>
    <row r="65" spans="1:16" ht="18" hidden="1" customHeight="1">
      <c r="A65" s="339"/>
      <c r="C65" s="338"/>
      <c r="D65" s="607" t="str">
        <f t="shared" si="0"/>
        <v/>
      </c>
      <c r="F65" s="338"/>
      <c r="G65" s="607" t="str">
        <f t="shared" si="1"/>
        <v/>
      </c>
      <c r="I65" s="338"/>
      <c r="J65" s="607" t="str">
        <f t="shared" si="2"/>
        <v/>
      </c>
      <c r="L65" s="338"/>
      <c r="M65" s="607" t="str">
        <f t="shared" si="3"/>
        <v/>
      </c>
      <c r="O65" s="338"/>
      <c r="P65" s="607" t="str">
        <f t="shared" si="4"/>
        <v/>
      </c>
    </row>
    <row r="66" spans="1:16" ht="18" hidden="1" customHeight="1">
      <c r="A66" s="339" t="s">
        <v>66</v>
      </c>
      <c r="C66" s="338"/>
      <c r="D66" s="607">
        <f t="shared" si="0"/>
        <v>0</v>
      </c>
      <c r="F66" s="338"/>
      <c r="G66" s="607">
        <f t="shared" si="1"/>
        <v>0</v>
      </c>
      <c r="I66" s="338"/>
      <c r="J66" s="607">
        <f t="shared" si="2"/>
        <v>0</v>
      </c>
      <c r="L66" s="338"/>
      <c r="M66" s="607">
        <f t="shared" si="3"/>
        <v>0</v>
      </c>
      <c r="O66" s="338"/>
      <c r="P66" s="607">
        <f t="shared" si="4"/>
        <v>0</v>
      </c>
    </row>
    <row r="67" spans="1:16" ht="18" hidden="1" customHeight="1">
      <c r="A67" s="339"/>
      <c r="C67" s="338"/>
      <c r="D67" s="607" t="str">
        <f t="shared" si="0"/>
        <v/>
      </c>
      <c r="F67" s="338"/>
      <c r="G67" s="607" t="str">
        <f t="shared" si="1"/>
        <v/>
      </c>
      <c r="I67" s="338"/>
      <c r="J67" s="607" t="str">
        <f t="shared" si="2"/>
        <v/>
      </c>
      <c r="L67" s="338"/>
      <c r="M67" s="607" t="str">
        <f t="shared" si="3"/>
        <v/>
      </c>
      <c r="O67" s="338"/>
      <c r="P67" s="607" t="str">
        <f t="shared" si="4"/>
        <v/>
      </c>
    </row>
    <row r="68" spans="1:16" ht="18" hidden="1" customHeight="1">
      <c r="A68" s="339" t="s">
        <v>67</v>
      </c>
      <c r="C68" s="338"/>
      <c r="D68" s="607">
        <f t="shared" si="0"/>
        <v>0</v>
      </c>
      <c r="F68" s="338"/>
      <c r="G68" s="607">
        <f t="shared" si="1"/>
        <v>0</v>
      </c>
      <c r="I68" s="338"/>
      <c r="J68" s="607">
        <f t="shared" si="2"/>
        <v>0</v>
      </c>
      <c r="L68" s="338"/>
      <c r="M68" s="607">
        <f t="shared" si="3"/>
        <v>0</v>
      </c>
      <c r="O68" s="338"/>
      <c r="P68" s="607">
        <f t="shared" si="4"/>
        <v>0</v>
      </c>
    </row>
    <row r="69" spans="1:16" ht="17.100000000000001" customHeight="1">
      <c r="A69" s="339"/>
      <c r="C69" s="338"/>
      <c r="D69" s="607" t="str">
        <f t="shared" si="0"/>
        <v/>
      </c>
      <c r="F69" s="338"/>
      <c r="G69" s="607" t="str">
        <f t="shared" si="1"/>
        <v/>
      </c>
      <c r="I69" s="338"/>
      <c r="J69" s="607" t="str">
        <f t="shared" si="2"/>
        <v/>
      </c>
      <c r="L69" s="338"/>
      <c r="M69" s="607" t="str">
        <f t="shared" si="3"/>
        <v/>
      </c>
      <c r="O69" s="338"/>
      <c r="P69" s="607" t="str">
        <f t="shared" si="4"/>
        <v/>
      </c>
    </row>
    <row r="70" spans="1:16" ht="17.100000000000001" customHeight="1">
      <c r="A70" s="339" t="s">
        <v>1539</v>
      </c>
      <c r="C70" s="338">
        <v>50</v>
      </c>
      <c r="D70" s="607">
        <f t="shared" si="0"/>
        <v>10.351966873706004</v>
      </c>
      <c r="F70" s="338">
        <v>51</v>
      </c>
      <c r="G70" s="607">
        <f t="shared" si="1"/>
        <v>11.59090909090909</v>
      </c>
      <c r="I70" s="338">
        <v>51</v>
      </c>
      <c r="J70" s="607">
        <f t="shared" si="2"/>
        <v>10.851063829787234</v>
      </c>
      <c r="L70" s="338">
        <v>53</v>
      </c>
      <c r="M70" s="607">
        <f t="shared" si="3"/>
        <v>11.447084233261338</v>
      </c>
      <c r="O70" s="338">
        <v>54</v>
      </c>
      <c r="P70" s="607">
        <f t="shared" si="4"/>
        <v>11.739130434782609</v>
      </c>
    </row>
    <row r="71" spans="1:16" ht="17.100000000000001" customHeight="1">
      <c r="A71" s="339"/>
      <c r="C71" s="338"/>
      <c r="D71" s="607" t="str">
        <f t="shared" si="0"/>
        <v/>
      </c>
      <c r="F71" s="338"/>
      <c r="G71" s="607" t="str">
        <f t="shared" si="1"/>
        <v/>
      </c>
      <c r="I71" s="338"/>
      <c r="J71" s="607" t="str">
        <f t="shared" si="2"/>
        <v/>
      </c>
      <c r="L71" s="338"/>
      <c r="M71" s="607" t="str">
        <f t="shared" si="3"/>
        <v/>
      </c>
      <c r="O71" s="338"/>
      <c r="P71" s="607" t="str">
        <f t="shared" si="4"/>
        <v/>
      </c>
    </row>
    <row r="72" spans="1:16" ht="17.100000000000001" customHeight="1">
      <c r="A72" s="339" t="s">
        <v>1540</v>
      </c>
      <c r="C72" s="338">
        <v>20</v>
      </c>
      <c r="D72" s="607">
        <f t="shared" si="0"/>
        <v>4.1407867494824018</v>
      </c>
      <c r="F72" s="338">
        <v>22</v>
      </c>
      <c r="G72" s="607">
        <f t="shared" si="1"/>
        <v>5</v>
      </c>
      <c r="I72" s="338">
        <v>27</v>
      </c>
      <c r="J72" s="607">
        <f t="shared" si="2"/>
        <v>5.7446808510638299</v>
      </c>
      <c r="L72" s="338">
        <v>27</v>
      </c>
      <c r="M72" s="607">
        <f t="shared" si="3"/>
        <v>5.8315334773218144</v>
      </c>
      <c r="O72" s="338">
        <v>26</v>
      </c>
      <c r="P72" s="607">
        <f t="shared" si="4"/>
        <v>5.6521739130434785</v>
      </c>
    </row>
    <row r="73" spans="1:16" ht="18" hidden="1" customHeight="1">
      <c r="A73" s="339" t="s">
        <v>69</v>
      </c>
      <c r="C73" s="338"/>
      <c r="D73" s="607">
        <f t="shared" si="0"/>
        <v>0</v>
      </c>
      <c r="F73" s="338"/>
      <c r="G73" s="607">
        <f t="shared" si="1"/>
        <v>0</v>
      </c>
      <c r="I73" s="338"/>
      <c r="J73" s="607">
        <f t="shared" si="2"/>
        <v>0</v>
      </c>
      <c r="L73" s="338"/>
      <c r="M73" s="607">
        <f t="shared" si="3"/>
        <v>0</v>
      </c>
      <c r="O73" s="338"/>
      <c r="P73" s="607">
        <f t="shared" si="4"/>
        <v>0</v>
      </c>
    </row>
    <row r="74" spans="1:16" ht="18" hidden="1" customHeight="1">
      <c r="A74" s="339" t="s">
        <v>1541</v>
      </c>
      <c r="C74" s="338"/>
      <c r="D74" s="607">
        <f t="shared" si="0"/>
        <v>0</v>
      </c>
      <c r="F74" s="338"/>
      <c r="G74" s="607">
        <f t="shared" si="1"/>
        <v>0</v>
      </c>
      <c r="I74" s="338"/>
      <c r="J74" s="607">
        <f t="shared" si="2"/>
        <v>0</v>
      </c>
      <c r="L74" s="338"/>
      <c r="M74" s="607">
        <f t="shared" si="3"/>
        <v>0</v>
      </c>
      <c r="O74" s="338"/>
      <c r="P74" s="607">
        <f t="shared" si="4"/>
        <v>0</v>
      </c>
    </row>
    <row r="75" spans="1:16" ht="18" hidden="1" customHeight="1">
      <c r="A75" s="339" t="s">
        <v>1542</v>
      </c>
      <c r="C75" s="338"/>
      <c r="D75" s="607">
        <f t="shared" si="0"/>
        <v>0</v>
      </c>
      <c r="F75" s="338"/>
      <c r="G75" s="607">
        <f t="shared" si="1"/>
        <v>0</v>
      </c>
      <c r="I75" s="338"/>
      <c r="J75" s="607">
        <f t="shared" si="2"/>
        <v>0</v>
      </c>
      <c r="L75" s="338"/>
      <c r="M75" s="607">
        <f t="shared" si="3"/>
        <v>0</v>
      </c>
      <c r="O75" s="338"/>
      <c r="P75" s="607">
        <f t="shared" si="4"/>
        <v>0</v>
      </c>
    </row>
    <row r="76" spans="1:16" ht="18" hidden="1" customHeight="1">
      <c r="A76" s="339" t="s">
        <v>72</v>
      </c>
      <c r="C76" s="338"/>
      <c r="D76" s="607">
        <f t="shared" si="0"/>
        <v>0</v>
      </c>
      <c r="F76" s="338"/>
      <c r="G76" s="607">
        <f t="shared" si="1"/>
        <v>0</v>
      </c>
      <c r="I76" s="338"/>
      <c r="J76" s="607">
        <f t="shared" si="2"/>
        <v>0</v>
      </c>
      <c r="L76" s="338"/>
      <c r="M76" s="607">
        <f t="shared" si="3"/>
        <v>0</v>
      </c>
      <c r="O76" s="338"/>
      <c r="P76" s="607">
        <f t="shared" si="4"/>
        <v>0</v>
      </c>
    </row>
    <row r="77" spans="1:16" ht="18" hidden="1" customHeight="1">
      <c r="A77" s="339" t="s">
        <v>73</v>
      </c>
      <c r="C77" s="338"/>
      <c r="D77" s="607">
        <f t="shared" si="0"/>
        <v>0</v>
      </c>
      <c r="F77" s="338"/>
      <c r="G77" s="607">
        <f t="shared" si="1"/>
        <v>0</v>
      </c>
      <c r="I77" s="338"/>
      <c r="J77" s="607">
        <f t="shared" si="2"/>
        <v>0</v>
      </c>
      <c r="L77" s="338"/>
      <c r="M77" s="607">
        <f t="shared" si="3"/>
        <v>0</v>
      </c>
      <c r="O77" s="338"/>
      <c r="P77" s="607">
        <f t="shared" si="4"/>
        <v>0</v>
      </c>
    </row>
    <row r="78" spans="1:16" ht="18" hidden="1" customHeight="1">
      <c r="A78" s="339"/>
      <c r="C78" s="338"/>
      <c r="D78" s="607" t="str">
        <f t="shared" ref="D78:D94" si="5">IF($A78&lt;&gt;0,C78/C$11*100,"")</f>
        <v/>
      </c>
      <c r="F78" s="338"/>
      <c r="G78" s="607" t="str">
        <f t="shared" ref="G78:G94" si="6">IF($A78&lt;&gt;0,F78/F$11*100,"")</f>
        <v/>
      </c>
      <c r="I78" s="338"/>
      <c r="J78" s="607" t="str">
        <f t="shared" ref="J78:J94" si="7">IF($A78&lt;&gt;0,I78/I$11*100,"")</f>
        <v/>
      </c>
      <c r="L78" s="338"/>
      <c r="M78" s="607" t="str">
        <f t="shared" ref="M78:M94" si="8">IF($A78&lt;&gt;0,L78/L$11*100,"")</f>
        <v/>
      </c>
      <c r="O78" s="338"/>
      <c r="P78" s="607" t="str">
        <f t="shared" si="4"/>
        <v/>
      </c>
    </row>
    <row r="79" spans="1:16" ht="18" hidden="1" customHeight="1">
      <c r="A79" s="339" t="s">
        <v>75</v>
      </c>
      <c r="C79" s="338"/>
      <c r="D79" s="607">
        <f t="shared" si="5"/>
        <v>0</v>
      </c>
      <c r="F79" s="338"/>
      <c r="G79" s="607">
        <f t="shared" si="6"/>
        <v>0</v>
      </c>
      <c r="I79" s="338"/>
      <c r="J79" s="607">
        <f t="shared" si="7"/>
        <v>0</v>
      </c>
      <c r="L79" s="338"/>
      <c r="M79" s="607">
        <f t="shared" si="8"/>
        <v>0</v>
      </c>
      <c r="O79" s="338"/>
      <c r="P79" s="607">
        <f t="shared" si="4"/>
        <v>0</v>
      </c>
    </row>
    <row r="80" spans="1:16" ht="18" hidden="1" customHeight="1">
      <c r="A80" s="339" t="s">
        <v>338</v>
      </c>
      <c r="C80" s="338"/>
      <c r="D80" s="607">
        <f t="shared" si="5"/>
        <v>0</v>
      </c>
      <c r="F80" s="338"/>
      <c r="G80" s="607">
        <f t="shared" si="6"/>
        <v>0</v>
      </c>
      <c r="I80" s="338"/>
      <c r="J80" s="607">
        <f t="shared" si="7"/>
        <v>0</v>
      </c>
      <c r="L80" s="338"/>
      <c r="M80" s="607">
        <f t="shared" si="8"/>
        <v>0</v>
      </c>
      <c r="O80" s="338"/>
      <c r="P80" s="607">
        <f t="shared" ref="P80:P94" si="9">IF($A80&lt;&gt;0,O80/O$11*100,"")</f>
        <v>0</v>
      </c>
    </row>
    <row r="81" spans="1:16" ht="18" hidden="1" customHeight="1">
      <c r="A81" s="339" t="s">
        <v>76</v>
      </c>
      <c r="C81" s="338"/>
      <c r="D81" s="607">
        <f t="shared" si="5"/>
        <v>0</v>
      </c>
      <c r="F81" s="338"/>
      <c r="G81" s="607">
        <f t="shared" si="6"/>
        <v>0</v>
      </c>
      <c r="I81" s="338"/>
      <c r="J81" s="607">
        <f t="shared" si="7"/>
        <v>0</v>
      </c>
      <c r="L81" s="338"/>
      <c r="M81" s="607">
        <f t="shared" si="8"/>
        <v>0</v>
      </c>
      <c r="O81" s="338"/>
      <c r="P81" s="607">
        <f t="shared" si="9"/>
        <v>0</v>
      </c>
    </row>
    <row r="82" spans="1:16" ht="18" hidden="1" customHeight="1">
      <c r="A82" s="339" t="s">
        <v>78</v>
      </c>
      <c r="C82" s="338"/>
      <c r="D82" s="607">
        <f t="shared" si="5"/>
        <v>0</v>
      </c>
      <c r="F82" s="338"/>
      <c r="G82" s="607">
        <f t="shared" si="6"/>
        <v>0</v>
      </c>
      <c r="I82" s="338"/>
      <c r="J82" s="607">
        <f t="shared" si="7"/>
        <v>0</v>
      </c>
      <c r="L82" s="338"/>
      <c r="M82" s="607">
        <f t="shared" si="8"/>
        <v>0</v>
      </c>
      <c r="O82" s="338"/>
      <c r="P82" s="607">
        <f t="shared" si="9"/>
        <v>0</v>
      </c>
    </row>
    <row r="83" spans="1:16" ht="18" hidden="1" customHeight="1">
      <c r="A83" s="339" t="s">
        <v>80</v>
      </c>
      <c r="C83" s="338"/>
      <c r="D83" s="607">
        <f t="shared" si="5"/>
        <v>0</v>
      </c>
      <c r="F83" s="338"/>
      <c r="G83" s="607">
        <f t="shared" si="6"/>
        <v>0</v>
      </c>
      <c r="I83" s="338"/>
      <c r="J83" s="607">
        <f t="shared" si="7"/>
        <v>0</v>
      </c>
      <c r="L83" s="338"/>
      <c r="M83" s="607">
        <f t="shared" si="8"/>
        <v>0</v>
      </c>
      <c r="O83" s="338"/>
      <c r="P83" s="607">
        <f t="shared" si="9"/>
        <v>0</v>
      </c>
    </row>
    <row r="84" spans="1:16" ht="18" hidden="1" customHeight="1">
      <c r="A84" s="339" t="s">
        <v>79</v>
      </c>
      <c r="C84" s="338"/>
      <c r="D84" s="607">
        <f t="shared" si="5"/>
        <v>0</v>
      </c>
      <c r="F84" s="338"/>
      <c r="G84" s="607">
        <f t="shared" si="6"/>
        <v>0</v>
      </c>
      <c r="I84" s="338"/>
      <c r="J84" s="607">
        <f t="shared" si="7"/>
        <v>0</v>
      </c>
      <c r="L84" s="338"/>
      <c r="M84" s="607">
        <f t="shared" si="8"/>
        <v>0</v>
      </c>
      <c r="O84" s="338"/>
      <c r="P84" s="607">
        <f t="shared" si="9"/>
        <v>0</v>
      </c>
    </row>
    <row r="85" spans="1:16" ht="18" hidden="1" customHeight="1">
      <c r="A85" s="339" t="s">
        <v>77</v>
      </c>
      <c r="C85" s="338"/>
      <c r="D85" s="607">
        <f t="shared" si="5"/>
        <v>0</v>
      </c>
      <c r="F85" s="338"/>
      <c r="G85" s="607">
        <f t="shared" si="6"/>
        <v>0</v>
      </c>
      <c r="I85" s="338"/>
      <c r="J85" s="607">
        <f t="shared" si="7"/>
        <v>0</v>
      </c>
      <c r="L85" s="338"/>
      <c r="M85" s="607">
        <f t="shared" si="8"/>
        <v>0</v>
      </c>
      <c r="O85" s="338"/>
      <c r="P85" s="607">
        <f t="shared" si="9"/>
        <v>0</v>
      </c>
    </row>
    <row r="86" spans="1:16" ht="18" hidden="1" customHeight="1">
      <c r="A86" s="339" t="s">
        <v>81</v>
      </c>
      <c r="C86" s="338"/>
      <c r="D86" s="607">
        <f t="shared" si="5"/>
        <v>0</v>
      </c>
      <c r="F86" s="338"/>
      <c r="G86" s="607">
        <f t="shared" si="6"/>
        <v>0</v>
      </c>
      <c r="I86" s="338"/>
      <c r="J86" s="607">
        <f t="shared" si="7"/>
        <v>0</v>
      </c>
      <c r="L86" s="338"/>
      <c r="M86" s="607">
        <f t="shared" si="8"/>
        <v>0</v>
      </c>
      <c r="O86" s="338"/>
      <c r="P86" s="607">
        <f t="shared" si="9"/>
        <v>0</v>
      </c>
    </row>
    <row r="87" spans="1:16" ht="18" hidden="1" customHeight="1">
      <c r="A87" s="339" t="s">
        <v>377</v>
      </c>
      <c r="C87" s="338"/>
      <c r="D87" s="607">
        <f t="shared" si="5"/>
        <v>0</v>
      </c>
      <c r="F87" s="338"/>
      <c r="G87" s="607">
        <f t="shared" si="6"/>
        <v>0</v>
      </c>
      <c r="I87" s="338"/>
      <c r="J87" s="607">
        <f t="shared" si="7"/>
        <v>0</v>
      </c>
      <c r="L87" s="338"/>
      <c r="M87" s="607">
        <f t="shared" si="8"/>
        <v>0</v>
      </c>
      <c r="O87" s="338"/>
      <c r="P87" s="607">
        <f t="shared" si="9"/>
        <v>0</v>
      </c>
    </row>
    <row r="88" spans="1:16" ht="18" hidden="1" customHeight="1">
      <c r="A88" s="339" t="s">
        <v>83</v>
      </c>
      <c r="C88" s="338"/>
      <c r="D88" s="607">
        <f t="shared" si="5"/>
        <v>0</v>
      </c>
      <c r="F88" s="338"/>
      <c r="G88" s="607">
        <f t="shared" si="6"/>
        <v>0</v>
      </c>
      <c r="I88" s="338"/>
      <c r="J88" s="607">
        <f t="shared" si="7"/>
        <v>0</v>
      </c>
      <c r="L88" s="338"/>
      <c r="M88" s="607">
        <f t="shared" si="8"/>
        <v>0</v>
      </c>
      <c r="O88" s="338"/>
      <c r="P88" s="607">
        <f t="shared" si="9"/>
        <v>0</v>
      </c>
    </row>
    <row r="89" spans="1:16" ht="17.100000000000001" customHeight="1">
      <c r="A89" s="339"/>
      <c r="C89" s="338"/>
      <c r="D89" s="607" t="str">
        <f t="shared" si="5"/>
        <v/>
      </c>
      <c r="F89" s="338"/>
      <c r="G89" s="607" t="str">
        <f t="shared" si="6"/>
        <v/>
      </c>
      <c r="I89" s="338"/>
      <c r="J89" s="607" t="str">
        <f t="shared" si="7"/>
        <v/>
      </c>
      <c r="L89" s="338"/>
      <c r="M89" s="607" t="str">
        <f t="shared" si="8"/>
        <v/>
      </c>
      <c r="O89" s="338"/>
      <c r="P89" s="607" t="str">
        <f t="shared" si="9"/>
        <v/>
      </c>
    </row>
    <row r="90" spans="1:16" ht="17.100000000000001" hidden="1" customHeight="1">
      <c r="A90" s="339" t="s">
        <v>919</v>
      </c>
      <c r="C90" s="338"/>
      <c r="D90" s="607">
        <f t="shared" si="5"/>
        <v>0</v>
      </c>
      <c r="F90" s="338"/>
      <c r="G90" s="607">
        <f t="shared" si="6"/>
        <v>0</v>
      </c>
      <c r="I90" s="338"/>
      <c r="J90" s="607">
        <f t="shared" si="7"/>
        <v>0</v>
      </c>
      <c r="L90" s="338"/>
      <c r="M90" s="607">
        <f t="shared" si="8"/>
        <v>0</v>
      </c>
      <c r="O90" s="338"/>
      <c r="P90" s="607">
        <f t="shared" si="9"/>
        <v>0</v>
      </c>
    </row>
    <row r="91" spans="1:16" ht="17.100000000000001" hidden="1" customHeight="1">
      <c r="A91" s="339"/>
      <c r="C91" s="338"/>
      <c r="D91" s="607" t="str">
        <f t="shared" si="5"/>
        <v/>
      </c>
      <c r="F91" s="338"/>
      <c r="G91" s="607" t="str">
        <f t="shared" si="6"/>
        <v/>
      </c>
      <c r="I91" s="338"/>
      <c r="J91" s="607" t="str">
        <f t="shared" si="7"/>
        <v/>
      </c>
      <c r="L91" s="338"/>
      <c r="M91" s="607" t="str">
        <f t="shared" si="8"/>
        <v/>
      </c>
      <c r="O91" s="338"/>
      <c r="P91" s="607" t="str">
        <f t="shared" si="9"/>
        <v/>
      </c>
    </row>
    <row r="92" spans="1:16" ht="17.100000000000001" customHeight="1">
      <c r="A92" s="339" t="s">
        <v>1543</v>
      </c>
      <c r="C92" s="338">
        <v>33</v>
      </c>
      <c r="D92" s="607">
        <f t="shared" si="5"/>
        <v>6.8322981366459627</v>
      </c>
      <c r="F92" s="338">
        <v>19</v>
      </c>
      <c r="G92" s="607">
        <f t="shared" si="6"/>
        <v>4.3181818181818183</v>
      </c>
      <c r="I92" s="338">
        <v>21</v>
      </c>
      <c r="J92" s="607">
        <f t="shared" si="7"/>
        <v>4.4680851063829792</v>
      </c>
      <c r="L92" s="338">
        <v>21</v>
      </c>
      <c r="M92" s="607">
        <f t="shared" si="8"/>
        <v>4.5356371490280782</v>
      </c>
      <c r="O92" s="338">
        <v>14</v>
      </c>
      <c r="P92" s="607">
        <f t="shared" si="9"/>
        <v>3.0434782608695654</v>
      </c>
    </row>
    <row r="93" spans="1:16" ht="17.100000000000001" customHeight="1">
      <c r="A93" s="339"/>
      <c r="C93" s="338"/>
      <c r="D93" s="607" t="str">
        <f t="shared" si="5"/>
        <v/>
      </c>
      <c r="F93" s="338"/>
      <c r="G93" s="607" t="str">
        <f t="shared" si="6"/>
        <v/>
      </c>
      <c r="I93" s="338"/>
      <c r="J93" s="607" t="str">
        <f t="shared" si="7"/>
        <v/>
      </c>
      <c r="L93" s="338"/>
      <c r="M93" s="607" t="str">
        <f t="shared" si="8"/>
        <v/>
      </c>
      <c r="O93" s="338"/>
      <c r="P93" s="607" t="str">
        <f t="shared" si="9"/>
        <v/>
      </c>
    </row>
    <row r="94" spans="1:16" ht="17.100000000000001" customHeight="1">
      <c r="A94" s="348" t="s">
        <v>346</v>
      </c>
      <c r="C94" s="338">
        <v>101</v>
      </c>
      <c r="D94" s="607">
        <f t="shared" si="5"/>
        <v>20.910973084886127</v>
      </c>
      <c r="F94" s="338">
        <v>88</v>
      </c>
      <c r="G94" s="607">
        <f t="shared" si="6"/>
        <v>20</v>
      </c>
      <c r="I94" s="338">
        <f>6+16+19+27+14+13</f>
        <v>95</v>
      </c>
      <c r="J94" s="607">
        <f t="shared" si="7"/>
        <v>20.212765957446805</v>
      </c>
      <c r="L94" s="338">
        <v>95</v>
      </c>
      <c r="M94" s="607">
        <f t="shared" si="8"/>
        <v>20.518358531317496</v>
      </c>
      <c r="O94" s="338">
        <v>97</v>
      </c>
      <c r="P94" s="607">
        <f t="shared" si="9"/>
        <v>21.086956521739133</v>
      </c>
    </row>
    <row r="95" spans="1:16" ht="18" hidden="1" customHeight="1">
      <c r="A95" s="339" t="s">
        <v>347</v>
      </c>
    </row>
    <row r="96" spans="1:16" ht="18" hidden="1" customHeight="1">
      <c r="A96" s="339" t="s">
        <v>348</v>
      </c>
    </row>
    <row r="97" spans="1:17" ht="18" hidden="1" customHeight="1">
      <c r="A97" s="339" t="s">
        <v>349</v>
      </c>
    </row>
    <row r="98" spans="1:17" ht="18" hidden="1" customHeight="1">
      <c r="A98" s="339" t="s">
        <v>350</v>
      </c>
    </row>
    <row r="99" spans="1:17" ht="18" hidden="1" customHeight="1">
      <c r="A99" s="339" t="s">
        <v>808</v>
      </c>
    </row>
    <row r="100" spans="1:17" ht="10.5" customHeight="1" thickBot="1">
      <c r="A100" s="345"/>
      <c r="C100" s="15"/>
      <c r="D100" s="15"/>
      <c r="F100" s="15"/>
      <c r="G100" s="15"/>
      <c r="I100" s="15"/>
      <c r="J100" s="15"/>
      <c r="L100" s="15"/>
      <c r="M100" s="15"/>
      <c r="O100" s="15"/>
      <c r="P100" s="15"/>
      <c r="Q100" s="15"/>
    </row>
    <row r="101" spans="1:17" ht="11.25" customHeight="1">
      <c r="A101" s="339"/>
      <c r="B101" s="6"/>
      <c r="E101" s="6"/>
      <c r="H101" s="6"/>
      <c r="K101" s="6"/>
      <c r="N101" s="6"/>
    </row>
    <row r="102" spans="1:17" ht="18" customHeight="1">
      <c r="A102" s="608" t="s">
        <v>1544</v>
      </c>
      <c r="B102" s="1"/>
      <c r="C102" s="1"/>
      <c r="D102" s="1"/>
      <c r="E102" s="1"/>
      <c r="F102" s="1"/>
      <c r="G102" s="1"/>
    </row>
    <row r="103" spans="1:17" ht="9.75" customHeight="1">
      <c r="A103" s="339"/>
    </row>
    <row r="104" spans="1:17" ht="17.100000000000001" customHeight="1">
      <c r="A104" s="339" t="s">
        <v>1545</v>
      </c>
    </row>
    <row r="105" spans="1:17" ht="17.100000000000001" customHeight="1">
      <c r="A105" s="339" t="s">
        <v>385</v>
      </c>
    </row>
    <row r="106" spans="1:17" ht="15.75">
      <c r="A106" s="339"/>
    </row>
    <row r="112" spans="1:17">
      <c r="A112" s="609"/>
    </row>
  </sheetData>
  <mergeCells count="5">
    <mergeCell ref="C7:D7"/>
    <mergeCell ref="F7:G7"/>
    <mergeCell ref="I7:J7"/>
    <mergeCell ref="L7:M7"/>
    <mergeCell ref="O7:P7"/>
  </mergeCells>
  <printOptions horizontalCentered="1" verticalCentered="1"/>
  <pageMargins left="0" right="0" top="0" bottom="0" header="0.31496062992125984" footer="0.31496062992125984"/>
  <pageSetup paperSize="9" scale="80" orientation="landscape" r:id="rId1"/>
  <drawing r:id="rId2"/>
</worksheet>
</file>

<file path=xl/worksheets/sheet85.xml><?xml version="1.0" encoding="utf-8"?>
<worksheet xmlns="http://schemas.openxmlformats.org/spreadsheetml/2006/main" xmlns:r="http://schemas.openxmlformats.org/officeDocument/2006/relationships">
  <sheetPr>
    <tabColor theme="5" tint="0.59999389629810485"/>
  </sheetPr>
  <dimension ref="A2:S11"/>
  <sheetViews>
    <sheetView workbookViewId="0">
      <selection activeCell="M28" sqref="M28"/>
    </sheetView>
  </sheetViews>
  <sheetFormatPr baseColWidth="10" defaultRowHeight="15"/>
  <cols>
    <col min="2" max="2" width="7.5703125" customWidth="1"/>
    <col min="3" max="3" width="6.7109375" customWidth="1"/>
    <col min="4" max="4" width="8.42578125" customWidth="1"/>
    <col min="5" max="5" width="7.140625" customWidth="1"/>
    <col min="6" max="6" width="8.85546875" customWidth="1"/>
    <col min="7" max="7" width="7.5703125" customWidth="1"/>
    <col min="8" max="8" width="8.42578125" customWidth="1"/>
    <col min="258" max="258" width="7.5703125" customWidth="1"/>
    <col min="259" max="259" width="6.7109375" customWidth="1"/>
    <col min="260" max="260" width="8.42578125" customWidth="1"/>
    <col min="261" max="261" width="7.140625" customWidth="1"/>
    <col min="262" max="262" width="8.85546875" customWidth="1"/>
    <col min="263" max="263" width="7.5703125" customWidth="1"/>
    <col min="264" max="264" width="8.42578125" customWidth="1"/>
    <col min="514" max="514" width="7.5703125" customWidth="1"/>
    <col min="515" max="515" width="6.7109375" customWidth="1"/>
    <col min="516" max="516" width="8.42578125" customWidth="1"/>
    <col min="517" max="517" width="7.140625" customWidth="1"/>
    <col min="518" max="518" width="8.85546875" customWidth="1"/>
    <col min="519" max="519" width="7.5703125" customWidth="1"/>
    <col min="520" max="520" width="8.42578125" customWidth="1"/>
    <col min="770" max="770" width="7.5703125" customWidth="1"/>
    <col min="771" max="771" width="6.7109375" customWidth="1"/>
    <col min="772" max="772" width="8.42578125" customWidth="1"/>
    <col min="773" max="773" width="7.140625" customWidth="1"/>
    <col min="774" max="774" width="8.85546875" customWidth="1"/>
    <col min="775" max="775" width="7.5703125" customWidth="1"/>
    <col min="776" max="776" width="8.42578125" customWidth="1"/>
    <col min="1026" max="1026" width="7.5703125" customWidth="1"/>
    <col min="1027" max="1027" width="6.7109375" customWidth="1"/>
    <col min="1028" max="1028" width="8.42578125" customWidth="1"/>
    <col min="1029" max="1029" width="7.140625" customWidth="1"/>
    <col min="1030" max="1030" width="8.85546875" customWidth="1"/>
    <col min="1031" max="1031" width="7.5703125" customWidth="1"/>
    <col min="1032" max="1032" width="8.42578125" customWidth="1"/>
    <col min="1282" max="1282" width="7.5703125" customWidth="1"/>
    <col min="1283" max="1283" width="6.7109375" customWidth="1"/>
    <col min="1284" max="1284" width="8.42578125" customWidth="1"/>
    <col min="1285" max="1285" width="7.140625" customWidth="1"/>
    <col min="1286" max="1286" width="8.85546875" customWidth="1"/>
    <col min="1287" max="1287" width="7.5703125" customWidth="1"/>
    <col min="1288" max="1288" width="8.42578125" customWidth="1"/>
    <col min="1538" max="1538" width="7.5703125" customWidth="1"/>
    <col min="1539" max="1539" width="6.7109375" customWidth="1"/>
    <col min="1540" max="1540" width="8.42578125" customWidth="1"/>
    <col min="1541" max="1541" width="7.140625" customWidth="1"/>
    <col min="1542" max="1542" width="8.85546875" customWidth="1"/>
    <col min="1543" max="1543" width="7.5703125" customWidth="1"/>
    <col min="1544" max="1544" width="8.42578125" customWidth="1"/>
    <col min="1794" max="1794" width="7.5703125" customWidth="1"/>
    <col min="1795" max="1795" width="6.7109375" customWidth="1"/>
    <col min="1796" max="1796" width="8.42578125" customWidth="1"/>
    <col min="1797" max="1797" width="7.140625" customWidth="1"/>
    <col min="1798" max="1798" width="8.85546875" customWidth="1"/>
    <col min="1799" max="1799" width="7.5703125" customWidth="1"/>
    <col min="1800" max="1800" width="8.42578125" customWidth="1"/>
    <col min="2050" max="2050" width="7.5703125" customWidth="1"/>
    <col min="2051" max="2051" width="6.7109375" customWidth="1"/>
    <col min="2052" max="2052" width="8.42578125" customWidth="1"/>
    <col min="2053" max="2053" width="7.140625" customWidth="1"/>
    <col min="2054" max="2054" width="8.85546875" customWidth="1"/>
    <col min="2055" max="2055" width="7.5703125" customWidth="1"/>
    <col min="2056" max="2056" width="8.42578125" customWidth="1"/>
    <col min="2306" max="2306" width="7.5703125" customWidth="1"/>
    <col min="2307" max="2307" width="6.7109375" customWidth="1"/>
    <col min="2308" max="2308" width="8.42578125" customWidth="1"/>
    <col min="2309" max="2309" width="7.140625" customWidth="1"/>
    <col min="2310" max="2310" width="8.85546875" customWidth="1"/>
    <col min="2311" max="2311" width="7.5703125" customWidth="1"/>
    <col min="2312" max="2312" width="8.42578125" customWidth="1"/>
    <col min="2562" max="2562" width="7.5703125" customWidth="1"/>
    <col min="2563" max="2563" width="6.7109375" customWidth="1"/>
    <col min="2564" max="2564" width="8.42578125" customWidth="1"/>
    <col min="2565" max="2565" width="7.140625" customWidth="1"/>
    <col min="2566" max="2566" width="8.85546875" customWidth="1"/>
    <col min="2567" max="2567" width="7.5703125" customWidth="1"/>
    <col min="2568" max="2568" width="8.42578125" customWidth="1"/>
    <col min="2818" max="2818" width="7.5703125" customWidth="1"/>
    <col min="2819" max="2819" width="6.7109375" customWidth="1"/>
    <col min="2820" max="2820" width="8.42578125" customWidth="1"/>
    <col min="2821" max="2821" width="7.140625" customWidth="1"/>
    <col min="2822" max="2822" width="8.85546875" customWidth="1"/>
    <col min="2823" max="2823" width="7.5703125" customWidth="1"/>
    <col min="2824" max="2824" width="8.42578125" customWidth="1"/>
    <col min="3074" max="3074" width="7.5703125" customWidth="1"/>
    <col min="3075" max="3075" width="6.7109375" customWidth="1"/>
    <col min="3076" max="3076" width="8.42578125" customWidth="1"/>
    <col min="3077" max="3077" width="7.140625" customWidth="1"/>
    <col min="3078" max="3078" width="8.85546875" customWidth="1"/>
    <col min="3079" max="3079" width="7.5703125" customWidth="1"/>
    <col min="3080" max="3080" width="8.42578125" customWidth="1"/>
    <col min="3330" max="3330" width="7.5703125" customWidth="1"/>
    <col min="3331" max="3331" width="6.7109375" customWidth="1"/>
    <col min="3332" max="3332" width="8.42578125" customWidth="1"/>
    <col min="3333" max="3333" width="7.140625" customWidth="1"/>
    <col min="3334" max="3334" width="8.85546875" customWidth="1"/>
    <col min="3335" max="3335" width="7.5703125" customWidth="1"/>
    <col min="3336" max="3336" width="8.42578125" customWidth="1"/>
    <col min="3586" max="3586" width="7.5703125" customWidth="1"/>
    <col min="3587" max="3587" width="6.7109375" customWidth="1"/>
    <col min="3588" max="3588" width="8.42578125" customWidth="1"/>
    <col min="3589" max="3589" width="7.140625" customWidth="1"/>
    <col min="3590" max="3590" width="8.85546875" customWidth="1"/>
    <col min="3591" max="3591" width="7.5703125" customWidth="1"/>
    <col min="3592" max="3592" width="8.42578125" customWidth="1"/>
    <col min="3842" max="3842" width="7.5703125" customWidth="1"/>
    <col min="3843" max="3843" width="6.7109375" customWidth="1"/>
    <col min="3844" max="3844" width="8.42578125" customWidth="1"/>
    <col min="3845" max="3845" width="7.140625" customWidth="1"/>
    <col min="3846" max="3846" width="8.85546875" customWidth="1"/>
    <col min="3847" max="3847" width="7.5703125" customWidth="1"/>
    <col min="3848" max="3848" width="8.42578125" customWidth="1"/>
    <col min="4098" max="4098" width="7.5703125" customWidth="1"/>
    <col min="4099" max="4099" width="6.7109375" customWidth="1"/>
    <col min="4100" max="4100" width="8.42578125" customWidth="1"/>
    <col min="4101" max="4101" width="7.140625" customWidth="1"/>
    <col min="4102" max="4102" width="8.85546875" customWidth="1"/>
    <col min="4103" max="4103" width="7.5703125" customWidth="1"/>
    <col min="4104" max="4104" width="8.42578125" customWidth="1"/>
    <col min="4354" max="4354" width="7.5703125" customWidth="1"/>
    <col min="4355" max="4355" width="6.7109375" customWidth="1"/>
    <col min="4356" max="4356" width="8.42578125" customWidth="1"/>
    <col min="4357" max="4357" width="7.140625" customWidth="1"/>
    <col min="4358" max="4358" width="8.85546875" customWidth="1"/>
    <col min="4359" max="4359" width="7.5703125" customWidth="1"/>
    <col min="4360" max="4360" width="8.42578125" customWidth="1"/>
    <col min="4610" max="4610" width="7.5703125" customWidth="1"/>
    <col min="4611" max="4611" width="6.7109375" customWidth="1"/>
    <col min="4612" max="4612" width="8.42578125" customWidth="1"/>
    <col min="4613" max="4613" width="7.140625" customWidth="1"/>
    <col min="4614" max="4614" width="8.85546875" customWidth="1"/>
    <col min="4615" max="4615" width="7.5703125" customWidth="1"/>
    <col min="4616" max="4616" width="8.42578125" customWidth="1"/>
    <col min="4866" max="4866" width="7.5703125" customWidth="1"/>
    <col min="4867" max="4867" width="6.7109375" customWidth="1"/>
    <col min="4868" max="4868" width="8.42578125" customWidth="1"/>
    <col min="4869" max="4869" width="7.140625" customWidth="1"/>
    <col min="4870" max="4870" width="8.85546875" customWidth="1"/>
    <col min="4871" max="4871" width="7.5703125" customWidth="1"/>
    <col min="4872" max="4872" width="8.42578125" customWidth="1"/>
    <col min="5122" max="5122" width="7.5703125" customWidth="1"/>
    <col min="5123" max="5123" width="6.7109375" customWidth="1"/>
    <col min="5124" max="5124" width="8.42578125" customWidth="1"/>
    <col min="5125" max="5125" width="7.140625" customWidth="1"/>
    <col min="5126" max="5126" width="8.85546875" customWidth="1"/>
    <col min="5127" max="5127" width="7.5703125" customWidth="1"/>
    <col min="5128" max="5128" width="8.42578125" customWidth="1"/>
    <col min="5378" max="5378" width="7.5703125" customWidth="1"/>
    <col min="5379" max="5379" width="6.7109375" customWidth="1"/>
    <col min="5380" max="5380" width="8.42578125" customWidth="1"/>
    <col min="5381" max="5381" width="7.140625" customWidth="1"/>
    <col min="5382" max="5382" width="8.85546875" customWidth="1"/>
    <col min="5383" max="5383" width="7.5703125" customWidth="1"/>
    <col min="5384" max="5384" width="8.42578125" customWidth="1"/>
    <col min="5634" max="5634" width="7.5703125" customWidth="1"/>
    <col min="5635" max="5635" width="6.7109375" customWidth="1"/>
    <col min="5636" max="5636" width="8.42578125" customWidth="1"/>
    <col min="5637" max="5637" width="7.140625" customWidth="1"/>
    <col min="5638" max="5638" width="8.85546875" customWidth="1"/>
    <col min="5639" max="5639" width="7.5703125" customWidth="1"/>
    <col min="5640" max="5640" width="8.42578125" customWidth="1"/>
    <col min="5890" max="5890" width="7.5703125" customWidth="1"/>
    <col min="5891" max="5891" width="6.7109375" customWidth="1"/>
    <col min="5892" max="5892" width="8.42578125" customWidth="1"/>
    <col min="5893" max="5893" width="7.140625" customWidth="1"/>
    <col min="5894" max="5894" width="8.85546875" customWidth="1"/>
    <col min="5895" max="5895" width="7.5703125" customWidth="1"/>
    <col min="5896" max="5896" width="8.42578125" customWidth="1"/>
    <col min="6146" max="6146" width="7.5703125" customWidth="1"/>
    <col min="6147" max="6147" width="6.7109375" customWidth="1"/>
    <col min="6148" max="6148" width="8.42578125" customWidth="1"/>
    <col min="6149" max="6149" width="7.140625" customWidth="1"/>
    <col min="6150" max="6150" width="8.85546875" customWidth="1"/>
    <col min="6151" max="6151" width="7.5703125" customWidth="1"/>
    <col min="6152" max="6152" width="8.42578125" customWidth="1"/>
    <col min="6402" max="6402" width="7.5703125" customWidth="1"/>
    <col min="6403" max="6403" width="6.7109375" customWidth="1"/>
    <col min="6404" max="6404" width="8.42578125" customWidth="1"/>
    <col min="6405" max="6405" width="7.140625" customWidth="1"/>
    <col min="6406" max="6406" width="8.85546875" customWidth="1"/>
    <col min="6407" max="6407" width="7.5703125" customWidth="1"/>
    <col min="6408" max="6408" width="8.42578125" customWidth="1"/>
    <col min="6658" max="6658" width="7.5703125" customWidth="1"/>
    <col min="6659" max="6659" width="6.7109375" customWidth="1"/>
    <col min="6660" max="6660" width="8.42578125" customWidth="1"/>
    <col min="6661" max="6661" width="7.140625" customWidth="1"/>
    <col min="6662" max="6662" width="8.85546875" customWidth="1"/>
    <col min="6663" max="6663" width="7.5703125" customWidth="1"/>
    <col min="6664" max="6664" width="8.42578125" customWidth="1"/>
    <col min="6914" max="6914" width="7.5703125" customWidth="1"/>
    <col min="6915" max="6915" width="6.7109375" customWidth="1"/>
    <col min="6916" max="6916" width="8.42578125" customWidth="1"/>
    <col min="6917" max="6917" width="7.140625" customWidth="1"/>
    <col min="6918" max="6918" width="8.85546875" customWidth="1"/>
    <col min="6919" max="6919" width="7.5703125" customWidth="1"/>
    <col min="6920" max="6920" width="8.42578125" customWidth="1"/>
    <col min="7170" max="7170" width="7.5703125" customWidth="1"/>
    <col min="7171" max="7171" width="6.7109375" customWidth="1"/>
    <col min="7172" max="7172" width="8.42578125" customWidth="1"/>
    <col min="7173" max="7173" width="7.140625" customWidth="1"/>
    <col min="7174" max="7174" width="8.85546875" customWidth="1"/>
    <col min="7175" max="7175" width="7.5703125" customWidth="1"/>
    <col min="7176" max="7176" width="8.42578125" customWidth="1"/>
    <col min="7426" max="7426" width="7.5703125" customWidth="1"/>
    <col min="7427" max="7427" width="6.7109375" customWidth="1"/>
    <col min="7428" max="7428" width="8.42578125" customWidth="1"/>
    <col min="7429" max="7429" width="7.140625" customWidth="1"/>
    <col min="7430" max="7430" width="8.85546875" customWidth="1"/>
    <col min="7431" max="7431" width="7.5703125" customWidth="1"/>
    <col min="7432" max="7432" width="8.42578125" customWidth="1"/>
    <col min="7682" max="7682" width="7.5703125" customWidth="1"/>
    <col min="7683" max="7683" width="6.7109375" customWidth="1"/>
    <col min="7684" max="7684" width="8.42578125" customWidth="1"/>
    <col min="7685" max="7685" width="7.140625" customWidth="1"/>
    <col min="7686" max="7686" width="8.85546875" customWidth="1"/>
    <col min="7687" max="7687" width="7.5703125" customWidth="1"/>
    <col min="7688" max="7688" width="8.42578125" customWidth="1"/>
    <col min="7938" max="7938" width="7.5703125" customWidth="1"/>
    <col min="7939" max="7939" width="6.7109375" customWidth="1"/>
    <col min="7940" max="7940" width="8.42578125" customWidth="1"/>
    <col min="7941" max="7941" width="7.140625" customWidth="1"/>
    <col min="7942" max="7942" width="8.85546875" customWidth="1"/>
    <col min="7943" max="7943" width="7.5703125" customWidth="1"/>
    <col min="7944" max="7944" width="8.42578125" customWidth="1"/>
    <col min="8194" max="8194" width="7.5703125" customWidth="1"/>
    <col min="8195" max="8195" width="6.7109375" customWidth="1"/>
    <col min="8196" max="8196" width="8.42578125" customWidth="1"/>
    <col min="8197" max="8197" width="7.140625" customWidth="1"/>
    <col min="8198" max="8198" width="8.85546875" customWidth="1"/>
    <col min="8199" max="8199" width="7.5703125" customWidth="1"/>
    <col min="8200" max="8200" width="8.42578125" customWidth="1"/>
    <col min="8450" max="8450" width="7.5703125" customWidth="1"/>
    <col min="8451" max="8451" width="6.7109375" customWidth="1"/>
    <col min="8452" max="8452" width="8.42578125" customWidth="1"/>
    <col min="8453" max="8453" width="7.140625" customWidth="1"/>
    <col min="8454" max="8454" width="8.85546875" customWidth="1"/>
    <col min="8455" max="8455" width="7.5703125" customWidth="1"/>
    <col min="8456" max="8456" width="8.42578125" customWidth="1"/>
    <col min="8706" max="8706" width="7.5703125" customWidth="1"/>
    <col min="8707" max="8707" width="6.7109375" customWidth="1"/>
    <col min="8708" max="8708" width="8.42578125" customWidth="1"/>
    <col min="8709" max="8709" width="7.140625" customWidth="1"/>
    <col min="8710" max="8710" width="8.85546875" customWidth="1"/>
    <col min="8711" max="8711" width="7.5703125" customWidth="1"/>
    <col min="8712" max="8712" width="8.42578125" customWidth="1"/>
    <col min="8962" max="8962" width="7.5703125" customWidth="1"/>
    <col min="8963" max="8963" width="6.7109375" customWidth="1"/>
    <col min="8964" max="8964" width="8.42578125" customWidth="1"/>
    <col min="8965" max="8965" width="7.140625" customWidth="1"/>
    <col min="8966" max="8966" width="8.85546875" customWidth="1"/>
    <col min="8967" max="8967" width="7.5703125" customWidth="1"/>
    <col min="8968" max="8968" width="8.42578125" customWidth="1"/>
    <col min="9218" max="9218" width="7.5703125" customWidth="1"/>
    <col min="9219" max="9219" width="6.7109375" customWidth="1"/>
    <col min="9220" max="9220" width="8.42578125" customWidth="1"/>
    <col min="9221" max="9221" width="7.140625" customWidth="1"/>
    <col min="9222" max="9222" width="8.85546875" customWidth="1"/>
    <col min="9223" max="9223" width="7.5703125" customWidth="1"/>
    <col min="9224" max="9224" width="8.42578125" customWidth="1"/>
    <col min="9474" max="9474" width="7.5703125" customWidth="1"/>
    <col min="9475" max="9475" width="6.7109375" customWidth="1"/>
    <col min="9476" max="9476" width="8.42578125" customWidth="1"/>
    <col min="9477" max="9477" width="7.140625" customWidth="1"/>
    <col min="9478" max="9478" width="8.85546875" customWidth="1"/>
    <col min="9479" max="9479" width="7.5703125" customWidth="1"/>
    <col min="9480" max="9480" width="8.42578125" customWidth="1"/>
    <col min="9730" max="9730" width="7.5703125" customWidth="1"/>
    <col min="9731" max="9731" width="6.7109375" customWidth="1"/>
    <col min="9732" max="9732" width="8.42578125" customWidth="1"/>
    <col min="9733" max="9733" width="7.140625" customWidth="1"/>
    <col min="9734" max="9734" width="8.85546875" customWidth="1"/>
    <col min="9735" max="9735" width="7.5703125" customWidth="1"/>
    <col min="9736" max="9736" width="8.42578125" customWidth="1"/>
    <col min="9986" max="9986" width="7.5703125" customWidth="1"/>
    <col min="9987" max="9987" width="6.7109375" customWidth="1"/>
    <col min="9988" max="9988" width="8.42578125" customWidth="1"/>
    <col min="9989" max="9989" width="7.140625" customWidth="1"/>
    <col min="9990" max="9990" width="8.85546875" customWidth="1"/>
    <col min="9991" max="9991" width="7.5703125" customWidth="1"/>
    <col min="9992" max="9992" width="8.42578125" customWidth="1"/>
    <col min="10242" max="10242" width="7.5703125" customWidth="1"/>
    <col min="10243" max="10243" width="6.7109375" customWidth="1"/>
    <col min="10244" max="10244" width="8.42578125" customWidth="1"/>
    <col min="10245" max="10245" width="7.140625" customWidth="1"/>
    <col min="10246" max="10246" width="8.85546875" customWidth="1"/>
    <col min="10247" max="10247" width="7.5703125" customWidth="1"/>
    <col min="10248" max="10248" width="8.42578125" customWidth="1"/>
    <col min="10498" max="10498" width="7.5703125" customWidth="1"/>
    <col min="10499" max="10499" width="6.7109375" customWidth="1"/>
    <col min="10500" max="10500" width="8.42578125" customWidth="1"/>
    <col min="10501" max="10501" width="7.140625" customWidth="1"/>
    <col min="10502" max="10502" width="8.85546875" customWidth="1"/>
    <col min="10503" max="10503" width="7.5703125" customWidth="1"/>
    <col min="10504" max="10504" width="8.42578125" customWidth="1"/>
    <col min="10754" max="10754" width="7.5703125" customWidth="1"/>
    <col min="10755" max="10755" width="6.7109375" customWidth="1"/>
    <col min="10756" max="10756" width="8.42578125" customWidth="1"/>
    <col min="10757" max="10757" width="7.140625" customWidth="1"/>
    <col min="10758" max="10758" width="8.85546875" customWidth="1"/>
    <col min="10759" max="10759" width="7.5703125" customWidth="1"/>
    <col min="10760" max="10760" width="8.42578125" customWidth="1"/>
    <col min="11010" max="11010" width="7.5703125" customWidth="1"/>
    <col min="11011" max="11011" width="6.7109375" customWidth="1"/>
    <col min="11012" max="11012" width="8.42578125" customWidth="1"/>
    <col min="11013" max="11013" width="7.140625" customWidth="1"/>
    <col min="11014" max="11014" width="8.85546875" customWidth="1"/>
    <col min="11015" max="11015" width="7.5703125" customWidth="1"/>
    <col min="11016" max="11016" width="8.42578125" customWidth="1"/>
    <col min="11266" max="11266" width="7.5703125" customWidth="1"/>
    <col min="11267" max="11267" width="6.7109375" customWidth="1"/>
    <col min="11268" max="11268" width="8.42578125" customWidth="1"/>
    <col min="11269" max="11269" width="7.140625" customWidth="1"/>
    <col min="11270" max="11270" width="8.85546875" customWidth="1"/>
    <col min="11271" max="11271" width="7.5703125" customWidth="1"/>
    <col min="11272" max="11272" width="8.42578125" customWidth="1"/>
    <col min="11522" max="11522" width="7.5703125" customWidth="1"/>
    <col min="11523" max="11523" width="6.7109375" customWidth="1"/>
    <col min="11524" max="11524" width="8.42578125" customWidth="1"/>
    <col min="11525" max="11525" width="7.140625" customWidth="1"/>
    <col min="11526" max="11526" width="8.85546875" customWidth="1"/>
    <col min="11527" max="11527" width="7.5703125" customWidth="1"/>
    <col min="11528" max="11528" width="8.42578125" customWidth="1"/>
    <col min="11778" max="11778" width="7.5703125" customWidth="1"/>
    <col min="11779" max="11779" width="6.7109375" customWidth="1"/>
    <col min="11780" max="11780" width="8.42578125" customWidth="1"/>
    <col min="11781" max="11781" width="7.140625" customWidth="1"/>
    <col min="11782" max="11782" width="8.85546875" customWidth="1"/>
    <col min="11783" max="11783" width="7.5703125" customWidth="1"/>
    <col min="11784" max="11784" width="8.42578125" customWidth="1"/>
    <col min="12034" max="12034" width="7.5703125" customWidth="1"/>
    <col min="12035" max="12035" width="6.7109375" customWidth="1"/>
    <col min="12036" max="12036" width="8.42578125" customWidth="1"/>
    <col min="12037" max="12037" width="7.140625" customWidth="1"/>
    <col min="12038" max="12038" width="8.85546875" customWidth="1"/>
    <col min="12039" max="12039" width="7.5703125" customWidth="1"/>
    <col min="12040" max="12040" width="8.42578125" customWidth="1"/>
    <col min="12290" max="12290" width="7.5703125" customWidth="1"/>
    <col min="12291" max="12291" width="6.7109375" customWidth="1"/>
    <col min="12292" max="12292" width="8.42578125" customWidth="1"/>
    <col min="12293" max="12293" width="7.140625" customWidth="1"/>
    <col min="12294" max="12294" width="8.85546875" customWidth="1"/>
    <col min="12295" max="12295" width="7.5703125" customWidth="1"/>
    <col min="12296" max="12296" width="8.42578125" customWidth="1"/>
    <col min="12546" max="12546" width="7.5703125" customWidth="1"/>
    <col min="12547" max="12547" width="6.7109375" customWidth="1"/>
    <col min="12548" max="12548" width="8.42578125" customWidth="1"/>
    <col min="12549" max="12549" width="7.140625" customWidth="1"/>
    <col min="12550" max="12550" width="8.85546875" customWidth="1"/>
    <col min="12551" max="12551" width="7.5703125" customWidth="1"/>
    <col min="12552" max="12552" width="8.42578125" customWidth="1"/>
    <col min="12802" max="12802" width="7.5703125" customWidth="1"/>
    <col min="12803" max="12803" width="6.7109375" customWidth="1"/>
    <col min="12804" max="12804" width="8.42578125" customWidth="1"/>
    <col min="12805" max="12805" width="7.140625" customWidth="1"/>
    <col min="12806" max="12806" width="8.85546875" customWidth="1"/>
    <col min="12807" max="12807" width="7.5703125" customWidth="1"/>
    <col min="12808" max="12808" width="8.42578125" customWidth="1"/>
    <col min="13058" max="13058" width="7.5703125" customWidth="1"/>
    <col min="13059" max="13059" width="6.7109375" customWidth="1"/>
    <col min="13060" max="13060" width="8.42578125" customWidth="1"/>
    <col min="13061" max="13061" width="7.140625" customWidth="1"/>
    <col min="13062" max="13062" width="8.85546875" customWidth="1"/>
    <col min="13063" max="13063" width="7.5703125" customWidth="1"/>
    <col min="13064" max="13064" width="8.42578125" customWidth="1"/>
    <col min="13314" max="13314" width="7.5703125" customWidth="1"/>
    <col min="13315" max="13315" width="6.7109375" customWidth="1"/>
    <col min="13316" max="13316" width="8.42578125" customWidth="1"/>
    <col min="13317" max="13317" width="7.140625" customWidth="1"/>
    <col min="13318" max="13318" width="8.85546875" customWidth="1"/>
    <col min="13319" max="13319" width="7.5703125" customWidth="1"/>
    <col min="13320" max="13320" width="8.42578125" customWidth="1"/>
    <col min="13570" max="13570" width="7.5703125" customWidth="1"/>
    <col min="13571" max="13571" width="6.7109375" customWidth="1"/>
    <col min="13572" max="13572" width="8.42578125" customWidth="1"/>
    <col min="13573" max="13573" width="7.140625" customWidth="1"/>
    <col min="13574" max="13574" width="8.85546875" customWidth="1"/>
    <col min="13575" max="13575" width="7.5703125" customWidth="1"/>
    <col min="13576" max="13576" width="8.42578125" customWidth="1"/>
    <col min="13826" max="13826" width="7.5703125" customWidth="1"/>
    <col min="13827" max="13827" width="6.7109375" customWidth="1"/>
    <col min="13828" max="13828" width="8.42578125" customWidth="1"/>
    <col min="13829" max="13829" width="7.140625" customWidth="1"/>
    <col min="13830" max="13830" width="8.85546875" customWidth="1"/>
    <col min="13831" max="13831" width="7.5703125" customWidth="1"/>
    <col min="13832" max="13832" width="8.42578125" customWidth="1"/>
    <col min="14082" max="14082" width="7.5703125" customWidth="1"/>
    <col min="14083" max="14083" width="6.7109375" customWidth="1"/>
    <col min="14084" max="14084" width="8.42578125" customWidth="1"/>
    <col min="14085" max="14085" width="7.140625" customWidth="1"/>
    <col min="14086" max="14086" width="8.85546875" customWidth="1"/>
    <col min="14087" max="14087" width="7.5703125" customWidth="1"/>
    <col min="14088" max="14088" width="8.42578125" customWidth="1"/>
    <col min="14338" max="14338" width="7.5703125" customWidth="1"/>
    <col min="14339" max="14339" width="6.7109375" customWidth="1"/>
    <col min="14340" max="14340" width="8.42578125" customWidth="1"/>
    <col min="14341" max="14341" width="7.140625" customWidth="1"/>
    <col min="14342" max="14342" width="8.85546875" customWidth="1"/>
    <col min="14343" max="14343" width="7.5703125" customWidth="1"/>
    <col min="14344" max="14344" width="8.42578125" customWidth="1"/>
    <col min="14594" max="14594" width="7.5703125" customWidth="1"/>
    <col min="14595" max="14595" width="6.7109375" customWidth="1"/>
    <col min="14596" max="14596" width="8.42578125" customWidth="1"/>
    <col min="14597" max="14597" width="7.140625" customWidth="1"/>
    <col min="14598" max="14598" width="8.85546875" customWidth="1"/>
    <col min="14599" max="14599" width="7.5703125" customWidth="1"/>
    <col min="14600" max="14600" width="8.42578125" customWidth="1"/>
    <col min="14850" max="14850" width="7.5703125" customWidth="1"/>
    <col min="14851" max="14851" width="6.7109375" customWidth="1"/>
    <col min="14852" max="14852" width="8.42578125" customWidth="1"/>
    <col min="14853" max="14853" width="7.140625" customWidth="1"/>
    <col min="14854" max="14854" width="8.85546875" customWidth="1"/>
    <col min="14855" max="14855" width="7.5703125" customWidth="1"/>
    <col min="14856" max="14856" width="8.42578125" customWidth="1"/>
    <col min="15106" max="15106" width="7.5703125" customWidth="1"/>
    <col min="15107" max="15107" width="6.7109375" customWidth="1"/>
    <col min="15108" max="15108" width="8.42578125" customWidth="1"/>
    <col min="15109" max="15109" width="7.140625" customWidth="1"/>
    <col min="15110" max="15110" width="8.85546875" customWidth="1"/>
    <col min="15111" max="15111" width="7.5703125" customWidth="1"/>
    <col min="15112" max="15112" width="8.42578125" customWidth="1"/>
    <col min="15362" max="15362" width="7.5703125" customWidth="1"/>
    <col min="15363" max="15363" width="6.7109375" customWidth="1"/>
    <col min="15364" max="15364" width="8.42578125" customWidth="1"/>
    <col min="15365" max="15365" width="7.140625" customWidth="1"/>
    <col min="15366" max="15366" width="8.85546875" customWidth="1"/>
    <col min="15367" max="15367" width="7.5703125" customWidth="1"/>
    <col min="15368" max="15368" width="8.42578125" customWidth="1"/>
    <col min="15618" max="15618" width="7.5703125" customWidth="1"/>
    <col min="15619" max="15619" width="6.7109375" customWidth="1"/>
    <col min="15620" max="15620" width="8.42578125" customWidth="1"/>
    <col min="15621" max="15621" width="7.140625" customWidth="1"/>
    <col min="15622" max="15622" width="8.85546875" customWidth="1"/>
    <col min="15623" max="15623" width="7.5703125" customWidth="1"/>
    <col min="15624" max="15624" width="8.42578125" customWidth="1"/>
    <col min="15874" max="15874" width="7.5703125" customWidth="1"/>
    <col min="15875" max="15875" width="6.7109375" customWidth="1"/>
    <col min="15876" max="15876" width="8.42578125" customWidth="1"/>
    <col min="15877" max="15877" width="7.140625" customWidth="1"/>
    <col min="15878" max="15878" width="8.85546875" customWidth="1"/>
    <col min="15879" max="15879" width="7.5703125" customWidth="1"/>
    <col min="15880" max="15880" width="8.42578125" customWidth="1"/>
    <col min="16130" max="16130" width="7.5703125" customWidth="1"/>
    <col min="16131" max="16131" width="6.7109375" customWidth="1"/>
    <col min="16132" max="16132" width="8.42578125" customWidth="1"/>
    <col min="16133" max="16133" width="7.140625" customWidth="1"/>
    <col min="16134" max="16134" width="8.85546875" customWidth="1"/>
    <col min="16135" max="16135" width="7.5703125" customWidth="1"/>
    <col min="16136" max="16136" width="8.42578125" customWidth="1"/>
  </cols>
  <sheetData>
    <row r="2" spans="1:19">
      <c r="B2" s="31"/>
      <c r="C2" s="31"/>
      <c r="D2" s="31"/>
      <c r="E2" s="31"/>
      <c r="F2" s="31"/>
    </row>
    <row r="3" spans="1:19">
      <c r="B3" s="42" t="s">
        <v>1558</v>
      </c>
      <c r="C3" s="42" t="s">
        <v>1559</v>
      </c>
      <c r="D3" s="42" t="s">
        <v>1080</v>
      </c>
      <c r="E3" s="42" t="s">
        <v>1079</v>
      </c>
      <c r="F3" s="42" t="s">
        <v>1075</v>
      </c>
      <c r="G3" s="42" t="s">
        <v>1077</v>
      </c>
      <c r="H3" s="42" t="s">
        <v>1560</v>
      </c>
      <c r="I3" s="42" t="s">
        <v>346</v>
      </c>
      <c r="L3" s="31"/>
      <c r="M3" s="31"/>
      <c r="N3" s="31"/>
      <c r="O3" s="31"/>
      <c r="P3" s="31"/>
      <c r="Q3" s="31"/>
      <c r="R3" s="31"/>
      <c r="S3" s="31"/>
    </row>
    <row r="4" spans="1:19">
      <c r="A4">
        <v>2010</v>
      </c>
      <c r="B4" s="31">
        <v>5.38</v>
      </c>
      <c r="C4" s="31">
        <v>5.56</v>
      </c>
      <c r="D4" s="31">
        <v>28.13</v>
      </c>
      <c r="E4" s="31">
        <v>16.149999999999999</v>
      </c>
      <c r="F4" s="31">
        <v>13.19</v>
      </c>
      <c r="G4" s="31">
        <v>2.78</v>
      </c>
      <c r="H4" s="31">
        <v>9.1999999999999993</v>
      </c>
      <c r="I4" s="31">
        <v>19.62</v>
      </c>
      <c r="K4" s="31"/>
    </row>
    <row r="5" spans="1:19">
      <c r="A5">
        <v>2011</v>
      </c>
      <c r="B5" s="31">
        <v>5.37</v>
      </c>
      <c r="C5" s="31">
        <v>3.75</v>
      </c>
      <c r="D5" s="31">
        <v>26.09</v>
      </c>
      <c r="E5" s="31">
        <v>18.77</v>
      </c>
      <c r="F5" s="31">
        <v>12.06</v>
      </c>
      <c r="G5" s="31">
        <v>3.75</v>
      </c>
      <c r="H5" s="31">
        <v>8.1</v>
      </c>
      <c r="I5" s="31">
        <v>21.74</v>
      </c>
      <c r="K5" s="31"/>
    </row>
    <row r="6" spans="1:19">
      <c r="A6">
        <v>2012</v>
      </c>
      <c r="B6" s="31">
        <v>5.61</v>
      </c>
      <c r="C6" s="31">
        <v>6.73</v>
      </c>
      <c r="D6" s="31">
        <v>25.61</v>
      </c>
      <c r="E6" s="31">
        <v>17.010000000000002</v>
      </c>
      <c r="F6" s="31">
        <v>10.47</v>
      </c>
      <c r="G6" s="31">
        <v>3.55</v>
      </c>
      <c r="H6" s="31">
        <v>8.41</v>
      </c>
      <c r="I6" s="31">
        <v>22.62</v>
      </c>
      <c r="K6" s="31"/>
    </row>
    <row r="7" spans="1:19">
      <c r="A7">
        <v>2013</v>
      </c>
      <c r="B7" s="31">
        <v>5.59</v>
      </c>
      <c r="C7" s="31">
        <v>7.25</v>
      </c>
      <c r="D7" s="31">
        <v>27.74</v>
      </c>
      <c r="E7" s="31">
        <v>17.18</v>
      </c>
      <c r="F7" s="31">
        <v>10.35</v>
      </c>
      <c r="G7" s="31">
        <v>4.1399999999999997</v>
      </c>
      <c r="H7" s="31">
        <v>6.83</v>
      </c>
      <c r="I7" s="31">
        <v>20.91</v>
      </c>
      <c r="K7" s="31"/>
    </row>
    <row r="8" spans="1:19">
      <c r="A8">
        <v>2014</v>
      </c>
      <c r="B8" s="31">
        <v>5.91</v>
      </c>
      <c r="C8" s="31">
        <v>6.14</v>
      </c>
      <c r="D8" s="31">
        <v>27.73</v>
      </c>
      <c r="E8" s="31">
        <v>19.32</v>
      </c>
      <c r="F8" s="31">
        <v>11.59</v>
      </c>
      <c r="G8" s="31">
        <v>5</v>
      </c>
      <c r="H8" s="31">
        <v>4.32</v>
      </c>
      <c r="I8" s="31">
        <v>20</v>
      </c>
    </row>
    <row r="9" spans="1:19">
      <c r="A9">
        <v>2015</v>
      </c>
      <c r="B9" s="31">
        <v>5.74</v>
      </c>
      <c r="C9" s="31">
        <v>6.6</v>
      </c>
      <c r="D9" s="31">
        <v>27.45</v>
      </c>
      <c r="E9" s="31">
        <v>18.940000000000001</v>
      </c>
      <c r="F9" s="31">
        <v>10.85</v>
      </c>
      <c r="G9" s="31">
        <v>5.74</v>
      </c>
      <c r="H9" s="31">
        <v>4.47</v>
      </c>
      <c r="I9" s="31">
        <v>20.21</v>
      </c>
    </row>
    <row r="10" spans="1:19">
      <c r="A10">
        <v>2016</v>
      </c>
      <c r="B10" s="31">
        <v>5.4</v>
      </c>
      <c r="C10" s="31">
        <v>7.13</v>
      </c>
      <c r="D10" s="31">
        <v>27.21</v>
      </c>
      <c r="E10" s="31">
        <v>17.93</v>
      </c>
      <c r="F10" s="31">
        <v>11.45</v>
      </c>
      <c r="G10" s="31">
        <v>5.83</v>
      </c>
      <c r="H10" s="31">
        <v>4.54</v>
      </c>
      <c r="I10" s="31">
        <v>20.52</v>
      </c>
      <c r="N10" s="42"/>
    </row>
    <row r="11" spans="1:19">
      <c r="A11">
        <v>2017</v>
      </c>
      <c r="B11" s="31">
        <v>5.8695652173913047</v>
      </c>
      <c r="C11" s="31">
        <v>8.0434782608695592</v>
      </c>
      <c r="D11" s="31">
        <v>27.826086956521738</v>
      </c>
      <c r="E11" s="31">
        <v>16.739130434782609</v>
      </c>
      <c r="F11" s="31">
        <v>11.739130434782609</v>
      </c>
      <c r="G11" s="31">
        <v>5.6521739130434785</v>
      </c>
      <c r="H11" s="31">
        <v>3.0434782608695654</v>
      </c>
      <c r="I11" s="31">
        <v>21.086956521739133</v>
      </c>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dimension ref="A1:W33"/>
  <sheetViews>
    <sheetView workbookViewId="0">
      <selection activeCell="B13" sqref="B13"/>
    </sheetView>
  </sheetViews>
  <sheetFormatPr baseColWidth="10" defaultRowHeight="15"/>
  <cols>
    <col min="1" max="1" width="14.7109375" style="847" customWidth="1"/>
    <col min="2" max="2" width="9.85546875" style="847" customWidth="1"/>
    <col min="3" max="4" width="8.7109375" style="847" customWidth="1"/>
    <col min="5" max="5" width="3.140625" style="847" customWidth="1"/>
    <col min="6" max="7" width="8.28515625" style="847" customWidth="1"/>
    <col min="8" max="8" width="2.28515625" style="847" customWidth="1"/>
    <col min="9" max="10" width="8.28515625" style="847" customWidth="1"/>
    <col min="11" max="11" width="2.7109375" style="847" customWidth="1"/>
    <col min="12" max="12" width="8.28515625" style="847" customWidth="1"/>
    <col min="13" max="13" width="8.7109375" style="847" customWidth="1"/>
    <col min="14" max="14" width="2.7109375" style="847" customWidth="1"/>
    <col min="15" max="16" width="8.7109375" style="847" customWidth="1"/>
    <col min="17" max="17" width="2.7109375" style="847" customWidth="1"/>
    <col min="18" max="19" width="8.7109375" style="847" customWidth="1"/>
    <col min="20" max="20" width="2.7109375" style="847" customWidth="1"/>
    <col min="21" max="22" width="8.7109375" style="847" customWidth="1"/>
    <col min="23" max="23" width="2.7109375" style="847" customWidth="1"/>
    <col min="24" max="256" width="11.42578125" style="847"/>
    <col min="257" max="257" width="14.7109375" style="847" customWidth="1"/>
    <col min="258" max="258" width="11.7109375" style="847" customWidth="1"/>
    <col min="259" max="260" width="8.7109375" style="847" customWidth="1"/>
    <col min="261" max="261" width="3.140625" style="847" customWidth="1"/>
    <col min="262" max="263" width="8.28515625" style="847" customWidth="1"/>
    <col min="264" max="264" width="2.28515625" style="847" customWidth="1"/>
    <col min="265" max="266" width="8.28515625" style="847" customWidth="1"/>
    <col min="267" max="267" width="2.7109375" style="847" customWidth="1"/>
    <col min="268" max="268" width="8.28515625" style="847" customWidth="1"/>
    <col min="269" max="269" width="8.7109375" style="847" customWidth="1"/>
    <col min="270" max="270" width="2.7109375" style="847" customWidth="1"/>
    <col min="271" max="272" width="8.7109375" style="847" customWidth="1"/>
    <col min="273" max="273" width="2.7109375" style="847" customWidth="1"/>
    <col min="274" max="275" width="8.7109375" style="847" customWidth="1"/>
    <col min="276" max="276" width="2.7109375" style="847" customWidth="1"/>
    <col min="277" max="278" width="8.7109375" style="847" customWidth="1"/>
    <col min="279" max="279" width="2.7109375" style="847" customWidth="1"/>
    <col min="280" max="512" width="11.42578125" style="847"/>
    <col min="513" max="513" width="14.7109375" style="847" customWidth="1"/>
    <col min="514" max="514" width="11.7109375" style="847" customWidth="1"/>
    <col min="515" max="516" width="8.7109375" style="847" customWidth="1"/>
    <col min="517" max="517" width="3.140625" style="847" customWidth="1"/>
    <col min="518" max="519" width="8.28515625" style="847" customWidth="1"/>
    <col min="520" max="520" width="2.28515625" style="847" customWidth="1"/>
    <col min="521" max="522" width="8.28515625" style="847" customWidth="1"/>
    <col min="523" max="523" width="2.7109375" style="847" customWidth="1"/>
    <col min="524" max="524" width="8.28515625" style="847" customWidth="1"/>
    <col min="525" max="525" width="8.7109375" style="847" customWidth="1"/>
    <col min="526" max="526" width="2.7109375" style="847" customWidth="1"/>
    <col min="527" max="528" width="8.7109375" style="847" customWidth="1"/>
    <col min="529" max="529" width="2.7109375" style="847" customWidth="1"/>
    <col min="530" max="531" width="8.7109375" style="847" customWidth="1"/>
    <col min="532" max="532" width="2.7109375" style="847" customWidth="1"/>
    <col min="533" max="534" width="8.7109375" style="847" customWidth="1"/>
    <col min="535" max="535" width="2.7109375" style="847" customWidth="1"/>
    <col min="536" max="768" width="11.42578125" style="847"/>
    <col min="769" max="769" width="14.7109375" style="847" customWidth="1"/>
    <col min="770" max="770" width="11.7109375" style="847" customWidth="1"/>
    <col min="771" max="772" width="8.7109375" style="847" customWidth="1"/>
    <col min="773" max="773" width="3.140625" style="847" customWidth="1"/>
    <col min="774" max="775" width="8.28515625" style="847" customWidth="1"/>
    <col min="776" max="776" width="2.28515625" style="847" customWidth="1"/>
    <col min="777" max="778" width="8.28515625" style="847" customWidth="1"/>
    <col min="779" max="779" width="2.7109375" style="847" customWidth="1"/>
    <col min="780" max="780" width="8.28515625" style="847" customWidth="1"/>
    <col min="781" max="781" width="8.7109375" style="847" customWidth="1"/>
    <col min="782" max="782" width="2.7109375" style="847" customWidth="1"/>
    <col min="783" max="784" width="8.7109375" style="847" customWidth="1"/>
    <col min="785" max="785" width="2.7109375" style="847" customWidth="1"/>
    <col min="786" max="787" width="8.7109375" style="847" customWidth="1"/>
    <col min="788" max="788" width="2.7109375" style="847" customWidth="1"/>
    <col min="789" max="790" width="8.7109375" style="847" customWidth="1"/>
    <col min="791" max="791" width="2.7109375" style="847" customWidth="1"/>
    <col min="792" max="1024" width="11.42578125" style="847"/>
    <col min="1025" max="1025" width="14.7109375" style="847" customWidth="1"/>
    <col min="1026" max="1026" width="11.7109375" style="847" customWidth="1"/>
    <col min="1027" max="1028" width="8.7109375" style="847" customWidth="1"/>
    <col min="1029" max="1029" width="3.140625" style="847" customWidth="1"/>
    <col min="1030" max="1031" width="8.28515625" style="847" customWidth="1"/>
    <col min="1032" max="1032" width="2.28515625" style="847" customWidth="1"/>
    <col min="1033" max="1034" width="8.28515625" style="847" customWidth="1"/>
    <col min="1035" max="1035" width="2.7109375" style="847" customWidth="1"/>
    <col min="1036" max="1036" width="8.28515625" style="847" customWidth="1"/>
    <col min="1037" max="1037" width="8.7109375" style="847" customWidth="1"/>
    <col min="1038" max="1038" width="2.7109375" style="847" customWidth="1"/>
    <col min="1039" max="1040" width="8.7109375" style="847" customWidth="1"/>
    <col min="1041" max="1041" width="2.7109375" style="847" customWidth="1"/>
    <col min="1042" max="1043" width="8.7109375" style="847" customWidth="1"/>
    <col min="1044" max="1044" width="2.7109375" style="847" customWidth="1"/>
    <col min="1045" max="1046" width="8.7109375" style="847" customWidth="1"/>
    <col min="1047" max="1047" width="2.7109375" style="847" customWidth="1"/>
    <col min="1048" max="1280" width="11.42578125" style="847"/>
    <col min="1281" max="1281" width="14.7109375" style="847" customWidth="1"/>
    <col min="1282" max="1282" width="11.7109375" style="847" customWidth="1"/>
    <col min="1283" max="1284" width="8.7109375" style="847" customWidth="1"/>
    <col min="1285" max="1285" width="3.140625" style="847" customWidth="1"/>
    <col min="1286" max="1287" width="8.28515625" style="847" customWidth="1"/>
    <col min="1288" max="1288" width="2.28515625" style="847" customWidth="1"/>
    <col min="1289" max="1290" width="8.28515625" style="847" customWidth="1"/>
    <col min="1291" max="1291" width="2.7109375" style="847" customWidth="1"/>
    <col min="1292" max="1292" width="8.28515625" style="847" customWidth="1"/>
    <col min="1293" max="1293" width="8.7109375" style="847" customWidth="1"/>
    <col min="1294" max="1294" width="2.7109375" style="847" customWidth="1"/>
    <col min="1295" max="1296" width="8.7109375" style="847" customWidth="1"/>
    <col min="1297" max="1297" width="2.7109375" style="847" customWidth="1"/>
    <col min="1298" max="1299" width="8.7109375" style="847" customWidth="1"/>
    <col min="1300" max="1300" width="2.7109375" style="847" customWidth="1"/>
    <col min="1301" max="1302" width="8.7109375" style="847" customWidth="1"/>
    <col min="1303" max="1303" width="2.7109375" style="847" customWidth="1"/>
    <col min="1304" max="1536" width="11.42578125" style="847"/>
    <col min="1537" max="1537" width="14.7109375" style="847" customWidth="1"/>
    <col min="1538" max="1538" width="11.7109375" style="847" customWidth="1"/>
    <col min="1539" max="1540" width="8.7109375" style="847" customWidth="1"/>
    <col min="1541" max="1541" width="3.140625" style="847" customWidth="1"/>
    <col min="1542" max="1543" width="8.28515625" style="847" customWidth="1"/>
    <col min="1544" max="1544" width="2.28515625" style="847" customWidth="1"/>
    <col min="1545" max="1546" width="8.28515625" style="847" customWidth="1"/>
    <col min="1547" max="1547" width="2.7109375" style="847" customWidth="1"/>
    <col min="1548" max="1548" width="8.28515625" style="847" customWidth="1"/>
    <col min="1549" max="1549" width="8.7109375" style="847" customWidth="1"/>
    <col min="1550" max="1550" width="2.7109375" style="847" customWidth="1"/>
    <col min="1551" max="1552" width="8.7109375" style="847" customWidth="1"/>
    <col min="1553" max="1553" width="2.7109375" style="847" customWidth="1"/>
    <col min="1554" max="1555" width="8.7109375" style="847" customWidth="1"/>
    <col min="1556" max="1556" width="2.7109375" style="847" customWidth="1"/>
    <col min="1557" max="1558" width="8.7109375" style="847" customWidth="1"/>
    <col min="1559" max="1559" width="2.7109375" style="847" customWidth="1"/>
    <col min="1560" max="1792" width="11.42578125" style="847"/>
    <col min="1793" max="1793" width="14.7109375" style="847" customWidth="1"/>
    <col min="1794" max="1794" width="11.7109375" style="847" customWidth="1"/>
    <col min="1795" max="1796" width="8.7109375" style="847" customWidth="1"/>
    <col min="1797" max="1797" width="3.140625" style="847" customWidth="1"/>
    <col min="1798" max="1799" width="8.28515625" style="847" customWidth="1"/>
    <col min="1800" max="1800" width="2.28515625" style="847" customWidth="1"/>
    <col min="1801" max="1802" width="8.28515625" style="847" customWidth="1"/>
    <col min="1803" max="1803" width="2.7109375" style="847" customWidth="1"/>
    <col min="1804" max="1804" width="8.28515625" style="847" customWidth="1"/>
    <col min="1805" max="1805" width="8.7109375" style="847" customWidth="1"/>
    <col min="1806" max="1806" width="2.7109375" style="847" customWidth="1"/>
    <col min="1807" max="1808" width="8.7109375" style="847" customWidth="1"/>
    <col min="1809" max="1809" width="2.7109375" style="847" customWidth="1"/>
    <col min="1810" max="1811" width="8.7109375" style="847" customWidth="1"/>
    <col min="1812" max="1812" width="2.7109375" style="847" customWidth="1"/>
    <col min="1813" max="1814" width="8.7109375" style="847" customWidth="1"/>
    <col min="1815" max="1815" width="2.7109375" style="847" customWidth="1"/>
    <col min="1816" max="2048" width="11.42578125" style="847"/>
    <col min="2049" max="2049" width="14.7109375" style="847" customWidth="1"/>
    <col min="2050" max="2050" width="11.7109375" style="847" customWidth="1"/>
    <col min="2051" max="2052" width="8.7109375" style="847" customWidth="1"/>
    <col min="2053" max="2053" width="3.140625" style="847" customWidth="1"/>
    <col min="2054" max="2055" width="8.28515625" style="847" customWidth="1"/>
    <col min="2056" max="2056" width="2.28515625" style="847" customWidth="1"/>
    <col min="2057" max="2058" width="8.28515625" style="847" customWidth="1"/>
    <col min="2059" max="2059" width="2.7109375" style="847" customWidth="1"/>
    <col min="2060" max="2060" width="8.28515625" style="847" customWidth="1"/>
    <col min="2061" max="2061" width="8.7109375" style="847" customWidth="1"/>
    <col min="2062" max="2062" width="2.7109375" style="847" customWidth="1"/>
    <col min="2063" max="2064" width="8.7109375" style="847" customWidth="1"/>
    <col min="2065" max="2065" width="2.7109375" style="847" customWidth="1"/>
    <col min="2066" max="2067" width="8.7109375" style="847" customWidth="1"/>
    <col min="2068" max="2068" width="2.7109375" style="847" customWidth="1"/>
    <col min="2069" max="2070" width="8.7109375" style="847" customWidth="1"/>
    <col min="2071" max="2071" width="2.7109375" style="847" customWidth="1"/>
    <col min="2072" max="2304" width="11.42578125" style="847"/>
    <col min="2305" max="2305" width="14.7109375" style="847" customWidth="1"/>
    <col min="2306" max="2306" width="11.7109375" style="847" customWidth="1"/>
    <col min="2307" max="2308" width="8.7109375" style="847" customWidth="1"/>
    <col min="2309" max="2309" width="3.140625" style="847" customWidth="1"/>
    <col min="2310" max="2311" width="8.28515625" style="847" customWidth="1"/>
    <col min="2312" max="2312" width="2.28515625" style="847" customWidth="1"/>
    <col min="2313" max="2314" width="8.28515625" style="847" customWidth="1"/>
    <col min="2315" max="2315" width="2.7109375" style="847" customWidth="1"/>
    <col min="2316" max="2316" width="8.28515625" style="847" customWidth="1"/>
    <col min="2317" max="2317" width="8.7109375" style="847" customWidth="1"/>
    <col min="2318" max="2318" width="2.7109375" style="847" customWidth="1"/>
    <col min="2319" max="2320" width="8.7109375" style="847" customWidth="1"/>
    <col min="2321" max="2321" width="2.7109375" style="847" customWidth="1"/>
    <col min="2322" max="2323" width="8.7109375" style="847" customWidth="1"/>
    <col min="2324" max="2324" width="2.7109375" style="847" customWidth="1"/>
    <col min="2325" max="2326" width="8.7109375" style="847" customWidth="1"/>
    <col min="2327" max="2327" width="2.7109375" style="847" customWidth="1"/>
    <col min="2328" max="2560" width="11.42578125" style="847"/>
    <col min="2561" max="2561" width="14.7109375" style="847" customWidth="1"/>
    <col min="2562" max="2562" width="11.7109375" style="847" customWidth="1"/>
    <col min="2563" max="2564" width="8.7109375" style="847" customWidth="1"/>
    <col min="2565" max="2565" width="3.140625" style="847" customWidth="1"/>
    <col min="2566" max="2567" width="8.28515625" style="847" customWidth="1"/>
    <col min="2568" max="2568" width="2.28515625" style="847" customWidth="1"/>
    <col min="2569" max="2570" width="8.28515625" style="847" customWidth="1"/>
    <col min="2571" max="2571" width="2.7109375" style="847" customWidth="1"/>
    <col min="2572" max="2572" width="8.28515625" style="847" customWidth="1"/>
    <col min="2573" max="2573" width="8.7109375" style="847" customWidth="1"/>
    <col min="2574" max="2574" width="2.7109375" style="847" customWidth="1"/>
    <col min="2575" max="2576" width="8.7109375" style="847" customWidth="1"/>
    <col min="2577" max="2577" width="2.7109375" style="847" customWidth="1"/>
    <col min="2578" max="2579" width="8.7109375" style="847" customWidth="1"/>
    <col min="2580" max="2580" width="2.7109375" style="847" customWidth="1"/>
    <col min="2581" max="2582" width="8.7109375" style="847" customWidth="1"/>
    <col min="2583" max="2583" width="2.7109375" style="847" customWidth="1"/>
    <col min="2584" max="2816" width="11.42578125" style="847"/>
    <col min="2817" max="2817" width="14.7109375" style="847" customWidth="1"/>
    <col min="2818" max="2818" width="11.7109375" style="847" customWidth="1"/>
    <col min="2819" max="2820" width="8.7109375" style="847" customWidth="1"/>
    <col min="2821" max="2821" width="3.140625" style="847" customWidth="1"/>
    <col min="2822" max="2823" width="8.28515625" style="847" customWidth="1"/>
    <col min="2824" max="2824" width="2.28515625" style="847" customWidth="1"/>
    <col min="2825" max="2826" width="8.28515625" style="847" customWidth="1"/>
    <col min="2827" max="2827" width="2.7109375" style="847" customWidth="1"/>
    <col min="2828" max="2828" width="8.28515625" style="847" customWidth="1"/>
    <col min="2829" max="2829" width="8.7109375" style="847" customWidth="1"/>
    <col min="2830" max="2830" width="2.7109375" style="847" customWidth="1"/>
    <col min="2831" max="2832" width="8.7109375" style="847" customWidth="1"/>
    <col min="2833" max="2833" width="2.7109375" style="847" customWidth="1"/>
    <col min="2834" max="2835" width="8.7109375" style="847" customWidth="1"/>
    <col min="2836" max="2836" width="2.7109375" style="847" customWidth="1"/>
    <col min="2837" max="2838" width="8.7109375" style="847" customWidth="1"/>
    <col min="2839" max="2839" width="2.7109375" style="847" customWidth="1"/>
    <col min="2840" max="3072" width="11.42578125" style="847"/>
    <col min="3073" max="3073" width="14.7109375" style="847" customWidth="1"/>
    <col min="3074" max="3074" width="11.7109375" style="847" customWidth="1"/>
    <col min="3075" max="3076" width="8.7109375" style="847" customWidth="1"/>
    <col min="3077" max="3077" width="3.140625" style="847" customWidth="1"/>
    <col min="3078" max="3079" width="8.28515625" style="847" customWidth="1"/>
    <col min="3080" max="3080" width="2.28515625" style="847" customWidth="1"/>
    <col min="3081" max="3082" width="8.28515625" style="847" customWidth="1"/>
    <col min="3083" max="3083" width="2.7109375" style="847" customWidth="1"/>
    <col min="3084" max="3084" width="8.28515625" style="847" customWidth="1"/>
    <col min="3085" max="3085" width="8.7109375" style="847" customWidth="1"/>
    <col min="3086" max="3086" width="2.7109375" style="847" customWidth="1"/>
    <col min="3087" max="3088" width="8.7109375" style="847" customWidth="1"/>
    <col min="3089" max="3089" width="2.7109375" style="847" customWidth="1"/>
    <col min="3090" max="3091" width="8.7109375" style="847" customWidth="1"/>
    <col min="3092" max="3092" width="2.7109375" style="847" customWidth="1"/>
    <col min="3093" max="3094" width="8.7109375" style="847" customWidth="1"/>
    <col min="3095" max="3095" width="2.7109375" style="847" customWidth="1"/>
    <col min="3096" max="3328" width="11.42578125" style="847"/>
    <col min="3329" max="3329" width="14.7109375" style="847" customWidth="1"/>
    <col min="3330" max="3330" width="11.7109375" style="847" customWidth="1"/>
    <col min="3331" max="3332" width="8.7109375" style="847" customWidth="1"/>
    <col min="3333" max="3333" width="3.140625" style="847" customWidth="1"/>
    <col min="3334" max="3335" width="8.28515625" style="847" customWidth="1"/>
    <col min="3336" max="3336" width="2.28515625" style="847" customWidth="1"/>
    <col min="3337" max="3338" width="8.28515625" style="847" customWidth="1"/>
    <col min="3339" max="3339" width="2.7109375" style="847" customWidth="1"/>
    <col min="3340" max="3340" width="8.28515625" style="847" customWidth="1"/>
    <col min="3341" max="3341" width="8.7109375" style="847" customWidth="1"/>
    <col min="3342" max="3342" width="2.7109375" style="847" customWidth="1"/>
    <col min="3343" max="3344" width="8.7109375" style="847" customWidth="1"/>
    <col min="3345" max="3345" width="2.7109375" style="847" customWidth="1"/>
    <col min="3346" max="3347" width="8.7109375" style="847" customWidth="1"/>
    <col min="3348" max="3348" width="2.7109375" style="847" customWidth="1"/>
    <col min="3349" max="3350" width="8.7109375" style="847" customWidth="1"/>
    <col min="3351" max="3351" width="2.7109375" style="847" customWidth="1"/>
    <col min="3352" max="3584" width="11.42578125" style="847"/>
    <col min="3585" max="3585" width="14.7109375" style="847" customWidth="1"/>
    <col min="3586" max="3586" width="11.7109375" style="847" customWidth="1"/>
    <col min="3587" max="3588" width="8.7109375" style="847" customWidth="1"/>
    <col min="3589" max="3589" width="3.140625" style="847" customWidth="1"/>
    <col min="3590" max="3591" width="8.28515625" style="847" customWidth="1"/>
    <col min="3592" max="3592" width="2.28515625" style="847" customWidth="1"/>
    <col min="3593" max="3594" width="8.28515625" style="847" customWidth="1"/>
    <col min="3595" max="3595" width="2.7109375" style="847" customWidth="1"/>
    <col min="3596" max="3596" width="8.28515625" style="847" customWidth="1"/>
    <col min="3597" max="3597" width="8.7109375" style="847" customWidth="1"/>
    <col min="3598" max="3598" width="2.7109375" style="847" customWidth="1"/>
    <col min="3599" max="3600" width="8.7109375" style="847" customWidth="1"/>
    <col min="3601" max="3601" width="2.7109375" style="847" customWidth="1"/>
    <col min="3602" max="3603" width="8.7109375" style="847" customWidth="1"/>
    <col min="3604" max="3604" width="2.7109375" style="847" customWidth="1"/>
    <col min="3605" max="3606" width="8.7109375" style="847" customWidth="1"/>
    <col min="3607" max="3607" width="2.7109375" style="847" customWidth="1"/>
    <col min="3608" max="3840" width="11.42578125" style="847"/>
    <col min="3841" max="3841" width="14.7109375" style="847" customWidth="1"/>
    <col min="3842" max="3842" width="11.7109375" style="847" customWidth="1"/>
    <col min="3843" max="3844" width="8.7109375" style="847" customWidth="1"/>
    <col min="3845" max="3845" width="3.140625" style="847" customWidth="1"/>
    <col min="3846" max="3847" width="8.28515625" style="847" customWidth="1"/>
    <col min="3848" max="3848" width="2.28515625" style="847" customWidth="1"/>
    <col min="3849" max="3850" width="8.28515625" style="847" customWidth="1"/>
    <col min="3851" max="3851" width="2.7109375" style="847" customWidth="1"/>
    <col min="3852" max="3852" width="8.28515625" style="847" customWidth="1"/>
    <col min="3853" max="3853" width="8.7109375" style="847" customWidth="1"/>
    <col min="3854" max="3854" width="2.7109375" style="847" customWidth="1"/>
    <col min="3855" max="3856" width="8.7109375" style="847" customWidth="1"/>
    <col min="3857" max="3857" width="2.7109375" style="847" customWidth="1"/>
    <col min="3858" max="3859" width="8.7109375" style="847" customWidth="1"/>
    <col min="3860" max="3860" width="2.7109375" style="847" customWidth="1"/>
    <col min="3861" max="3862" width="8.7109375" style="847" customWidth="1"/>
    <col min="3863" max="3863" width="2.7109375" style="847" customWidth="1"/>
    <col min="3864" max="4096" width="11.42578125" style="847"/>
    <col min="4097" max="4097" width="14.7109375" style="847" customWidth="1"/>
    <col min="4098" max="4098" width="11.7109375" style="847" customWidth="1"/>
    <col min="4099" max="4100" width="8.7109375" style="847" customWidth="1"/>
    <col min="4101" max="4101" width="3.140625" style="847" customWidth="1"/>
    <col min="4102" max="4103" width="8.28515625" style="847" customWidth="1"/>
    <col min="4104" max="4104" width="2.28515625" style="847" customWidth="1"/>
    <col min="4105" max="4106" width="8.28515625" style="847" customWidth="1"/>
    <col min="4107" max="4107" width="2.7109375" style="847" customWidth="1"/>
    <col min="4108" max="4108" width="8.28515625" style="847" customWidth="1"/>
    <col min="4109" max="4109" width="8.7109375" style="847" customWidth="1"/>
    <col min="4110" max="4110" width="2.7109375" style="847" customWidth="1"/>
    <col min="4111" max="4112" width="8.7109375" style="847" customWidth="1"/>
    <col min="4113" max="4113" width="2.7109375" style="847" customWidth="1"/>
    <col min="4114" max="4115" width="8.7109375" style="847" customWidth="1"/>
    <col min="4116" max="4116" width="2.7109375" style="847" customWidth="1"/>
    <col min="4117" max="4118" width="8.7109375" style="847" customWidth="1"/>
    <col min="4119" max="4119" width="2.7109375" style="847" customWidth="1"/>
    <col min="4120" max="4352" width="11.42578125" style="847"/>
    <col min="4353" max="4353" width="14.7109375" style="847" customWidth="1"/>
    <col min="4354" max="4354" width="11.7109375" style="847" customWidth="1"/>
    <col min="4355" max="4356" width="8.7109375" style="847" customWidth="1"/>
    <col min="4357" max="4357" width="3.140625" style="847" customWidth="1"/>
    <col min="4358" max="4359" width="8.28515625" style="847" customWidth="1"/>
    <col min="4360" max="4360" width="2.28515625" style="847" customWidth="1"/>
    <col min="4361" max="4362" width="8.28515625" style="847" customWidth="1"/>
    <col min="4363" max="4363" width="2.7109375" style="847" customWidth="1"/>
    <col min="4364" max="4364" width="8.28515625" style="847" customWidth="1"/>
    <col min="4365" max="4365" width="8.7109375" style="847" customWidth="1"/>
    <col min="4366" max="4366" width="2.7109375" style="847" customWidth="1"/>
    <col min="4367" max="4368" width="8.7109375" style="847" customWidth="1"/>
    <col min="4369" max="4369" width="2.7109375" style="847" customWidth="1"/>
    <col min="4370" max="4371" width="8.7109375" style="847" customWidth="1"/>
    <col min="4372" max="4372" width="2.7109375" style="847" customWidth="1"/>
    <col min="4373" max="4374" width="8.7109375" style="847" customWidth="1"/>
    <col min="4375" max="4375" width="2.7109375" style="847" customWidth="1"/>
    <col min="4376" max="4608" width="11.42578125" style="847"/>
    <col min="4609" max="4609" width="14.7109375" style="847" customWidth="1"/>
    <col min="4610" max="4610" width="11.7109375" style="847" customWidth="1"/>
    <col min="4611" max="4612" width="8.7109375" style="847" customWidth="1"/>
    <col min="4613" max="4613" width="3.140625" style="847" customWidth="1"/>
    <col min="4614" max="4615" width="8.28515625" style="847" customWidth="1"/>
    <col min="4616" max="4616" width="2.28515625" style="847" customWidth="1"/>
    <col min="4617" max="4618" width="8.28515625" style="847" customWidth="1"/>
    <col min="4619" max="4619" width="2.7109375" style="847" customWidth="1"/>
    <col min="4620" max="4620" width="8.28515625" style="847" customWidth="1"/>
    <col min="4621" max="4621" width="8.7109375" style="847" customWidth="1"/>
    <col min="4622" max="4622" width="2.7109375" style="847" customWidth="1"/>
    <col min="4623" max="4624" width="8.7109375" style="847" customWidth="1"/>
    <col min="4625" max="4625" width="2.7109375" style="847" customWidth="1"/>
    <col min="4626" max="4627" width="8.7109375" style="847" customWidth="1"/>
    <col min="4628" max="4628" width="2.7109375" style="847" customWidth="1"/>
    <col min="4629" max="4630" width="8.7109375" style="847" customWidth="1"/>
    <col min="4631" max="4631" width="2.7109375" style="847" customWidth="1"/>
    <col min="4632" max="4864" width="11.42578125" style="847"/>
    <col min="4865" max="4865" width="14.7109375" style="847" customWidth="1"/>
    <col min="4866" max="4866" width="11.7109375" style="847" customWidth="1"/>
    <col min="4867" max="4868" width="8.7109375" style="847" customWidth="1"/>
    <col min="4869" max="4869" width="3.140625" style="847" customWidth="1"/>
    <col min="4870" max="4871" width="8.28515625" style="847" customWidth="1"/>
    <col min="4872" max="4872" width="2.28515625" style="847" customWidth="1"/>
    <col min="4873" max="4874" width="8.28515625" style="847" customWidth="1"/>
    <col min="4875" max="4875" width="2.7109375" style="847" customWidth="1"/>
    <col min="4876" max="4876" width="8.28515625" style="847" customWidth="1"/>
    <col min="4877" max="4877" width="8.7109375" style="847" customWidth="1"/>
    <col min="4878" max="4878" width="2.7109375" style="847" customWidth="1"/>
    <col min="4879" max="4880" width="8.7109375" style="847" customWidth="1"/>
    <col min="4881" max="4881" width="2.7109375" style="847" customWidth="1"/>
    <col min="4882" max="4883" width="8.7109375" style="847" customWidth="1"/>
    <col min="4884" max="4884" width="2.7109375" style="847" customWidth="1"/>
    <col min="4885" max="4886" width="8.7109375" style="847" customWidth="1"/>
    <col min="4887" max="4887" width="2.7109375" style="847" customWidth="1"/>
    <col min="4888" max="5120" width="11.42578125" style="847"/>
    <col min="5121" max="5121" width="14.7109375" style="847" customWidth="1"/>
    <col min="5122" max="5122" width="11.7109375" style="847" customWidth="1"/>
    <col min="5123" max="5124" width="8.7109375" style="847" customWidth="1"/>
    <col min="5125" max="5125" width="3.140625" style="847" customWidth="1"/>
    <col min="5126" max="5127" width="8.28515625" style="847" customWidth="1"/>
    <col min="5128" max="5128" width="2.28515625" style="847" customWidth="1"/>
    <col min="5129" max="5130" width="8.28515625" style="847" customWidth="1"/>
    <col min="5131" max="5131" width="2.7109375" style="847" customWidth="1"/>
    <col min="5132" max="5132" width="8.28515625" style="847" customWidth="1"/>
    <col min="5133" max="5133" width="8.7109375" style="847" customWidth="1"/>
    <col min="5134" max="5134" width="2.7109375" style="847" customWidth="1"/>
    <col min="5135" max="5136" width="8.7109375" style="847" customWidth="1"/>
    <col min="5137" max="5137" width="2.7109375" style="847" customWidth="1"/>
    <col min="5138" max="5139" width="8.7109375" style="847" customWidth="1"/>
    <col min="5140" max="5140" width="2.7109375" style="847" customWidth="1"/>
    <col min="5141" max="5142" width="8.7109375" style="847" customWidth="1"/>
    <col min="5143" max="5143" width="2.7109375" style="847" customWidth="1"/>
    <col min="5144" max="5376" width="11.42578125" style="847"/>
    <col min="5377" max="5377" width="14.7109375" style="847" customWidth="1"/>
    <col min="5378" max="5378" width="11.7109375" style="847" customWidth="1"/>
    <col min="5379" max="5380" width="8.7109375" style="847" customWidth="1"/>
    <col min="5381" max="5381" width="3.140625" style="847" customWidth="1"/>
    <col min="5382" max="5383" width="8.28515625" style="847" customWidth="1"/>
    <col min="5384" max="5384" width="2.28515625" style="847" customWidth="1"/>
    <col min="5385" max="5386" width="8.28515625" style="847" customWidth="1"/>
    <col min="5387" max="5387" width="2.7109375" style="847" customWidth="1"/>
    <col min="5388" max="5388" width="8.28515625" style="847" customWidth="1"/>
    <col min="5389" max="5389" width="8.7109375" style="847" customWidth="1"/>
    <col min="5390" max="5390" width="2.7109375" style="847" customWidth="1"/>
    <col min="5391" max="5392" width="8.7109375" style="847" customWidth="1"/>
    <col min="5393" max="5393" width="2.7109375" style="847" customWidth="1"/>
    <col min="5394" max="5395" width="8.7109375" style="847" customWidth="1"/>
    <col min="5396" max="5396" width="2.7109375" style="847" customWidth="1"/>
    <col min="5397" max="5398" width="8.7109375" style="847" customWidth="1"/>
    <col min="5399" max="5399" width="2.7109375" style="847" customWidth="1"/>
    <col min="5400" max="5632" width="11.42578125" style="847"/>
    <col min="5633" max="5633" width="14.7109375" style="847" customWidth="1"/>
    <col min="5634" max="5634" width="11.7109375" style="847" customWidth="1"/>
    <col min="5635" max="5636" width="8.7109375" style="847" customWidth="1"/>
    <col min="5637" max="5637" width="3.140625" style="847" customWidth="1"/>
    <col min="5638" max="5639" width="8.28515625" style="847" customWidth="1"/>
    <col min="5640" max="5640" width="2.28515625" style="847" customWidth="1"/>
    <col min="5641" max="5642" width="8.28515625" style="847" customWidth="1"/>
    <col min="5643" max="5643" width="2.7109375" style="847" customWidth="1"/>
    <col min="5644" max="5644" width="8.28515625" style="847" customWidth="1"/>
    <col min="5645" max="5645" width="8.7109375" style="847" customWidth="1"/>
    <col min="5646" max="5646" width="2.7109375" style="847" customWidth="1"/>
    <col min="5647" max="5648" width="8.7109375" style="847" customWidth="1"/>
    <col min="5649" max="5649" width="2.7109375" style="847" customWidth="1"/>
    <col min="5650" max="5651" width="8.7109375" style="847" customWidth="1"/>
    <col min="5652" max="5652" width="2.7109375" style="847" customWidth="1"/>
    <col min="5653" max="5654" width="8.7109375" style="847" customWidth="1"/>
    <col min="5655" max="5655" width="2.7109375" style="847" customWidth="1"/>
    <col min="5656" max="5888" width="11.42578125" style="847"/>
    <col min="5889" max="5889" width="14.7109375" style="847" customWidth="1"/>
    <col min="5890" max="5890" width="11.7109375" style="847" customWidth="1"/>
    <col min="5891" max="5892" width="8.7109375" style="847" customWidth="1"/>
    <col min="5893" max="5893" width="3.140625" style="847" customWidth="1"/>
    <col min="5894" max="5895" width="8.28515625" style="847" customWidth="1"/>
    <col min="5896" max="5896" width="2.28515625" style="847" customWidth="1"/>
    <col min="5897" max="5898" width="8.28515625" style="847" customWidth="1"/>
    <col min="5899" max="5899" width="2.7109375" style="847" customWidth="1"/>
    <col min="5900" max="5900" width="8.28515625" style="847" customWidth="1"/>
    <col min="5901" max="5901" width="8.7109375" style="847" customWidth="1"/>
    <col min="5902" max="5902" width="2.7109375" style="847" customWidth="1"/>
    <col min="5903" max="5904" width="8.7109375" style="847" customWidth="1"/>
    <col min="5905" max="5905" width="2.7109375" style="847" customWidth="1"/>
    <col min="5906" max="5907" width="8.7109375" style="847" customWidth="1"/>
    <col min="5908" max="5908" width="2.7109375" style="847" customWidth="1"/>
    <col min="5909" max="5910" width="8.7109375" style="847" customWidth="1"/>
    <col min="5911" max="5911" width="2.7109375" style="847" customWidth="1"/>
    <col min="5912" max="6144" width="11.42578125" style="847"/>
    <col min="6145" max="6145" width="14.7109375" style="847" customWidth="1"/>
    <col min="6146" max="6146" width="11.7109375" style="847" customWidth="1"/>
    <col min="6147" max="6148" width="8.7109375" style="847" customWidth="1"/>
    <col min="6149" max="6149" width="3.140625" style="847" customWidth="1"/>
    <col min="6150" max="6151" width="8.28515625" style="847" customWidth="1"/>
    <col min="6152" max="6152" width="2.28515625" style="847" customWidth="1"/>
    <col min="6153" max="6154" width="8.28515625" style="847" customWidth="1"/>
    <col min="6155" max="6155" width="2.7109375" style="847" customWidth="1"/>
    <col min="6156" max="6156" width="8.28515625" style="847" customWidth="1"/>
    <col min="6157" max="6157" width="8.7109375" style="847" customWidth="1"/>
    <col min="6158" max="6158" width="2.7109375" style="847" customWidth="1"/>
    <col min="6159" max="6160" width="8.7109375" style="847" customWidth="1"/>
    <col min="6161" max="6161" width="2.7109375" style="847" customWidth="1"/>
    <col min="6162" max="6163" width="8.7109375" style="847" customWidth="1"/>
    <col min="6164" max="6164" width="2.7109375" style="847" customWidth="1"/>
    <col min="6165" max="6166" width="8.7109375" style="847" customWidth="1"/>
    <col min="6167" max="6167" width="2.7109375" style="847" customWidth="1"/>
    <col min="6168" max="6400" width="11.42578125" style="847"/>
    <col min="6401" max="6401" width="14.7109375" style="847" customWidth="1"/>
    <col min="6402" max="6402" width="11.7109375" style="847" customWidth="1"/>
    <col min="6403" max="6404" width="8.7109375" style="847" customWidth="1"/>
    <col min="6405" max="6405" width="3.140625" style="847" customWidth="1"/>
    <col min="6406" max="6407" width="8.28515625" style="847" customWidth="1"/>
    <col min="6408" max="6408" width="2.28515625" style="847" customWidth="1"/>
    <col min="6409" max="6410" width="8.28515625" style="847" customWidth="1"/>
    <col min="6411" max="6411" width="2.7109375" style="847" customWidth="1"/>
    <col min="6412" max="6412" width="8.28515625" style="847" customWidth="1"/>
    <col min="6413" max="6413" width="8.7109375" style="847" customWidth="1"/>
    <col min="6414" max="6414" width="2.7109375" style="847" customWidth="1"/>
    <col min="6415" max="6416" width="8.7109375" style="847" customWidth="1"/>
    <col min="6417" max="6417" width="2.7109375" style="847" customWidth="1"/>
    <col min="6418" max="6419" width="8.7109375" style="847" customWidth="1"/>
    <col min="6420" max="6420" width="2.7109375" style="847" customWidth="1"/>
    <col min="6421" max="6422" width="8.7109375" style="847" customWidth="1"/>
    <col min="6423" max="6423" width="2.7109375" style="847" customWidth="1"/>
    <col min="6424" max="6656" width="11.42578125" style="847"/>
    <col min="6657" max="6657" width="14.7109375" style="847" customWidth="1"/>
    <col min="6658" max="6658" width="11.7109375" style="847" customWidth="1"/>
    <col min="6659" max="6660" width="8.7109375" style="847" customWidth="1"/>
    <col min="6661" max="6661" width="3.140625" style="847" customWidth="1"/>
    <col min="6662" max="6663" width="8.28515625" style="847" customWidth="1"/>
    <col min="6664" max="6664" width="2.28515625" style="847" customWidth="1"/>
    <col min="6665" max="6666" width="8.28515625" style="847" customWidth="1"/>
    <col min="6667" max="6667" width="2.7109375" style="847" customWidth="1"/>
    <col min="6668" max="6668" width="8.28515625" style="847" customWidth="1"/>
    <col min="6669" max="6669" width="8.7109375" style="847" customWidth="1"/>
    <col min="6670" max="6670" width="2.7109375" style="847" customWidth="1"/>
    <col min="6671" max="6672" width="8.7109375" style="847" customWidth="1"/>
    <col min="6673" max="6673" width="2.7109375" style="847" customWidth="1"/>
    <col min="6674" max="6675" width="8.7109375" style="847" customWidth="1"/>
    <col min="6676" max="6676" width="2.7109375" style="847" customWidth="1"/>
    <col min="6677" max="6678" width="8.7109375" style="847" customWidth="1"/>
    <col min="6679" max="6679" width="2.7109375" style="847" customWidth="1"/>
    <col min="6680" max="6912" width="11.42578125" style="847"/>
    <col min="6913" max="6913" width="14.7109375" style="847" customWidth="1"/>
    <col min="6914" max="6914" width="11.7109375" style="847" customWidth="1"/>
    <col min="6915" max="6916" width="8.7109375" style="847" customWidth="1"/>
    <col min="6917" max="6917" width="3.140625" style="847" customWidth="1"/>
    <col min="6918" max="6919" width="8.28515625" style="847" customWidth="1"/>
    <col min="6920" max="6920" width="2.28515625" style="847" customWidth="1"/>
    <col min="6921" max="6922" width="8.28515625" style="847" customWidth="1"/>
    <col min="6923" max="6923" width="2.7109375" style="847" customWidth="1"/>
    <col min="6924" max="6924" width="8.28515625" style="847" customWidth="1"/>
    <col min="6925" max="6925" width="8.7109375" style="847" customWidth="1"/>
    <col min="6926" max="6926" width="2.7109375" style="847" customWidth="1"/>
    <col min="6927" max="6928" width="8.7109375" style="847" customWidth="1"/>
    <col min="6929" max="6929" width="2.7109375" style="847" customWidth="1"/>
    <col min="6930" max="6931" width="8.7109375" style="847" customWidth="1"/>
    <col min="6932" max="6932" width="2.7109375" style="847" customWidth="1"/>
    <col min="6933" max="6934" width="8.7109375" style="847" customWidth="1"/>
    <col min="6935" max="6935" width="2.7109375" style="847" customWidth="1"/>
    <col min="6936" max="7168" width="11.42578125" style="847"/>
    <col min="7169" max="7169" width="14.7109375" style="847" customWidth="1"/>
    <col min="7170" max="7170" width="11.7109375" style="847" customWidth="1"/>
    <col min="7171" max="7172" width="8.7109375" style="847" customWidth="1"/>
    <col min="7173" max="7173" width="3.140625" style="847" customWidth="1"/>
    <col min="7174" max="7175" width="8.28515625" style="847" customWidth="1"/>
    <col min="7176" max="7176" width="2.28515625" style="847" customWidth="1"/>
    <col min="7177" max="7178" width="8.28515625" style="847" customWidth="1"/>
    <col min="7179" max="7179" width="2.7109375" style="847" customWidth="1"/>
    <col min="7180" max="7180" width="8.28515625" style="847" customWidth="1"/>
    <col min="7181" max="7181" width="8.7109375" style="847" customWidth="1"/>
    <col min="7182" max="7182" width="2.7109375" style="847" customWidth="1"/>
    <col min="7183" max="7184" width="8.7109375" style="847" customWidth="1"/>
    <col min="7185" max="7185" width="2.7109375" style="847" customWidth="1"/>
    <col min="7186" max="7187" width="8.7109375" style="847" customWidth="1"/>
    <col min="7188" max="7188" width="2.7109375" style="847" customWidth="1"/>
    <col min="7189" max="7190" width="8.7109375" style="847" customWidth="1"/>
    <col min="7191" max="7191" width="2.7109375" style="847" customWidth="1"/>
    <col min="7192" max="7424" width="11.42578125" style="847"/>
    <col min="7425" max="7425" width="14.7109375" style="847" customWidth="1"/>
    <col min="7426" max="7426" width="11.7109375" style="847" customWidth="1"/>
    <col min="7427" max="7428" width="8.7109375" style="847" customWidth="1"/>
    <col min="7429" max="7429" width="3.140625" style="847" customWidth="1"/>
    <col min="7430" max="7431" width="8.28515625" style="847" customWidth="1"/>
    <col min="7432" max="7432" width="2.28515625" style="847" customWidth="1"/>
    <col min="7433" max="7434" width="8.28515625" style="847" customWidth="1"/>
    <col min="7435" max="7435" width="2.7109375" style="847" customWidth="1"/>
    <col min="7436" max="7436" width="8.28515625" style="847" customWidth="1"/>
    <col min="7437" max="7437" width="8.7109375" style="847" customWidth="1"/>
    <col min="7438" max="7438" width="2.7109375" style="847" customWidth="1"/>
    <col min="7439" max="7440" width="8.7109375" style="847" customWidth="1"/>
    <col min="7441" max="7441" width="2.7109375" style="847" customWidth="1"/>
    <col min="7442" max="7443" width="8.7109375" style="847" customWidth="1"/>
    <col min="7444" max="7444" width="2.7109375" style="847" customWidth="1"/>
    <col min="7445" max="7446" width="8.7109375" style="847" customWidth="1"/>
    <col min="7447" max="7447" width="2.7109375" style="847" customWidth="1"/>
    <col min="7448" max="7680" width="11.42578125" style="847"/>
    <col min="7681" max="7681" width="14.7109375" style="847" customWidth="1"/>
    <col min="7682" max="7682" width="11.7109375" style="847" customWidth="1"/>
    <col min="7683" max="7684" width="8.7109375" style="847" customWidth="1"/>
    <col min="7685" max="7685" width="3.140625" style="847" customWidth="1"/>
    <col min="7686" max="7687" width="8.28515625" style="847" customWidth="1"/>
    <col min="7688" max="7688" width="2.28515625" style="847" customWidth="1"/>
    <col min="7689" max="7690" width="8.28515625" style="847" customWidth="1"/>
    <col min="7691" max="7691" width="2.7109375" style="847" customWidth="1"/>
    <col min="7692" max="7692" width="8.28515625" style="847" customWidth="1"/>
    <col min="7693" max="7693" width="8.7109375" style="847" customWidth="1"/>
    <col min="7694" max="7694" width="2.7109375" style="847" customWidth="1"/>
    <col min="7695" max="7696" width="8.7109375" style="847" customWidth="1"/>
    <col min="7697" max="7697" width="2.7109375" style="847" customWidth="1"/>
    <col min="7698" max="7699" width="8.7109375" style="847" customWidth="1"/>
    <col min="7700" max="7700" width="2.7109375" style="847" customWidth="1"/>
    <col min="7701" max="7702" width="8.7109375" style="847" customWidth="1"/>
    <col min="7703" max="7703" width="2.7109375" style="847" customWidth="1"/>
    <col min="7704" max="7936" width="11.42578125" style="847"/>
    <col min="7937" max="7937" width="14.7109375" style="847" customWidth="1"/>
    <col min="7938" max="7938" width="11.7109375" style="847" customWidth="1"/>
    <col min="7939" max="7940" width="8.7109375" style="847" customWidth="1"/>
    <col min="7941" max="7941" width="3.140625" style="847" customWidth="1"/>
    <col min="7942" max="7943" width="8.28515625" style="847" customWidth="1"/>
    <col min="7944" max="7944" width="2.28515625" style="847" customWidth="1"/>
    <col min="7945" max="7946" width="8.28515625" style="847" customWidth="1"/>
    <col min="7947" max="7947" width="2.7109375" style="847" customWidth="1"/>
    <col min="7948" max="7948" width="8.28515625" style="847" customWidth="1"/>
    <col min="7949" max="7949" width="8.7109375" style="847" customWidth="1"/>
    <col min="7950" max="7950" width="2.7109375" style="847" customWidth="1"/>
    <col min="7951" max="7952" width="8.7109375" style="847" customWidth="1"/>
    <col min="7953" max="7953" width="2.7109375" style="847" customWidth="1"/>
    <col min="7954" max="7955" width="8.7109375" style="847" customWidth="1"/>
    <col min="7956" max="7956" width="2.7109375" style="847" customWidth="1"/>
    <col min="7957" max="7958" width="8.7109375" style="847" customWidth="1"/>
    <col min="7959" max="7959" width="2.7109375" style="847" customWidth="1"/>
    <col min="7960" max="8192" width="11.42578125" style="847"/>
    <col min="8193" max="8193" width="14.7109375" style="847" customWidth="1"/>
    <col min="8194" max="8194" width="11.7109375" style="847" customWidth="1"/>
    <col min="8195" max="8196" width="8.7109375" style="847" customWidth="1"/>
    <col min="8197" max="8197" width="3.140625" style="847" customWidth="1"/>
    <col min="8198" max="8199" width="8.28515625" style="847" customWidth="1"/>
    <col min="8200" max="8200" width="2.28515625" style="847" customWidth="1"/>
    <col min="8201" max="8202" width="8.28515625" style="847" customWidth="1"/>
    <col min="8203" max="8203" width="2.7109375" style="847" customWidth="1"/>
    <col min="8204" max="8204" width="8.28515625" style="847" customWidth="1"/>
    <col min="8205" max="8205" width="8.7109375" style="847" customWidth="1"/>
    <col min="8206" max="8206" width="2.7109375" style="847" customWidth="1"/>
    <col min="8207" max="8208" width="8.7109375" style="847" customWidth="1"/>
    <col min="8209" max="8209" width="2.7109375" style="847" customWidth="1"/>
    <col min="8210" max="8211" width="8.7109375" style="847" customWidth="1"/>
    <col min="8212" max="8212" width="2.7109375" style="847" customWidth="1"/>
    <col min="8213" max="8214" width="8.7109375" style="847" customWidth="1"/>
    <col min="8215" max="8215" width="2.7109375" style="847" customWidth="1"/>
    <col min="8216" max="8448" width="11.42578125" style="847"/>
    <col min="8449" max="8449" width="14.7109375" style="847" customWidth="1"/>
    <col min="8450" max="8450" width="11.7109375" style="847" customWidth="1"/>
    <col min="8451" max="8452" width="8.7109375" style="847" customWidth="1"/>
    <col min="8453" max="8453" width="3.140625" style="847" customWidth="1"/>
    <col min="8454" max="8455" width="8.28515625" style="847" customWidth="1"/>
    <col min="8456" max="8456" width="2.28515625" style="847" customWidth="1"/>
    <col min="8457" max="8458" width="8.28515625" style="847" customWidth="1"/>
    <col min="8459" max="8459" width="2.7109375" style="847" customWidth="1"/>
    <col min="8460" max="8460" width="8.28515625" style="847" customWidth="1"/>
    <col min="8461" max="8461" width="8.7109375" style="847" customWidth="1"/>
    <col min="8462" max="8462" width="2.7109375" style="847" customWidth="1"/>
    <col min="8463" max="8464" width="8.7109375" style="847" customWidth="1"/>
    <col min="8465" max="8465" width="2.7109375" style="847" customWidth="1"/>
    <col min="8466" max="8467" width="8.7109375" style="847" customWidth="1"/>
    <col min="8468" max="8468" width="2.7109375" style="847" customWidth="1"/>
    <col min="8469" max="8470" width="8.7109375" style="847" customWidth="1"/>
    <col min="8471" max="8471" width="2.7109375" style="847" customWidth="1"/>
    <col min="8472" max="8704" width="11.42578125" style="847"/>
    <col min="8705" max="8705" width="14.7109375" style="847" customWidth="1"/>
    <col min="8706" max="8706" width="11.7109375" style="847" customWidth="1"/>
    <col min="8707" max="8708" width="8.7109375" style="847" customWidth="1"/>
    <col min="8709" max="8709" width="3.140625" style="847" customWidth="1"/>
    <col min="8710" max="8711" width="8.28515625" style="847" customWidth="1"/>
    <col min="8712" max="8712" width="2.28515625" style="847" customWidth="1"/>
    <col min="8713" max="8714" width="8.28515625" style="847" customWidth="1"/>
    <col min="8715" max="8715" width="2.7109375" style="847" customWidth="1"/>
    <col min="8716" max="8716" width="8.28515625" style="847" customWidth="1"/>
    <col min="8717" max="8717" width="8.7109375" style="847" customWidth="1"/>
    <col min="8718" max="8718" width="2.7109375" style="847" customWidth="1"/>
    <col min="8719" max="8720" width="8.7109375" style="847" customWidth="1"/>
    <col min="8721" max="8721" width="2.7109375" style="847" customWidth="1"/>
    <col min="8722" max="8723" width="8.7109375" style="847" customWidth="1"/>
    <col min="8724" max="8724" width="2.7109375" style="847" customWidth="1"/>
    <col min="8725" max="8726" width="8.7109375" style="847" customWidth="1"/>
    <col min="8727" max="8727" width="2.7109375" style="847" customWidth="1"/>
    <col min="8728" max="8960" width="11.42578125" style="847"/>
    <col min="8961" max="8961" width="14.7109375" style="847" customWidth="1"/>
    <col min="8962" max="8962" width="11.7109375" style="847" customWidth="1"/>
    <col min="8963" max="8964" width="8.7109375" style="847" customWidth="1"/>
    <col min="8965" max="8965" width="3.140625" style="847" customWidth="1"/>
    <col min="8966" max="8967" width="8.28515625" style="847" customWidth="1"/>
    <col min="8968" max="8968" width="2.28515625" style="847" customWidth="1"/>
    <col min="8969" max="8970" width="8.28515625" style="847" customWidth="1"/>
    <col min="8971" max="8971" width="2.7109375" style="847" customWidth="1"/>
    <col min="8972" max="8972" width="8.28515625" style="847" customWidth="1"/>
    <col min="8973" max="8973" width="8.7109375" style="847" customWidth="1"/>
    <col min="8974" max="8974" width="2.7109375" style="847" customWidth="1"/>
    <col min="8975" max="8976" width="8.7109375" style="847" customWidth="1"/>
    <col min="8977" max="8977" width="2.7109375" style="847" customWidth="1"/>
    <col min="8978" max="8979" width="8.7109375" style="847" customWidth="1"/>
    <col min="8980" max="8980" width="2.7109375" style="847" customWidth="1"/>
    <col min="8981" max="8982" width="8.7109375" style="847" customWidth="1"/>
    <col min="8983" max="8983" width="2.7109375" style="847" customWidth="1"/>
    <col min="8984" max="9216" width="11.42578125" style="847"/>
    <col min="9217" max="9217" width="14.7109375" style="847" customWidth="1"/>
    <col min="9218" max="9218" width="11.7109375" style="847" customWidth="1"/>
    <col min="9219" max="9220" width="8.7109375" style="847" customWidth="1"/>
    <col min="9221" max="9221" width="3.140625" style="847" customWidth="1"/>
    <col min="9222" max="9223" width="8.28515625" style="847" customWidth="1"/>
    <col min="9224" max="9224" width="2.28515625" style="847" customWidth="1"/>
    <col min="9225" max="9226" width="8.28515625" style="847" customWidth="1"/>
    <col min="9227" max="9227" width="2.7109375" style="847" customWidth="1"/>
    <col min="9228" max="9228" width="8.28515625" style="847" customWidth="1"/>
    <col min="9229" max="9229" width="8.7109375" style="847" customWidth="1"/>
    <col min="9230" max="9230" width="2.7109375" style="847" customWidth="1"/>
    <col min="9231" max="9232" width="8.7109375" style="847" customWidth="1"/>
    <col min="9233" max="9233" width="2.7109375" style="847" customWidth="1"/>
    <col min="9234" max="9235" width="8.7109375" style="847" customWidth="1"/>
    <col min="9236" max="9236" width="2.7109375" style="847" customWidth="1"/>
    <col min="9237" max="9238" width="8.7109375" style="847" customWidth="1"/>
    <col min="9239" max="9239" width="2.7109375" style="847" customWidth="1"/>
    <col min="9240" max="9472" width="11.42578125" style="847"/>
    <col min="9473" max="9473" width="14.7109375" style="847" customWidth="1"/>
    <col min="9474" max="9474" width="11.7109375" style="847" customWidth="1"/>
    <col min="9475" max="9476" width="8.7109375" style="847" customWidth="1"/>
    <col min="9477" max="9477" width="3.140625" style="847" customWidth="1"/>
    <col min="9478" max="9479" width="8.28515625" style="847" customWidth="1"/>
    <col min="9480" max="9480" width="2.28515625" style="847" customWidth="1"/>
    <col min="9481" max="9482" width="8.28515625" style="847" customWidth="1"/>
    <col min="9483" max="9483" width="2.7109375" style="847" customWidth="1"/>
    <col min="9484" max="9484" width="8.28515625" style="847" customWidth="1"/>
    <col min="9485" max="9485" width="8.7109375" style="847" customWidth="1"/>
    <col min="9486" max="9486" width="2.7109375" style="847" customWidth="1"/>
    <col min="9487" max="9488" width="8.7109375" style="847" customWidth="1"/>
    <col min="9489" max="9489" width="2.7109375" style="847" customWidth="1"/>
    <col min="9490" max="9491" width="8.7109375" style="847" customWidth="1"/>
    <col min="9492" max="9492" width="2.7109375" style="847" customWidth="1"/>
    <col min="9493" max="9494" width="8.7109375" style="847" customWidth="1"/>
    <col min="9495" max="9495" width="2.7109375" style="847" customWidth="1"/>
    <col min="9496" max="9728" width="11.42578125" style="847"/>
    <col min="9729" max="9729" width="14.7109375" style="847" customWidth="1"/>
    <col min="9730" max="9730" width="11.7109375" style="847" customWidth="1"/>
    <col min="9731" max="9732" width="8.7109375" style="847" customWidth="1"/>
    <col min="9733" max="9733" width="3.140625" style="847" customWidth="1"/>
    <col min="9734" max="9735" width="8.28515625" style="847" customWidth="1"/>
    <col min="9736" max="9736" width="2.28515625" style="847" customWidth="1"/>
    <col min="9737" max="9738" width="8.28515625" style="847" customWidth="1"/>
    <col min="9739" max="9739" width="2.7109375" style="847" customWidth="1"/>
    <col min="9740" max="9740" width="8.28515625" style="847" customWidth="1"/>
    <col min="9741" max="9741" width="8.7109375" style="847" customWidth="1"/>
    <col min="9742" max="9742" width="2.7109375" style="847" customWidth="1"/>
    <col min="9743" max="9744" width="8.7109375" style="847" customWidth="1"/>
    <col min="9745" max="9745" width="2.7109375" style="847" customWidth="1"/>
    <col min="9746" max="9747" width="8.7109375" style="847" customWidth="1"/>
    <col min="9748" max="9748" width="2.7109375" style="847" customWidth="1"/>
    <col min="9749" max="9750" width="8.7109375" style="847" customWidth="1"/>
    <col min="9751" max="9751" width="2.7109375" style="847" customWidth="1"/>
    <col min="9752" max="9984" width="11.42578125" style="847"/>
    <col min="9985" max="9985" width="14.7109375" style="847" customWidth="1"/>
    <col min="9986" max="9986" width="11.7109375" style="847" customWidth="1"/>
    <col min="9987" max="9988" width="8.7109375" style="847" customWidth="1"/>
    <col min="9989" max="9989" width="3.140625" style="847" customWidth="1"/>
    <col min="9990" max="9991" width="8.28515625" style="847" customWidth="1"/>
    <col min="9992" max="9992" width="2.28515625" style="847" customWidth="1"/>
    <col min="9993" max="9994" width="8.28515625" style="847" customWidth="1"/>
    <col min="9995" max="9995" width="2.7109375" style="847" customWidth="1"/>
    <col min="9996" max="9996" width="8.28515625" style="847" customWidth="1"/>
    <col min="9997" max="9997" width="8.7109375" style="847" customWidth="1"/>
    <col min="9998" max="9998" width="2.7109375" style="847" customWidth="1"/>
    <col min="9999" max="10000" width="8.7109375" style="847" customWidth="1"/>
    <col min="10001" max="10001" width="2.7109375" style="847" customWidth="1"/>
    <col min="10002" max="10003" width="8.7109375" style="847" customWidth="1"/>
    <col min="10004" max="10004" width="2.7109375" style="847" customWidth="1"/>
    <col min="10005" max="10006" width="8.7109375" style="847" customWidth="1"/>
    <col min="10007" max="10007" width="2.7109375" style="847" customWidth="1"/>
    <col min="10008" max="10240" width="11.42578125" style="847"/>
    <col min="10241" max="10241" width="14.7109375" style="847" customWidth="1"/>
    <col min="10242" max="10242" width="11.7109375" style="847" customWidth="1"/>
    <col min="10243" max="10244" width="8.7109375" style="847" customWidth="1"/>
    <col min="10245" max="10245" width="3.140625" style="847" customWidth="1"/>
    <col min="10246" max="10247" width="8.28515625" style="847" customWidth="1"/>
    <col min="10248" max="10248" width="2.28515625" style="847" customWidth="1"/>
    <col min="10249" max="10250" width="8.28515625" style="847" customWidth="1"/>
    <col min="10251" max="10251" width="2.7109375" style="847" customWidth="1"/>
    <col min="10252" max="10252" width="8.28515625" style="847" customWidth="1"/>
    <col min="10253" max="10253" width="8.7109375" style="847" customWidth="1"/>
    <col min="10254" max="10254" width="2.7109375" style="847" customWidth="1"/>
    <col min="10255" max="10256" width="8.7109375" style="847" customWidth="1"/>
    <col min="10257" max="10257" width="2.7109375" style="847" customWidth="1"/>
    <col min="10258" max="10259" width="8.7109375" style="847" customWidth="1"/>
    <col min="10260" max="10260" width="2.7109375" style="847" customWidth="1"/>
    <col min="10261" max="10262" width="8.7109375" style="847" customWidth="1"/>
    <col min="10263" max="10263" width="2.7109375" style="847" customWidth="1"/>
    <col min="10264" max="10496" width="11.42578125" style="847"/>
    <col min="10497" max="10497" width="14.7109375" style="847" customWidth="1"/>
    <col min="10498" max="10498" width="11.7109375" style="847" customWidth="1"/>
    <col min="10499" max="10500" width="8.7109375" style="847" customWidth="1"/>
    <col min="10501" max="10501" width="3.140625" style="847" customWidth="1"/>
    <col min="10502" max="10503" width="8.28515625" style="847" customWidth="1"/>
    <col min="10504" max="10504" width="2.28515625" style="847" customWidth="1"/>
    <col min="10505" max="10506" width="8.28515625" style="847" customWidth="1"/>
    <col min="10507" max="10507" width="2.7109375" style="847" customWidth="1"/>
    <col min="10508" max="10508" width="8.28515625" style="847" customWidth="1"/>
    <col min="10509" max="10509" width="8.7109375" style="847" customWidth="1"/>
    <col min="10510" max="10510" width="2.7109375" style="847" customWidth="1"/>
    <col min="10511" max="10512" width="8.7109375" style="847" customWidth="1"/>
    <col min="10513" max="10513" width="2.7109375" style="847" customWidth="1"/>
    <col min="10514" max="10515" width="8.7109375" style="847" customWidth="1"/>
    <col min="10516" max="10516" width="2.7109375" style="847" customWidth="1"/>
    <col min="10517" max="10518" width="8.7109375" style="847" customWidth="1"/>
    <col min="10519" max="10519" width="2.7109375" style="847" customWidth="1"/>
    <col min="10520" max="10752" width="11.42578125" style="847"/>
    <col min="10753" max="10753" width="14.7109375" style="847" customWidth="1"/>
    <col min="10754" max="10754" width="11.7109375" style="847" customWidth="1"/>
    <col min="10755" max="10756" width="8.7109375" style="847" customWidth="1"/>
    <col min="10757" max="10757" width="3.140625" style="847" customWidth="1"/>
    <col min="10758" max="10759" width="8.28515625" style="847" customWidth="1"/>
    <col min="10760" max="10760" width="2.28515625" style="847" customWidth="1"/>
    <col min="10761" max="10762" width="8.28515625" style="847" customWidth="1"/>
    <col min="10763" max="10763" width="2.7109375" style="847" customWidth="1"/>
    <col min="10764" max="10764" width="8.28515625" style="847" customWidth="1"/>
    <col min="10765" max="10765" width="8.7109375" style="847" customWidth="1"/>
    <col min="10766" max="10766" width="2.7109375" style="847" customWidth="1"/>
    <col min="10767" max="10768" width="8.7109375" style="847" customWidth="1"/>
    <col min="10769" max="10769" width="2.7109375" style="847" customWidth="1"/>
    <col min="10770" max="10771" width="8.7109375" style="847" customWidth="1"/>
    <col min="10772" max="10772" width="2.7109375" style="847" customWidth="1"/>
    <col min="10773" max="10774" width="8.7109375" style="847" customWidth="1"/>
    <col min="10775" max="10775" width="2.7109375" style="847" customWidth="1"/>
    <col min="10776" max="11008" width="11.42578125" style="847"/>
    <col min="11009" max="11009" width="14.7109375" style="847" customWidth="1"/>
    <col min="11010" max="11010" width="11.7109375" style="847" customWidth="1"/>
    <col min="11011" max="11012" width="8.7109375" style="847" customWidth="1"/>
    <col min="11013" max="11013" width="3.140625" style="847" customWidth="1"/>
    <col min="11014" max="11015" width="8.28515625" style="847" customWidth="1"/>
    <col min="11016" max="11016" width="2.28515625" style="847" customWidth="1"/>
    <col min="11017" max="11018" width="8.28515625" style="847" customWidth="1"/>
    <col min="11019" max="11019" width="2.7109375" style="847" customWidth="1"/>
    <col min="11020" max="11020" width="8.28515625" style="847" customWidth="1"/>
    <col min="11021" max="11021" width="8.7109375" style="847" customWidth="1"/>
    <col min="11022" max="11022" width="2.7109375" style="847" customWidth="1"/>
    <col min="11023" max="11024" width="8.7109375" style="847" customWidth="1"/>
    <col min="11025" max="11025" width="2.7109375" style="847" customWidth="1"/>
    <col min="11026" max="11027" width="8.7109375" style="847" customWidth="1"/>
    <col min="11028" max="11028" width="2.7109375" style="847" customWidth="1"/>
    <col min="11029" max="11030" width="8.7109375" style="847" customWidth="1"/>
    <col min="11031" max="11031" width="2.7109375" style="847" customWidth="1"/>
    <col min="11032" max="11264" width="11.42578125" style="847"/>
    <col min="11265" max="11265" width="14.7109375" style="847" customWidth="1"/>
    <col min="11266" max="11266" width="11.7109375" style="847" customWidth="1"/>
    <col min="11267" max="11268" width="8.7109375" style="847" customWidth="1"/>
    <col min="11269" max="11269" width="3.140625" style="847" customWidth="1"/>
    <col min="11270" max="11271" width="8.28515625" style="847" customWidth="1"/>
    <col min="11272" max="11272" width="2.28515625" style="847" customWidth="1"/>
    <col min="11273" max="11274" width="8.28515625" style="847" customWidth="1"/>
    <col min="11275" max="11275" width="2.7109375" style="847" customWidth="1"/>
    <col min="11276" max="11276" width="8.28515625" style="847" customWidth="1"/>
    <col min="11277" max="11277" width="8.7109375" style="847" customWidth="1"/>
    <col min="11278" max="11278" width="2.7109375" style="847" customWidth="1"/>
    <col min="11279" max="11280" width="8.7109375" style="847" customWidth="1"/>
    <col min="11281" max="11281" width="2.7109375" style="847" customWidth="1"/>
    <col min="11282" max="11283" width="8.7109375" style="847" customWidth="1"/>
    <col min="11284" max="11284" width="2.7109375" style="847" customWidth="1"/>
    <col min="11285" max="11286" width="8.7109375" style="847" customWidth="1"/>
    <col min="11287" max="11287" width="2.7109375" style="847" customWidth="1"/>
    <col min="11288" max="11520" width="11.42578125" style="847"/>
    <col min="11521" max="11521" width="14.7109375" style="847" customWidth="1"/>
    <col min="11522" max="11522" width="11.7109375" style="847" customWidth="1"/>
    <col min="11523" max="11524" width="8.7109375" style="847" customWidth="1"/>
    <col min="11525" max="11525" width="3.140625" style="847" customWidth="1"/>
    <col min="11526" max="11527" width="8.28515625" style="847" customWidth="1"/>
    <col min="11528" max="11528" width="2.28515625" style="847" customWidth="1"/>
    <col min="11529" max="11530" width="8.28515625" style="847" customWidth="1"/>
    <col min="11531" max="11531" width="2.7109375" style="847" customWidth="1"/>
    <col min="11532" max="11532" width="8.28515625" style="847" customWidth="1"/>
    <col min="11533" max="11533" width="8.7109375" style="847" customWidth="1"/>
    <col min="11534" max="11534" width="2.7109375" style="847" customWidth="1"/>
    <col min="11535" max="11536" width="8.7109375" style="847" customWidth="1"/>
    <col min="11537" max="11537" width="2.7109375" style="847" customWidth="1"/>
    <col min="11538" max="11539" width="8.7109375" style="847" customWidth="1"/>
    <col min="11540" max="11540" width="2.7109375" style="847" customWidth="1"/>
    <col min="11541" max="11542" width="8.7109375" style="847" customWidth="1"/>
    <col min="11543" max="11543" width="2.7109375" style="847" customWidth="1"/>
    <col min="11544" max="11776" width="11.42578125" style="847"/>
    <col min="11777" max="11777" width="14.7109375" style="847" customWidth="1"/>
    <col min="11778" max="11778" width="11.7109375" style="847" customWidth="1"/>
    <col min="11779" max="11780" width="8.7109375" style="847" customWidth="1"/>
    <col min="11781" max="11781" width="3.140625" style="847" customWidth="1"/>
    <col min="11782" max="11783" width="8.28515625" style="847" customWidth="1"/>
    <col min="11784" max="11784" width="2.28515625" style="847" customWidth="1"/>
    <col min="11785" max="11786" width="8.28515625" style="847" customWidth="1"/>
    <col min="11787" max="11787" width="2.7109375" style="847" customWidth="1"/>
    <col min="11788" max="11788" width="8.28515625" style="847" customWidth="1"/>
    <col min="11789" max="11789" width="8.7109375" style="847" customWidth="1"/>
    <col min="11790" max="11790" width="2.7109375" style="847" customWidth="1"/>
    <col min="11791" max="11792" width="8.7109375" style="847" customWidth="1"/>
    <col min="11793" max="11793" width="2.7109375" style="847" customWidth="1"/>
    <col min="11794" max="11795" width="8.7109375" style="847" customWidth="1"/>
    <col min="11796" max="11796" width="2.7109375" style="847" customWidth="1"/>
    <col min="11797" max="11798" width="8.7109375" style="847" customWidth="1"/>
    <col min="11799" max="11799" width="2.7109375" style="847" customWidth="1"/>
    <col min="11800" max="12032" width="11.42578125" style="847"/>
    <col min="12033" max="12033" width="14.7109375" style="847" customWidth="1"/>
    <col min="12034" max="12034" width="11.7109375" style="847" customWidth="1"/>
    <col min="12035" max="12036" width="8.7109375" style="847" customWidth="1"/>
    <col min="12037" max="12037" width="3.140625" style="847" customWidth="1"/>
    <col min="12038" max="12039" width="8.28515625" style="847" customWidth="1"/>
    <col min="12040" max="12040" width="2.28515625" style="847" customWidth="1"/>
    <col min="12041" max="12042" width="8.28515625" style="847" customWidth="1"/>
    <col min="12043" max="12043" width="2.7109375" style="847" customWidth="1"/>
    <col min="12044" max="12044" width="8.28515625" style="847" customWidth="1"/>
    <col min="12045" max="12045" width="8.7109375" style="847" customWidth="1"/>
    <col min="12046" max="12046" width="2.7109375" style="847" customWidth="1"/>
    <col min="12047" max="12048" width="8.7109375" style="847" customWidth="1"/>
    <col min="12049" max="12049" width="2.7109375" style="847" customWidth="1"/>
    <col min="12050" max="12051" width="8.7109375" style="847" customWidth="1"/>
    <col min="12052" max="12052" width="2.7109375" style="847" customWidth="1"/>
    <col min="12053" max="12054" width="8.7109375" style="847" customWidth="1"/>
    <col min="12055" max="12055" width="2.7109375" style="847" customWidth="1"/>
    <col min="12056" max="12288" width="11.42578125" style="847"/>
    <col min="12289" max="12289" width="14.7109375" style="847" customWidth="1"/>
    <col min="12290" max="12290" width="11.7109375" style="847" customWidth="1"/>
    <col min="12291" max="12292" width="8.7109375" style="847" customWidth="1"/>
    <col min="12293" max="12293" width="3.140625" style="847" customWidth="1"/>
    <col min="12294" max="12295" width="8.28515625" style="847" customWidth="1"/>
    <col min="12296" max="12296" width="2.28515625" style="847" customWidth="1"/>
    <col min="12297" max="12298" width="8.28515625" style="847" customWidth="1"/>
    <col min="12299" max="12299" width="2.7109375" style="847" customWidth="1"/>
    <col min="12300" max="12300" width="8.28515625" style="847" customWidth="1"/>
    <col min="12301" max="12301" width="8.7109375" style="847" customWidth="1"/>
    <col min="12302" max="12302" width="2.7109375" style="847" customWidth="1"/>
    <col min="12303" max="12304" width="8.7109375" style="847" customWidth="1"/>
    <col min="12305" max="12305" width="2.7109375" style="847" customWidth="1"/>
    <col min="12306" max="12307" width="8.7109375" style="847" customWidth="1"/>
    <col min="12308" max="12308" width="2.7109375" style="847" customWidth="1"/>
    <col min="12309" max="12310" width="8.7109375" style="847" customWidth="1"/>
    <col min="12311" max="12311" width="2.7109375" style="847" customWidth="1"/>
    <col min="12312" max="12544" width="11.42578125" style="847"/>
    <col min="12545" max="12545" width="14.7109375" style="847" customWidth="1"/>
    <col min="12546" max="12546" width="11.7109375" style="847" customWidth="1"/>
    <col min="12547" max="12548" width="8.7109375" style="847" customWidth="1"/>
    <col min="12549" max="12549" width="3.140625" style="847" customWidth="1"/>
    <col min="12550" max="12551" width="8.28515625" style="847" customWidth="1"/>
    <col min="12552" max="12552" width="2.28515625" style="847" customWidth="1"/>
    <col min="12553" max="12554" width="8.28515625" style="847" customWidth="1"/>
    <col min="12555" max="12555" width="2.7109375" style="847" customWidth="1"/>
    <col min="12556" max="12556" width="8.28515625" style="847" customWidth="1"/>
    <col min="12557" max="12557" width="8.7109375" style="847" customWidth="1"/>
    <col min="12558" max="12558" width="2.7109375" style="847" customWidth="1"/>
    <col min="12559" max="12560" width="8.7109375" style="847" customWidth="1"/>
    <col min="12561" max="12561" width="2.7109375" style="847" customWidth="1"/>
    <col min="12562" max="12563" width="8.7109375" style="847" customWidth="1"/>
    <col min="12564" max="12564" width="2.7109375" style="847" customWidth="1"/>
    <col min="12565" max="12566" width="8.7109375" style="847" customWidth="1"/>
    <col min="12567" max="12567" width="2.7109375" style="847" customWidth="1"/>
    <col min="12568" max="12800" width="11.42578125" style="847"/>
    <col min="12801" max="12801" width="14.7109375" style="847" customWidth="1"/>
    <col min="12802" max="12802" width="11.7109375" style="847" customWidth="1"/>
    <col min="12803" max="12804" width="8.7109375" style="847" customWidth="1"/>
    <col min="12805" max="12805" width="3.140625" style="847" customWidth="1"/>
    <col min="12806" max="12807" width="8.28515625" style="847" customWidth="1"/>
    <col min="12808" max="12808" width="2.28515625" style="847" customWidth="1"/>
    <col min="12809" max="12810" width="8.28515625" style="847" customWidth="1"/>
    <col min="12811" max="12811" width="2.7109375" style="847" customWidth="1"/>
    <col min="12812" max="12812" width="8.28515625" style="847" customWidth="1"/>
    <col min="12813" max="12813" width="8.7109375" style="847" customWidth="1"/>
    <col min="12814" max="12814" width="2.7109375" style="847" customWidth="1"/>
    <col min="12815" max="12816" width="8.7109375" style="847" customWidth="1"/>
    <col min="12817" max="12817" width="2.7109375" style="847" customWidth="1"/>
    <col min="12818" max="12819" width="8.7109375" style="847" customWidth="1"/>
    <col min="12820" max="12820" width="2.7109375" style="847" customWidth="1"/>
    <col min="12821" max="12822" width="8.7109375" style="847" customWidth="1"/>
    <col min="12823" max="12823" width="2.7109375" style="847" customWidth="1"/>
    <col min="12824" max="13056" width="11.42578125" style="847"/>
    <col min="13057" max="13057" width="14.7109375" style="847" customWidth="1"/>
    <col min="13058" max="13058" width="11.7109375" style="847" customWidth="1"/>
    <col min="13059" max="13060" width="8.7109375" style="847" customWidth="1"/>
    <col min="13061" max="13061" width="3.140625" style="847" customWidth="1"/>
    <col min="13062" max="13063" width="8.28515625" style="847" customWidth="1"/>
    <col min="13064" max="13064" width="2.28515625" style="847" customWidth="1"/>
    <col min="13065" max="13066" width="8.28515625" style="847" customWidth="1"/>
    <col min="13067" max="13067" width="2.7109375" style="847" customWidth="1"/>
    <col min="13068" max="13068" width="8.28515625" style="847" customWidth="1"/>
    <col min="13069" max="13069" width="8.7109375" style="847" customWidth="1"/>
    <col min="13070" max="13070" width="2.7109375" style="847" customWidth="1"/>
    <col min="13071" max="13072" width="8.7109375" style="847" customWidth="1"/>
    <col min="13073" max="13073" width="2.7109375" style="847" customWidth="1"/>
    <col min="13074" max="13075" width="8.7109375" style="847" customWidth="1"/>
    <col min="13076" max="13076" width="2.7109375" style="847" customWidth="1"/>
    <col min="13077" max="13078" width="8.7109375" style="847" customWidth="1"/>
    <col min="13079" max="13079" width="2.7109375" style="847" customWidth="1"/>
    <col min="13080" max="13312" width="11.42578125" style="847"/>
    <col min="13313" max="13313" width="14.7109375" style="847" customWidth="1"/>
    <col min="13314" max="13314" width="11.7109375" style="847" customWidth="1"/>
    <col min="13315" max="13316" width="8.7109375" style="847" customWidth="1"/>
    <col min="13317" max="13317" width="3.140625" style="847" customWidth="1"/>
    <col min="13318" max="13319" width="8.28515625" style="847" customWidth="1"/>
    <col min="13320" max="13320" width="2.28515625" style="847" customWidth="1"/>
    <col min="13321" max="13322" width="8.28515625" style="847" customWidth="1"/>
    <col min="13323" max="13323" width="2.7109375" style="847" customWidth="1"/>
    <col min="13324" max="13324" width="8.28515625" style="847" customWidth="1"/>
    <col min="13325" max="13325" width="8.7109375" style="847" customWidth="1"/>
    <col min="13326" max="13326" width="2.7109375" style="847" customWidth="1"/>
    <col min="13327" max="13328" width="8.7109375" style="847" customWidth="1"/>
    <col min="13329" max="13329" width="2.7109375" style="847" customWidth="1"/>
    <col min="13330" max="13331" width="8.7109375" style="847" customWidth="1"/>
    <col min="13332" max="13332" width="2.7109375" style="847" customWidth="1"/>
    <col min="13333" max="13334" width="8.7109375" style="847" customWidth="1"/>
    <col min="13335" max="13335" width="2.7109375" style="847" customWidth="1"/>
    <col min="13336" max="13568" width="11.42578125" style="847"/>
    <col min="13569" max="13569" width="14.7109375" style="847" customWidth="1"/>
    <col min="13570" max="13570" width="11.7109375" style="847" customWidth="1"/>
    <col min="13571" max="13572" width="8.7109375" style="847" customWidth="1"/>
    <col min="13573" max="13573" width="3.140625" style="847" customWidth="1"/>
    <col min="13574" max="13575" width="8.28515625" style="847" customWidth="1"/>
    <col min="13576" max="13576" width="2.28515625" style="847" customWidth="1"/>
    <col min="13577" max="13578" width="8.28515625" style="847" customWidth="1"/>
    <col min="13579" max="13579" width="2.7109375" style="847" customWidth="1"/>
    <col min="13580" max="13580" width="8.28515625" style="847" customWidth="1"/>
    <col min="13581" max="13581" width="8.7109375" style="847" customWidth="1"/>
    <col min="13582" max="13582" width="2.7109375" style="847" customWidth="1"/>
    <col min="13583" max="13584" width="8.7109375" style="847" customWidth="1"/>
    <col min="13585" max="13585" width="2.7109375" style="847" customWidth="1"/>
    <col min="13586" max="13587" width="8.7109375" style="847" customWidth="1"/>
    <col min="13588" max="13588" width="2.7109375" style="847" customWidth="1"/>
    <col min="13589" max="13590" width="8.7109375" style="847" customWidth="1"/>
    <col min="13591" max="13591" width="2.7109375" style="847" customWidth="1"/>
    <col min="13592" max="13824" width="11.42578125" style="847"/>
    <col min="13825" max="13825" width="14.7109375" style="847" customWidth="1"/>
    <col min="13826" max="13826" width="11.7109375" style="847" customWidth="1"/>
    <col min="13827" max="13828" width="8.7109375" style="847" customWidth="1"/>
    <col min="13829" max="13829" width="3.140625" style="847" customWidth="1"/>
    <col min="13830" max="13831" width="8.28515625" style="847" customWidth="1"/>
    <col min="13832" max="13832" width="2.28515625" style="847" customWidth="1"/>
    <col min="13833" max="13834" width="8.28515625" style="847" customWidth="1"/>
    <col min="13835" max="13835" width="2.7109375" style="847" customWidth="1"/>
    <col min="13836" max="13836" width="8.28515625" style="847" customWidth="1"/>
    <col min="13837" max="13837" width="8.7109375" style="847" customWidth="1"/>
    <col min="13838" max="13838" width="2.7109375" style="847" customWidth="1"/>
    <col min="13839" max="13840" width="8.7109375" style="847" customWidth="1"/>
    <col min="13841" max="13841" width="2.7109375" style="847" customWidth="1"/>
    <col min="13842" max="13843" width="8.7109375" style="847" customWidth="1"/>
    <col min="13844" max="13844" width="2.7109375" style="847" customWidth="1"/>
    <col min="13845" max="13846" width="8.7109375" style="847" customWidth="1"/>
    <col min="13847" max="13847" width="2.7109375" style="847" customWidth="1"/>
    <col min="13848" max="14080" width="11.42578125" style="847"/>
    <col min="14081" max="14081" width="14.7109375" style="847" customWidth="1"/>
    <col min="14082" max="14082" width="11.7109375" style="847" customWidth="1"/>
    <col min="14083" max="14084" width="8.7109375" style="847" customWidth="1"/>
    <col min="14085" max="14085" width="3.140625" style="847" customWidth="1"/>
    <col min="14086" max="14087" width="8.28515625" style="847" customWidth="1"/>
    <col min="14088" max="14088" width="2.28515625" style="847" customWidth="1"/>
    <col min="14089" max="14090" width="8.28515625" style="847" customWidth="1"/>
    <col min="14091" max="14091" width="2.7109375" style="847" customWidth="1"/>
    <col min="14092" max="14092" width="8.28515625" style="847" customWidth="1"/>
    <col min="14093" max="14093" width="8.7109375" style="847" customWidth="1"/>
    <col min="14094" max="14094" width="2.7109375" style="847" customWidth="1"/>
    <col min="14095" max="14096" width="8.7109375" style="847" customWidth="1"/>
    <col min="14097" max="14097" width="2.7109375" style="847" customWidth="1"/>
    <col min="14098" max="14099" width="8.7109375" style="847" customWidth="1"/>
    <col min="14100" max="14100" width="2.7109375" style="847" customWidth="1"/>
    <col min="14101" max="14102" width="8.7109375" style="847" customWidth="1"/>
    <col min="14103" max="14103" width="2.7109375" style="847" customWidth="1"/>
    <col min="14104" max="14336" width="11.42578125" style="847"/>
    <col min="14337" max="14337" width="14.7109375" style="847" customWidth="1"/>
    <col min="14338" max="14338" width="11.7109375" style="847" customWidth="1"/>
    <col min="14339" max="14340" width="8.7109375" style="847" customWidth="1"/>
    <col min="14341" max="14341" width="3.140625" style="847" customWidth="1"/>
    <col min="14342" max="14343" width="8.28515625" style="847" customWidth="1"/>
    <col min="14344" max="14344" width="2.28515625" style="847" customWidth="1"/>
    <col min="14345" max="14346" width="8.28515625" style="847" customWidth="1"/>
    <col min="14347" max="14347" width="2.7109375" style="847" customWidth="1"/>
    <col min="14348" max="14348" width="8.28515625" style="847" customWidth="1"/>
    <col min="14349" max="14349" width="8.7109375" style="847" customWidth="1"/>
    <col min="14350" max="14350" width="2.7109375" style="847" customWidth="1"/>
    <col min="14351" max="14352" width="8.7109375" style="847" customWidth="1"/>
    <col min="14353" max="14353" width="2.7109375" style="847" customWidth="1"/>
    <col min="14354" max="14355" width="8.7109375" style="847" customWidth="1"/>
    <col min="14356" max="14356" width="2.7109375" style="847" customWidth="1"/>
    <col min="14357" max="14358" width="8.7109375" style="847" customWidth="1"/>
    <col min="14359" max="14359" width="2.7109375" style="847" customWidth="1"/>
    <col min="14360" max="14592" width="11.42578125" style="847"/>
    <col min="14593" max="14593" width="14.7109375" style="847" customWidth="1"/>
    <col min="14594" max="14594" width="11.7109375" style="847" customWidth="1"/>
    <col min="14595" max="14596" width="8.7109375" style="847" customWidth="1"/>
    <col min="14597" max="14597" width="3.140625" style="847" customWidth="1"/>
    <col min="14598" max="14599" width="8.28515625" style="847" customWidth="1"/>
    <col min="14600" max="14600" width="2.28515625" style="847" customWidth="1"/>
    <col min="14601" max="14602" width="8.28515625" style="847" customWidth="1"/>
    <col min="14603" max="14603" width="2.7109375" style="847" customWidth="1"/>
    <col min="14604" max="14604" width="8.28515625" style="847" customWidth="1"/>
    <col min="14605" max="14605" width="8.7109375" style="847" customWidth="1"/>
    <col min="14606" max="14606" width="2.7109375" style="847" customWidth="1"/>
    <col min="14607" max="14608" width="8.7109375" style="847" customWidth="1"/>
    <col min="14609" max="14609" width="2.7109375" style="847" customWidth="1"/>
    <col min="14610" max="14611" width="8.7109375" style="847" customWidth="1"/>
    <col min="14612" max="14612" width="2.7109375" style="847" customWidth="1"/>
    <col min="14613" max="14614" width="8.7109375" style="847" customWidth="1"/>
    <col min="14615" max="14615" width="2.7109375" style="847" customWidth="1"/>
    <col min="14616" max="14848" width="11.42578125" style="847"/>
    <col min="14849" max="14849" width="14.7109375" style="847" customWidth="1"/>
    <col min="14850" max="14850" width="11.7109375" style="847" customWidth="1"/>
    <col min="14851" max="14852" width="8.7109375" style="847" customWidth="1"/>
    <col min="14853" max="14853" width="3.140625" style="847" customWidth="1"/>
    <col min="14854" max="14855" width="8.28515625" style="847" customWidth="1"/>
    <col min="14856" max="14856" width="2.28515625" style="847" customWidth="1"/>
    <col min="14857" max="14858" width="8.28515625" style="847" customWidth="1"/>
    <col min="14859" max="14859" width="2.7109375" style="847" customWidth="1"/>
    <col min="14860" max="14860" width="8.28515625" style="847" customWidth="1"/>
    <col min="14861" max="14861" width="8.7109375" style="847" customWidth="1"/>
    <col min="14862" max="14862" width="2.7109375" style="847" customWidth="1"/>
    <col min="14863" max="14864" width="8.7109375" style="847" customWidth="1"/>
    <col min="14865" max="14865" width="2.7109375" style="847" customWidth="1"/>
    <col min="14866" max="14867" width="8.7109375" style="847" customWidth="1"/>
    <col min="14868" max="14868" width="2.7109375" style="847" customWidth="1"/>
    <col min="14869" max="14870" width="8.7109375" style="847" customWidth="1"/>
    <col min="14871" max="14871" width="2.7109375" style="847" customWidth="1"/>
    <col min="14872" max="15104" width="11.42578125" style="847"/>
    <col min="15105" max="15105" width="14.7109375" style="847" customWidth="1"/>
    <col min="15106" max="15106" width="11.7109375" style="847" customWidth="1"/>
    <col min="15107" max="15108" width="8.7109375" style="847" customWidth="1"/>
    <col min="15109" max="15109" width="3.140625" style="847" customWidth="1"/>
    <col min="15110" max="15111" width="8.28515625" style="847" customWidth="1"/>
    <col min="15112" max="15112" width="2.28515625" style="847" customWidth="1"/>
    <col min="15113" max="15114" width="8.28515625" style="847" customWidth="1"/>
    <col min="15115" max="15115" width="2.7109375" style="847" customWidth="1"/>
    <col min="15116" max="15116" width="8.28515625" style="847" customWidth="1"/>
    <col min="15117" max="15117" width="8.7109375" style="847" customWidth="1"/>
    <col min="15118" max="15118" width="2.7109375" style="847" customWidth="1"/>
    <col min="15119" max="15120" width="8.7109375" style="847" customWidth="1"/>
    <col min="15121" max="15121" width="2.7109375" style="847" customWidth="1"/>
    <col min="15122" max="15123" width="8.7109375" style="847" customWidth="1"/>
    <col min="15124" max="15124" width="2.7109375" style="847" customWidth="1"/>
    <col min="15125" max="15126" width="8.7109375" style="847" customWidth="1"/>
    <col min="15127" max="15127" width="2.7109375" style="847" customWidth="1"/>
    <col min="15128" max="15360" width="11.42578125" style="847"/>
    <col min="15361" max="15361" width="14.7109375" style="847" customWidth="1"/>
    <col min="15362" max="15362" width="11.7109375" style="847" customWidth="1"/>
    <col min="15363" max="15364" width="8.7109375" style="847" customWidth="1"/>
    <col min="15365" max="15365" width="3.140625" style="847" customWidth="1"/>
    <col min="15366" max="15367" width="8.28515625" style="847" customWidth="1"/>
    <col min="15368" max="15368" width="2.28515625" style="847" customWidth="1"/>
    <col min="15369" max="15370" width="8.28515625" style="847" customWidth="1"/>
    <col min="15371" max="15371" width="2.7109375" style="847" customWidth="1"/>
    <col min="15372" max="15372" width="8.28515625" style="847" customWidth="1"/>
    <col min="15373" max="15373" width="8.7109375" style="847" customWidth="1"/>
    <col min="15374" max="15374" width="2.7109375" style="847" customWidth="1"/>
    <col min="15375" max="15376" width="8.7109375" style="847" customWidth="1"/>
    <col min="15377" max="15377" width="2.7109375" style="847" customWidth="1"/>
    <col min="15378" max="15379" width="8.7109375" style="847" customWidth="1"/>
    <col min="15380" max="15380" width="2.7109375" style="847" customWidth="1"/>
    <col min="15381" max="15382" width="8.7109375" style="847" customWidth="1"/>
    <col min="15383" max="15383" width="2.7109375" style="847" customWidth="1"/>
    <col min="15384" max="15616" width="11.42578125" style="847"/>
    <col min="15617" max="15617" width="14.7109375" style="847" customWidth="1"/>
    <col min="15618" max="15618" width="11.7109375" style="847" customWidth="1"/>
    <col min="15619" max="15620" width="8.7109375" style="847" customWidth="1"/>
    <col min="15621" max="15621" width="3.140625" style="847" customWidth="1"/>
    <col min="15622" max="15623" width="8.28515625" style="847" customWidth="1"/>
    <col min="15624" max="15624" width="2.28515625" style="847" customWidth="1"/>
    <col min="15625" max="15626" width="8.28515625" style="847" customWidth="1"/>
    <col min="15627" max="15627" width="2.7109375" style="847" customWidth="1"/>
    <col min="15628" max="15628" width="8.28515625" style="847" customWidth="1"/>
    <col min="15629" max="15629" width="8.7109375" style="847" customWidth="1"/>
    <col min="15630" max="15630" width="2.7109375" style="847" customWidth="1"/>
    <col min="15631" max="15632" width="8.7109375" style="847" customWidth="1"/>
    <col min="15633" max="15633" width="2.7109375" style="847" customWidth="1"/>
    <col min="15634" max="15635" width="8.7109375" style="847" customWidth="1"/>
    <col min="15636" max="15636" width="2.7109375" style="847" customWidth="1"/>
    <col min="15637" max="15638" width="8.7109375" style="847" customWidth="1"/>
    <col min="15639" max="15639" width="2.7109375" style="847" customWidth="1"/>
    <col min="15640" max="15872" width="11.42578125" style="847"/>
    <col min="15873" max="15873" width="14.7109375" style="847" customWidth="1"/>
    <col min="15874" max="15874" width="11.7109375" style="847" customWidth="1"/>
    <col min="15875" max="15876" width="8.7109375" style="847" customWidth="1"/>
    <col min="15877" max="15877" width="3.140625" style="847" customWidth="1"/>
    <col min="15878" max="15879" width="8.28515625" style="847" customWidth="1"/>
    <col min="15880" max="15880" width="2.28515625" style="847" customWidth="1"/>
    <col min="15881" max="15882" width="8.28515625" style="847" customWidth="1"/>
    <col min="15883" max="15883" width="2.7109375" style="847" customWidth="1"/>
    <col min="15884" max="15884" width="8.28515625" style="847" customWidth="1"/>
    <col min="15885" max="15885" width="8.7109375" style="847" customWidth="1"/>
    <col min="15886" max="15886" width="2.7109375" style="847" customWidth="1"/>
    <col min="15887" max="15888" width="8.7109375" style="847" customWidth="1"/>
    <col min="15889" max="15889" width="2.7109375" style="847" customWidth="1"/>
    <col min="15890" max="15891" width="8.7109375" style="847" customWidth="1"/>
    <col min="15892" max="15892" width="2.7109375" style="847" customWidth="1"/>
    <col min="15893" max="15894" width="8.7109375" style="847" customWidth="1"/>
    <col min="15895" max="15895" width="2.7109375" style="847" customWidth="1"/>
    <col min="15896" max="16128" width="11.42578125" style="847"/>
    <col min="16129" max="16129" width="14.7109375" style="847" customWidth="1"/>
    <col min="16130" max="16130" width="11.7109375" style="847" customWidth="1"/>
    <col min="16131" max="16132" width="8.7109375" style="847" customWidth="1"/>
    <col min="16133" max="16133" width="3.140625" style="847" customWidth="1"/>
    <col min="16134" max="16135" width="8.28515625" style="847" customWidth="1"/>
    <col min="16136" max="16136" width="2.28515625" style="847" customWidth="1"/>
    <col min="16137" max="16138" width="8.28515625" style="847" customWidth="1"/>
    <col min="16139" max="16139" width="2.7109375" style="847" customWidth="1"/>
    <col min="16140" max="16140" width="8.28515625" style="847" customWidth="1"/>
    <col min="16141" max="16141" width="8.7109375" style="847" customWidth="1"/>
    <col min="16142" max="16142" width="2.7109375" style="847" customWidth="1"/>
    <col min="16143" max="16144" width="8.7109375" style="847" customWidth="1"/>
    <col min="16145" max="16145" width="2.7109375" style="847" customWidth="1"/>
    <col min="16146" max="16147" width="8.7109375" style="847" customWidth="1"/>
    <col min="16148" max="16148" width="2.7109375" style="847" customWidth="1"/>
    <col min="16149" max="16150" width="8.7109375" style="847" customWidth="1"/>
    <col min="16151" max="16151" width="2.7109375" style="847" customWidth="1"/>
    <col min="16152" max="16384" width="11.42578125" style="847"/>
  </cols>
  <sheetData>
    <row r="1" spans="1:23">
      <c r="A1" s="854" t="s">
        <v>496</v>
      </c>
      <c r="B1" s="854"/>
      <c r="C1" s="854"/>
      <c r="E1" s="1215"/>
      <c r="F1" s="1215"/>
      <c r="G1" s="1215"/>
      <c r="H1" s="1215"/>
      <c r="I1" s="1215"/>
      <c r="J1" s="1215"/>
      <c r="K1" s="1215"/>
      <c r="L1" s="854"/>
      <c r="M1" s="854"/>
      <c r="N1" s="854"/>
      <c r="O1" s="854"/>
      <c r="P1" s="854"/>
      <c r="Q1" s="854"/>
    </row>
    <row r="2" spans="1:23">
      <c r="A2" s="854" t="s">
        <v>497</v>
      </c>
      <c r="B2" s="854"/>
      <c r="C2" s="854"/>
      <c r="E2" s="1215"/>
      <c r="F2" s="1215"/>
      <c r="G2" s="1215"/>
      <c r="H2" s="1215"/>
      <c r="I2" s="1215"/>
      <c r="J2" s="1215"/>
      <c r="K2" s="1215"/>
      <c r="L2" s="854"/>
      <c r="M2" s="854"/>
      <c r="N2" s="854"/>
      <c r="O2" s="854"/>
      <c r="P2" s="854"/>
      <c r="Q2" s="854"/>
    </row>
    <row r="3" spans="1:23">
      <c r="A3" s="854"/>
      <c r="B3" s="854"/>
      <c r="C3" s="854"/>
      <c r="D3" s="858"/>
      <c r="E3" s="1217"/>
      <c r="F3" s="1217"/>
      <c r="G3" s="1217"/>
      <c r="H3" s="1217"/>
      <c r="I3" s="1217"/>
      <c r="J3" s="1217"/>
      <c r="K3" s="1217"/>
      <c r="L3" s="854"/>
      <c r="M3" s="854"/>
      <c r="N3" s="854"/>
      <c r="O3" s="854"/>
      <c r="P3" s="854"/>
      <c r="Q3" s="854"/>
    </row>
    <row r="4" spans="1:23">
      <c r="A4" s="854" t="s">
        <v>1546</v>
      </c>
      <c r="B4" s="854"/>
      <c r="C4" s="854"/>
      <c r="D4" s="858"/>
      <c r="E4" s="858"/>
      <c r="F4" s="858"/>
      <c r="G4" s="858"/>
      <c r="H4" s="858"/>
      <c r="I4" s="858"/>
      <c r="J4" s="858"/>
      <c r="K4" s="858"/>
      <c r="L4" s="854"/>
      <c r="M4" s="854"/>
      <c r="N4" s="854"/>
      <c r="O4" s="854"/>
      <c r="P4" s="854"/>
      <c r="Q4" s="854"/>
    </row>
    <row r="5" spans="1:23">
      <c r="A5" s="854" t="s">
        <v>1547</v>
      </c>
      <c r="B5" s="854"/>
      <c r="C5" s="854"/>
      <c r="D5" s="858"/>
      <c r="E5" s="858"/>
      <c r="F5" s="858"/>
      <c r="G5" s="858"/>
      <c r="H5" s="858"/>
      <c r="I5" s="858"/>
      <c r="J5" s="858"/>
      <c r="K5" s="858"/>
      <c r="L5" s="854"/>
      <c r="M5" s="854"/>
      <c r="N5" s="854"/>
      <c r="O5" s="854"/>
      <c r="P5" s="854"/>
      <c r="Q5" s="854"/>
    </row>
    <row r="6" spans="1:23">
      <c r="A6" s="877"/>
      <c r="B6" s="877"/>
      <c r="C6" s="877"/>
      <c r="D6" s="877"/>
      <c r="E6" s="877"/>
      <c r="F6" s="877"/>
      <c r="G6" s="877"/>
      <c r="H6" s="877"/>
      <c r="I6" s="877"/>
      <c r="J6" s="877"/>
      <c r="K6" s="877"/>
      <c r="L6" s="877"/>
      <c r="M6" s="877"/>
      <c r="N6" s="877"/>
      <c r="O6" s="1036"/>
      <c r="P6" s="1036"/>
      <c r="Q6" s="1036"/>
    </row>
    <row r="7" spans="1:23">
      <c r="A7" s="1218"/>
      <c r="B7" s="1218"/>
      <c r="C7" s="1218"/>
      <c r="D7" s="1218"/>
      <c r="E7" s="1218"/>
      <c r="F7" s="1218"/>
      <c r="G7" s="1218"/>
      <c r="H7" s="1218"/>
      <c r="I7" s="1218"/>
      <c r="J7" s="1218"/>
      <c r="K7" s="1218"/>
      <c r="L7" s="1218"/>
      <c r="M7" s="1218"/>
      <c r="N7" s="1218"/>
      <c r="O7" s="1218"/>
      <c r="P7" s="1218"/>
      <c r="Q7" s="1218"/>
      <c r="R7" s="1218"/>
      <c r="S7" s="1218"/>
      <c r="T7" s="1218"/>
      <c r="U7" s="1218"/>
      <c r="V7" s="1218"/>
      <c r="W7" s="1218"/>
    </row>
    <row r="8" spans="1:23" ht="17.25">
      <c r="A8" s="1219" t="s">
        <v>1548</v>
      </c>
      <c r="B8" s="932"/>
      <c r="C8" s="1314" t="s">
        <v>2217</v>
      </c>
      <c r="D8" s="1314"/>
      <c r="E8" s="849"/>
      <c r="F8" s="1314" t="s">
        <v>2216</v>
      </c>
      <c r="G8" s="1314"/>
      <c r="H8" s="849"/>
      <c r="I8" s="1314" t="s">
        <v>757</v>
      </c>
      <c r="J8" s="1314"/>
      <c r="K8" s="849"/>
      <c r="L8" s="1314" t="s">
        <v>299</v>
      </c>
      <c r="M8" s="1314"/>
      <c r="N8" s="1219"/>
      <c r="O8" s="1314" t="s">
        <v>296</v>
      </c>
      <c r="P8" s="1314"/>
      <c r="Q8" s="877"/>
      <c r="R8" s="1314" t="s">
        <v>303</v>
      </c>
      <c r="S8" s="1314"/>
      <c r="U8" s="1314" t="s">
        <v>304</v>
      </c>
      <c r="V8" s="1314"/>
    </row>
    <row r="9" spans="1:23">
      <c r="A9" s="1219" t="s">
        <v>1551</v>
      </c>
      <c r="B9" s="932"/>
      <c r="C9" s="932" t="s">
        <v>1552</v>
      </c>
      <c r="D9" s="932" t="s">
        <v>10</v>
      </c>
      <c r="E9" s="932"/>
      <c r="F9" s="932" t="s">
        <v>1552</v>
      </c>
      <c r="G9" s="932" t="s">
        <v>10</v>
      </c>
      <c r="H9" s="932"/>
      <c r="I9" s="932" t="s">
        <v>1552</v>
      </c>
      <c r="J9" s="932" t="s">
        <v>10</v>
      </c>
      <c r="K9" s="932"/>
      <c r="L9" s="932" t="s">
        <v>1552</v>
      </c>
      <c r="M9" s="932" t="s">
        <v>10</v>
      </c>
      <c r="N9" s="1220"/>
      <c r="O9" s="932" t="s">
        <v>1552</v>
      </c>
      <c r="P9" s="932" t="s">
        <v>10</v>
      </c>
      <c r="Q9" s="932"/>
      <c r="R9" s="932" t="s">
        <v>1552</v>
      </c>
      <c r="S9" s="932" t="s">
        <v>10</v>
      </c>
      <c r="U9" s="932" t="s">
        <v>1552</v>
      </c>
      <c r="V9" s="932" t="s">
        <v>10</v>
      </c>
    </row>
    <row r="10" spans="1:23">
      <c r="A10" s="1221"/>
      <c r="B10" s="1222"/>
      <c r="C10" s="1222"/>
      <c r="D10" s="1222"/>
      <c r="E10" s="1222"/>
      <c r="F10" s="1222"/>
      <c r="G10" s="1222"/>
      <c r="H10" s="1222"/>
      <c r="I10" s="1222"/>
      <c r="J10" s="1222"/>
      <c r="K10" s="1222"/>
      <c r="L10" s="1222"/>
      <c r="M10" s="1222"/>
      <c r="N10" s="1222"/>
      <c r="O10" s="1223"/>
      <c r="P10" s="1223"/>
      <c r="Q10" s="1223"/>
      <c r="R10" s="1223"/>
      <c r="S10" s="1223"/>
      <c r="U10" s="1223"/>
      <c r="V10" s="1223"/>
    </row>
    <row r="11" spans="1:23" ht="18" customHeight="1">
      <c r="A11" s="877"/>
      <c r="B11" s="877"/>
      <c r="C11" s="877"/>
      <c r="D11" s="877"/>
      <c r="E11" s="877"/>
      <c r="F11" s="877"/>
      <c r="G11" s="877"/>
      <c r="H11" s="877"/>
      <c r="I11" s="877"/>
      <c r="J11" s="877"/>
      <c r="K11" s="877"/>
      <c r="L11" s="877"/>
      <c r="M11" s="877"/>
      <c r="N11" s="877"/>
      <c r="O11" s="1036"/>
      <c r="P11" s="1036"/>
      <c r="Q11" s="1036"/>
      <c r="R11" s="1036"/>
      <c r="S11" s="1036"/>
      <c r="T11" s="1218"/>
      <c r="U11" s="1036"/>
      <c r="V11" s="1036"/>
      <c r="W11" s="1218"/>
    </row>
    <row r="12" spans="1:23" ht="18" customHeight="1">
      <c r="A12" s="1219" t="s">
        <v>5</v>
      </c>
      <c r="B12" s="877"/>
      <c r="C12" s="1224">
        <f>SUM(C14:C22)</f>
        <v>1885</v>
      </c>
      <c r="D12" s="883">
        <f>SUM(D14:D22)</f>
        <v>100</v>
      </c>
      <c r="E12" s="877"/>
      <c r="F12" s="877">
        <f>SUM(F14:F22)</f>
        <v>274</v>
      </c>
      <c r="G12" s="1036">
        <f>IF($A12&lt;&gt;0,F12/$C12*100,"")</f>
        <v>14.535809018567639</v>
      </c>
      <c r="H12" s="877"/>
      <c r="I12" s="877">
        <f>SUM(I14:I22)</f>
        <v>7</v>
      </c>
      <c r="J12" s="1036">
        <f>IF($A12&lt;&gt;0,I12/$C12*100,"")</f>
        <v>0.3713527851458886</v>
      </c>
      <c r="K12" s="877"/>
      <c r="L12" s="877">
        <f>SUM(L14:L22)</f>
        <v>153</v>
      </c>
      <c r="M12" s="1036">
        <f>IF($A12&lt;&gt;0,L12/$C12*100,"")</f>
        <v>8.1167108753315649</v>
      </c>
      <c r="N12" s="877"/>
      <c r="O12" s="877">
        <f>SUM(O14:O22)</f>
        <v>495</v>
      </c>
      <c r="P12" s="1036">
        <f t="shared" ref="P12:P22" si="0">IF($A12&lt;&gt;0,O12/$C12*100,"")</f>
        <v>26.259946949602121</v>
      </c>
      <c r="Q12" s="1036"/>
      <c r="R12" s="877">
        <f>SUM(R14:R22)</f>
        <v>660</v>
      </c>
      <c r="S12" s="1036">
        <f>IF($A12&lt;&gt;0,R12/$C12*100,"")</f>
        <v>35.013262599469499</v>
      </c>
      <c r="T12" s="854"/>
      <c r="U12" s="877">
        <f>SUM(U14:U22)</f>
        <v>296</v>
      </c>
      <c r="V12" s="1036">
        <f t="shared" ref="V12:V22" si="1">IF($A12&lt;&gt;0,U12/$C12*100,"")</f>
        <v>15.702917771883291</v>
      </c>
      <c r="W12" s="877"/>
    </row>
    <row r="13" spans="1:23" ht="18" customHeight="1">
      <c r="A13" s="932"/>
      <c r="B13" s="877"/>
      <c r="C13" s="877"/>
      <c r="D13" s="883"/>
      <c r="E13" s="877"/>
      <c r="F13" s="877"/>
      <c r="G13" s="1036"/>
      <c r="H13" s="877"/>
      <c r="I13" s="877"/>
      <c r="J13" s="1036"/>
      <c r="K13" s="877"/>
      <c r="L13" s="877"/>
      <c r="M13" s="1036"/>
      <c r="N13" s="877"/>
      <c r="O13" s="877"/>
      <c r="P13" s="1036" t="str">
        <f t="shared" si="0"/>
        <v/>
      </c>
      <c r="Q13" s="1036"/>
      <c r="R13" s="877"/>
      <c r="S13" s="1036" t="str">
        <f>IF($A13&lt;&gt;0,R13/$C13*100,"")</f>
        <v/>
      </c>
      <c r="T13" s="854"/>
      <c r="U13" s="877"/>
      <c r="V13" s="1036" t="str">
        <f t="shared" si="1"/>
        <v/>
      </c>
      <c r="W13" s="877"/>
    </row>
    <row r="14" spans="1:23" ht="18" customHeight="1">
      <c r="A14" s="1219" t="s">
        <v>1553</v>
      </c>
      <c r="B14" s="877"/>
      <c r="C14" s="877">
        <f>F14+I14+L14+O14+R14+U14</f>
        <v>4</v>
      </c>
      <c r="D14" s="883">
        <f>IF(A14&lt;&gt;0,C14/C12*100,"")</f>
        <v>0.21220159151193632</v>
      </c>
      <c r="E14" s="877"/>
      <c r="F14" s="877"/>
      <c r="G14" s="1036">
        <f>IF($A14&lt;&gt;0,F14/$C14*100,"")</f>
        <v>0</v>
      </c>
      <c r="H14" s="877"/>
      <c r="I14" s="877"/>
      <c r="J14" s="1036">
        <f>IF($A14&lt;&gt;0,I14/$C14*100,"")</f>
        <v>0</v>
      </c>
      <c r="K14" s="877"/>
      <c r="L14" s="877"/>
      <c r="M14" s="1036">
        <f>IF($A14&lt;&gt;0,L14/$C14*100,"")</f>
        <v>0</v>
      </c>
      <c r="N14" s="877"/>
      <c r="O14" s="877">
        <v>2</v>
      </c>
      <c r="P14" s="1036">
        <f t="shared" si="0"/>
        <v>50</v>
      </c>
      <c r="Q14" s="1036"/>
      <c r="R14" s="877">
        <v>1</v>
      </c>
      <c r="S14" s="1036">
        <f>IF($A14&lt;&gt;0,R14/$C14*100,"")</f>
        <v>25</v>
      </c>
      <c r="T14" s="854"/>
      <c r="U14" s="877">
        <v>1</v>
      </c>
      <c r="V14" s="1036">
        <f t="shared" si="1"/>
        <v>25</v>
      </c>
      <c r="W14" s="877"/>
    </row>
    <row r="15" spans="1:23" ht="18" customHeight="1">
      <c r="A15" s="1225" t="s">
        <v>278</v>
      </c>
      <c r="B15" s="849"/>
      <c r="C15" s="877">
        <f t="shared" ref="C15:C22" si="2">F15+I15+L15+O15+R15+U15</f>
        <v>1155</v>
      </c>
      <c r="D15" s="883">
        <f>IF(A15&lt;&gt;0,C15/C12*100,"")</f>
        <v>61.273209549071616</v>
      </c>
      <c r="E15" s="877"/>
      <c r="F15" s="877">
        <f>185+13+9+2+12</f>
        <v>221</v>
      </c>
      <c r="G15" s="1036">
        <f>IF($A15&lt;&gt;0,F15/$C15*100,"")</f>
        <v>19.134199134199132</v>
      </c>
      <c r="H15" s="877"/>
      <c r="I15" s="877">
        <v>7</v>
      </c>
      <c r="J15" s="1036">
        <f>IF($A15&lt;&gt;0,I15/$C15*100,"")</f>
        <v>0.60606060606060608</v>
      </c>
      <c r="K15" s="877"/>
      <c r="L15" s="877">
        <v>118</v>
      </c>
      <c r="M15" s="1036">
        <f>IF($A15&lt;&gt;0,L15/$C15*100,"")</f>
        <v>10.216450216450216</v>
      </c>
      <c r="N15" s="877"/>
      <c r="O15" s="877">
        <v>379</v>
      </c>
      <c r="P15" s="1036">
        <f t="shared" si="0"/>
        <v>32.813852813852812</v>
      </c>
      <c r="Q15" s="877"/>
      <c r="R15" s="877">
        <v>326</v>
      </c>
      <c r="S15" s="1036">
        <f>IF($A15&lt;&gt;0,R15/$C15*100,"")</f>
        <v>28.225108225108226</v>
      </c>
      <c r="T15" s="854"/>
      <c r="U15" s="877">
        <v>104</v>
      </c>
      <c r="V15" s="1036">
        <f t="shared" si="1"/>
        <v>9.004329004329005</v>
      </c>
      <c r="W15" s="877"/>
    </row>
    <row r="16" spans="1:23" ht="18" customHeight="1">
      <c r="A16" s="1225" t="s">
        <v>1554</v>
      </c>
      <c r="B16" s="849"/>
      <c r="C16" s="877">
        <f t="shared" si="2"/>
        <v>2</v>
      </c>
      <c r="D16" s="883">
        <f>IF(A16&lt;&gt;0,C16/C12*100,"")</f>
        <v>0.10610079575596816</v>
      </c>
      <c r="E16" s="877"/>
      <c r="F16" s="877"/>
      <c r="G16" s="1036">
        <f t="shared" ref="G16:G22" si="3">IF($A16&lt;&gt;0,F16/$C16*100,"")</f>
        <v>0</v>
      </c>
      <c r="H16" s="877"/>
      <c r="I16" s="877"/>
      <c r="J16" s="1036">
        <f t="shared" ref="J16:J22" si="4">IF($A16&lt;&gt;0,I16/$C16*100,"")</f>
        <v>0</v>
      </c>
      <c r="K16" s="877"/>
      <c r="L16" s="877"/>
      <c r="M16" s="1036">
        <f t="shared" ref="M16:M22" si="5">IF($A16&lt;&gt;0,L16/$C16*100,"")</f>
        <v>0</v>
      </c>
      <c r="N16" s="877"/>
      <c r="O16" s="877"/>
      <c r="P16" s="1036">
        <f t="shared" si="0"/>
        <v>0</v>
      </c>
      <c r="Q16" s="877"/>
      <c r="R16" s="877">
        <v>1</v>
      </c>
      <c r="S16" s="1036">
        <f t="shared" ref="S16:S22" si="6">IF($A16&lt;&gt;0,R16/$C16*100,"")</f>
        <v>50</v>
      </c>
      <c r="T16" s="854"/>
      <c r="U16" s="877">
        <v>1</v>
      </c>
      <c r="V16" s="1036">
        <f t="shared" si="1"/>
        <v>50</v>
      </c>
      <c r="W16" s="877"/>
    </row>
    <row r="17" spans="1:23" ht="18" customHeight="1">
      <c r="A17" s="1225" t="s">
        <v>292</v>
      </c>
      <c r="B17" s="849"/>
      <c r="C17" s="877">
        <f t="shared" si="2"/>
        <v>209</v>
      </c>
      <c r="D17" s="883">
        <f>IF(A17&lt;&gt;0,C17/C12*100,"")</f>
        <v>11.087533156498672</v>
      </c>
      <c r="E17" s="877"/>
      <c r="F17" s="877">
        <v>24</v>
      </c>
      <c r="G17" s="1036">
        <f t="shared" si="3"/>
        <v>11.483253588516746</v>
      </c>
      <c r="H17" s="877"/>
      <c r="I17" s="877"/>
      <c r="J17" s="1036">
        <f t="shared" si="4"/>
        <v>0</v>
      </c>
      <c r="K17" s="877"/>
      <c r="L17" s="877">
        <v>1</v>
      </c>
      <c r="M17" s="1036">
        <f t="shared" si="5"/>
        <v>0.4784688995215311</v>
      </c>
      <c r="N17" s="877"/>
      <c r="O17" s="877">
        <v>35</v>
      </c>
      <c r="P17" s="1036">
        <f t="shared" si="0"/>
        <v>16.746411483253588</v>
      </c>
      <c r="Q17" s="877"/>
      <c r="R17" s="877">
        <v>119</v>
      </c>
      <c r="S17" s="1036">
        <f t="shared" si="6"/>
        <v>56.937799043062199</v>
      </c>
      <c r="T17" s="854"/>
      <c r="U17" s="877">
        <v>30</v>
      </c>
      <c r="V17" s="1036">
        <f t="shared" si="1"/>
        <v>14.354066985645932</v>
      </c>
      <c r="W17" s="877"/>
    </row>
    <row r="18" spans="1:23" ht="18" customHeight="1">
      <c r="A18" s="1225" t="s">
        <v>291</v>
      </c>
      <c r="B18" s="849"/>
      <c r="C18" s="877">
        <f t="shared" si="2"/>
        <v>72</v>
      </c>
      <c r="D18" s="883">
        <f>IF(A18&lt;&gt;0,C18/C12*100,"")</f>
        <v>3.819628647214854</v>
      </c>
      <c r="E18" s="877"/>
      <c r="F18" s="877"/>
      <c r="G18" s="1036">
        <f t="shared" si="3"/>
        <v>0</v>
      </c>
      <c r="H18" s="877"/>
      <c r="I18" s="877"/>
      <c r="J18" s="1036">
        <f t="shared" si="4"/>
        <v>0</v>
      </c>
      <c r="K18" s="877"/>
      <c r="L18" s="877">
        <v>1</v>
      </c>
      <c r="M18" s="1036">
        <f t="shared" si="5"/>
        <v>1.3888888888888888</v>
      </c>
      <c r="N18" s="877"/>
      <c r="O18" s="877">
        <v>7</v>
      </c>
      <c r="P18" s="1036">
        <f t="shared" si="0"/>
        <v>9.7222222222222232</v>
      </c>
      <c r="Q18" s="877"/>
      <c r="R18" s="877">
        <v>51</v>
      </c>
      <c r="S18" s="1036">
        <f t="shared" si="6"/>
        <v>70.833333333333343</v>
      </c>
      <c r="T18" s="854"/>
      <c r="U18" s="877">
        <v>13</v>
      </c>
      <c r="V18" s="1036">
        <f t="shared" si="1"/>
        <v>18.055555555555554</v>
      </c>
      <c r="W18" s="877"/>
    </row>
    <row r="19" spans="1:23" ht="18" customHeight="1">
      <c r="A19" s="1225" t="s">
        <v>372</v>
      </c>
      <c r="B19" s="849"/>
      <c r="C19" s="877">
        <f t="shared" si="2"/>
        <v>179</v>
      </c>
      <c r="D19" s="883">
        <f>IF(A19&lt;&gt;0,C19/C12*100,"")</f>
        <v>9.4960212201591503</v>
      </c>
      <c r="E19" s="877"/>
      <c r="F19" s="877"/>
      <c r="G19" s="1036">
        <f t="shared" si="3"/>
        <v>0</v>
      </c>
      <c r="H19" s="877"/>
      <c r="I19" s="877"/>
      <c r="J19" s="1036">
        <f t="shared" si="4"/>
        <v>0</v>
      </c>
      <c r="K19" s="877"/>
      <c r="L19" s="1124"/>
      <c r="M19" s="1036">
        <f t="shared" si="5"/>
        <v>0</v>
      </c>
      <c r="N19" s="877"/>
      <c r="O19" s="1124">
        <v>18</v>
      </c>
      <c r="P19" s="1036">
        <f t="shared" si="0"/>
        <v>10.05586592178771</v>
      </c>
      <c r="Q19" s="877"/>
      <c r="R19" s="1124">
        <v>101</v>
      </c>
      <c r="S19" s="1036">
        <f t="shared" si="6"/>
        <v>56.424581005586596</v>
      </c>
      <c r="T19" s="854"/>
      <c r="U19" s="877">
        <v>60</v>
      </c>
      <c r="V19" s="1036">
        <f t="shared" si="1"/>
        <v>33.519553072625698</v>
      </c>
      <c r="W19" s="877"/>
    </row>
    <row r="20" spans="1:23" ht="18" customHeight="1">
      <c r="A20" s="1225" t="s">
        <v>289</v>
      </c>
      <c r="B20" s="849"/>
      <c r="C20" s="877">
        <f t="shared" si="2"/>
        <v>119</v>
      </c>
      <c r="D20" s="883">
        <f>IF(A20&lt;&gt;0,C20/C12*100,"")</f>
        <v>6.3129973474801062</v>
      </c>
      <c r="E20" s="877"/>
      <c r="F20" s="877">
        <v>1</v>
      </c>
      <c r="G20" s="1036">
        <f t="shared" si="3"/>
        <v>0.84033613445378152</v>
      </c>
      <c r="H20" s="877"/>
      <c r="I20" s="877"/>
      <c r="J20" s="1036">
        <f t="shared" si="4"/>
        <v>0</v>
      </c>
      <c r="K20" s="877"/>
      <c r="L20" s="1124"/>
      <c r="M20" s="1036">
        <f t="shared" si="5"/>
        <v>0</v>
      </c>
      <c r="N20" s="877"/>
      <c r="O20" s="1124">
        <v>5</v>
      </c>
      <c r="P20" s="1036">
        <f t="shared" si="0"/>
        <v>4.2016806722689077</v>
      </c>
      <c r="Q20" s="877"/>
      <c r="R20" s="1124">
        <v>37</v>
      </c>
      <c r="S20" s="1036">
        <f t="shared" si="6"/>
        <v>31.092436974789916</v>
      </c>
      <c r="T20" s="854"/>
      <c r="U20" s="1124">
        <v>76</v>
      </c>
      <c r="V20" s="1036">
        <f t="shared" si="1"/>
        <v>63.865546218487388</v>
      </c>
      <c r="W20" s="854"/>
    </row>
    <row r="21" spans="1:23" ht="18" customHeight="1">
      <c r="A21" s="1225" t="s">
        <v>1555</v>
      </c>
      <c r="B21" s="849"/>
      <c r="C21" s="877">
        <f t="shared" si="2"/>
        <v>1</v>
      </c>
      <c r="D21" s="883">
        <f>IF(A21&lt;&gt;0,C21/C12*100,"")</f>
        <v>5.305039787798408E-2</v>
      </c>
      <c r="E21" s="877"/>
      <c r="F21" s="877"/>
      <c r="G21" s="1036">
        <f t="shared" si="3"/>
        <v>0</v>
      </c>
      <c r="H21" s="877"/>
      <c r="I21" s="877"/>
      <c r="J21" s="1036">
        <f t="shared" si="4"/>
        <v>0</v>
      </c>
      <c r="K21" s="877"/>
      <c r="L21" s="1124"/>
      <c r="M21" s="1036">
        <f t="shared" si="5"/>
        <v>0</v>
      </c>
      <c r="N21" s="877"/>
      <c r="O21" s="1124"/>
      <c r="P21" s="1036">
        <f t="shared" si="0"/>
        <v>0</v>
      </c>
      <c r="Q21" s="877"/>
      <c r="R21" s="1124">
        <v>1</v>
      </c>
      <c r="S21" s="1036">
        <f t="shared" si="6"/>
        <v>100</v>
      </c>
      <c r="T21" s="854"/>
      <c r="U21" s="1124"/>
      <c r="V21" s="1036">
        <f t="shared" si="1"/>
        <v>0</v>
      </c>
      <c r="W21" s="854"/>
    </row>
    <row r="22" spans="1:23" ht="18" customHeight="1">
      <c r="A22" s="1225" t="s">
        <v>1556</v>
      </c>
      <c r="B22" s="849"/>
      <c r="C22" s="877">
        <f t="shared" si="2"/>
        <v>144</v>
      </c>
      <c r="D22" s="883">
        <f>IF(A22&lt;&gt;0,C22/C12*100,"")</f>
        <v>7.6392572944297079</v>
      </c>
      <c r="E22" s="877"/>
      <c r="F22" s="877">
        <f>20+1+7</f>
        <v>28</v>
      </c>
      <c r="G22" s="1036">
        <f t="shared" si="3"/>
        <v>19.444444444444446</v>
      </c>
      <c r="H22" s="877"/>
      <c r="I22" s="877"/>
      <c r="J22" s="1036">
        <f t="shared" si="4"/>
        <v>0</v>
      </c>
      <c r="K22" s="877"/>
      <c r="L22" s="1124">
        <v>33</v>
      </c>
      <c r="M22" s="1036">
        <f t="shared" si="5"/>
        <v>22.916666666666664</v>
      </c>
      <c r="N22" s="877"/>
      <c r="O22" s="1124">
        <v>49</v>
      </c>
      <c r="P22" s="1036">
        <f t="shared" si="0"/>
        <v>34.027777777777779</v>
      </c>
      <c r="Q22" s="877"/>
      <c r="R22" s="1124">
        <v>23</v>
      </c>
      <c r="S22" s="1036">
        <f t="shared" si="6"/>
        <v>15.972222222222221</v>
      </c>
      <c r="T22" s="854"/>
      <c r="U22" s="1124">
        <v>11</v>
      </c>
      <c r="V22" s="1036">
        <f t="shared" si="1"/>
        <v>7.6388888888888893</v>
      </c>
      <c r="W22" s="854"/>
    </row>
    <row r="23" spans="1:23" ht="18" customHeight="1">
      <c r="A23" s="1216"/>
      <c r="B23" s="1216"/>
      <c r="C23" s="1216"/>
      <c r="D23" s="1216"/>
      <c r="E23" s="1216"/>
      <c r="F23" s="1216"/>
      <c r="G23" s="1216"/>
      <c r="H23" s="1216"/>
      <c r="I23" s="1216"/>
      <c r="J23" s="1216"/>
      <c r="K23" s="1216"/>
      <c r="L23" s="1216"/>
      <c r="M23" s="1216"/>
      <c r="N23" s="1216"/>
      <c r="O23" s="1216"/>
      <c r="P23" s="1216"/>
      <c r="Q23" s="1216"/>
      <c r="R23" s="1216"/>
      <c r="S23" s="1216"/>
      <c r="U23" s="1216"/>
      <c r="V23" s="1216"/>
    </row>
    <row r="24" spans="1:23" ht="14.25" customHeight="1">
      <c r="T24" s="1218"/>
      <c r="W24" s="1218"/>
    </row>
    <row r="25" spans="1:23" ht="17.25">
      <c r="A25" s="885" t="s">
        <v>2218</v>
      </c>
      <c r="B25" s="882"/>
      <c r="C25" s="1036"/>
      <c r="D25" s="1036"/>
      <c r="E25" s="882"/>
      <c r="F25" s="882"/>
      <c r="G25" s="882"/>
      <c r="H25" s="882"/>
      <c r="I25" s="882"/>
      <c r="J25" s="882"/>
      <c r="K25" s="882"/>
      <c r="L25" s="1036"/>
      <c r="M25" s="1036"/>
      <c r="N25" s="882"/>
      <c r="O25" s="1036"/>
      <c r="P25" s="854"/>
      <c r="Q25" s="854"/>
      <c r="R25" s="854"/>
      <c r="S25" s="854"/>
      <c r="T25" s="854"/>
      <c r="U25" s="854"/>
      <c r="W25" s="877"/>
    </row>
    <row r="26" spans="1:23" ht="21" customHeight="1">
      <c r="A26" s="1226" t="s">
        <v>2219</v>
      </c>
      <c r="T26" s="877"/>
      <c r="W26" s="877"/>
    </row>
    <row r="27" spans="1:23" ht="11.25" customHeight="1">
      <c r="T27" s="877"/>
      <c r="W27" s="877"/>
    </row>
    <row r="28" spans="1:23" s="854" customFormat="1">
      <c r="A28" s="854" t="s">
        <v>1545</v>
      </c>
    </row>
    <row r="29" spans="1:23" s="854" customFormat="1">
      <c r="A29" s="854" t="s">
        <v>385</v>
      </c>
    </row>
    <row r="30" spans="1:23" s="854" customFormat="1"/>
    <row r="32" spans="1:23">
      <c r="F32" s="854"/>
    </row>
    <row r="33" spans="6:6">
      <c r="F33" s="854"/>
    </row>
  </sheetData>
  <mergeCells count="7">
    <mergeCell ref="U8:V8"/>
    <mergeCell ref="C8:D8"/>
    <mergeCell ref="F8:G8"/>
    <mergeCell ref="I8:J8"/>
    <mergeCell ref="L8:M8"/>
    <mergeCell ref="O8:P8"/>
    <mergeCell ref="R8:S8"/>
  </mergeCells>
  <printOptions horizontalCentered="1" verticalCentered="1"/>
  <pageMargins left="0" right="0" top="0" bottom="0" header="0.31496062992125984" footer="0.31496062992125984"/>
  <pageSetup paperSize="9" scale="80" orientation="landscape" r:id="rId1"/>
  <drawing r:id="rId2"/>
</worksheet>
</file>

<file path=xl/worksheets/sheet87.xml><?xml version="1.0" encoding="utf-8"?>
<worksheet xmlns="http://schemas.openxmlformats.org/spreadsheetml/2006/main" xmlns:r="http://schemas.openxmlformats.org/officeDocument/2006/relationships">
  <dimension ref="A1:E45"/>
  <sheetViews>
    <sheetView workbookViewId="0">
      <selection activeCell="A5" sqref="A5"/>
    </sheetView>
  </sheetViews>
  <sheetFormatPr baseColWidth="10" defaultColWidth="8.85546875" defaultRowHeight="15"/>
  <cols>
    <col min="1" max="1" width="37.5703125" style="279" customWidth="1"/>
    <col min="2" max="2" width="3.28515625" style="279" customWidth="1"/>
    <col min="3" max="3" width="15" style="40" customWidth="1"/>
    <col min="4" max="4" width="17.5703125" style="24" customWidth="1"/>
    <col min="5" max="5" width="3.7109375" style="279" customWidth="1"/>
    <col min="6" max="256" width="8.85546875" style="279"/>
    <col min="257" max="257" width="37.5703125" style="279" customWidth="1"/>
    <col min="258" max="258" width="3.28515625" style="279" customWidth="1"/>
    <col min="259" max="259" width="15" style="279" customWidth="1"/>
    <col min="260" max="260" width="17.5703125" style="279" customWidth="1"/>
    <col min="261" max="261" width="3.7109375" style="279" customWidth="1"/>
    <col min="262" max="512" width="8.85546875" style="279"/>
    <col min="513" max="513" width="37.5703125" style="279" customWidth="1"/>
    <col min="514" max="514" width="3.28515625" style="279" customWidth="1"/>
    <col min="515" max="515" width="15" style="279" customWidth="1"/>
    <col min="516" max="516" width="17.5703125" style="279" customWidth="1"/>
    <col min="517" max="517" width="3.7109375" style="279" customWidth="1"/>
    <col min="518" max="768" width="8.85546875" style="279"/>
    <col min="769" max="769" width="37.5703125" style="279" customWidth="1"/>
    <col min="770" max="770" width="3.28515625" style="279" customWidth="1"/>
    <col min="771" max="771" width="15" style="279" customWidth="1"/>
    <col min="772" max="772" width="17.5703125" style="279" customWidth="1"/>
    <col min="773" max="773" width="3.7109375" style="279" customWidth="1"/>
    <col min="774" max="1024" width="8.85546875" style="279"/>
    <col min="1025" max="1025" width="37.5703125" style="279" customWidth="1"/>
    <col min="1026" max="1026" width="3.28515625" style="279" customWidth="1"/>
    <col min="1027" max="1027" width="15" style="279" customWidth="1"/>
    <col min="1028" max="1028" width="17.5703125" style="279" customWidth="1"/>
    <col min="1029" max="1029" width="3.7109375" style="279" customWidth="1"/>
    <col min="1030" max="1280" width="8.85546875" style="279"/>
    <col min="1281" max="1281" width="37.5703125" style="279" customWidth="1"/>
    <col min="1282" max="1282" width="3.28515625" style="279" customWidth="1"/>
    <col min="1283" max="1283" width="15" style="279" customWidth="1"/>
    <col min="1284" max="1284" width="17.5703125" style="279" customWidth="1"/>
    <col min="1285" max="1285" width="3.7109375" style="279" customWidth="1"/>
    <col min="1286" max="1536" width="8.85546875" style="279"/>
    <col min="1537" max="1537" width="37.5703125" style="279" customWidth="1"/>
    <col min="1538" max="1538" width="3.28515625" style="279" customWidth="1"/>
    <col min="1539" max="1539" width="15" style="279" customWidth="1"/>
    <col min="1540" max="1540" width="17.5703125" style="279" customWidth="1"/>
    <col min="1541" max="1541" width="3.7109375" style="279" customWidth="1"/>
    <col min="1542" max="1792" width="8.85546875" style="279"/>
    <col min="1793" max="1793" width="37.5703125" style="279" customWidth="1"/>
    <col min="1794" max="1794" width="3.28515625" style="279" customWidth="1"/>
    <col min="1795" max="1795" width="15" style="279" customWidth="1"/>
    <col min="1796" max="1796" width="17.5703125" style="279" customWidth="1"/>
    <col min="1797" max="1797" width="3.7109375" style="279" customWidth="1"/>
    <col min="1798" max="2048" width="8.85546875" style="279"/>
    <col min="2049" max="2049" width="37.5703125" style="279" customWidth="1"/>
    <col min="2050" max="2050" width="3.28515625" style="279" customWidth="1"/>
    <col min="2051" max="2051" width="15" style="279" customWidth="1"/>
    <col min="2052" max="2052" width="17.5703125" style="279" customWidth="1"/>
    <col min="2053" max="2053" width="3.7109375" style="279" customWidth="1"/>
    <col min="2054" max="2304" width="8.85546875" style="279"/>
    <col min="2305" max="2305" width="37.5703125" style="279" customWidth="1"/>
    <col min="2306" max="2306" width="3.28515625" style="279" customWidth="1"/>
    <col min="2307" max="2307" width="15" style="279" customWidth="1"/>
    <col min="2308" max="2308" width="17.5703125" style="279" customWidth="1"/>
    <col min="2309" max="2309" width="3.7109375" style="279" customWidth="1"/>
    <col min="2310" max="2560" width="8.85546875" style="279"/>
    <col min="2561" max="2561" width="37.5703125" style="279" customWidth="1"/>
    <col min="2562" max="2562" width="3.28515625" style="279" customWidth="1"/>
    <col min="2563" max="2563" width="15" style="279" customWidth="1"/>
    <col min="2564" max="2564" width="17.5703125" style="279" customWidth="1"/>
    <col min="2565" max="2565" width="3.7109375" style="279" customWidth="1"/>
    <col min="2566" max="2816" width="8.85546875" style="279"/>
    <col min="2817" max="2817" width="37.5703125" style="279" customWidth="1"/>
    <col min="2818" max="2818" width="3.28515625" style="279" customWidth="1"/>
    <col min="2819" max="2819" width="15" style="279" customWidth="1"/>
    <col min="2820" max="2820" width="17.5703125" style="279" customWidth="1"/>
    <col min="2821" max="2821" width="3.7109375" style="279" customWidth="1"/>
    <col min="2822" max="3072" width="8.85546875" style="279"/>
    <col min="3073" max="3073" width="37.5703125" style="279" customWidth="1"/>
    <col min="3074" max="3074" width="3.28515625" style="279" customWidth="1"/>
    <col min="3075" max="3075" width="15" style="279" customWidth="1"/>
    <col min="3076" max="3076" width="17.5703125" style="279" customWidth="1"/>
    <col min="3077" max="3077" width="3.7109375" style="279" customWidth="1"/>
    <col min="3078" max="3328" width="8.85546875" style="279"/>
    <col min="3329" max="3329" width="37.5703125" style="279" customWidth="1"/>
    <col min="3330" max="3330" width="3.28515625" style="279" customWidth="1"/>
    <col min="3331" max="3331" width="15" style="279" customWidth="1"/>
    <col min="3332" max="3332" width="17.5703125" style="279" customWidth="1"/>
    <col min="3333" max="3333" width="3.7109375" style="279" customWidth="1"/>
    <col min="3334" max="3584" width="8.85546875" style="279"/>
    <col min="3585" max="3585" width="37.5703125" style="279" customWidth="1"/>
    <col min="3586" max="3586" width="3.28515625" style="279" customWidth="1"/>
    <col min="3587" max="3587" width="15" style="279" customWidth="1"/>
    <col min="3588" max="3588" width="17.5703125" style="279" customWidth="1"/>
    <col min="3589" max="3589" width="3.7109375" style="279" customWidth="1"/>
    <col min="3590" max="3840" width="8.85546875" style="279"/>
    <col min="3841" max="3841" width="37.5703125" style="279" customWidth="1"/>
    <col min="3842" max="3842" width="3.28515625" style="279" customWidth="1"/>
    <col min="3843" max="3843" width="15" style="279" customWidth="1"/>
    <col min="3844" max="3844" width="17.5703125" style="279" customWidth="1"/>
    <col min="3845" max="3845" width="3.7109375" style="279" customWidth="1"/>
    <col min="3846" max="4096" width="8.85546875" style="279"/>
    <col min="4097" max="4097" width="37.5703125" style="279" customWidth="1"/>
    <col min="4098" max="4098" width="3.28515625" style="279" customWidth="1"/>
    <col min="4099" max="4099" width="15" style="279" customWidth="1"/>
    <col min="4100" max="4100" width="17.5703125" style="279" customWidth="1"/>
    <col min="4101" max="4101" width="3.7109375" style="279" customWidth="1"/>
    <col min="4102" max="4352" width="8.85546875" style="279"/>
    <col min="4353" max="4353" width="37.5703125" style="279" customWidth="1"/>
    <col min="4354" max="4354" width="3.28515625" style="279" customWidth="1"/>
    <col min="4355" max="4355" width="15" style="279" customWidth="1"/>
    <col min="4356" max="4356" width="17.5703125" style="279" customWidth="1"/>
    <col min="4357" max="4357" width="3.7109375" style="279" customWidth="1"/>
    <col min="4358" max="4608" width="8.85546875" style="279"/>
    <col min="4609" max="4609" width="37.5703125" style="279" customWidth="1"/>
    <col min="4610" max="4610" width="3.28515625" style="279" customWidth="1"/>
    <col min="4611" max="4611" width="15" style="279" customWidth="1"/>
    <col min="4612" max="4612" width="17.5703125" style="279" customWidth="1"/>
    <col min="4613" max="4613" width="3.7109375" style="279" customWidth="1"/>
    <col min="4614" max="4864" width="8.85546875" style="279"/>
    <col min="4865" max="4865" width="37.5703125" style="279" customWidth="1"/>
    <col min="4866" max="4866" width="3.28515625" style="279" customWidth="1"/>
    <col min="4867" max="4867" width="15" style="279" customWidth="1"/>
    <col min="4868" max="4868" width="17.5703125" style="279" customWidth="1"/>
    <col min="4869" max="4869" width="3.7109375" style="279" customWidth="1"/>
    <col min="4870" max="5120" width="8.85546875" style="279"/>
    <col min="5121" max="5121" width="37.5703125" style="279" customWidth="1"/>
    <col min="5122" max="5122" width="3.28515625" style="279" customWidth="1"/>
    <col min="5123" max="5123" width="15" style="279" customWidth="1"/>
    <col min="5124" max="5124" width="17.5703125" style="279" customWidth="1"/>
    <col min="5125" max="5125" width="3.7109375" style="279" customWidth="1"/>
    <col min="5126" max="5376" width="8.85546875" style="279"/>
    <col min="5377" max="5377" width="37.5703125" style="279" customWidth="1"/>
    <col min="5378" max="5378" width="3.28515625" style="279" customWidth="1"/>
    <col min="5379" max="5379" width="15" style="279" customWidth="1"/>
    <col min="5380" max="5380" width="17.5703125" style="279" customWidth="1"/>
    <col min="5381" max="5381" width="3.7109375" style="279" customWidth="1"/>
    <col min="5382" max="5632" width="8.85546875" style="279"/>
    <col min="5633" max="5633" width="37.5703125" style="279" customWidth="1"/>
    <col min="5634" max="5634" width="3.28515625" style="279" customWidth="1"/>
    <col min="5635" max="5635" width="15" style="279" customWidth="1"/>
    <col min="5636" max="5636" width="17.5703125" style="279" customWidth="1"/>
    <col min="5637" max="5637" width="3.7109375" style="279" customWidth="1"/>
    <col min="5638" max="5888" width="8.85546875" style="279"/>
    <col min="5889" max="5889" width="37.5703125" style="279" customWidth="1"/>
    <col min="5890" max="5890" width="3.28515625" style="279" customWidth="1"/>
    <col min="5891" max="5891" width="15" style="279" customWidth="1"/>
    <col min="5892" max="5892" width="17.5703125" style="279" customWidth="1"/>
    <col min="5893" max="5893" width="3.7109375" style="279" customWidth="1"/>
    <col min="5894" max="6144" width="8.85546875" style="279"/>
    <col min="6145" max="6145" width="37.5703125" style="279" customWidth="1"/>
    <col min="6146" max="6146" width="3.28515625" style="279" customWidth="1"/>
    <col min="6147" max="6147" width="15" style="279" customWidth="1"/>
    <col min="6148" max="6148" width="17.5703125" style="279" customWidth="1"/>
    <col min="6149" max="6149" width="3.7109375" style="279" customWidth="1"/>
    <col min="6150" max="6400" width="8.85546875" style="279"/>
    <col min="6401" max="6401" width="37.5703125" style="279" customWidth="1"/>
    <col min="6402" max="6402" width="3.28515625" style="279" customWidth="1"/>
    <col min="6403" max="6403" width="15" style="279" customWidth="1"/>
    <col min="6404" max="6404" width="17.5703125" style="279" customWidth="1"/>
    <col min="6405" max="6405" width="3.7109375" style="279" customWidth="1"/>
    <col min="6406" max="6656" width="8.85546875" style="279"/>
    <col min="6657" max="6657" width="37.5703125" style="279" customWidth="1"/>
    <col min="6658" max="6658" width="3.28515625" style="279" customWidth="1"/>
    <col min="6659" max="6659" width="15" style="279" customWidth="1"/>
    <col min="6660" max="6660" width="17.5703125" style="279" customWidth="1"/>
    <col min="6661" max="6661" width="3.7109375" style="279" customWidth="1"/>
    <col min="6662" max="6912" width="8.85546875" style="279"/>
    <col min="6913" max="6913" width="37.5703125" style="279" customWidth="1"/>
    <col min="6914" max="6914" width="3.28515625" style="279" customWidth="1"/>
    <col min="6915" max="6915" width="15" style="279" customWidth="1"/>
    <col min="6916" max="6916" width="17.5703125" style="279" customWidth="1"/>
    <col min="6917" max="6917" width="3.7109375" style="279" customWidth="1"/>
    <col min="6918" max="7168" width="8.85546875" style="279"/>
    <col min="7169" max="7169" width="37.5703125" style="279" customWidth="1"/>
    <col min="7170" max="7170" width="3.28515625" style="279" customWidth="1"/>
    <col min="7171" max="7171" width="15" style="279" customWidth="1"/>
    <col min="7172" max="7172" width="17.5703125" style="279" customWidth="1"/>
    <col min="7173" max="7173" width="3.7109375" style="279" customWidth="1"/>
    <col min="7174" max="7424" width="8.85546875" style="279"/>
    <col min="7425" max="7425" width="37.5703125" style="279" customWidth="1"/>
    <col min="7426" max="7426" width="3.28515625" style="279" customWidth="1"/>
    <col min="7427" max="7427" width="15" style="279" customWidth="1"/>
    <col min="7428" max="7428" width="17.5703125" style="279" customWidth="1"/>
    <col min="7429" max="7429" width="3.7109375" style="279" customWidth="1"/>
    <col min="7430" max="7680" width="8.85546875" style="279"/>
    <col min="7681" max="7681" width="37.5703125" style="279" customWidth="1"/>
    <col min="7682" max="7682" width="3.28515625" style="279" customWidth="1"/>
    <col min="7683" max="7683" width="15" style="279" customWidth="1"/>
    <col min="7684" max="7684" width="17.5703125" style="279" customWidth="1"/>
    <col min="7685" max="7685" width="3.7109375" style="279" customWidth="1"/>
    <col min="7686" max="7936" width="8.85546875" style="279"/>
    <col min="7937" max="7937" width="37.5703125" style="279" customWidth="1"/>
    <col min="7938" max="7938" width="3.28515625" style="279" customWidth="1"/>
    <col min="7939" max="7939" width="15" style="279" customWidth="1"/>
    <col min="7940" max="7940" width="17.5703125" style="279" customWidth="1"/>
    <col min="7941" max="7941" width="3.7109375" style="279" customWidth="1"/>
    <col min="7942" max="8192" width="8.85546875" style="279"/>
    <col min="8193" max="8193" width="37.5703125" style="279" customWidth="1"/>
    <col min="8194" max="8194" width="3.28515625" style="279" customWidth="1"/>
    <col min="8195" max="8195" width="15" style="279" customWidth="1"/>
    <col min="8196" max="8196" width="17.5703125" style="279" customWidth="1"/>
    <col min="8197" max="8197" width="3.7109375" style="279" customWidth="1"/>
    <col min="8198" max="8448" width="8.85546875" style="279"/>
    <col min="8449" max="8449" width="37.5703125" style="279" customWidth="1"/>
    <col min="8450" max="8450" width="3.28515625" style="279" customWidth="1"/>
    <col min="8451" max="8451" width="15" style="279" customWidth="1"/>
    <col min="8452" max="8452" width="17.5703125" style="279" customWidth="1"/>
    <col min="8453" max="8453" width="3.7109375" style="279" customWidth="1"/>
    <col min="8454" max="8704" width="8.85546875" style="279"/>
    <col min="8705" max="8705" width="37.5703125" style="279" customWidth="1"/>
    <col min="8706" max="8706" width="3.28515625" style="279" customWidth="1"/>
    <col min="8707" max="8707" width="15" style="279" customWidth="1"/>
    <col min="8708" max="8708" width="17.5703125" style="279" customWidth="1"/>
    <col min="8709" max="8709" width="3.7109375" style="279" customWidth="1"/>
    <col min="8710" max="8960" width="8.85546875" style="279"/>
    <col min="8961" max="8961" width="37.5703125" style="279" customWidth="1"/>
    <col min="8962" max="8962" width="3.28515625" style="279" customWidth="1"/>
    <col min="8963" max="8963" width="15" style="279" customWidth="1"/>
    <col min="8964" max="8964" width="17.5703125" style="279" customWidth="1"/>
    <col min="8965" max="8965" width="3.7109375" style="279" customWidth="1"/>
    <col min="8966" max="9216" width="8.85546875" style="279"/>
    <col min="9217" max="9217" width="37.5703125" style="279" customWidth="1"/>
    <col min="9218" max="9218" width="3.28515625" style="279" customWidth="1"/>
    <col min="9219" max="9219" width="15" style="279" customWidth="1"/>
    <col min="9220" max="9220" width="17.5703125" style="279" customWidth="1"/>
    <col min="9221" max="9221" width="3.7109375" style="279" customWidth="1"/>
    <col min="9222" max="9472" width="8.85546875" style="279"/>
    <col min="9473" max="9473" width="37.5703125" style="279" customWidth="1"/>
    <col min="9474" max="9474" width="3.28515625" style="279" customWidth="1"/>
    <col min="9475" max="9475" width="15" style="279" customWidth="1"/>
    <col min="9476" max="9476" width="17.5703125" style="279" customWidth="1"/>
    <col min="9477" max="9477" width="3.7109375" style="279" customWidth="1"/>
    <col min="9478" max="9728" width="8.85546875" style="279"/>
    <col min="9729" max="9729" width="37.5703125" style="279" customWidth="1"/>
    <col min="9730" max="9730" width="3.28515625" style="279" customWidth="1"/>
    <col min="9731" max="9731" width="15" style="279" customWidth="1"/>
    <col min="9732" max="9732" width="17.5703125" style="279" customWidth="1"/>
    <col min="9733" max="9733" width="3.7109375" style="279" customWidth="1"/>
    <col min="9734" max="9984" width="8.85546875" style="279"/>
    <col min="9985" max="9985" width="37.5703125" style="279" customWidth="1"/>
    <col min="9986" max="9986" width="3.28515625" style="279" customWidth="1"/>
    <col min="9987" max="9987" width="15" style="279" customWidth="1"/>
    <col min="9988" max="9988" width="17.5703125" style="279" customWidth="1"/>
    <col min="9989" max="9989" width="3.7109375" style="279" customWidth="1"/>
    <col min="9990" max="10240" width="8.85546875" style="279"/>
    <col min="10241" max="10241" width="37.5703125" style="279" customWidth="1"/>
    <col min="10242" max="10242" width="3.28515625" style="279" customWidth="1"/>
    <col min="10243" max="10243" width="15" style="279" customWidth="1"/>
    <col min="10244" max="10244" width="17.5703125" style="279" customWidth="1"/>
    <col min="10245" max="10245" width="3.7109375" style="279" customWidth="1"/>
    <col min="10246" max="10496" width="8.85546875" style="279"/>
    <col min="10497" max="10497" width="37.5703125" style="279" customWidth="1"/>
    <col min="10498" max="10498" width="3.28515625" style="279" customWidth="1"/>
    <col min="10499" max="10499" width="15" style="279" customWidth="1"/>
    <col min="10500" max="10500" width="17.5703125" style="279" customWidth="1"/>
    <col min="10501" max="10501" width="3.7109375" style="279" customWidth="1"/>
    <col min="10502" max="10752" width="8.85546875" style="279"/>
    <col min="10753" max="10753" width="37.5703125" style="279" customWidth="1"/>
    <col min="10754" max="10754" width="3.28515625" style="279" customWidth="1"/>
    <col min="10755" max="10755" width="15" style="279" customWidth="1"/>
    <col min="10756" max="10756" width="17.5703125" style="279" customWidth="1"/>
    <col min="10757" max="10757" width="3.7109375" style="279" customWidth="1"/>
    <col min="10758" max="11008" width="8.85546875" style="279"/>
    <col min="11009" max="11009" width="37.5703125" style="279" customWidth="1"/>
    <col min="11010" max="11010" width="3.28515625" style="279" customWidth="1"/>
    <col min="11011" max="11011" width="15" style="279" customWidth="1"/>
    <col min="11012" max="11012" width="17.5703125" style="279" customWidth="1"/>
    <col min="11013" max="11013" width="3.7109375" style="279" customWidth="1"/>
    <col min="11014" max="11264" width="8.85546875" style="279"/>
    <col min="11265" max="11265" width="37.5703125" style="279" customWidth="1"/>
    <col min="11266" max="11266" width="3.28515625" style="279" customWidth="1"/>
    <col min="11267" max="11267" width="15" style="279" customWidth="1"/>
    <col min="11268" max="11268" width="17.5703125" style="279" customWidth="1"/>
    <col min="11269" max="11269" width="3.7109375" style="279" customWidth="1"/>
    <col min="11270" max="11520" width="8.85546875" style="279"/>
    <col min="11521" max="11521" width="37.5703125" style="279" customWidth="1"/>
    <col min="11522" max="11522" width="3.28515625" style="279" customWidth="1"/>
    <col min="11523" max="11523" width="15" style="279" customWidth="1"/>
    <col min="11524" max="11524" width="17.5703125" style="279" customWidth="1"/>
    <col min="11525" max="11525" width="3.7109375" style="279" customWidth="1"/>
    <col min="11526" max="11776" width="8.85546875" style="279"/>
    <col min="11777" max="11777" width="37.5703125" style="279" customWidth="1"/>
    <col min="11778" max="11778" width="3.28515625" style="279" customWidth="1"/>
    <col min="11779" max="11779" width="15" style="279" customWidth="1"/>
    <col min="11780" max="11780" width="17.5703125" style="279" customWidth="1"/>
    <col min="11781" max="11781" width="3.7109375" style="279" customWidth="1"/>
    <col min="11782" max="12032" width="8.85546875" style="279"/>
    <col min="12033" max="12033" width="37.5703125" style="279" customWidth="1"/>
    <col min="12034" max="12034" width="3.28515625" style="279" customWidth="1"/>
    <col min="12035" max="12035" width="15" style="279" customWidth="1"/>
    <col min="12036" max="12036" width="17.5703125" style="279" customWidth="1"/>
    <col min="12037" max="12037" width="3.7109375" style="279" customWidth="1"/>
    <col min="12038" max="12288" width="8.85546875" style="279"/>
    <col min="12289" max="12289" width="37.5703125" style="279" customWidth="1"/>
    <col min="12290" max="12290" width="3.28515625" style="279" customWidth="1"/>
    <col min="12291" max="12291" width="15" style="279" customWidth="1"/>
    <col min="12292" max="12292" width="17.5703125" style="279" customWidth="1"/>
    <col min="12293" max="12293" width="3.7109375" style="279" customWidth="1"/>
    <col min="12294" max="12544" width="8.85546875" style="279"/>
    <col min="12545" max="12545" width="37.5703125" style="279" customWidth="1"/>
    <col min="12546" max="12546" width="3.28515625" style="279" customWidth="1"/>
    <col min="12547" max="12547" width="15" style="279" customWidth="1"/>
    <col min="12548" max="12548" width="17.5703125" style="279" customWidth="1"/>
    <col min="12549" max="12549" width="3.7109375" style="279" customWidth="1"/>
    <col min="12550" max="12800" width="8.85546875" style="279"/>
    <col min="12801" max="12801" width="37.5703125" style="279" customWidth="1"/>
    <col min="12802" max="12802" width="3.28515625" style="279" customWidth="1"/>
    <col min="12803" max="12803" width="15" style="279" customWidth="1"/>
    <col min="12804" max="12804" width="17.5703125" style="279" customWidth="1"/>
    <col min="12805" max="12805" width="3.7109375" style="279" customWidth="1"/>
    <col min="12806" max="13056" width="8.85546875" style="279"/>
    <col min="13057" max="13057" width="37.5703125" style="279" customWidth="1"/>
    <col min="13058" max="13058" width="3.28515625" style="279" customWidth="1"/>
    <col min="13059" max="13059" width="15" style="279" customWidth="1"/>
    <col min="13060" max="13060" width="17.5703125" style="279" customWidth="1"/>
    <col min="13061" max="13061" width="3.7109375" style="279" customWidth="1"/>
    <col min="13062" max="13312" width="8.85546875" style="279"/>
    <col min="13313" max="13313" width="37.5703125" style="279" customWidth="1"/>
    <col min="13314" max="13314" width="3.28515625" style="279" customWidth="1"/>
    <col min="13315" max="13315" width="15" style="279" customWidth="1"/>
    <col min="13316" max="13316" width="17.5703125" style="279" customWidth="1"/>
    <col min="13317" max="13317" width="3.7109375" style="279" customWidth="1"/>
    <col min="13318" max="13568" width="8.85546875" style="279"/>
    <col min="13569" max="13569" width="37.5703125" style="279" customWidth="1"/>
    <col min="13570" max="13570" width="3.28515625" style="279" customWidth="1"/>
    <col min="13571" max="13571" width="15" style="279" customWidth="1"/>
    <col min="13572" max="13572" width="17.5703125" style="279" customWidth="1"/>
    <col min="13573" max="13573" width="3.7109375" style="279" customWidth="1"/>
    <col min="13574" max="13824" width="8.85546875" style="279"/>
    <col min="13825" max="13825" width="37.5703125" style="279" customWidth="1"/>
    <col min="13826" max="13826" width="3.28515625" style="279" customWidth="1"/>
    <col min="13827" max="13827" width="15" style="279" customWidth="1"/>
    <col min="13828" max="13828" width="17.5703125" style="279" customWidth="1"/>
    <col min="13829" max="13829" width="3.7109375" style="279" customWidth="1"/>
    <col min="13830" max="14080" width="8.85546875" style="279"/>
    <col min="14081" max="14081" width="37.5703125" style="279" customWidth="1"/>
    <col min="14082" max="14082" width="3.28515625" style="279" customWidth="1"/>
    <col min="14083" max="14083" width="15" style="279" customWidth="1"/>
    <col min="14084" max="14084" width="17.5703125" style="279" customWidth="1"/>
    <col min="14085" max="14085" width="3.7109375" style="279" customWidth="1"/>
    <col min="14086" max="14336" width="8.85546875" style="279"/>
    <col min="14337" max="14337" width="37.5703125" style="279" customWidth="1"/>
    <col min="14338" max="14338" width="3.28515625" style="279" customWidth="1"/>
    <col min="14339" max="14339" width="15" style="279" customWidth="1"/>
    <col min="14340" max="14340" width="17.5703125" style="279" customWidth="1"/>
    <col min="14341" max="14341" width="3.7109375" style="279" customWidth="1"/>
    <col min="14342" max="14592" width="8.85546875" style="279"/>
    <col min="14593" max="14593" width="37.5703125" style="279" customWidth="1"/>
    <col min="14594" max="14594" width="3.28515625" style="279" customWidth="1"/>
    <col min="14595" max="14595" width="15" style="279" customWidth="1"/>
    <col min="14596" max="14596" width="17.5703125" style="279" customWidth="1"/>
    <col min="14597" max="14597" width="3.7109375" style="279" customWidth="1"/>
    <col min="14598" max="14848" width="8.85546875" style="279"/>
    <col min="14849" max="14849" width="37.5703125" style="279" customWidth="1"/>
    <col min="14850" max="14850" width="3.28515625" style="279" customWidth="1"/>
    <col min="14851" max="14851" width="15" style="279" customWidth="1"/>
    <col min="14852" max="14852" width="17.5703125" style="279" customWidth="1"/>
    <col min="14853" max="14853" width="3.7109375" style="279" customWidth="1"/>
    <col min="14854" max="15104" width="8.85546875" style="279"/>
    <col min="15105" max="15105" width="37.5703125" style="279" customWidth="1"/>
    <col min="15106" max="15106" width="3.28515625" style="279" customWidth="1"/>
    <col min="15107" max="15107" width="15" style="279" customWidth="1"/>
    <col min="15108" max="15108" width="17.5703125" style="279" customWidth="1"/>
    <col min="15109" max="15109" width="3.7109375" style="279" customWidth="1"/>
    <col min="15110" max="15360" width="8.85546875" style="279"/>
    <col min="15361" max="15361" width="37.5703125" style="279" customWidth="1"/>
    <col min="15362" max="15362" width="3.28515625" style="279" customWidth="1"/>
    <col min="15363" max="15363" width="15" style="279" customWidth="1"/>
    <col min="15364" max="15364" width="17.5703125" style="279" customWidth="1"/>
    <col min="15365" max="15365" width="3.7109375" style="279" customWidth="1"/>
    <col min="15366" max="15616" width="8.85546875" style="279"/>
    <col min="15617" max="15617" width="37.5703125" style="279" customWidth="1"/>
    <col min="15618" max="15618" width="3.28515625" style="279" customWidth="1"/>
    <col min="15619" max="15619" width="15" style="279" customWidth="1"/>
    <col min="15620" max="15620" width="17.5703125" style="279" customWidth="1"/>
    <col min="15621" max="15621" width="3.7109375" style="279" customWidth="1"/>
    <col min="15622" max="15872" width="8.85546875" style="279"/>
    <col min="15873" max="15873" width="37.5703125" style="279" customWidth="1"/>
    <col min="15874" max="15874" width="3.28515625" style="279" customWidth="1"/>
    <col min="15875" max="15875" width="15" style="279" customWidth="1"/>
    <col min="15876" max="15876" width="17.5703125" style="279" customWidth="1"/>
    <col min="15877" max="15877" width="3.7109375" style="279" customWidth="1"/>
    <col min="15878" max="16128" width="8.85546875" style="279"/>
    <col min="16129" max="16129" width="37.5703125" style="279" customWidth="1"/>
    <col min="16130" max="16130" width="3.28515625" style="279" customWidth="1"/>
    <col min="16131" max="16131" width="15" style="279" customWidth="1"/>
    <col min="16132" max="16132" width="17.5703125" style="279" customWidth="1"/>
    <col min="16133" max="16133" width="3.7109375" style="279" customWidth="1"/>
    <col min="16134" max="16384" width="8.85546875" style="279"/>
  </cols>
  <sheetData>
    <row r="1" spans="1:5">
      <c r="A1" s="282" t="s">
        <v>0</v>
      </c>
      <c r="B1" s="282"/>
      <c r="C1" s="39"/>
    </row>
    <row r="2" spans="1:5">
      <c r="A2" s="282" t="s">
        <v>1</v>
      </c>
      <c r="B2" s="282"/>
      <c r="C2" s="39"/>
    </row>
    <row r="3" spans="1:5" ht="4.5" customHeight="1">
      <c r="A3" s="282"/>
      <c r="B3" s="282"/>
      <c r="C3" s="39"/>
    </row>
    <row r="4" spans="1:5">
      <c r="A4" s="282" t="s">
        <v>2220</v>
      </c>
      <c r="B4" s="282"/>
      <c r="C4" s="39"/>
    </row>
    <row r="5" spans="1:5" ht="9.75" customHeight="1" thickBot="1"/>
    <row r="6" spans="1:5" ht="6.75" customHeight="1">
      <c r="A6" s="619"/>
      <c r="B6" s="619"/>
      <c r="C6" s="620"/>
      <c r="D6" s="515"/>
      <c r="E6" s="515"/>
    </row>
    <row r="7" spans="1:5">
      <c r="A7" s="242" t="s">
        <v>1561</v>
      </c>
      <c r="B7" s="275"/>
      <c r="C7" s="1315" t="s">
        <v>1098</v>
      </c>
      <c r="D7" s="1315"/>
    </row>
    <row r="8" spans="1:5">
      <c r="A8" s="180"/>
      <c r="B8" s="275"/>
      <c r="C8" s="433" t="s">
        <v>360</v>
      </c>
      <c r="D8" s="242" t="s">
        <v>10</v>
      </c>
    </row>
    <row r="9" spans="1:5" ht="6.75" customHeight="1" thickBot="1">
      <c r="A9" s="308"/>
      <c r="B9" s="308"/>
      <c r="C9" s="589"/>
      <c r="D9" s="105"/>
    </row>
    <row r="10" spans="1:5" ht="7.5" customHeight="1">
      <c r="A10" s="307"/>
      <c r="B10" s="307"/>
      <c r="C10" s="75"/>
      <c r="D10" s="69"/>
      <c r="E10" s="515"/>
    </row>
    <row r="11" spans="1:5" ht="13.5" customHeight="1">
      <c r="A11" s="621" t="s">
        <v>325</v>
      </c>
      <c r="B11" s="622"/>
      <c r="C11" s="623">
        <f>IF($A11&lt;&gt;0,C13+C29,"")</f>
        <v>174</v>
      </c>
      <c r="D11" s="624">
        <f>IF($A11&lt;&gt;0,D13+D29,"")</f>
        <v>100</v>
      </c>
    </row>
    <row r="12" spans="1:5" ht="13.5" customHeight="1">
      <c r="A12" s="622"/>
      <c r="B12" s="622"/>
      <c r="C12" s="270"/>
      <c r="D12" s="269"/>
    </row>
    <row r="13" spans="1:5" ht="13.5" customHeight="1">
      <c r="A13" s="621" t="s">
        <v>326</v>
      </c>
      <c r="B13" s="622"/>
      <c r="C13" s="270">
        <f>SUM(C15+C17+C19+C21+C23+C25+C27)</f>
        <v>126</v>
      </c>
      <c r="D13" s="624">
        <f>IF($A13&lt;&gt;"",C13/C$11*100,"")</f>
        <v>72.41379310344827</v>
      </c>
    </row>
    <row r="14" spans="1:5" ht="13.5" customHeight="1">
      <c r="A14" s="622"/>
      <c r="B14" s="622"/>
      <c r="C14" s="270"/>
      <c r="D14" s="624" t="str">
        <f t="shared" ref="D14:D19" si="0">IF($A14&lt;&gt;"",C14/C$11*100,"")</f>
        <v/>
      </c>
    </row>
    <row r="15" spans="1:5" ht="13.5" customHeight="1">
      <c r="A15" s="625" t="s">
        <v>327</v>
      </c>
      <c r="B15" s="621"/>
      <c r="C15" s="270">
        <v>14</v>
      </c>
      <c r="D15" s="624">
        <f t="shared" si="0"/>
        <v>8.0459770114942533</v>
      </c>
    </row>
    <row r="16" spans="1:5" ht="13.5" customHeight="1">
      <c r="A16" s="625"/>
      <c r="B16" s="622"/>
      <c r="C16" s="270"/>
      <c r="D16" s="624" t="str">
        <f t="shared" si="0"/>
        <v/>
      </c>
    </row>
    <row r="17" spans="1:4" ht="13.5" customHeight="1">
      <c r="A17" s="625" t="s">
        <v>375</v>
      </c>
      <c r="B17" s="621"/>
      <c r="C17" s="270">
        <v>9</v>
      </c>
      <c r="D17" s="624">
        <f t="shared" si="0"/>
        <v>5.1724137931034484</v>
      </c>
    </row>
    <row r="18" spans="1:4" ht="13.5" customHeight="1">
      <c r="A18" s="625"/>
      <c r="B18" s="622"/>
      <c r="C18" s="270"/>
      <c r="D18" s="624" t="str">
        <f t="shared" si="0"/>
        <v/>
      </c>
    </row>
    <row r="19" spans="1:4" ht="13.5" customHeight="1">
      <c r="A19" s="625" t="s">
        <v>329</v>
      </c>
      <c r="B19" s="621"/>
      <c r="C19" s="270">
        <v>55</v>
      </c>
      <c r="D19" s="624">
        <f t="shared" si="0"/>
        <v>31.609195402298852</v>
      </c>
    </row>
    <row r="20" spans="1:4" ht="13.5" customHeight="1">
      <c r="A20" s="400"/>
      <c r="B20" s="622"/>
      <c r="C20" s="270"/>
      <c r="D20" s="269"/>
    </row>
    <row r="21" spans="1:4" ht="13.5" customHeight="1">
      <c r="A21" s="400" t="s">
        <v>336</v>
      </c>
      <c r="B21" s="621"/>
      <c r="C21" s="270">
        <v>6</v>
      </c>
      <c r="D21" s="624">
        <f t="shared" ref="D21:D41" si="1">IF($A21&lt;&gt;"",C21/C$11*100,"")</f>
        <v>3.4482758620689653</v>
      </c>
    </row>
    <row r="22" spans="1:4" ht="13.5" customHeight="1">
      <c r="A22" s="400"/>
      <c r="B22" s="621"/>
      <c r="C22" s="270"/>
      <c r="D22" s="624"/>
    </row>
    <row r="23" spans="1:4" ht="13.5" customHeight="1">
      <c r="A23" s="625" t="s">
        <v>396</v>
      </c>
      <c r="B23" s="622"/>
      <c r="C23" s="270">
        <v>14</v>
      </c>
      <c r="D23" s="624">
        <f t="shared" si="1"/>
        <v>8.0459770114942533</v>
      </c>
    </row>
    <row r="24" spans="1:4" ht="13.5" customHeight="1">
      <c r="A24" s="625"/>
      <c r="B24" s="622"/>
      <c r="C24" s="270"/>
      <c r="D24" s="624" t="str">
        <f t="shared" si="1"/>
        <v/>
      </c>
    </row>
    <row r="25" spans="1:4" s="626" customFormat="1" ht="13.5" customHeight="1">
      <c r="A25" s="625" t="s">
        <v>333</v>
      </c>
      <c r="B25" s="621"/>
      <c r="C25" s="270">
        <v>26</v>
      </c>
      <c r="D25" s="624">
        <f t="shared" si="1"/>
        <v>14.942528735632186</v>
      </c>
    </row>
    <row r="26" spans="1:4" ht="13.5" customHeight="1">
      <c r="A26" s="622"/>
      <c r="B26" s="622"/>
      <c r="C26" s="270"/>
      <c r="D26" s="624" t="str">
        <f t="shared" si="1"/>
        <v/>
      </c>
    </row>
    <row r="27" spans="1:4" ht="13.5" customHeight="1">
      <c r="A27" s="625" t="s">
        <v>1562</v>
      </c>
      <c r="B27" s="622"/>
      <c r="C27" s="270">
        <v>2</v>
      </c>
      <c r="D27" s="624">
        <f t="shared" si="1"/>
        <v>1.1494252873563218</v>
      </c>
    </row>
    <row r="28" spans="1:4" ht="13.5" customHeight="1">
      <c r="A28" s="622"/>
      <c r="B28" s="622"/>
      <c r="C28" s="270"/>
      <c r="D28" s="624"/>
    </row>
    <row r="29" spans="1:4" ht="13.5" customHeight="1">
      <c r="A29" s="621" t="s">
        <v>346</v>
      </c>
      <c r="B29" s="621"/>
      <c r="C29" s="270">
        <v>48</v>
      </c>
      <c r="D29" s="624">
        <f t="shared" si="1"/>
        <v>27.586206896551722</v>
      </c>
    </row>
    <row r="30" spans="1:4" ht="10.5" hidden="1" customHeight="1">
      <c r="A30" s="621"/>
      <c r="B30" s="621"/>
      <c r="C30" s="270"/>
      <c r="D30" s="624"/>
    </row>
    <row r="31" spans="1:4" hidden="1">
      <c r="A31" s="622" t="s">
        <v>1563</v>
      </c>
      <c r="B31" s="622"/>
      <c r="C31" s="270"/>
      <c r="D31" s="624">
        <f t="shared" si="1"/>
        <v>0</v>
      </c>
    </row>
    <row r="32" spans="1:4" ht="10.5" hidden="1" customHeight="1">
      <c r="A32" s="622"/>
      <c r="B32" s="622"/>
      <c r="C32" s="270"/>
      <c r="D32" s="624" t="str">
        <f t="shared" si="1"/>
        <v/>
      </c>
    </row>
    <row r="33" spans="1:5" hidden="1">
      <c r="A33" s="625" t="s">
        <v>775</v>
      </c>
      <c r="B33" s="622"/>
      <c r="C33" s="270"/>
      <c r="D33" s="624">
        <f t="shared" si="1"/>
        <v>0</v>
      </c>
    </row>
    <row r="34" spans="1:5" ht="9" hidden="1" customHeight="1">
      <c r="A34" s="622"/>
      <c r="B34" s="622"/>
      <c r="C34" s="270"/>
      <c r="D34" s="624" t="str">
        <f t="shared" si="1"/>
        <v/>
      </c>
    </row>
    <row r="35" spans="1:5" hidden="1">
      <c r="A35" s="622" t="s">
        <v>1564</v>
      </c>
      <c r="B35" s="622"/>
      <c r="C35" s="270"/>
      <c r="D35" s="624">
        <f t="shared" si="1"/>
        <v>0</v>
      </c>
    </row>
    <row r="36" spans="1:5" ht="9" hidden="1" customHeight="1">
      <c r="A36" s="622"/>
      <c r="B36" s="622"/>
      <c r="C36" s="270"/>
      <c r="D36" s="624"/>
    </row>
    <row r="37" spans="1:5" hidden="1">
      <c r="A37" s="622" t="s">
        <v>779</v>
      </c>
      <c r="B37" s="622"/>
      <c r="C37" s="270"/>
      <c r="D37" s="624">
        <f t="shared" si="1"/>
        <v>0</v>
      </c>
    </row>
    <row r="38" spans="1:5" ht="9" hidden="1" customHeight="1">
      <c r="A38" s="622"/>
      <c r="B38" s="622"/>
      <c r="C38" s="270"/>
      <c r="D38" s="624"/>
    </row>
    <row r="39" spans="1:5" hidden="1">
      <c r="A39" s="622" t="s">
        <v>1565</v>
      </c>
      <c r="B39" s="622"/>
      <c r="C39" s="270"/>
      <c r="D39" s="624">
        <f t="shared" si="1"/>
        <v>0</v>
      </c>
    </row>
    <row r="40" spans="1:5" ht="9" hidden="1" customHeight="1">
      <c r="C40" s="258"/>
      <c r="D40" s="259"/>
    </row>
    <row r="41" spans="1:5" hidden="1">
      <c r="A41" s="279" t="s">
        <v>781</v>
      </c>
      <c r="C41" s="258"/>
      <c r="D41" s="259">
        <f t="shared" si="1"/>
        <v>0</v>
      </c>
    </row>
    <row r="42" spans="1:5" ht="10.5" customHeight="1" thickBot="1"/>
    <row r="43" spans="1:5" ht="12" customHeight="1">
      <c r="A43" s="627"/>
      <c r="B43" s="627"/>
      <c r="C43" s="620"/>
      <c r="D43" s="620"/>
      <c r="E43" s="515"/>
    </row>
    <row r="44" spans="1:5">
      <c r="A44" s="279" t="s">
        <v>1545</v>
      </c>
    </row>
    <row r="45" spans="1:5">
      <c r="A45" s="279" t="s">
        <v>795</v>
      </c>
    </row>
  </sheetData>
  <mergeCells count="1">
    <mergeCell ref="C7:D7"/>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sheetPr>
    <tabColor theme="5" tint="0.59999389629810485"/>
  </sheetPr>
  <dimension ref="B1:N19"/>
  <sheetViews>
    <sheetView workbookViewId="0">
      <selection activeCell="J10" sqref="J10"/>
    </sheetView>
  </sheetViews>
  <sheetFormatPr baseColWidth="10" defaultRowHeight="15"/>
  <sheetData>
    <row r="1" spans="2:14" ht="12.75" customHeight="1"/>
    <row r="2" spans="2:14" ht="12.75" customHeight="1"/>
    <row r="3" spans="2:14" ht="12.75" customHeight="1">
      <c r="B3" s="42" t="s">
        <v>1573</v>
      </c>
      <c r="C3" s="42" t="s">
        <v>346</v>
      </c>
      <c r="D3" s="42" t="s">
        <v>1079</v>
      </c>
      <c r="E3" s="42" t="s">
        <v>1077</v>
      </c>
      <c r="F3" s="431" t="s">
        <v>1574</v>
      </c>
      <c r="G3" s="42" t="s">
        <v>1076</v>
      </c>
      <c r="H3" s="42" t="s">
        <v>1075</v>
      </c>
      <c r="J3" s="42"/>
      <c r="K3" s="42"/>
      <c r="L3" s="42"/>
      <c r="M3" s="431"/>
    </row>
    <row r="4" spans="2:14" ht="12.75" customHeight="1">
      <c r="B4" s="624">
        <v>31.609195402298852</v>
      </c>
      <c r="C4" s="624">
        <v>27.586206896551722</v>
      </c>
      <c r="D4" s="624">
        <v>14.942528735632186</v>
      </c>
      <c r="E4" s="624">
        <v>8.0459770114942533</v>
      </c>
      <c r="F4" s="624">
        <v>8.0459770114942533</v>
      </c>
      <c r="G4" s="624">
        <v>5.1724137931034484</v>
      </c>
      <c r="H4" s="624">
        <v>3.4482758620689653</v>
      </c>
      <c r="J4" s="2"/>
      <c r="K4" s="624"/>
      <c r="L4" s="31"/>
      <c r="M4" s="31"/>
    </row>
    <row r="5" spans="2:14">
      <c r="E5" s="42"/>
      <c r="K5" s="624"/>
      <c r="N5" s="31"/>
    </row>
    <row r="6" spans="2:14">
      <c r="B6" s="42"/>
      <c r="C6" s="42"/>
      <c r="D6" s="42"/>
      <c r="E6" s="31"/>
      <c r="F6" s="42"/>
      <c r="G6" s="42"/>
      <c r="H6" s="42"/>
      <c r="K6" s="624"/>
      <c r="N6" s="31"/>
    </row>
    <row r="7" spans="2:14">
      <c r="D7" s="1"/>
      <c r="H7" s="1"/>
      <c r="K7" s="624"/>
      <c r="N7" s="31"/>
    </row>
    <row r="8" spans="2:14">
      <c r="K8" s="624"/>
      <c r="N8" s="31"/>
    </row>
    <row r="9" spans="2:14">
      <c r="K9" s="269"/>
      <c r="N9" s="31"/>
    </row>
    <row r="10" spans="2:14">
      <c r="K10" s="624"/>
      <c r="N10" s="31"/>
    </row>
    <row r="11" spans="2:14">
      <c r="K11" s="624"/>
      <c r="N11" s="31"/>
    </row>
    <row r="12" spans="2:14">
      <c r="K12" s="624"/>
      <c r="N12" s="31"/>
    </row>
    <row r="13" spans="2:14">
      <c r="K13" s="624"/>
      <c r="N13" s="31"/>
    </row>
    <row r="14" spans="2:14">
      <c r="K14" s="624"/>
      <c r="N14" s="31"/>
    </row>
    <row r="15" spans="2:14">
      <c r="K15" s="624"/>
      <c r="N15" s="31"/>
    </row>
    <row r="16" spans="2:14">
      <c r="K16" s="624"/>
      <c r="N16" s="31"/>
    </row>
    <row r="17" spans="11:14">
      <c r="K17" s="624"/>
      <c r="N17" s="31"/>
    </row>
    <row r="18" spans="11:14">
      <c r="K18" s="624"/>
      <c r="N18" s="31"/>
    </row>
    <row r="19" spans="11:14">
      <c r="N19" s="31"/>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89.xml><?xml version="1.0" encoding="utf-8"?>
<worksheet xmlns="http://schemas.openxmlformats.org/spreadsheetml/2006/main" xmlns:r="http://schemas.openxmlformats.org/officeDocument/2006/relationships">
  <dimension ref="A1:W31"/>
  <sheetViews>
    <sheetView workbookViewId="0">
      <selection activeCell="A5" sqref="A5"/>
    </sheetView>
  </sheetViews>
  <sheetFormatPr baseColWidth="10" defaultRowHeight="15"/>
  <cols>
    <col min="1" max="1" width="14.7109375" style="950" customWidth="1"/>
    <col min="2" max="2" width="11.7109375" style="950" customWidth="1"/>
    <col min="3" max="4" width="8.7109375" style="950" customWidth="1"/>
    <col min="5" max="5" width="3.140625" style="950" customWidth="1"/>
    <col min="6" max="7" width="8.28515625" style="950" customWidth="1"/>
    <col min="8" max="8" width="2.28515625" style="950" customWidth="1"/>
    <col min="9" max="10" width="8.28515625" style="950" hidden="1" customWidth="1"/>
    <col min="11" max="11" width="2.7109375" style="950" hidden="1" customWidth="1"/>
    <col min="12" max="12" width="8.28515625" style="950" customWidth="1"/>
    <col min="13" max="13" width="8.7109375" style="950" customWidth="1"/>
    <col min="14" max="14" width="2.7109375" style="950" customWidth="1"/>
    <col min="15" max="16" width="8.7109375" style="950" customWidth="1"/>
    <col min="17" max="17" width="2.7109375" style="950" customWidth="1"/>
    <col min="18" max="19" width="8.7109375" style="950" customWidth="1"/>
    <col min="20" max="20" width="2.7109375" style="950" customWidth="1"/>
    <col min="21" max="22" width="8.7109375" style="950" customWidth="1"/>
    <col min="23" max="23" width="2.7109375" style="950" customWidth="1"/>
    <col min="24" max="256" width="11.42578125" style="950"/>
    <col min="257" max="257" width="14.7109375" style="950" customWidth="1"/>
    <col min="258" max="258" width="11.7109375" style="950" customWidth="1"/>
    <col min="259" max="260" width="8.7109375" style="950" customWidth="1"/>
    <col min="261" max="261" width="3.140625" style="950" customWidth="1"/>
    <col min="262" max="263" width="8.28515625" style="950" customWidth="1"/>
    <col min="264" max="264" width="2.28515625" style="950" customWidth="1"/>
    <col min="265" max="267" width="0" style="950" hidden="1" customWidth="1"/>
    <col min="268" max="268" width="8.28515625" style="950" customWidth="1"/>
    <col min="269" max="269" width="8.7109375" style="950" customWidth="1"/>
    <col min="270" max="270" width="2.7109375" style="950" customWidth="1"/>
    <col min="271" max="272" width="8.7109375" style="950" customWidth="1"/>
    <col min="273" max="273" width="2.7109375" style="950" customWidth="1"/>
    <col min="274" max="275" width="8.7109375" style="950" customWidth="1"/>
    <col min="276" max="276" width="2.7109375" style="950" customWidth="1"/>
    <col min="277" max="278" width="8.7109375" style="950" customWidth="1"/>
    <col min="279" max="279" width="2.7109375" style="950" customWidth="1"/>
    <col min="280" max="512" width="11.42578125" style="950"/>
    <col min="513" max="513" width="14.7109375" style="950" customWidth="1"/>
    <col min="514" max="514" width="11.7109375" style="950" customWidth="1"/>
    <col min="515" max="516" width="8.7109375" style="950" customWidth="1"/>
    <col min="517" max="517" width="3.140625" style="950" customWidth="1"/>
    <col min="518" max="519" width="8.28515625" style="950" customWidth="1"/>
    <col min="520" max="520" width="2.28515625" style="950" customWidth="1"/>
    <col min="521" max="523" width="0" style="950" hidden="1" customWidth="1"/>
    <col min="524" max="524" width="8.28515625" style="950" customWidth="1"/>
    <col min="525" max="525" width="8.7109375" style="950" customWidth="1"/>
    <col min="526" max="526" width="2.7109375" style="950" customWidth="1"/>
    <col min="527" max="528" width="8.7109375" style="950" customWidth="1"/>
    <col min="529" max="529" width="2.7109375" style="950" customWidth="1"/>
    <col min="530" max="531" width="8.7109375" style="950" customWidth="1"/>
    <col min="532" max="532" width="2.7109375" style="950" customWidth="1"/>
    <col min="533" max="534" width="8.7109375" style="950" customWidth="1"/>
    <col min="535" max="535" width="2.7109375" style="950" customWidth="1"/>
    <col min="536" max="768" width="11.42578125" style="950"/>
    <col min="769" max="769" width="14.7109375" style="950" customWidth="1"/>
    <col min="770" max="770" width="11.7109375" style="950" customWidth="1"/>
    <col min="771" max="772" width="8.7109375" style="950" customWidth="1"/>
    <col min="773" max="773" width="3.140625" style="950" customWidth="1"/>
    <col min="774" max="775" width="8.28515625" style="950" customWidth="1"/>
    <col min="776" max="776" width="2.28515625" style="950" customWidth="1"/>
    <col min="777" max="779" width="0" style="950" hidden="1" customWidth="1"/>
    <col min="780" max="780" width="8.28515625" style="950" customWidth="1"/>
    <col min="781" max="781" width="8.7109375" style="950" customWidth="1"/>
    <col min="782" max="782" width="2.7109375" style="950" customWidth="1"/>
    <col min="783" max="784" width="8.7109375" style="950" customWidth="1"/>
    <col min="785" max="785" width="2.7109375" style="950" customWidth="1"/>
    <col min="786" max="787" width="8.7109375" style="950" customWidth="1"/>
    <col min="788" max="788" width="2.7109375" style="950" customWidth="1"/>
    <col min="789" max="790" width="8.7109375" style="950" customWidth="1"/>
    <col min="791" max="791" width="2.7109375" style="950" customWidth="1"/>
    <col min="792" max="1024" width="11.42578125" style="950"/>
    <col min="1025" max="1025" width="14.7109375" style="950" customWidth="1"/>
    <col min="1026" max="1026" width="11.7109375" style="950" customWidth="1"/>
    <col min="1027" max="1028" width="8.7109375" style="950" customWidth="1"/>
    <col min="1029" max="1029" width="3.140625" style="950" customWidth="1"/>
    <col min="1030" max="1031" width="8.28515625" style="950" customWidth="1"/>
    <col min="1032" max="1032" width="2.28515625" style="950" customWidth="1"/>
    <col min="1033" max="1035" width="0" style="950" hidden="1" customWidth="1"/>
    <col min="1036" max="1036" width="8.28515625" style="950" customWidth="1"/>
    <col min="1037" max="1037" width="8.7109375" style="950" customWidth="1"/>
    <col min="1038" max="1038" width="2.7109375" style="950" customWidth="1"/>
    <col min="1039" max="1040" width="8.7109375" style="950" customWidth="1"/>
    <col min="1041" max="1041" width="2.7109375" style="950" customWidth="1"/>
    <col min="1042" max="1043" width="8.7109375" style="950" customWidth="1"/>
    <col min="1044" max="1044" width="2.7109375" style="950" customWidth="1"/>
    <col min="1045" max="1046" width="8.7109375" style="950" customWidth="1"/>
    <col min="1047" max="1047" width="2.7109375" style="950" customWidth="1"/>
    <col min="1048" max="1280" width="11.42578125" style="950"/>
    <col min="1281" max="1281" width="14.7109375" style="950" customWidth="1"/>
    <col min="1282" max="1282" width="11.7109375" style="950" customWidth="1"/>
    <col min="1283" max="1284" width="8.7109375" style="950" customWidth="1"/>
    <col min="1285" max="1285" width="3.140625" style="950" customWidth="1"/>
    <col min="1286" max="1287" width="8.28515625" style="950" customWidth="1"/>
    <col min="1288" max="1288" width="2.28515625" style="950" customWidth="1"/>
    <col min="1289" max="1291" width="0" style="950" hidden="1" customWidth="1"/>
    <col min="1292" max="1292" width="8.28515625" style="950" customWidth="1"/>
    <col min="1293" max="1293" width="8.7109375" style="950" customWidth="1"/>
    <col min="1294" max="1294" width="2.7109375" style="950" customWidth="1"/>
    <col min="1295" max="1296" width="8.7109375" style="950" customWidth="1"/>
    <col min="1297" max="1297" width="2.7109375" style="950" customWidth="1"/>
    <col min="1298" max="1299" width="8.7109375" style="950" customWidth="1"/>
    <col min="1300" max="1300" width="2.7109375" style="950" customWidth="1"/>
    <col min="1301" max="1302" width="8.7109375" style="950" customWidth="1"/>
    <col min="1303" max="1303" width="2.7109375" style="950" customWidth="1"/>
    <col min="1304" max="1536" width="11.42578125" style="950"/>
    <col min="1537" max="1537" width="14.7109375" style="950" customWidth="1"/>
    <col min="1538" max="1538" width="11.7109375" style="950" customWidth="1"/>
    <col min="1539" max="1540" width="8.7109375" style="950" customWidth="1"/>
    <col min="1541" max="1541" width="3.140625" style="950" customWidth="1"/>
    <col min="1542" max="1543" width="8.28515625" style="950" customWidth="1"/>
    <col min="1544" max="1544" width="2.28515625" style="950" customWidth="1"/>
    <col min="1545" max="1547" width="0" style="950" hidden="1" customWidth="1"/>
    <col min="1548" max="1548" width="8.28515625" style="950" customWidth="1"/>
    <col min="1549" max="1549" width="8.7109375" style="950" customWidth="1"/>
    <col min="1550" max="1550" width="2.7109375" style="950" customWidth="1"/>
    <col min="1551" max="1552" width="8.7109375" style="950" customWidth="1"/>
    <col min="1553" max="1553" width="2.7109375" style="950" customWidth="1"/>
    <col min="1554" max="1555" width="8.7109375" style="950" customWidth="1"/>
    <col min="1556" max="1556" width="2.7109375" style="950" customWidth="1"/>
    <col min="1557" max="1558" width="8.7109375" style="950" customWidth="1"/>
    <col min="1559" max="1559" width="2.7109375" style="950" customWidth="1"/>
    <col min="1560" max="1792" width="11.42578125" style="950"/>
    <col min="1793" max="1793" width="14.7109375" style="950" customWidth="1"/>
    <col min="1794" max="1794" width="11.7109375" style="950" customWidth="1"/>
    <col min="1795" max="1796" width="8.7109375" style="950" customWidth="1"/>
    <col min="1797" max="1797" width="3.140625" style="950" customWidth="1"/>
    <col min="1798" max="1799" width="8.28515625" style="950" customWidth="1"/>
    <col min="1800" max="1800" width="2.28515625" style="950" customWidth="1"/>
    <col min="1801" max="1803" width="0" style="950" hidden="1" customWidth="1"/>
    <col min="1804" max="1804" width="8.28515625" style="950" customWidth="1"/>
    <col min="1805" max="1805" width="8.7109375" style="950" customWidth="1"/>
    <col min="1806" max="1806" width="2.7109375" style="950" customWidth="1"/>
    <col min="1807" max="1808" width="8.7109375" style="950" customWidth="1"/>
    <col min="1809" max="1809" width="2.7109375" style="950" customWidth="1"/>
    <col min="1810" max="1811" width="8.7109375" style="950" customWidth="1"/>
    <col min="1812" max="1812" width="2.7109375" style="950" customWidth="1"/>
    <col min="1813" max="1814" width="8.7109375" style="950" customWidth="1"/>
    <col min="1815" max="1815" width="2.7109375" style="950" customWidth="1"/>
    <col min="1816" max="2048" width="11.42578125" style="950"/>
    <col min="2049" max="2049" width="14.7109375" style="950" customWidth="1"/>
    <col min="2050" max="2050" width="11.7109375" style="950" customWidth="1"/>
    <col min="2051" max="2052" width="8.7109375" style="950" customWidth="1"/>
    <col min="2053" max="2053" width="3.140625" style="950" customWidth="1"/>
    <col min="2054" max="2055" width="8.28515625" style="950" customWidth="1"/>
    <col min="2056" max="2056" width="2.28515625" style="950" customWidth="1"/>
    <col min="2057" max="2059" width="0" style="950" hidden="1" customWidth="1"/>
    <col min="2060" max="2060" width="8.28515625" style="950" customWidth="1"/>
    <col min="2061" max="2061" width="8.7109375" style="950" customWidth="1"/>
    <col min="2062" max="2062" width="2.7109375" style="950" customWidth="1"/>
    <col min="2063" max="2064" width="8.7109375" style="950" customWidth="1"/>
    <col min="2065" max="2065" width="2.7109375" style="950" customWidth="1"/>
    <col min="2066" max="2067" width="8.7109375" style="950" customWidth="1"/>
    <col min="2068" max="2068" width="2.7109375" style="950" customWidth="1"/>
    <col min="2069" max="2070" width="8.7109375" style="950" customWidth="1"/>
    <col min="2071" max="2071" width="2.7109375" style="950" customWidth="1"/>
    <col min="2072" max="2304" width="11.42578125" style="950"/>
    <col min="2305" max="2305" width="14.7109375" style="950" customWidth="1"/>
    <col min="2306" max="2306" width="11.7109375" style="950" customWidth="1"/>
    <col min="2307" max="2308" width="8.7109375" style="950" customWidth="1"/>
    <col min="2309" max="2309" width="3.140625" style="950" customWidth="1"/>
    <col min="2310" max="2311" width="8.28515625" style="950" customWidth="1"/>
    <col min="2312" max="2312" width="2.28515625" style="950" customWidth="1"/>
    <col min="2313" max="2315" width="0" style="950" hidden="1" customWidth="1"/>
    <col min="2316" max="2316" width="8.28515625" style="950" customWidth="1"/>
    <col min="2317" max="2317" width="8.7109375" style="950" customWidth="1"/>
    <col min="2318" max="2318" width="2.7109375" style="950" customWidth="1"/>
    <col min="2319" max="2320" width="8.7109375" style="950" customWidth="1"/>
    <col min="2321" max="2321" width="2.7109375" style="950" customWidth="1"/>
    <col min="2322" max="2323" width="8.7109375" style="950" customWidth="1"/>
    <col min="2324" max="2324" width="2.7109375" style="950" customWidth="1"/>
    <col min="2325" max="2326" width="8.7109375" style="950" customWidth="1"/>
    <col min="2327" max="2327" width="2.7109375" style="950" customWidth="1"/>
    <col min="2328" max="2560" width="11.42578125" style="950"/>
    <col min="2561" max="2561" width="14.7109375" style="950" customWidth="1"/>
    <col min="2562" max="2562" width="11.7109375" style="950" customWidth="1"/>
    <col min="2563" max="2564" width="8.7109375" style="950" customWidth="1"/>
    <col min="2565" max="2565" width="3.140625" style="950" customWidth="1"/>
    <col min="2566" max="2567" width="8.28515625" style="950" customWidth="1"/>
    <col min="2568" max="2568" width="2.28515625" style="950" customWidth="1"/>
    <col min="2569" max="2571" width="0" style="950" hidden="1" customWidth="1"/>
    <col min="2572" max="2572" width="8.28515625" style="950" customWidth="1"/>
    <col min="2573" max="2573" width="8.7109375" style="950" customWidth="1"/>
    <col min="2574" max="2574" width="2.7109375" style="950" customWidth="1"/>
    <col min="2575" max="2576" width="8.7109375" style="950" customWidth="1"/>
    <col min="2577" max="2577" width="2.7109375" style="950" customWidth="1"/>
    <col min="2578" max="2579" width="8.7109375" style="950" customWidth="1"/>
    <col min="2580" max="2580" width="2.7109375" style="950" customWidth="1"/>
    <col min="2581" max="2582" width="8.7109375" style="950" customWidth="1"/>
    <col min="2583" max="2583" width="2.7109375" style="950" customWidth="1"/>
    <col min="2584" max="2816" width="11.42578125" style="950"/>
    <col min="2817" max="2817" width="14.7109375" style="950" customWidth="1"/>
    <col min="2818" max="2818" width="11.7109375" style="950" customWidth="1"/>
    <col min="2819" max="2820" width="8.7109375" style="950" customWidth="1"/>
    <col min="2821" max="2821" width="3.140625" style="950" customWidth="1"/>
    <col min="2822" max="2823" width="8.28515625" style="950" customWidth="1"/>
    <col min="2824" max="2824" width="2.28515625" style="950" customWidth="1"/>
    <col min="2825" max="2827" width="0" style="950" hidden="1" customWidth="1"/>
    <col min="2828" max="2828" width="8.28515625" style="950" customWidth="1"/>
    <col min="2829" max="2829" width="8.7109375" style="950" customWidth="1"/>
    <col min="2830" max="2830" width="2.7109375" style="950" customWidth="1"/>
    <col min="2831" max="2832" width="8.7109375" style="950" customWidth="1"/>
    <col min="2833" max="2833" width="2.7109375" style="950" customWidth="1"/>
    <col min="2834" max="2835" width="8.7109375" style="950" customWidth="1"/>
    <col min="2836" max="2836" width="2.7109375" style="950" customWidth="1"/>
    <col min="2837" max="2838" width="8.7109375" style="950" customWidth="1"/>
    <col min="2839" max="2839" width="2.7109375" style="950" customWidth="1"/>
    <col min="2840" max="3072" width="11.42578125" style="950"/>
    <col min="3073" max="3073" width="14.7109375" style="950" customWidth="1"/>
    <col min="3074" max="3074" width="11.7109375" style="950" customWidth="1"/>
    <col min="3075" max="3076" width="8.7109375" style="950" customWidth="1"/>
    <col min="3077" max="3077" width="3.140625" style="950" customWidth="1"/>
    <col min="3078" max="3079" width="8.28515625" style="950" customWidth="1"/>
    <col min="3080" max="3080" width="2.28515625" style="950" customWidth="1"/>
    <col min="3081" max="3083" width="0" style="950" hidden="1" customWidth="1"/>
    <col min="3084" max="3084" width="8.28515625" style="950" customWidth="1"/>
    <col min="3085" max="3085" width="8.7109375" style="950" customWidth="1"/>
    <col min="3086" max="3086" width="2.7109375" style="950" customWidth="1"/>
    <col min="3087" max="3088" width="8.7109375" style="950" customWidth="1"/>
    <col min="3089" max="3089" width="2.7109375" style="950" customWidth="1"/>
    <col min="3090" max="3091" width="8.7109375" style="950" customWidth="1"/>
    <col min="3092" max="3092" width="2.7109375" style="950" customWidth="1"/>
    <col min="3093" max="3094" width="8.7109375" style="950" customWidth="1"/>
    <col min="3095" max="3095" width="2.7109375" style="950" customWidth="1"/>
    <col min="3096" max="3328" width="11.42578125" style="950"/>
    <col min="3329" max="3329" width="14.7109375" style="950" customWidth="1"/>
    <col min="3330" max="3330" width="11.7109375" style="950" customWidth="1"/>
    <col min="3331" max="3332" width="8.7109375" style="950" customWidth="1"/>
    <col min="3333" max="3333" width="3.140625" style="950" customWidth="1"/>
    <col min="3334" max="3335" width="8.28515625" style="950" customWidth="1"/>
    <col min="3336" max="3336" width="2.28515625" style="950" customWidth="1"/>
    <col min="3337" max="3339" width="0" style="950" hidden="1" customWidth="1"/>
    <col min="3340" max="3340" width="8.28515625" style="950" customWidth="1"/>
    <col min="3341" max="3341" width="8.7109375" style="950" customWidth="1"/>
    <col min="3342" max="3342" width="2.7109375" style="950" customWidth="1"/>
    <col min="3343" max="3344" width="8.7109375" style="950" customWidth="1"/>
    <col min="3345" max="3345" width="2.7109375" style="950" customWidth="1"/>
    <col min="3346" max="3347" width="8.7109375" style="950" customWidth="1"/>
    <col min="3348" max="3348" width="2.7109375" style="950" customWidth="1"/>
    <col min="3349" max="3350" width="8.7109375" style="950" customWidth="1"/>
    <col min="3351" max="3351" width="2.7109375" style="950" customWidth="1"/>
    <col min="3352" max="3584" width="11.42578125" style="950"/>
    <col min="3585" max="3585" width="14.7109375" style="950" customWidth="1"/>
    <col min="3586" max="3586" width="11.7109375" style="950" customWidth="1"/>
    <col min="3587" max="3588" width="8.7109375" style="950" customWidth="1"/>
    <col min="3589" max="3589" width="3.140625" style="950" customWidth="1"/>
    <col min="3590" max="3591" width="8.28515625" style="950" customWidth="1"/>
    <col min="3592" max="3592" width="2.28515625" style="950" customWidth="1"/>
    <col min="3593" max="3595" width="0" style="950" hidden="1" customWidth="1"/>
    <col min="3596" max="3596" width="8.28515625" style="950" customWidth="1"/>
    <col min="3597" max="3597" width="8.7109375" style="950" customWidth="1"/>
    <col min="3598" max="3598" width="2.7109375" style="950" customWidth="1"/>
    <col min="3599" max="3600" width="8.7109375" style="950" customWidth="1"/>
    <col min="3601" max="3601" width="2.7109375" style="950" customWidth="1"/>
    <col min="3602" max="3603" width="8.7109375" style="950" customWidth="1"/>
    <col min="3604" max="3604" width="2.7109375" style="950" customWidth="1"/>
    <col min="3605" max="3606" width="8.7109375" style="950" customWidth="1"/>
    <col min="3607" max="3607" width="2.7109375" style="950" customWidth="1"/>
    <col min="3608" max="3840" width="11.42578125" style="950"/>
    <col min="3841" max="3841" width="14.7109375" style="950" customWidth="1"/>
    <col min="3842" max="3842" width="11.7109375" style="950" customWidth="1"/>
    <col min="3843" max="3844" width="8.7109375" style="950" customWidth="1"/>
    <col min="3845" max="3845" width="3.140625" style="950" customWidth="1"/>
    <col min="3846" max="3847" width="8.28515625" style="950" customWidth="1"/>
    <col min="3848" max="3848" width="2.28515625" style="950" customWidth="1"/>
    <col min="3849" max="3851" width="0" style="950" hidden="1" customWidth="1"/>
    <col min="3852" max="3852" width="8.28515625" style="950" customWidth="1"/>
    <col min="3853" max="3853" width="8.7109375" style="950" customWidth="1"/>
    <col min="3854" max="3854" width="2.7109375" style="950" customWidth="1"/>
    <col min="3855" max="3856" width="8.7109375" style="950" customWidth="1"/>
    <col min="3857" max="3857" width="2.7109375" style="950" customWidth="1"/>
    <col min="3858" max="3859" width="8.7109375" style="950" customWidth="1"/>
    <col min="3860" max="3860" width="2.7109375" style="950" customWidth="1"/>
    <col min="3861" max="3862" width="8.7109375" style="950" customWidth="1"/>
    <col min="3863" max="3863" width="2.7109375" style="950" customWidth="1"/>
    <col min="3864" max="4096" width="11.42578125" style="950"/>
    <col min="4097" max="4097" width="14.7109375" style="950" customWidth="1"/>
    <col min="4098" max="4098" width="11.7109375" style="950" customWidth="1"/>
    <col min="4099" max="4100" width="8.7109375" style="950" customWidth="1"/>
    <col min="4101" max="4101" width="3.140625" style="950" customWidth="1"/>
    <col min="4102" max="4103" width="8.28515625" style="950" customWidth="1"/>
    <col min="4104" max="4104" width="2.28515625" style="950" customWidth="1"/>
    <col min="4105" max="4107" width="0" style="950" hidden="1" customWidth="1"/>
    <col min="4108" max="4108" width="8.28515625" style="950" customWidth="1"/>
    <col min="4109" max="4109" width="8.7109375" style="950" customWidth="1"/>
    <col min="4110" max="4110" width="2.7109375" style="950" customWidth="1"/>
    <col min="4111" max="4112" width="8.7109375" style="950" customWidth="1"/>
    <col min="4113" max="4113" width="2.7109375" style="950" customWidth="1"/>
    <col min="4114" max="4115" width="8.7109375" style="950" customWidth="1"/>
    <col min="4116" max="4116" width="2.7109375" style="950" customWidth="1"/>
    <col min="4117" max="4118" width="8.7109375" style="950" customWidth="1"/>
    <col min="4119" max="4119" width="2.7109375" style="950" customWidth="1"/>
    <col min="4120" max="4352" width="11.42578125" style="950"/>
    <col min="4353" max="4353" width="14.7109375" style="950" customWidth="1"/>
    <col min="4354" max="4354" width="11.7109375" style="950" customWidth="1"/>
    <col min="4355" max="4356" width="8.7109375" style="950" customWidth="1"/>
    <col min="4357" max="4357" width="3.140625" style="950" customWidth="1"/>
    <col min="4358" max="4359" width="8.28515625" style="950" customWidth="1"/>
    <col min="4360" max="4360" width="2.28515625" style="950" customWidth="1"/>
    <col min="4361" max="4363" width="0" style="950" hidden="1" customWidth="1"/>
    <col min="4364" max="4364" width="8.28515625" style="950" customWidth="1"/>
    <col min="4365" max="4365" width="8.7109375" style="950" customWidth="1"/>
    <col min="4366" max="4366" width="2.7109375" style="950" customWidth="1"/>
    <col min="4367" max="4368" width="8.7109375" style="950" customWidth="1"/>
    <col min="4369" max="4369" width="2.7109375" style="950" customWidth="1"/>
    <col min="4370" max="4371" width="8.7109375" style="950" customWidth="1"/>
    <col min="4372" max="4372" width="2.7109375" style="950" customWidth="1"/>
    <col min="4373" max="4374" width="8.7109375" style="950" customWidth="1"/>
    <col min="4375" max="4375" width="2.7109375" style="950" customWidth="1"/>
    <col min="4376" max="4608" width="11.42578125" style="950"/>
    <col min="4609" max="4609" width="14.7109375" style="950" customWidth="1"/>
    <col min="4610" max="4610" width="11.7109375" style="950" customWidth="1"/>
    <col min="4611" max="4612" width="8.7109375" style="950" customWidth="1"/>
    <col min="4613" max="4613" width="3.140625" style="950" customWidth="1"/>
    <col min="4614" max="4615" width="8.28515625" style="950" customWidth="1"/>
    <col min="4616" max="4616" width="2.28515625" style="950" customWidth="1"/>
    <col min="4617" max="4619" width="0" style="950" hidden="1" customWidth="1"/>
    <col min="4620" max="4620" width="8.28515625" style="950" customWidth="1"/>
    <col min="4621" max="4621" width="8.7109375" style="950" customWidth="1"/>
    <col min="4622" max="4622" width="2.7109375" style="950" customWidth="1"/>
    <col min="4623" max="4624" width="8.7109375" style="950" customWidth="1"/>
    <col min="4625" max="4625" width="2.7109375" style="950" customWidth="1"/>
    <col min="4626" max="4627" width="8.7109375" style="950" customWidth="1"/>
    <col min="4628" max="4628" width="2.7109375" style="950" customWidth="1"/>
    <col min="4629" max="4630" width="8.7109375" style="950" customWidth="1"/>
    <col min="4631" max="4631" width="2.7109375" style="950" customWidth="1"/>
    <col min="4632" max="4864" width="11.42578125" style="950"/>
    <col min="4865" max="4865" width="14.7109375" style="950" customWidth="1"/>
    <col min="4866" max="4866" width="11.7109375" style="950" customWidth="1"/>
    <col min="4867" max="4868" width="8.7109375" style="950" customWidth="1"/>
    <col min="4869" max="4869" width="3.140625" style="950" customWidth="1"/>
    <col min="4870" max="4871" width="8.28515625" style="950" customWidth="1"/>
    <col min="4872" max="4872" width="2.28515625" style="950" customWidth="1"/>
    <col min="4873" max="4875" width="0" style="950" hidden="1" customWidth="1"/>
    <col min="4876" max="4876" width="8.28515625" style="950" customWidth="1"/>
    <col min="4877" max="4877" width="8.7109375" style="950" customWidth="1"/>
    <col min="4878" max="4878" width="2.7109375" style="950" customWidth="1"/>
    <col min="4879" max="4880" width="8.7109375" style="950" customWidth="1"/>
    <col min="4881" max="4881" width="2.7109375" style="950" customWidth="1"/>
    <col min="4882" max="4883" width="8.7109375" style="950" customWidth="1"/>
    <col min="4884" max="4884" width="2.7109375" style="950" customWidth="1"/>
    <col min="4885" max="4886" width="8.7109375" style="950" customWidth="1"/>
    <col min="4887" max="4887" width="2.7109375" style="950" customWidth="1"/>
    <col min="4888" max="5120" width="11.42578125" style="950"/>
    <col min="5121" max="5121" width="14.7109375" style="950" customWidth="1"/>
    <col min="5122" max="5122" width="11.7109375" style="950" customWidth="1"/>
    <col min="5123" max="5124" width="8.7109375" style="950" customWidth="1"/>
    <col min="5125" max="5125" width="3.140625" style="950" customWidth="1"/>
    <col min="5126" max="5127" width="8.28515625" style="950" customWidth="1"/>
    <col min="5128" max="5128" width="2.28515625" style="950" customWidth="1"/>
    <col min="5129" max="5131" width="0" style="950" hidden="1" customWidth="1"/>
    <col min="5132" max="5132" width="8.28515625" style="950" customWidth="1"/>
    <col min="5133" max="5133" width="8.7109375" style="950" customWidth="1"/>
    <col min="5134" max="5134" width="2.7109375" style="950" customWidth="1"/>
    <col min="5135" max="5136" width="8.7109375" style="950" customWidth="1"/>
    <col min="5137" max="5137" width="2.7109375" style="950" customWidth="1"/>
    <col min="5138" max="5139" width="8.7109375" style="950" customWidth="1"/>
    <col min="5140" max="5140" width="2.7109375" style="950" customWidth="1"/>
    <col min="5141" max="5142" width="8.7109375" style="950" customWidth="1"/>
    <col min="5143" max="5143" width="2.7109375" style="950" customWidth="1"/>
    <col min="5144" max="5376" width="11.42578125" style="950"/>
    <col min="5377" max="5377" width="14.7109375" style="950" customWidth="1"/>
    <col min="5378" max="5378" width="11.7109375" style="950" customWidth="1"/>
    <col min="5379" max="5380" width="8.7109375" style="950" customWidth="1"/>
    <col min="5381" max="5381" width="3.140625" style="950" customWidth="1"/>
    <col min="5382" max="5383" width="8.28515625" style="950" customWidth="1"/>
    <col min="5384" max="5384" width="2.28515625" style="950" customWidth="1"/>
    <col min="5385" max="5387" width="0" style="950" hidden="1" customWidth="1"/>
    <col min="5388" max="5388" width="8.28515625" style="950" customWidth="1"/>
    <col min="5389" max="5389" width="8.7109375" style="950" customWidth="1"/>
    <col min="5390" max="5390" width="2.7109375" style="950" customWidth="1"/>
    <col min="5391" max="5392" width="8.7109375" style="950" customWidth="1"/>
    <col min="5393" max="5393" width="2.7109375" style="950" customWidth="1"/>
    <col min="5394" max="5395" width="8.7109375" style="950" customWidth="1"/>
    <col min="5396" max="5396" width="2.7109375" style="950" customWidth="1"/>
    <col min="5397" max="5398" width="8.7109375" style="950" customWidth="1"/>
    <col min="5399" max="5399" width="2.7109375" style="950" customWidth="1"/>
    <col min="5400" max="5632" width="11.42578125" style="950"/>
    <col min="5633" max="5633" width="14.7109375" style="950" customWidth="1"/>
    <col min="5634" max="5634" width="11.7109375" style="950" customWidth="1"/>
    <col min="5635" max="5636" width="8.7109375" style="950" customWidth="1"/>
    <col min="5637" max="5637" width="3.140625" style="950" customWidth="1"/>
    <col min="5638" max="5639" width="8.28515625" style="950" customWidth="1"/>
    <col min="5640" max="5640" width="2.28515625" style="950" customWidth="1"/>
    <col min="5641" max="5643" width="0" style="950" hidden="1" customWidth="1"/>
    <col min="5644" max="5644" width="8.28515625" style="950" customWidth="1"/>
    <col min="5645" max="5645" width="8.7109375" style="950" customWidth="1"/>
    <col min="5646" max="5646" width="2.7109375" style="950" customWidth="1"/>
    <col min="5647" max="5648" width="8.7109375" style="950" customWidth="1"/>
    <col min="5649" max="5649" width="2.7109375" style="950" customWidth="1"/>
    <col min="5650" max="5651" width="8.7109375" style="950" customWidth="1"/>
    <col min="5652" max="5652" width="2.7109375" style="950" customWidth="1"/>
    <col min="5653" max="5654" width="8.7109375" style="950" customWidth="1"/>
    <col min="5655" max="5655" width="2.7109375" style="950" customWidth="1"/>
    <col min="5656" max="5888" width="11.42578125" style="950"/>
    <col min="5889" max="5889" width="14.7109375" style="950" customWidth="1"/>
    <col min="5890" max="5890" width="11.7109375" style="950" customWidth="1"/>
    <col min="5891" max="5892" width="8.7109375" style="950" customWidth="1"/>
    <col min="5893" max="5893" width="3.140625" style="950" customWidth="1"/>
    <col min="5894" max="5895" width="8.28515625" style="950" customWidth="1"/>
    <col min="5896" max="5896" width="2.28515625" style="950" customWidth="1"/>
    <col min="5897" max="5899" width="0" style="950" hidden="1" customWidth="1"/>
    <col min="5900" max="5900" width="8.28515625" style="950" customWidth="1"/>
    <col min="5901" max="5901" width="8.7109375" style="950" customWidth="1"/>
    <col min="5902" max="5902" width="2.7109375" style="950" customWidth="1"/>
    <col min="5903" max="5904" width="8.7109375" style="950" customWidth="1"/>
    <col min="5905" max="5905" width="2.7109375" style="950" customWidth="1"/>
    <col min="5906" max="5907" width="8.7109375" style="950" customWidth="1"/>
    <col min="5908" max="5908" width="2.7109375" style="950" customWidth="1"/>
    <col min="5909" max="5910" width="8.7109375" style="950" customWidth="1"/>
    <col min="5911" max="5911" width="2.7109375" style="950" customWidth="1"/>
    <col min="5912" max="6144" width="11.42578125" style="950"/>
    <col min="6145" max="6145" width="14.7109375" style="950" customWidth="1"/>
    <col min="6146" max="6146" width="11.7109375" style="950" customWidth="1"/>
    <col min="6147" max="6148" width="8.7109375" style="950" customWidth="1"/>
    <col min="6149" max="6149" width="3.140625" style="950" customWidth="1"/>
    <col min="6150" max="6151" width="8.28515625" style="950" customWidth="1"/>
    <col min="6152" max="6152" width="2.28515625" style="950" customWidth="1"/>
    <col min="6153" max="6155" width="0" style="950" hidden="1" customWidth="1"/>
    <col min="6156" max="6156" width="8.28515625" style="950" customWidth="1"/>
    <col min="6157" max="6157" width="8.7109375" style="950" customWidth="1"/>
    <col min="6158" max="6158" width="2.7109375" style="950" customWidth="1"/>
    <col min="6159" max="6160" width="8.7109375" style="950" customWidth="1"/>
    <col min="6161" max="6161" width="2.7109375" style="950" customWidth="1"/>
    <col min="6162" max="6163" width="8.7109375" style="950" customWidth="1"/>
    <col min="6164" max="6164" width="2.7109375" style="950" customWidth="1"/>
    <col min="6165" max="6166" width="8.7109375" style="950" customWidth="1"/>
    <col min="6167" max="6167" width="2.7109375" style="950" customWidth="1"/>
    <col min="6168" max="6400" width="11.42578125" style="950"/>
    <col min="6401" max="6401" width="14.7109375" style="950" customWidth="1"/>
    <col min="6402" max="6402" width="11.7109375" style="950" customWidth="1"/>
    <col min="6403" max="6404" width="8.7109375" style="950" customWidth="1"/>
    <col min="6405" max="6405" width="3.140625" style="950" customWidth="1"/>
    <col min="6406" max="6407" width="8.28515625" style="950" customWidth="1"/>
    <col min="6408" max="6408" width="2.28515625" style="950" customWidth="1"/>
    <col min="6409" max="6411" width="0" style="950" hidden="1" customWidth="1"/>
    <col min="6412" max="6412" width="8.28515625" style="950" customWidth="1"/>
    <col min="6413" max="6413" width="8.7109375" style="950" customWidth="1"/>
    <col min="6414" max="6414" width="2.7109375" style="950" customWidth="1"/>
    <col min="6415" max="6416" width="8.7109375" style="950" customWidth="1"/>
    <col min="6417" max="6417" width="2.7109375" style="950" customWidth="1"/>
    <col min="6418" max="6419" width="8.7109375" style="950" customWidth="1"/>
    <col min="6420" max="6420" width="2.7109375" style="950" customWidth="1"/>
    <col min="6421" max="6422" width="8.7109375" style="950" customWidth="1"/>
    <col min="6423" max="6423" width="2.7109375" style="950" customWidth="1"/>
    <col min="6424" max="6656" width="11.42578125" style="950"/>
    <col min="6657" max="6657" width="14.7109375" style="950" customWidth="1"/>
    <col min="6658" max="6658" width="11.7109375" style="950" customWidth="1"/>
    <col min="6659" max="6660" width="8.7109375" style="950" customWidth="1"/>
    <col min="6661" max="6661" width="3.140625" style="950" customWidth="1"/>
    <col min="6662" max="6663" width="8.28515625" style="950" customWidth="1"/>
    <col min="6664" max="6664" width="2.28515625" style="950" customWidth="1"/>
    <col min="6665" max="6667" width="0" style="950" hidden="1" customWidth="1"/>
    <col min="6668" max="6668" width="8.28515625" style="950" customWidth="1"/>
    <col min="6669" max="6669" width="8.7109375" style="950" customWidth="1"/>
    <col min="6670" max="6670" width="2.7109375" style="950" customWidth="1"/>
    <col min="6671" max="6672" width="8.7109375" style="950" customWidth="1"/>
    <col min="6673" max="6673" width="2.7109375" style="950" customWidth="1"/>
    <col min="6674" max="6675" width="8.7109375" style="950" customWidth="1"/>
    <col min="6676" max="6676" width="2.7109375" style="950" customWidth="1"/>
    <col min="6677" max="6678" width="8.7109375" style="950" customWidth="1"/>
    <col min="6679" max="6679" width="2.7109375" style="950" customWidth="1"/>
    <col min="6680" max="6912" width="11.42578125" style="950"/>
    <col min="6913" max="6913" width="14.7109375" style="950" customWidth="1"/>
    <col min="6914" max="6914" width="11.7109375" style="950" customWidth="1"/>
    <col min="6915" max="6916" width="8.7109375" style="950" customWidth="1"/>
    <col min="6917" max="6917" width="3.140625" style="950" customWidth="1"/>
    <col min="6918" max="6919" width="8.28515625" style="950" customWidth="1"/>
    <col min="6920" max="6920" width="2.28515625" style="950" customWidth="1"/>
    <col min="6921" max="6923" width="0" style="950" hidden="1" customWidth="1"/>
    <col min="6924" max="6924" width="8.28515625" style="950" customWidth="1"/>
    <col min="6925" max="6925" width="8.7109375" style="950" customWidth="1"/>
    <col min="6926" max="6926" width="2.7109375" style="950" customWidth="1"/>
    <col min="6927" max="6928" width="8.7109375" style="950" customWidth="1"/>
    <col min="6929" max="6929" width="2.7109375" style="950" customWidth="1"/>
    <col min="6930" max="6931" width="8.7109375" style="950" customWidth="1"/>
    <col min="6932" max="6932" width="2.7109375" style="950" customWidth="1"/>
    <col min="6933" max="6934" width="8.7109375" style="950" customWidth="1"/>
    <col min="6935" max="6935" width="2.7109375" style="950" customWidth="1"/>
    <col min="6936" max="7168" width="11.42578125" style="950"/>
    <col min="7169" max="7169" width="14.7109375" style="950" customWidth="1"/>
    <col min="7170" max="7170" width="11.7109375" style="950" customWidth="1"/>
    <col min="7171" max="7172" width="8.7109375" style="950" customWidth="1"/>
    <col min="7173" max="7173" width="3.140625" style="950" customWidth="1"/>
    <col min="7174" max="7175" width="8.28515625" style="950" customWidth="1"/>
    <col min="7176" max="7176" width="2.28515625" style="950" customWidth="1"/>
    <col min="7177" max="7179" width="0" style="950" hidden="1" customWidth="1"/>
    <col min="7180" max="7180" width="8.28515625" style="950" customWidth="1"/>
    <col min="7181" max="7181" width="8.7109375" style="950" customWidth="1"/>
    <col min="7182" max="7182" width="2.7109375" style="950" customWidth="1"/>
    <col min="7183" max="7184" width="8.7109375" style="950" customWidth="1"/>
    <col min="7185" max="7185" width="2.7109375" style="950" customWidth="1"/>
    <col min="7186" max="7187" width="8.7109375" style="950" customWidth="1"/>
    <col min="7188" max="7188" width="2.7109375" style="950" customWidth="1"/>
    <col min="7189" max="7190" width="8.7109375" style="950" customWidth="1"/>
    <col min="7191" max="7191" width="2.7109375" style="950" customWidth="1"/>
    <col min="7192" max="7424" width="11.42578125" style="950"/>
    <col min="7425" max="7425" width="14.7109375" style="950" customWidth="1"/>
    <col min="7426" max="7426" width="11.7109375" style="950" customWidth="1"/>
    <col min="7427" max="7428" width="8.7109375" style="950" customWidth="1"/>
    <col min="7429" max="7429" width="3.140625" style="950" customWidth="1"/>
    <col min="7430" max="7431" width="8.28515625" style="950" customWidth="1"/>
    <col min="7432" max="7432" width="2.28515625" style="950" customWidth="1"/>
    <col min="7433" max="7435" width="0" style="950" hidden="1" customWidth="1"/>
    <col min="7436" max="7436" width="8.28515625" style="950" customWidth="1"/>
    <col min="7437" max="7437" width="8.7109375" style="950" customWidth="1"/>
    <col min="7438" max="7438" width="2.7109375" style="950" customWidth="1"/>
    <col min="7439" max="7440" width="8.7109375" style="950" customWidth="1"/>
    <col min="7441" max="7441" width="2.7109375" style="950" customWidth="1"/>
    <col min="7442" max="7443" width="8.7109375" style="950" customWidth="1"/>
    <col min="7444" max="7444" width="2.7109375" style="950" customWidth="1"/>
    <col min="7445" max="7446" width="8.7109375" style="950" customWidth="1"/>
    <col min="7447" max="7447" width="2.7109375" style="950" customWidth="1"/>
    <col min="7448" max="7680" width="11.42578125" style="950"/>
    <col min="7681" max="7681" width="14.7109375" style="950" customWidth="1"/>
    <col min="7682" max="7682" width="11.7109375" style="950" customWidth="1"/>
    <col min="7683" max="7684" width="8.7109375" style="950" customWidth="1"/>
    <col min="7685" max="7685" width="3.140625" style="950" customWidth="1"/>
    <col min="7686" max="7687" width="8.28515625" style="950" customWidth="1"/>
    <col min="7688" max="7688" width="2.28515625" style="950" customWidth="1"/>
    <col min="7689" max="7691" width="0" style="950" hidden="1" customWidth="1"/>
    <col min="7692" max="7692" width="8.28515625" style="950" customWidth="1"/>
    <col min="7693" max="7693" width="8.7109375" style="950" customWidth="1"/>
    <col min="7694" max="7694" width="2.7109375" style="950" customWidth="1"/>
    <col min="7695" max="7696" width="8.7109375" style="950" customWidth="1"/>
    <col min="7697" max="7697" width="2.7109375" style="950" customWidth="1"/>
    <col min="7698" max="7699" width="8.7109375" style="950" customWidth="1"/>
    <col min="7700" max="7700" width="2.7109375" style="950" customWidth="1"/>
    <col min="7701" max="7702" width="8.7109375" style="950" customWidth="1"/>
    <col min="7703" max="7703" width="2.7109375" style="950" customWidth="1"/>
    <col min="7704" max="7936" width="11.42578125" style="950"/>
    <col min="7937" max="7937" width="14.7109375" style="950" customWidth="1"/>
    <col min="7938" max="7938" width="11.7109375" style="950" customWidth="1"/>
    <col min="7939" max="7940" width="8.7109375" style="950" customWidth="1"/>
    <col min="7941" max="7941" width="3.140625" style="950" customWidth="1"/>
    <col min="7942" max="7943" width="8.28515625" style="950" customWidth="1"/>
    <col min="7944" max="7944" width="2.28515625" style="950" customWidth="1"/>
    <col min="7945" max="7947" width="0" style="950" hidden="1" customWidth="1"/>
    <col min="7948" max="7948" width="8.28515625" style="950" customWidth="1"/>
    <col min="7949" max="7949" width="8.7109375" style="950" customWidth="1"/>
    <col min="7950" max="7950" width="2.7109375" style="950" customWidth="1"/>
    <col min="7951" max="7952" width="8.7109375" style="950" customWidth="1"/>
    <col min="7953" max="7953" width="2.7109375" style="950" customWidth="1"/>
    <col min="7954" max="7955" width="8.7109375" style="950" customWidth="1"/>
    <col min="7956" max="7956" width="2.7109375" style="950" customWidth="1"/>
    <col min="7957" max="7958" width="8.7109375" style="950" customWidth="1"/>
    <col min="7959" max="7959" width="2.7109375" style="950" customWidth="1"/>
    <col min="7960" max="8192" width="11.42578125" style="950"/>
    <col min="8193" max="8193" width="14.7109375" style="950" customWidth="1"/>
    <col min="8194" max="8194" width="11.7109375" style="950" customWidth="1"/>
    <col min="8195" max="8196" width="8.7109375" style="950" customWidth="1"/>
    <col min="8197" max="8197" width="3.140625" style="950" customWidth="1"/>
    <col min="8198" max="8199" width="8.28515625" style="950" customWidth="1"/>
    <col min="8200" max="8200" width="2.28515625" style="950" customWidth="1"/>
    <col min="8201" max="8203" width="0" style="950" hidden="1" customWidth="1"/>
    <col min="8204" max="8204" width="8.28515625" style="950" customWidth="1"/>
    <col min="8205" max="8205" width="8.7109375" style="950" customWidth="1"/>
    <col min="8206" max="8206" width="2.7109375" style="950" customWidth="1"/>
    <col min="8207" max="8208" width="8.7109375" style="950" customWidth="1"/>
    <col min="8209" max="8209" width="2.7109375" style="950" customWidth="1"/>
    <col min="8210" max="8211" width="8.7109375" style="950" customWidth="1"/>
    <col min="8212" max="8212" width="2.7109375" style="950" customWidth="1"/>
    <col min="8213" max="8214" width="8.7109375" style="950" customWidth="1"/>
    <col min="8215" max="8215" width="2.7109375" style="950" customWidth="1"/>
    <col min="8216" max="8448" width="11.42578125" style="950"/>
    <col min="8449" max="8449" width="14.7109375" style="950" customWidth="1"/>
    <col min="8450" max="8450" width="11.7109375" style="950" customWidth="1"/>
    <col min="8451" max="8452" width="8.7109375" style="950" customWidth="1"/>
    <col min="8453" max="8453" width="3.140625" style="950" customWidth="1"/>
    <col min="8454" max="8455" width="8.28515625" style="950" customWidth="1"/>
    <col min="8456" max="8456" width="2.28515625" style="950" customWidth="1"/>
    <col min="8457" max="8459" width="0" style="950" hidden="1" customWidth="1"/>
    <col min="8460" max="8460" width="8.28515625" style="950" customWidth="1"/>
    <col min="8461" max="8461" width="8.7109375" style="950" customWidth="1"/>
    <col min="8462" max="8462" width="2.7109375" style="950" customWidth="1"/>
    <col min="8463" max="8464" width="8.7109375" style="950" customWidth="1"/>
    <col min="8465" max="8465" width="2.7109375" style="950" customWidth="1"/>
    <col min="8466" max="8467" width="8.7109375" style="950" customWidth="1"/>
    <col min="8468" max="8468" width="2.7109375" style="950" customWidth="1"/>
    <col min="8469" max="8470" width="8.7109375" style="950" customWidth="1"/>
    <col min="8471" max="8471" width="2.7109375" style="950" customWidth="1"/>
    <col min="8472" max="8704" width="11.42578125" style="950"/>
    <col min="8705" max="8705" width="14.7109375" style="950" customWidth="1"/>
    <col min="8706" max="8706" width="11.7109375" style="950" customWidth="1"/>
    <col min="8707" max="8708" width="8.7109375" style="950" customWidth="1"/>
    <col min="8709" max="8709" width="3.140625" style="950" customWidth="1"/>
    <col min="8710" max="8711" width="8.28515625" style="950" customWidth="1"/>
    <col min="8712" max="8712" width="2.28515625" style="950" customWidth="1"/>
    <col min="8713" max="8715" width="0" style="950" hidden="1" customWidth="1"/>
    <col min="8716" max="8716" width="8.28515625" style="950" customWidth="1"/>
    <col min="8717" max="8717" width="8.7109375" style="950" customWidth="1"/>
    <col min="8718" max="8718" width="2.7109375" style="950" customWidth="1"/>
    <col min="8719" max="8720" width="8.7109375" style="950" customWidth="1"/>
    <col min="8721" max="8721" width="2.7109375" style="950" customWidth="1"/>
    <col min="8722" max="8723" width="8.7109375" style="950" customWidth="1"/>
    <col min="8724" max="8724" width="2.7109375" style="950" customWidth="1"/>
    <col min="8725" max="8726" width="8.7109375" style="950" customWidth="1"/>
    <col min="8727" max="8727" width="2.7109375" style="950" customWidth="1"/>
    <col min="8728" max="8960" width="11.42578125" style="950"/>
    <col min="8961" max="8961" width="14.7109375" style="950" customWidth="1"/>
    <col min="8962" max="8962" width="11.7109375" style="950" customWidth="1"/>
    <col min="8963" max="8964" width="8.7109375" style="950" customWidth="1"/>
    <col min="8965" max="8965" width="3.140625" style="950" customWidth="1"/>
    <col min="8966" max="8967" width="8.28515625" style="950" customWidth="1"/>
    <col min="8968" max="8968" width="2.28515625" style="950" customWidth="1"/>
    <col min="8969" max="8971" width="0" style="950" hidden="1" customWidth="1"/>
    <col min="8972" max="8972" width="8.28515625" style="950" customWidth="1"/>
    <col min="8973" max="8973" width="8.7109375" style="950" customWidth="1"/>
    <col min="8974" max="8974" width="2.7109375" style="950" customWidth="1"/>
    <col min="8975" max="8976" width="8.7109375" style="950" customWidth="1"/>
    <col min="8977" max="8977" width="2.7109375" style="950" customWidth="1"/>
    <col min="8978" max="8979" width="8.7109375" style="950" customWidth="1"/>
    <col min="8980" max="8980" width="2.7109375" style="950" customWidth="1"/>
    <col min="8981" max="8982" width="8.7109375" style="950" customWidth="1"/>
    <col min="8983" max="8983" width="2.7109375" style="950" customWidth="1"/>
    <col min="8984" max="9216" width="11.42578125" style="950"/>
    <col min="9217" max="9217" width="14.7109375" style="950" customWidth="1"/>
    <col min="9218" max="9218" width="11.7109375" style="950" customWidth="1"/>
    <col min="9219" max="9220" width="8.7109375" style="950" customWidth="1"/>
    <col min="9221" max="9221" width="3.140625" style="950" customWidth="1"/>
    <col min="9222" max="9223" width="8.28515625" style="950" customWidth="1"/>
    <col min="9224" max="9224" width="2.28515625" style="950" customWidth="1"/>
    <col min="9225" max="9227" width="0" style="950" hidden="1" customWidth="1"/>
    <col min="9228" max="9228" width="8.28515625" style="950" customWidth="1"/>
    <col min="9229" max="9229" width="8.7109375" style="950" customWidth="1"/>
    <col min="9230" max="9230" width="2.7109375" style="950" customWidth="1"/>
    <col min="9231" max="9232" width="8.7109375" style="950" customWidth="1"/>
    <col min="9233" max="9233" width="2.7109375" style="950" customWidth="1"/>
    <col min="9234" max="9235" width="8.7109375" style="950" customWidth="1"/>
    <col min="9236" max="9236" width="2.7109375" style="950" customWidth="1"/>
    <col min="9237" max="9238" width="8.7109375" style="950" customWidth="1"/>
    <col min="9239" max="9239" width="2.7109375" style="950" customWidth="1"/>
    <col min="9240" max="9472" width="11.42578125" style="950"/>
    <col min="9473" max="9473" width="14.7109375" style="950" customWidth="1"/>
    <col min="9474" max="9474" width="11.7109375" style="950" customWidth="1"/>
    <col min="9475" max="9476" width="8.7109375" style="950" customWidth="1"/>
    <col min="9477" max="9477" width="3.140625" style="950" customWidth="1"/>
    <col min="9478" max="9479" width="8.28515625" style="950" customWidth="1"/>
    <col min="9480" max="9480" width="2.28515625" style="950" customWidth="1"/>
    <col min="9481" max="9483" width="0" style="950" hidden="1" customWidth="1"/>
    <col min="9484" max="9484" width="8.28515625" style="950" customWidth="1"/>
    <col min="9485" max="9485" width="8.7109375" style="950" customWidth="1"/>
    <col min="9486" max="9486" width="2.7109375" style="950" customWidth="1"/>
    <col min="9487" max="9488" width="8.7109375" style="950" customWidth="1"/>
    <col min="9489" max="9489" width="2.7109375" style="950" customWidth="1"/>
    <col min="9490" max="9491" width="8.7109375" style="950" customWidth="1"/>
    <col min="9492" max="9492" width="2.7109375" style="950" customWidth="1"/>
    <col min="9493" max="9494" width="8.7109375" style="950" customWidth="1"/>
    <col min="9495" max="9495" width="2.7109375" style="950" customWidth="1"/>
    <col min="9496" max="9728" width="11.42578125" style="950"/>
    <col min="9729" max="9729" width="14.7109375" style="950" customWidth="1"/>
    <col min="9730" max="9730" width="11.7109375" style="950" customWidth="1"/>
    <col min="9731" max="9732" width="8.7109375" style="950" customWidth="1"/>
    <col min="9733" max="9733" width="3.140625" style="950" customWidth="1"/>
    <col min="9734" max="9735" width="8.28515625" style="950" customWidth="1"/>
    <col min="9736" max="9736" width="2.28515625" style="950" customWidth="1"/>
    <col min="9737" max="9739" width="0" style="950" hidden="1" customWidth="1"/>
    <col min="9740" max="9740" width="8.28515625" style="950" customWidth="1"/>
    <col min="9741" max="9741" width="8.7109375" style="950" customWidth="1"/>
    <col min="9742" max="9742" width="2.7109375" style="950" customWidth="1"/>
    <col min="9743" max="9744" width="8.7109375" style="950" customWidth="1"/>
    <col min="9745" max="9745" width="2.7109375" style="950" customWidth="1"/>
    <col min="9746" max="9747" width="8.7109375" style="950" customWidth="1"/>
    <col min="9748" max="9748" width="2.7109375" style="950" customWidth="1"/>
    <col min="9749" max="9750" width="8.7109375" style="950" customWidth="1"/>
    <col min="9751" max="9751" width="2.7109375" style="950" customWidth="1"/>
    <col min="9752" max="9984" width="11.42578125" style="950"/>
    <col min="9985" max="9985" width="14.7109375" style="950" customWidth="1"/>
    <col min="9986" max="9986" width="11.7109375" style="950" customWidth="1"/>
    <col min="9987" max="9988" width="8.7109375" style="950" customWidth="1"/>
    <col min="9989" max="9989" width="3.140625" style="950" customWidth="1"/>
    <col min="9990" max="9991" width="8.28515625" style="950" customWidth="1"/>
    <col min="9992" max="9992" width="2.28515625" style="950" customWidth="1"/>
    <col min="9993" max="9995" width="0" style="950" hidden="1" customWidth="1"/>
    <col min="9996" max="9996" width="8.28515625" style="950" customWidth="1"/>
    <col min="9997" max="9997" width="8.7109375" style="950" customWidth="1"/>
    <col min="9998" max="9998" width="2.7109375" style="950" customWidth="1"/>
    <col min="9999" max="10000" width="8.7109375" style="950" customWidth="1"/>
    <col min="10001" max="10001" width="2.7109375" style="950" customWidth="1"/>
    <col min="10002" max="10003" width="8.7109375" style="950" customWidth="1"/>
    <col min="10004" max="10004" width="2.7109375" style="950" customWidth="1"/>
    <col min="10005" max="10006" width="8.7109375" style="950" customWidth="1"/>
    <col min="10007" max="10007" width="2.7109375" style="950" customWidth="1"/>
    <col min="10008" max="10240" width="11.42578125" style="950"/>
    <col min="10241" max="10241" width="14.7109375" style="950" customWidth="1"/>
    <col min="10242" max="10242" width="11.7109375" style="950" customWidth="1"/>
    <col min="10243" max="10244" width="8.7109375" style="950" customWidth="1"/>
    <col min="10245" max="10245" width="3.140625" style="950" customWidth="1"/>
    <col min="10246" max="10247" width="8.28515625" style="950" customWidth="1"/>
    <col min="10248" max="10248" width="2.28515625" style="950" customWidth="1"/>
    <col min="10249" max="10251" width="0" style="950" hidden="1" customWidth="1"/>
    <col min="10252" max="10252" width="8.28515625" style="950" customWidth="1"/>
    <col min="10253" max="10253" width="8.7109375" style="950" customWidth="1"/>
    <col min="10254" max="10254" width="2.7109375" style="950" customWidth="1"/>
    <col min="10255" max="10256" width="8.7109375" style="950" customWidth="1"/>
    <col min="10257" max="10257" width="2.7109375" style="950" customWidth="1"/>
    <col min="10258" max="10259" width="8.7109375" style="950" customWidth="1"/>
    <col min="10260" max="10260" width="2.7109375" style="950" customWidth="1"/>
    <col min="10261" max="10262" width="8.7109375" style="950" customWidth="1"/>
    <col min="10263" max="10263" width="2.7109375" style="950" customWidth="1"/>
    <col min="10264" max="10496" width="11.42578125" style="950"/>
    <col min="10497" max="10497" width="14.7109375" style="950" customWidth="1"/>
    <col min="10498" max="10498" width="11.7109375" style="950" customWidth="1"/>
    <col min="10499" max="10500" width="8.7109375" style="950" customWidth="1"/>
    <col min="10501" max="10501" width="3.140625" style="950" customWidth="1"/>
    <col min="10502" max="10503" width="8.28515625" style="950" customWidth="1"/>
    <col min="10504" max="10504" width="2.28515625" style="950" customWidth="1"/>
    <col min="10505" max="10507" width="0" style="950" hidden="1" customWidth="1"/>
    <col min="10508" max="10508" width="8.28515625" style="950" customWidth="1"/>
    <col min="10509" max="10509" width="8.7109375" style="950" customWidth="1"/>
    <col min="10510" max="10510" width="2.7109375" style="950" customWidth="1"/>
    <col min="10511" max="10512" width="8.7109375" style="950" customWidth="1"/>
    <col min="10513" max="10513" width="2.7109375" style="950" customWidth="1"/>
    <col min="10514" max="10515" width="8.7109375" style="950" customWidth="1"/>
    <col min="10516" max="10516" width="2.7109375" style="950" customWidth="1"/>
    <col min="10517" max="10518" width="8.7109375" style="950" customWidth="1"/>
    <col min="10519" max="10519" width="2.7109375" style="950" customWidth="1"/>
    <col min="10520" max="10752" width="11.42578125" style="950"/>
    <col min="10753" max="10753" width="14.7109375" style="950" customWidth="1"/>
    <col min="10754" max="10754" width="11.7109375" style="950" customWidth="1"/>
    <col min="10755" max="10756" width="8.7109375" style="950" customWidth="1"/>
    <col min="10757" max="10757" width="3.140625" style="950" customWidth="1"/>
    <col min="10758" max="10759" width="8.28515625" style="950" customWidth="1"/>
    <col min="10760" max="10760" width="2.28515625" style="950" customWidth="1"/>
    <col min="10761" max="10763" width="0" style="950" hidden="1" customWidth="1"/>
    <col min="10764" max="10764" width="8.28515625" style="950" customWidth="1"/>
    <col min="10765" max="10765" width="8.7109375" style="950" customWidth="1"/>
    <col min="10766" max="10766" width="2.7109375" style="950" customWidth="1"/>
    <col min="10767" max="10768" width="8.7109375" style="950" customWidth="1"/>
    <col min="10769" max="10769" width="2.7109375" style="950" customWidth="1"/>
    <col min="10770" max="10771" width="8.7109375" style="950" customWidth="1"/>
    <col min="10772" max="10772" width="2.7109375" style="950" customWidth="1"/>
    <col min="10773" max="10774" width="8.7109375" style="950" customWidth="1"/>
    <col min="10775" max="10775" width="2.7109375" style="950" customWidth="1"/>
    <col min="10776" max="11008" width="11.42578125" style="950"/>
    <col min="11009" max="11009" width="14.7109375" style="950" customWidth="1"/>
    <col min="11010" max="11010" width="11.7109375" style="950" customWidth="1"/>
    <col min="11011" max="11012" width="8.7109375" style="950" customWidth="1"/>
    <col min="11013" max="11013" width="3.140625" style="950" customWidth="1"/>
    <col min="11014" max="11015" width="8.28515625" style="950" customWidth="1"/>
    <col min="11016" max="11016" width="2.28515625" style="950" customWidth="1"/>
    <col min="11017" max="11019" width="0" style="950" hidden="1" customWidth="1"/>
    <col min="11020" max="11020" width="8.28515625" style="950" customWidth="1"/>
    <col min="11021" max="11021" width="8.7109375" style="950" customWidth="1"/>
    <col min="11022" max="11022" width="2.7109375" style="950" customWidth="1"/>
    <col min="11023" max="11024" width="8.7109375" style="950" customWidth="1"/>
    <col min="11025" max="11025" width="2.7109375" style="950" customWidth="1"/>
    <col min="11026" max="11027" width="8.7109375" style="950" customWidth="1"/>
    <col min="11028" max="11028" width="2.7109375" style="950" customWidth="1"/>
    <col min="11029" max="11030" width="8.7109375" style="950" customWidth="1"/>
    <col min="11031" max="11031" width="2.7109375" style="950" customWidth="1"/>
    <col min="11032" max="11264" width="11.42578125" style="950"/>
    <col min="11265" max="11265" width="14.7109375" style="950" customWidth="1"/>
    <col min="11266" max="11266" width="11.7109375" style="950" customWidth="1"/>
    <col min="11267" max="11268" width="8.7109375" style="950" customWidth="1"/>
    <col min="11269" max="11269" width="3.140625" style="950" customWidth="1"/>
    <col min="11270" max="11271" width="8.28515625" style="950" customWidth="1"/>
    <col min="11272" max="11272" width="2.28515625" style="950" customWidth="1"/>
    <col min="11273" max="11275" width="0" style="950" hidden="1" customWidth="1"/>
    <col min="11276" max="11276" width="8.28515625" style="950" customWidth="1"/>
    <col min="11277" max="11277" width="8.7109375" style="950" customWidth="1"/>
    <col min="11278" max="11278" width="2.7109375" style="950" customWidth="1"/>
    <col min="11279" max="11280" width="8.7109375" style="950" customWidth="1"/>
    <col min="11281" max="11281" width="2.7109375" style="950" customWidth="1"/>
    <col min="11282" max="11283" width="8.7109375" style="950" customWidth="1"/>
    <col min="11284" max="11284" width="2.7109375" style="950" customWidth="1"/>
    <col min="11285" max="11286" width="8.7109375" style="950" customWidth="1"/>
    <col min="11287" max="11287" width="2.7109375" style="950" customWidth="1"/>
    <col min="11288" max="11520" width="11.42578125" style="950"/>
    <col min="11521" max="11521" width="14.7109375" style="950" customWidth="1"/>
    <col min="11522" max="11522" width="11.7109375" style="950" customWidth="1"/>
    <col min="11523" max="11524" width="8.7109375" style="950" customWidth="1"/>
    <col min="11525" max="11525" width="3.140625" style="950" customWidth="1"/>
    <col min="11526" max="11527" width="8.28515625" style="950" customWidth="1"/>
    <col min="11528" max="11528" width="2.28515625" style="950" customWidth="1"/>
    <col min="11529" max="11531" width="0" style="950" hidden="1" customWidth="1"/>
    <col min="11532" max="11532" width="8.28515625" style="950" customWidth="1"/>
    <col min="11533" max="11533" width="8.7109375" style="950" customWidth="1"/>
    <col min="11534" max="11534" width="2.7109375" style="950" customWidth="1"/>
    <col min="11535" max="11536" width="8.7109375" style="950" customWidth="1"/>
    <col min="11537" max="11537" width="2.7109375" style="950" customWidth="1"/>
    <col min="11538" max="11539" width="8.7109375" style="950" customWidth="1"/>
    <col min="11540" max="11540" width="2.7109375" style="950" customWidth="1"/>
    <col min="11541" max="11542" width="8.7109375" style="950" customWidth="1"/>
    <col min="11543" max="11543" width="2.7109375" style="950" customWidth="1"/>
    <col min="11544" max="11776" width="11.42578125" style="950"/>
    <col min="11777" max="11777" width="14.7109375" style="950" customWidth="1"/>
    <col min="11778" max="11778" width="11.7109375" style="950" customWidth="1"/>
    <col min="11779" max="11780" width="8.7109375" style="950" customWidth="1"/>
    <col min="11781" max="11781" width="3.140625" style="950" customWidth="1"/>
    <col min="11782" max="11783" width="8.28515625" style="950" customWidth="1"/>
    <col min="11784" max="11784" width="2.28515625" style="950" customWidth="1"/>
    <col min="11785" max="11787" width="0" style="950" hidden="1" customWidth="1"/>
    <col min="11788" max="11788" width="8.28515625" style="950" customWidth="1"/>
    <col min="11789" max="11789" width="8.7109375" style="950" customWidth="1"/>
    <col min="11790" max="11790" width="2.7109375" style="950" customWidth="1"/>
    <col min="11791" max="11792" width="8.7109375" style="950" customWidth="1"/>
    <col min="11793" max="11793" width="2.7109375" style="950" customWidth="1"/>
    <col min="11794" max="11795" width="8.7109375" style="950" customWidth="1"/>
    <col min="11796" max="11796" width="2.7109375" style="950" customWidth="1"/>
    <col min="11797" max="11798" width="8.7109375" style="950" customWidth="1"/>
    <col min="11799" max="11799" width="2.7109375" style="950" customWidth="1"/>
    <col min="11800" max="12032" width="11.42578125" style="950"/>
    <col min="12033" max="12033" width="14.7109375" style="950" customWidth="1"/>
    <col min="12034" max="12034" width="11.7109375" style="950" customWidth="1"/>
    <col min="12035" max="12036" width="8.7109375" style="950" customWidth="1"/>
    <col min="12037" max="12037" width="3.140625" style="950" customWidth="1"/>
    <col min="12038" max="12039" width="8.28515625" style="950" customWidth="1"/>
    <col min="12040" max="12040" width="2.28515625" style="950" customWidth="1"/>
    <col min="12041" max="12043" width="0" style="950" hidden="1" customWidth="1"/>
    <col min="12044" max="12044" width="8.28515625" style="950" customWidth="1"/>
    <col min="12045" max="12045" width="8.7109375" style="950" customWidth="1"/>
    <col min="12046" max="12046" width="2.7109375" style="950" customWidth="1"/>
    <col min="12047" max="12048" width="8.7109375" style="950" customWidth="1"/>
    <col min="12049" max="12049" width="2.7109375" style="950" customWidth="1"/>
    <col min="12050" max="12051" width="8.7109375" style="950" customWidth="1"/>
    <col min="12052" max="12052" width="2.7109375" style="950" customWidth="1"/>
    <col min="12053" max="12054" width="8.7109375" style="950" customWidth="1"/>
    <col min="12055" max="12055" width="2.7109375" style="950" customWidth="1"/>
    <col min="12056" max="12288" width="11.42578125" style="950"/>
    <col min="12289" max="12289" width="14.7109375" style="950" customWidth="1"/>
    <col min="12290" max="12290" width="11.7109375" style="950" customWidth="1"/>
    <col min="12291" max="12292" width="8.7109375" style="950" customWidth="1"/>
    <col min="12293" max="12293" width="3.140625" style="950" customWidth="1"/>
    <col min="12294" max="12295" width="8.28515625" style="950" customWidth="1"/>
    <col min="12296" max="12296" width="2.28515625" style="950" customWidth="1"/>
    <col min="12297" max="12299" width="0" style="950" hidden="1" customWidth="1"/>
    <col min="12300" max="12300" width="8.28515625" style="950" customWidth="1"/>
    <col min="12301" max="12301" width="8.7109375" style="950" customWidth="1"/>
    <col min="12302" max="12302" width="2.7109375" style="950" customWidth="1"/>
    <col min="12303" max="12304" width="8.7109375" style="950" customWidth="1"/>
    <col min="12305" max="12305" width="2.7109375" style="950" customWidth="1"/>
    <col min="12306" max="12307" width="8.7109375" style="950" customWidth="1"/>
    <col min="12308" max="12308" width="2.7109375" style="950" customWidth="1"/>
    <col min="12309" max="12310" width="8.7109375" style="950" customWidth="1"/>
    <col min="12311" max="12311" width="2.7109375" style="950" customWidth="1"/>
    <col min="12312" max="12544" width="11.42578125" style="950"/>
    <col min="12545" max="12545" width="14.7109375" style="950" customWidth="1"/>
    <col min="12546" max="12546" width="11.7109375" style="950" customWidth="1"/>
    <col min="12547" max="12548" width="8.7109375" style="950" customWidth="1"/>
    <col min="12549" max="12549" width="3.140625" style="950" customWidth="1"/>
    <col min="12550" max="12551" width="8.28515625" style="950" customWidth="1"/>
    <col min="12552" max="12552" width="2.28515625" style="950" customWidth="1"/>
    <col min="12553" max="12555" width="0" style="950" hidden="1" customWidth="1"/>
    <col min="12556" max="12556" width="8.28515625" style="950" customWidth="1"/>
    <col min="12557" max="12557" width="8.7109375" style="950" customWidth="1"/>
    <col min="12558" max="12558" width="2.7109375" style="950" customWidth="1"/>
    <col min="12559" max="12560" width="8.7109375" style="950" customWidth="1"/>
    <col min="12561" max="12561" width="2.7109375" style="950" customWidth="1"/>
    <col min="12562" max="12563" width="8.7109375" style="950" customWidth="1"/>
    <col min="12564" max="12564" width="2.7109375" style="950" customWidth="1"/>
    <col min="12565" max="12566" width="8.7109375" style="950" customWidth="1"/>
    <col min="12567" max="12567" width="2.7109375" style="950" customWidth="1"/>
    <col min="12568" max="12800" width="11.42578125" style="950"/>
    <col min="12801" max="12801" width="14.7109375" style="950" customWidth="1"/>
    <col min="12802" max="12802" width="11.7109375" style="950" customWidth="1"/>
    <col min="12803" max="12804" width="8.7109375" style="950" customWidth="1"/>
    <col min="12805" max="12805" width="3.140625" style="950" customWidth="1"/>
    <col min="12806" max="12807" width="8.28515625" style="950" customWidth="1"/>
    <col min="12808" max="12808" width="2.28515625" style="950" customWidth="1"/>
    <col min="12809" max="12811" width="0" style="950" hidden="1" customWidth="1"/>
    <col min="12812" max="12812" width="8.28515625" style="950" customWidth="1"/>
    <col min="12813" max="12813" width="8.7109375" style="950" customWidth="1"/>
    <col min="12814" max="12814" width="2.7109375" style="950" customWidth="1"/>
    <col min="12815" max="12816" width="8.7109375" style="950" customWidth="1"/>
    <col min="12817" max="12817" width="2.7109375" style="950" customWidth="1"/>
    <col min="12818" max="12819" width="8.7109375" style="950" customWidth="1"/>
    <col min="12820" max="12820" width="2.7109375" style="950" customWidth="1"/>
    <col min="12821" max="12822" width="8.7109375" style="950" customWidth="1"/>
    <col min="12823" max="12823" width="2.7109375" style="950" customWidth="1"/>
    <col min="12824" max="13056" width="11.42578125" style="950"/>
    <col min="13057" max="13057" width="14.7109375" style="950" customWidth="1"/>
    <col min="13058" max="13058" width="11.7109375" style="950" customWidth="1"/>
    <col min="13059" max="13060" width="8.7109375" style="950" customWidth="1"/>
    <col min="13061" max="13061" width="3.140625" style="950" customWidth="1"/>
    <col min="13062" max="13063" width="8.28515625" style="950" customWidth="1"/>
    <col min="13064" max="13064" width="2.28515625" style="950" customWidth="1"/>
    <col min="13065" max="13067" width="0" style="950" hidden="1" customWidth="1"/>
    <col min="13068" max="13068" width="8.28515625" style="950" customWidth="1"/>
    <col min="13069" max="13069" width="8.7109375" style="950" customWidth="1"/>
    <col min="13070" max="13070" width="2.7109375" style="950" customWidth="1"/>
    <col min="13071" max="13072" width="8.7109375" style="950" customWidth="1"/>
    <col min="13073" max="13073" width="2.7109375" style="950" customWidth="1"/>
    <col min="13074" max="13075" width="8.7109375" style="950" customWidth="1"/>
    <col min="13076" max="13076" width="2.7109375" style="950" customWidth="1"/>
    <col min="13077" max="13078" width="8.7109375" style="950" customWidth="1"/>
    <col min="13079" max="13079" width="2.7109375" style="950" customWidth="1"/>
    <col min="13080" max="13312" width="11.42578125" style="950"/>
    <col min="13313" max="13313" width="14.7109375" style="950" customWidth="1"/>
    <col min="13314" max="13314" width="11.7109375" style="950" customWidth="1"/>
    <col min="13315" max="13316" width="8.7109375" style="950" customWidth="1"/>
    <col min="13317" max="13317" width="3.140625" style="950" customWidth="1"/>
    <col min="13318" max="13319" width="8.28515625" style="950" customWidth="1"/>
    <col min="13320" max="13320" width="2.28515625" style="950" customWidth="1"/>
    <col min="13321" max="13323" width="0" style="950" hidden="1" customWidth="1"/>
    <col min="13324" max="13324" width="8.28515625" style="950" customWidth="1"/>
    <col min="13325" max="13325" width="8.7109375" style="950" customWidth="1"/>
    <col min="13326" max="13326" width="2.7109375" style="950" customWidth="1"/>
    <col min="13327" max="13328" width="8.7109375" style="950" customWidth="1"/>
    <col min="13329" max="13329" width="2.7109375" style="950" customWidth="1"/>
    <col min="13330" max="13331" width="8.7109375" style="950" customWidth="1"/>
    <col min="13332" max="13332" width="2.7109375" style="950" customWidth="1"/>
    <col min="13333" max="13334" width="8.7109375" style="950" customWidth="1"/>
    <col min="13335" max="13335" width="2.7109375" style="950" customWidth="1"/>
    <col min="13336" max="13568" width="11.42578125" style="950"/>
    <col min="13569" max="13569" width="14.7109375" style="950" customWidth="1"/>
    <col min="13570" max="13570" width="11.7109375" style="950" customWidth="1"/>
    <col min="13571" max="13572" width="8.7109375" style="950" customWidth="1"/>
    <col min="13573" max="13573" width="3.140625" style="950" customWidth="1"/>
    <col min="13574" max="13575" width="8.28515625" style="950" customWidth="1"/>
    <col min="13576" max="13576" width="2.28515625" style="950" customWidth="1"/>
    <col min="13577" max="13579" width="0" style="950" hidden="1" customWidth="1"/>
    <col min="13580" max="13580" width="8.28515625" style="950" customWidth="1"/>
    <col min="13581" max="13581" width="8.7109375" style="950" customWidth="1"/>
    <col min="13582" max="13582" width="2.7109375" style="950" customWidth="1"/>
    <col min="13583" max="13584" width="8.7109375" style="950" customWidth="1"/>
    <col min="13585" max="13585" width="2.7109375" style="950" customWidth="1"/>
    <col min="13586" max="13587" width="8.7109375" style="950" customWidth="1"/>
    <col min="13588" max="13588" width="2.7109375" style="950" customWidth="1"/>
    <col min="13589" max="13590" width="8.7109375" style="950" customWidth="1"/>
    <col min="13591" max="13591" width="2.7109375" style="950" customWidth="1"/>
    <col min="13592" max="13824" width="11.42578125" style="950"/>
    <col min="13825" max="13825" width="14.7109375" style="950" customWidth="1"/>
    <col min="13826" max="13826" width="11.7109375" style="950" customWidth="1"/>
    <col min="13827" max="13828" width="8.7109375" style="950" customWidth="1"/>
    <col min="13829" max="13829" width="3.140625" style="950" customWidth="1"/>
    <col min="13830" max="13831" width="8.28515625" style="950" customWidth="1"/>
    <col min="13832" max="13832" width="2.28515625" style="950" customWidth="1"/>
    <col min="13833" max="13835" width="0" style="950" hidden="1" customWidth="1"/>
    <col min="13836" max="13836" width="8.28515625" style="950" customWidth="1"/>
    <col min="13837" max="13837" width="8.7109375" style="950" customWidth="1"/>
    <col min="13838" max="13838" width="2.7109375" style="950" customWidth="1"/>
    <col min="13839" max="13840" width="8.7109375" style="950" customWidth="1"/>
    <col min="13841" max="13841" width="2.7109375" style="950" customWidth="1"/>
    <col min="13842" max="13843" width="8.7109375" style="950" customWidth="1"/>
    <col min="13844" max="13844" width="2.7109375" style="950" customWidth="1"/>
    <col min="13845" max="13846" width="8.7109375" style="950" customWidth="1"/>
    <col min="13847" max="13847" width="2.7109375" style="950" customWidth="1"/>
    <col min="13848" max="14080" width="11.42578125" style="950"/>
    <col min="14081" max="14081" width="14.7109375" style="950" customWidth="1"/>
    <col min="14082" max="14082" width="11.7109375" style="950" customWidth="1"/>
    <col min="14083" max="14084" width="8.7109375" style="950" customWidth="1"/>
    <col min="14085" max="14085" width="3.140625" style="950" customWidth="1"/>
    <col min="14086" max="14087" width="8.28515625" style="950" customWidth="1"/>
    <col min="14088" max="14088" width="2.28515625" style="950" customWidth="1"/>
    <col min="14089" max="14091" width="0" style="950" hidden="1" customWidth="1"/>
    <col min="14092" max="14092" width="8.28515625" style="950" customWidth="1"/>
    <col min="14093" max="14093" width="8.7109375" style="950" customWidth="1"/>
    <col min="14094" max="14094" width="2.7109375" style="950" customWidth="1"/>
    <col min="14095" max="14096" width="8.7109375" style="950" customWidth="1"/>
    <col min="14097" max="14097" width="2.7109375" style="950" customWidth="1"/>
    <col min="14098" max="14099" width="8.7109375" style="950" customWidth="1"/>
    <col min="14100" max="14100" width="2.7109375" style="950" customWidth="1"/>
    <col min="14101" max="14102" width="8.7109375" style="950" customWidth="1"/>
    <col min="14103" max="14103" width="2.7109375" style="950" customWidth="1"/>
    <col min="14104" max="14336" width="11.42578125" style="950"/>
    <col min="14337" max="14337" width="14.7109375" style="950" customWidth="1"/>
    <col min="14338" max="14338" width="11.7109375" style="950" customWidth="1"/>
    <col min="14339" max="14340" width="8.7109375" style="950" customWidth="1"/>
    <col min="14341" max="14341" width="3.140625" style="950" customWidth="1"/>
    <col min="14342" max="14343" width="8.28515625" style="950" customWidth="1"/>
    <col min="14344" max="14344" width="2.28515625" style="950" customWidth="1"/>
    <col min="14345" max="14347" width="0" style="950" hidden="1" customWidth="1"/>
    <col min="14348" max="14348" width="8.28515625" style="950" customWidth="1"/>
    <col min="14349" max="14349" width="8.7109375" style="950" customWidth="1"/>
    <col min="14350" max="14350" width="2.7109375" style="950" customWidth="1"/>
    <col min="14351" max="14352" width="8.7109375" style="950" customWidth="1"/>
    <col min="14353" max="14353" width="2.7109375" style="950" customWidth="1"/>
    <col min="14354" max="14355" width="8.7109375" style="950" customWidth="1"/>
    <col min="14356" max="14356" width="2.7109375" style="950" customWidth="1"/>
    <col min="14357" max="14358" width="8.7109375" style="950" customWidth="1"/>
    <col min="14359" max="14359" width="2.7109375" style="950" customWidth="1"/>
    <col min="14360" max="14592" width="11.42578125" style="950"/>
    <col min="14593" max="14593" width="14.7109375" style="950" customWidth="1"/>
    <col min="14594" max="14594" width="11.7109375" style="950" customWidth="1"/>
    <col min="14595" max="14596" width="8.7109375" style="950" customWidth="1"/>
    <col min="14597" max="14597" width="3.140625" style="950" customWidth="1"/>
    <col min="14598" max="14599" width="8.28515625" style="950" customWidth="1"/>
    <col min="14600" max="14600" width="2.28515625" style="950" customWidth="1"/>
    <col min="14601" max="14603" width="0" style="950" hidden="1" customWidth="1"/>
    <col min="14604" max="14604" width="8.28515625" style="950" customWidth="1"/>
    <col min="14605" max="14605" width="8.7109375" style="950" customWidth="1"/>
    <col min="14606" max="14606" width="2.7109375" style="950" customWidth="1"/>
    <col min="14607" max="14608" width="8.7109375" style="950" customWidth="1"/>
    <col min="14609" max="14609" width="2.7109375" style="950" customWidth="1"/>
    <col min="14610" max="14611" width="8.7109375" style="950" customWidth="1"/>
    <col min="14612" max="14612" width="2.7109375" style="950" customWidth="1"/>
    <col min="14613" max="14614" width="8.7109375" style="950" customWidth="1"/>
    <col min="14615" max="14615" width="2.7109375" style="950" customWidth="1"/>
    <col min="14616" max="14848" width="11.42578125" style="950"/>
    <col min="14849" max="14849" width="14.7109375" style="950" customWidth="1"/>
    <col min="14850" max="14850" width="11.7109375" style="950" customWidth="1"/>
    <col min="14851" max="14852" width="8.7109375" style="950" customWidth="1"/>
    <col min="14853" max="14853" width="3.140625" style="950" customWidth="1"/>
    <col min="14854" max="14855" width="8.28515625" style="950" customWidth="1"/>
    <col min="14856" max="14856" width="2.28515625" style="950" customWidth="1"/>
    <col min="14857" max="14859" width="0" style="950" hidden="1" customWidth="1"/>
    <col min="14860" max="14860" width="8.28515625" style="950" customWidth="1"/>
    <col min="14861" max="14861" width="8.7109375" style="950" customWidth="1"/>
    <col min="14862" max="14862" width="2.7109375" style="950" customWidth="1"/>
    <col min="14863" max="14864" width="8.7109375" style="950" customWidth="1"/>
    <col min="14865" max="14865" width="2.7109375" style="950" customWidth="1"/>
    <col min="14866" max="14867" width="8.7109375" style="950" customWidth="1"/>
    <col min="14868" max="14868" width="2.7109375" style="950" customWidth="1"/>
    <col min="14869" max="14870" width="8.7109375" style="950" customWidth="1"/>
    <col min="14871" max="14871" width="2.7109375" style="950" customWidth="1"/>
    <col min="14872" max="15104" width="11.42578125" style="950"/>
    <col min="15105" max="15105" width="14.7109375" style="950" customWidth="1"/>
    <col min="15106" max="15106" width="11.7109375" style="950" customWidth="1"/>
    <col min="15107" max="15108" width="8.7109375" style="950" customWidth="1"/>
    <col min="15109" max="15109" width="3.140625" style="950" customWidth="1"/>
    <col min="15110" max="15111" width="8.28515625" style="950" customWidth="1"/>
    <col min="15112" max="15112" width="2.28515625" style="950" customWidth="1"/>
    <col min="15113" max="15115" width="0" style="950" hidden="1" customWidth="1"/>
    <col min="15116" max="15116" width="8.28515625" style="950" customWidth="1"/>
    <col min="15117" max="15117" width="8.7109375" style="950" customWidth="1"/>
    <col min="15118" max="15118" width="2.7109375" style="950" customWidth="1"/>
    <col min="15119" max="15120" width="8.7109375" style="950" customWidth="1"/>
    <col min="15121" max="15121" width="2.7109375" style="950" customWidth="1"/>
    <col min="15122" max="15123" width="8.7109375" style="950" customWidth="1"/>
    <col min="15124" max="15124" width="2.7109375" style="950" customWidth="1"/>
    <col min="15125" max="15126" width="8.7109375" style="950" customWidth="1"/>
    <col min="15127" max="15127" width="2.7109375" style="950" customWidth="1"/>
    <col min="15128" max="15360" width="11.42578125" style="950"/>
    <col min="15361" max="15361" width="14.7109375" style="950" customWidth="1"/>
    <col min="15362" max="15362" width="11.7109375" style="950" customWidth="1"/>
    <col min="15363" max="15364" width="8.7109375" style="950" customWidth="1"/>
    <col min="15365" max="15365" width="3.140625" style="950" customWidth="1"/>
    <col min="15366" max="15367" width="8.28515625" style="950" customWidth="1"/>
    <col min="15368" max="15368" width="2.28515625" style="950" customWidth="1"/>
    <col min="15369" max="15371" width="0" style="950" hidden="1" customWidth="1"/>
    <col min="15372" max="15372" width="8.28515625" style="950" customWidth="1"/>
    <col min="15373" max="15373" width="8.7109375" style="950" customWidth="1"/>
    <col min="15374" max="15374" width="2.7109375" style="950" customWidth="1"/>
    <col min="15375" max="15376" width="8.7109375" style="950" customWidth="1"/>
    <col min="15377" max="15377" width="2.7109375" style="950" customWidth="1"/>
    <col min="15378" max="15379" width="8.7109375" style="950" customWidth="1"/>
    <col min="15380" max="15380" width="2.7109375" style="950" customWidth="1"/>
    <col min="15381" max="15382" width="8.7109375" style="950" customWidth="1"/>
    <col min="15383" max="15383" width="2.7109375" style="950" customWidth="1"/>
    <col min="15384" max="15616" width="11.42578125" style="950"/>
    <col min="15617" max="15617" width="14.7109375" style="950" customWidth="1"/>
    <col min="15618" max="15618" width="11.7109375" style="950" customWidth="1"/>
    <col min="15619" max="15620" width="8.7109375" style="950" customWidth="1"/>
    <col min="15621" max="15621" width="3.140625" style="950" customWidth="1"/>
    <col min="15622" max="15623" width="8.28515625" style="950" customWidth="1"/>
    <col min="15624" max="15624" width="2.28515625" style="950" customWidth="1"/>
    <col min="15625" max="15627" width="0" style="950" hidden="1" customWidth="1"/>
    <col min="15628" max="15628" width="8.28515625" style="950" customWidth="1"/>
    <col min="15629" max="15629" width="8.7109375" style="950" customWidth="1"/>
    <col min="15630" max="15630" width="2.7109375" style="950" customWidth="1"/>
    <col min="15631" max="15632" width="8.7109375" style="950" customWidth="1"/>
    <col min="15633" max="15633" width="2.7109375" style="950" customWidth="1"/>
    <col min="15634" max="15635" width="8.7109375" style="950" customWidth="1"/>
    <col min="15636" max="15636" width="2.7109375" style="950" customWidth="1"/>
    <col min="15637" max="15638" width="8.7109375" style="950" customWidth="1"/>
    <col min="15639" max="15639" width="2.7109375" style="950" customWidth="1"/>
    <col min="15640" max="15872" width="11.42578125" style="950"/>
    <col min="15873" max="15873" width="14.7109375" style="950" customWidth="1"/>
    <col min="15874" max="15874" width="11.7109375" style="950" customWidth="1"/>
    <col min="15875" max="15876" width="8.7109375" style="950" customWidth="1"/>
    <col min="15877" max="15877" width="3.140625" style="950" customWidth="1"/>
    <col min="15878" max="15879" width="8.28515625" style="950" customWidth="1"/>
    <col min="15880" max="15880" width="2.28515625" style="950" customWidth="1"/>
    <col min="15881" max="15883" width="0" style="950" hidden="1" customWidth="1"/>
    <col min="15884" max="15884" width="8.28515625" style="950" customWidth="1"/>
    <col min="15885" max="15885" width="8.7109375" style="950" customWidth="1"/>
    <col min="15886" max="15886" width="2.7109375" style="950" customWidth="1"/>
    <col min="15887" max="15888" width="8.7109375" style="950" customWidth="1"/>
    <col min="15889" max="15889" width="2.7109375" style="950" customWidth="1"/>
    <col min="15890" max="15891" width="8.7109375" style="950" customWidth="1"/>
    <col min="15892" max="15892" width="2.7109375" style="950" customWidth="1"/>
    <col min="15893" max="15894" width="8.7109375" style="950" customWidth="1"/>
    <col min="15895" max="15895" width="2.7109375" style="950" customWidth="1"/>
    <col min="15896" max="16128" width="11.42578125" style="950"/>
    <col min="16129" max="16129" width="14.7109375" style="950" customWidth="1"/>
    <col min="16130" max="16130" width="11.7109375" style="950" customWidth="1"/>
    <col min="16131" max="16132" width="8.7109375" style="950" customWidth="1"/>
    <col min="16133" max="16133" width="3.140625" style="950" customWidth="1"/>
    <col min="16134" max="16135" width="8.28515625" style="950" customWidth="1"/>
    <col min="16136" max="16136" width="2.28515625" style="950" customWidth="1"/>
    <col min="16137" max="16139" width="0" style="950" hidden="1" customWidth="1"/>
    <col min="16140" max="16140" width="8.28515625" style="950" customWidth="1"/>
    <col min="16141" max="16141" width="8.7109375" style="950" customWidth="1"/>
    <col min="16142" max="16142" width="2.7109375" style="950" customWidth="1"/>
    <col min="16143" max="16144" width="8.7109375" style="950" customWidth="1"/>
    <col min="16145" max="16145" width="2.7109375" style="950" customWidth="1"/>
    <col min="16146" max="16147" width="8.7109375" style="950" customWidth="1"/>
    <col min="16148" max="16148" width="2.7109375" style="950" customWidth="1"/>
    <col min="16149" max="16150" width="8.7109375" style="950" customWidth="1"/>
    <col min="16151" max="16151" width="2.7109375" style="950" customWidth="1"/>
    <col min="16152" max="16384" width="11.42578125" style="950"/>
  </cols>
  <sheetData>
    <row r="1" spans="1:23">
      <c r="A1" s="339" t="s">
        <v>496</v>
      </c>
      <c r="B1" s="339"/>
      <c r="C1" s="339"/>
      <c r="E1" s="951"/>
      <c r="F1" s="951"/>
      <c r="G1" s="951"/>
      <c r="H1" s="951"/>
      <c r="I1" s="951"/>
      <c r="J1" s="951"/>
      <c r="K1" s="951"/>
      <c r="L1" s="339"/>
      <c r="M1" s="339"/>
      <c r="N1" s="339"/>
      <c r="O1" s="339"/>
      <c r="P1" s="339"/>
      <c r="Q1" s="339"/>
    </row>
    <row r="2" spans="1:23">
      <c r="A2" s="339" t="s">
        <v>497</v>
      </c>
      <c r="B2" s="339"/>
      <c r="C2" s="339"/>
      <c r="E2" s="951"/>
      <c r="F2" s="951"/>
      <c r="G2" s="951"/>
      <c r="H2" s="951"/>
      <c r="I2" s="951"/>
      <c r="J2" s="951"/>
      <c r="K2" s="951"/>
      <c r="L2" s="339"/>
      <c r="M2" s="339"/>
      <c r="N2" s="339"/>
      <c r="O2" s="339"/>
      <c r="P2" s="339"/>
      <c r="Q2" s="339"/>
    </row>
    <row r="3" spans="1:23">
      <c r="A3" s="339"/>
      <c r="B3" s="339"/>
      <c r="C3" s="339"/>
      <c r="D3" s="553"/>
      <c r="E3" s="610"/>
      <c r="F3" s="610"/>
      <c r="G3" s="610"/>
      <c r="H3" s="610"/>
      <c r="I3" s="610"/>
      <c r="J3" s="610"/>
      <c r="K3" s="610"/>
      <c r="L3" s="339"/>
      <c r="M3" s="339"/>
      <c r="N3" s="339"/>
      <c r="O3" s="339"/>
      <c r="P3" s="339"/>
      <c r="Q3" s="339"/>
    </row>
    <row r="4" spans="1:23">
      <c r="A4" s="339" t="s">
        <v>2221</v>
      </c>
      <c r="B4" s="339"/>
      <c r="C4" s="339"/>
      <c r="D4" s="553"/>
      <c r="E4" s="553"/>
      <c r="F4" s="553"/>
      <c r="G4" s="553"/>
      <c r="H4" s="553"/>
      <c r="I4" s="553"/>
      <c r="J4" s="553"/>
      <c r="K4" s="553"/>
      <c r="L4" s="339"/>
      <c r="M4" s="339"/>
      <c r="N4" s="339"/>
      <c r="O4" s="339"/>
      <c r="P4" s="339"/>
      <c r="Q4" s="339"/>
    </row>
    <row r="5" spans="1:23">
      <c r="A5" s="339" t="s">
        <v>1566</v>
      </c>
      <c r="B5" s="339"/>
      <c r="C5" s="339"/>
      <c r="D5" s="553"/>
      <c r="E5" s="553"/>
      <c r="F5" s="553"/>
      <c r="G5" s="553"/>
      <c r="H5" s="553"/>
      <c r="I5" s="553"/>
      <c r="J5" s="553"/>
      <c r="K5" s="553"/>
      <c r="L5" s="339"/>
      <c r="M5" s="339"/>
      <c r="N5" s="339"/>
      <c r="O5" s="339"/>
      <c r="P5" s="339"/>
      <c r="Q5" s="339"/>
    </row>
    <row r="6" spans="1:23">
      <c r="A6" s="341"/>
      <c r="B6" s="341"/>
      <c r="C6" s="341"/>
      <c r="D6" s="341"/>
      <c r="E6" s="341"/>
      <c r="F6" s="341"/>
      <c r="G6" s="341"/>
      <c r="H6" s="341"/>
      <c r="I6" s="341"/>
      <c r="J6" s="341"/>
      <c r="K6" s="341"/>
      <c r="L6" s="341"/>
      <c r="M6" s="341"/>
      <c r="N6" s="341"/>
      <c r="O6" s="611"/>
      <c r="P6" s="611"/>
      <c r="Q6" s="611"/>
    </row>
    <row r="7" spans="1:23">
      <c r="A7" s="612"/>
      <c r="B7" s="612"/>
      <c r="C7" s="612"/>
      <c r="D7" s="612"/>
      <c r="E7" s="612"/>
      <c r="F7" s="612"/>
      <c r="G7" s="612"/>
      <c r="H7" s="612"/>
      <c r="I7" s="612"/>
      <c r="J7" s="612"/>
      <c r="K7" s="612"/>
      <c r="L7" s="612"/>
      <c r="M7" s="612"/>
      <c r="N7" s="612"/>
      <c r="O7" s="612"/>
      <c r="P7" s="612"/>
      <c r="Q7" s="612"/>
      <c r="R7" s="612"/>
      <c r="S7" s="612"/>
      <c r="T7" s="612"/>
      <c r="U7" s="612"/>
      <c r="V7" s="612"/>
      <c r="W7" s="612"/>
    </row>
    <row r="8" spans="1:23" ht="18">
      <c r="A8" s="349" t="s">
        <v>1548</v>
      </c>
      <c r="B8" s="365"/>
      <c r="C8" s="1316" t="s">
        <v>1549</v>
      </c>
      <c r="D8" s="1316"/>
      <c r="E8" s="952"/>
      <c r="F8" s="1316" t="s">
        <v>1550</v>
      </c>
      <c r="G8" s="1316"/>
      <c r="H8" s="952"/>
      <c r="I8" s="1316" t="s">
        <v>757</v>
      </c>
      <c r="J8" s="1316"/>
      <c r="K8" s="952"/>
      <c r="L8" s="1316" t="s">
        <v>299</v>
      </c>
      <c r="M8" s="1316"/>
      <c r="N8" s="349"/>
      <c r="O8" s="1316" t="s">
        <v>296</v>
      </c>
      <c r="P8" s="1316"/>
      <c r="Q8" s="341"/>
      <c r="R8" s="1316" t="s">
        <v>1304</v>
      </c>
      <c r="S8" s="1316"/>
      <c r="U8" s="1316" t="s">
        <v>304</v>
      </c>
      <c r="V8" s="1316"/>
    </row>
    <row r="9" spans="1:23">
      <c r="A9" s="349" t="s">
        <v>1551</v>
      </c>
      <c r="B9" s="365"/>
      <c r="C9" s="365" t="s">
        <v>1552</v>
      </c>
      <c r="D9" s="365" t="s">
        <v>10</v>
      </c>
      <c r="E9" s="365"/>
      <c r="F9" s="365" t="s">
        <v>1552</v>
      </c>
      <c r="G9" s="365" t="s">
        <v>10</v>
      </c>
      <c r="H9" s="365"/>
      <c r="I9" s="365" t="s">
        <v>1552</v>
      </c>
      <c r="J9" s="365" t="s">
        <v>10</v>
      </c>
      <c r="K9" s="365"/>
      <c r="L9" s="365" t="s">
        <v>1552</v>
      </c>
      <c r="M9" s="365" t="s">
        <v>10</v>
      </c>
      <c r="N9" s="516"/>
      <c r="O9" s="365" t="s">
        <v>1552</v>
      </c>
      <c r="P9" s="365" t="s">
        <v>10</v>
      </c>
      <c r="Q9" s="365"/>
      <c r="R9" s="365" t="s">
        <v>1552</v>
      </c>
      <c r="S9" s="365" t="s">
        <v>10</v>
      </c>
      <c r="U9" s="365" t="s">
        <v>1552</v>
      </c>
      <c r="V9" s="365" t="s">
        <v>10</v>
      </c>
    </row>
    <row r="10" spans="1:23">
      <c r="A10" s="613"/>
      <c r="B10" s="614"/>
      <c r="C10" s="614"/>
      <c r="D10" s="614"/>
      <c r="E10" s="614"/>
      <c r="F10" s="614"/>
      <c r="G10" s="614"/>
      <c r="H10" s="614"/>
      <c r="I10" s="614"/>
      <c r="J10" s="614"/>
      <c r="K10" s="614"/>
      <c r="L10" s="614"/>
      <c r="M10" s="614"/>
      <c r="N10" s="614"/>
      <c r="O10" s="615"/>
      <c r="P10" s="615"/>
      <c r="Q10" s="615"/>
      <c r="R10" s="615"/>
      <c r="S10" s="615"/>
      <c r="U10" s="615"/>
      <c r="V10" s="615"/>
    </row>
    <row r="11" spans="1:23" ht="18" customHeight="1">
      <c r="A11" s="341"/>
      <c r="B11" s="341"/>
      <c r="C11" s="341"/>
      <c r="D11" s="341"/>
      <c r="E11" s="341"/>
      <c r="F11" s="341"/>
      <c r="G11" s="341"/>
      <c r="H11" s="341"/>
      <c r="I11" s="341"/>
      <c r="J11" s="341"/>
      <c r="K11" s="341"/>
      <c r="L11" s="341"/>
      <c r="M11" s="341"/>
      <c r="N11" s="341"/>
      <c r="O11" s="611"/>
      <c r="P11" s="611"/>
      <c r="Q11" s="611"/>
      <c r="R11" s="611"/>
      <c r="S11" s="611"/>
      <c r="T11" s="612"/>
      <c r="U11" s="611"/>
      <c r="V11" s="611"/>
      <c r="W11" s="612"/>
    </row>
    <row r="12" spans="1:23" ht="18" customHeight="1">
      <c r="A12" s="349" t="s">
        <v>5</v>
      </c>
      <c r="B12" s="341"/>
      <c r="C12" s="562">
        <f>SUM(C14:C23)</f>
        <v>351</v>
      </c>
      <c r="D12" s="616">
        <f>SUM(D14:D23)</f>
        <v>100</v>
      </c>
      <c r="E12" s="341"/>
      <c r="F12" s="341">
        <f>SUM(F14:F23)</f>
        <v>26</v>
      </c>
      <c r="G12" s="611">
        <f>IF($A12&lt;&gt;0,F12/$C12*100,"")</f>
        <v>7.4074074074074066</v>
      </c>
      <c r="H12" s="341"/>
      <c r="I12" s="341">
        <f>SUM(I14:I23)</f>
        <v>0</v>
      </c>
      <c r="J12" s="611">
        <f>IF($A12&lt;&gt;0,I12/$C12*100,"")</f>
        <v>0</v>
      </c>
      <c r="K12" s="341"/>
      <c r="L12" s="341">
        <f>SUM(L14:L23)</f>
        <v>9</v>
      </c>
      <c r="M12" s="611">
        <f>IF($A12&lt;&gt;0,L12/$C12*100,"")</f>
        <v>2.5641025641025639</v>
      </c>
      <c r="N12" s="341"/>
      <c r="O12" s="341">
        <f>SUM(O14:O23)</f>
        <v>101</v>
      </c>
      <c r="P12" s="611">
        <f>IF($A12&lt;&gt;0,O12/$C12*100,"")</f>
        <v>28.774928774928775</v>
      </c>
      <c r="Q12" s="611"/>
      <c r="R12" s="341">
        <f>SUM(R14:R23)</f>
        <v>168</v>
      </c>
      <c r="S12" s="611">
        <f t="shared" ref="S12:S23" si="0">IF($A12&lt;&gt;0,R12/$C12*100,"")</f>
        <v>47.863247863247864</v>
      </c>
      <c r="T12" s="339"/>
      <c r="U12" s="341">
        <f>SUM(U14:U23)</f>
        <v>47</v>
      </c>
      <c r="V12" s="611">
        <f>IF($A12&lt;&gt;0,U12/$C12*100,"")</f>
        <v>13.390313390313391</v>
      </c>
      <c r="W12" s="341"/>
    </row>
    <row r="13" spans="1:23" ht="18" hidden="1" customHeight="1">
      <c r="A13" s="365"/>
      <c r="B13" s="341"/>
      <c r="C13" s="341"/>
      <c r="D13" s="616"/>
      <c r="E13" s="341"/>
      <c r="F13" s="341"/>
      <c r="G13" s="611"/>
      <c r="H13" s="341"/>
      <c r="I13" s="341"/>
      <c r="J13" s="611"/>
      <c r="K13" s="341"/>
      <c r="L13" s="341"/>
      <c r="M13" s="611"/>
      <c r="N13" s="341"/>
      <c r="O13" s="341"/>
      <c r="P13" s="611" t="str">
        <f>IF($A13&lt;&gt;0,O13/$C13*100,"")</f>
        <v/>
      </c>
      <c r="Q13" s="611"/>
      <c r="R13" s="341"/>
      <c r="S13" s="611" t="str">
        <f t="shared" si="0"/>
        <v/>
      </c>
      <c r="T13" s="339"/>
      <c r="U13" s="341"/>
      <c r="V13" s="611" t="str">
        <f>IF($A13&lt;&gt;0,U13/$C13*100,"")</f>
        <v/>
      </c>
      <c r="W13" s="341"/>
    </row>
    <row r="14" spans="1:23" ht="18" hidden="1" customHeight="1">
      <c r="A14" s="349" t="s">
        <v>1553</v>
      </c>
      <c r="B14" s="341"/>
      <c r="C14" s="341">
        <f>F14+I14+L14+O14+R14+U14</f>
        <v>0</v>
      </c>
      <c r="D14" s="616">
        <f>IF(A14&lt;&gt;0,C14/$C$12*100,"")</f>
        <v>0</v>
      </c>
      <c r="E14" s="341"/>
      <c r="F14" s="950">
        <v>0</v>
      </c>
      <c r="G14" s="611" t="e">
        <f t="shared" ref="G14:G21" si="1">IF($A14&lt;&gt;0,F14/$C14*100,"")</f>
        <v>#DIV/0!</v>
      </c>
      <c r="H14" s="341"/>
      <c r="I14" s="341">
        <v>0</v>
      </c>
      <c r="J14" s="611" t="e">
        <f t="shared" ref="J14:J21" si="2">IF($A14&lt;&gt;0,I14/$C14*100,"")</f>
        <v>#DIV/0!</v>
      </c>
      <c r="K14" s="341"/>
      <c r="M14" s="611" t="e">
        <f t="shared" ref="M14:M21" si="3">IF($A14&lt;&gt;0,L14/$C14*100,"")</f>
        <v>#DIV/0!</v>
      </c>
      <c r="N14" s="341"/>
      <c r="P14" s="611" t="e">
        <f>IF($A14&lt;&gt;0,O14/$C14*100,"")</f>
        <v>#DIV/0!</v>
      </c>
      <c r="Q14" s="611"/>
      <c r="S14" s="611" t="e">
        <f t="shared" si="0"/>
        <v>#DIV/0!</v>
      </c>
      <c r="T14" s="339"/>
      <c r="V14" s="611" t="e">
        <f>IF($A14&lt;&gt;0,U14/$C14*100,"")</f>
        <v>#DIV/0!</v>
      </c>
      <c r="W14" s="341"/>
    </row>
    <row r="15" spans="1:23" ht="18" customHeight="1">
      <c r="A15" s="407" t="s">
        <v>1567</v>
      </c>
      <c r="B15" s="341"/>
      <c r="C15" s="341">
        <f t="shared" ref="C15:C22" si="4">F15+I15+L15+O15+R15+U15</f>
        <v>14</v>
      </c>
      <c r="D15" s="616">
        <f t="shared" ref="D15:D23" si="5">IF(A15&lt;&gt;0,C15/$C$12*100,"")</f>
        <v>3.9886039886039883</v>
      </c>
      <c r="E15" s="341"/>
      <c r="G15" s="611">
        <f t="shared" si="1"/>
        <v>0</v>
      </c>
      <c r="H15" s="341"/>
      <c r="I15" s="341"/>
      <c r="J15" s="611">
        <f t="shared" si="2"/>
        <v>0</v>
      </c>
      <c r="K15" s="341"/>
      <c r="M15" s="611">
        <f t="shared" si="3"/>
        <v>0</v>
      </c>
      <c r="N15" s="341"/>
      <c r="P15" s="611">
        <f t="shared" ref="P15:P21" si="6">IF($A15&lt;&gt;0,O15/$C15*100,"")</f>
        <v>0</v>
      </c>
      <c r="Q15" s="341"/>
      <c r="R15" s="950">
        <v>10</v>
      </c>
      <c r="S15" s="611">
        <f t="shared" si="0"/>
        <v>71.428571428571431</v>
      </c>
      <c r="T15" s="339"/>
      <c r="U15" s="950">
        <v>4</v>
      </c>
      <c r="V15" s="611">
        <f t="shared" ref="V15:V21" si="7">IF($A15&lt;&gt;0,U15/$C15*100,"")</f>
        <v>28.571428571428569</v>
      </c>
      <c r="W15" s="341"/>
    </row>
    <row r="16" spans="1:23" ht="18" customHeight="1">
      <c r="A16" s="407" t="s">
        <v>372</v>
      </c>
      <c r="B16" s="952"/>
      <c r="C16" s="341">
        <f t="shared" si="4"/>
        <v>44</v>
      </c>
      <c r="D16" s="616">
        <f t="shared" si="5"/>
        <v>12.535612535612536</v>
      </c>
      <c r="E16" s="341"/>
      <c r="G16" s="611">
        <f t="shared" si="1"/>
        <v>0</v>
      </c>
      <c r="H16" s="341"/>
      <c r="I16" s="341"/>
      <c r="J16" s="611">
        <f t="shared" si="2"/>
        <v>0</v>
      </c>
      <c r="K16" s="341"/>
      <c r="M16" s="611">
        <f t="shared" si="3"/>
        <v>0</v>
      </c>
      <c r="N16" s="341"/>
      <c r="O16" s="950">
        <v>3</v>
      </c>
      <c r="P16" s="611">
        <f t="shared" si="6"/>
        <v>6.8181818181818175</v>
      </c>
      <c r="Q16" s="341"/>
      <c r="R16" s="950">
        <v>29</v>
      </c>
      <c r="S16" s="611">
        <f t="shared" si="0"/>
        <v>65.909090909090907</v>
      </c>
      <c r="T16" s="339"/>
      <c r="U16" s="950">
        <v>12</v>
      </c>
      <c r="V16" s="611">
        <f t="shared" si="7"/>
        <v>27.27272727272727</v>
      </c>
      <c r="W16" s="341"/>
    </row>
    <row r="17" spans="1:23" ht="18" customHeight="1">
      <c r="A17" s="407" t="s">
        <v>289</v>
      </c>
      <c r="B17" s="952"/>
      <c r="C17" s="341">
        <f t="shared" si="4"/>
        <v>20</v>
      </c>
      <c r="D17" s="616">
        <f t="shared" si="5"/>
        <v>5.6980056980056979</v>
      </c>
      <c r="E17" s="341"/>
      <c r="G17" s="611">
        <f t="shared" si="1"/>
        <v>0</v>
      </c>
      <c r="H17" s="341"/>
      <c r="I17" s="341"/>
      <c r="J17" s="611">
        <f t="shared" si="2"/>
        <v>0</v>
      </c>
      <c r="K17" s="341"/>
      <c r="M17" s="611">
        <f t="shared" si="3"/>
        <v>0</v>
      </c>
      <c r="N17" s="341"/>
      <c r="P17" s="611">
        <f t="shared" si="6"/>
        <v>0</v>
      </c>
      <c r="Q17" s="341"/>
      <c r="R17" s="950">
        <v>8</v>
      </c>
      <c r="S17" s="611">
        <f t="shared" si="0"/>
        <v>40</v>
      </c>
      <c r="T17" s="339"/>
      <c r="U17" s="950">
        <v>12</v>
      </c>
      <c r="V17" s="611">
        <f t="shared" si="7"/>
        <v>60</v>
      </c>
      <c r="W17" s="339"/>
    </row>
    <row r="18" spans="1:23" ht="18" customHeight="1">
      <c r="A18" s="407" t="s">
        <v>292</v>
      </c>
      <c r="B18" s="952"/>
      <c r="C18" s="341">
        <f t="shared" si="4"/>
        <v>55</v>
      </c>
      <c r="D18" s="616">
        <f t="shared" si="5"/>
        <v>15.669515669515668</v>
      </c>
      <c r="E18" s="341"/>
      <c r="F18" s="950">
        <v>6</v>
      </c>
      <c r="G18" s="611">
        <f t="shared" si="1"/>
        <v>10.909090909090908</v>
      </c>
      <c r="H18" s="341"/>
      <c r="I18" s="341"/>
      <c r="J18" s="611">
        <f t="shared" si="2"/>
        <v>0</v>
      </c>
      <c r="K18" s="341"/>
      <c r="M18" s="611">
        <f t="shared" si="3"/>
        <v>0</v>
      </c>
      <c r="N18" s="341"/>
      <c r="O18" s="950">
        <v>3</v>
      </c>
      <c r="P18" s="611">
        <f t="shared" si="6"/>
        <v>5.4545454545454541</v>
      </c>
      <c r="Q18" s="341"/>
      <c r="R18" s="950">
        <v>37</v>
      </c>
      <c r="S18" s="611">
        <f t="shared" si="0"/>
        <v>67.272727272727266</v>
      </c>
      <c r="T18" s="339"/>
      <c r="U18" s="950">
        <v>9</v>
      </c>
      <c r="V18" s="611">
        <f t="shared" si="7"/>
        <v>16.363636363636363</v>
      </c>
      <c r="W18" s="341"/>
    </row>
    <row r="19" spans="1:23" ht="18" customHeight="1">
      <c r="A19" s="407" t="s">
        <v>1568</v>
      </c>
      <c r="B19" s="952"/>
      <c r="C19" s="341">
        <f t="shared" si="4"/>
        <v>2</v>
      </c>
      <c r="D19" s="616">
        <f t="shared" si="5"/>
        <v>0.56980056980056981</v>
      </c>
      <c r="E19" s="341"/>
      <c r="G19" s="611">
        <f t="shared" si="1"/>
        <v>0</v>
      </c>
      <c r="H19" s="341"/>
      <c r="I19" s="341"/>
      <c r="J19" s="611">
        <f t="shared" si="2"/>
        <v>0</v>
      </c>
      <c r="K19" s="341"/>
      <c r="L19" s="950">
        <v>2</v>
      </c>
      <c r="M19" s="611">
        <f t="shared" si="3"/>
        <v>100</v>
      </c>
      <c r="N19" s="341"/>
      <c r="P19" s="611">
        <f t="shared" si="6"/>
        <v>0</v>
      </c>
      <c r="Q19" s="341"/>
      <c r="R19" s="950">
        <v>0</v>
      </c>
      <c r="S19" s="611">
        <f t="shared" si="0"/>
        <v>0</v>
      </c>
      <c r="T19" s="339"/>
      <c r="U19" s="950">
        <v>0</v>
      </c>
      <c r="V19" s="611">
        <f t="shared" si="7"/>
        <v>0</v>
      </c>
      <c r="W19" s="341"/>
    </row>
    <row r="20" spans="1:23" ht="18" customHeight="1">
      <c r="A20" s="407" t="s">
        <v>1569</v>
      </c>
      <c r="B20" s="952"/>
      <c r="C20" s="341">
        <f t="shared" si="4"/>
        <v>3</v>
      </c>
      <c r="D20" s="616">
        <f t="shared" si="5"/>
        <v>0.85470085470085477</v>
      </c>
      <c r="E20" s="341"/>
      <c r="G20" s="611">
        <f t="shared" si="1"/>
        <v>0</v>
      </c>
      <c r="H20" s="341"/>
      <c r="I20" s="341"/>
      <c r="J20" s="611">
        <f t="shared" si="2"/>
        <v>0</v>
      </c>
      <c r="K20" s="341"/>
      <c r="L20" s="950">
        <v>1</v>
      </c>
      <c r="M20" s="611">
        <f t="shared" si="3"/>
        <v>33.333333333333329</v>
      </c>
      <c r="N20" s="341"/>
      <c r="O20" s="950">
        <v>1</v>
      </c>
      <c r="P20" s="611">
        <f t="shared" si="6"/>
        <v>33.333333333333329</v>
      </c>
      <c r="Q20" s="341"/>
      <c r="R20" s="950">
        <v>1</v>
      </c>
      <c r="S20" s="611">
        <f t="shared" si="0"/>
        <v>33.333333333333329</v>
      </c>
      <c r="T20" s="339"/>
      <c r="U20" s="950">
        <v>0</v>
      </c>
      <c r="V20" s="611">
        <f t="shared" si="7"/>
        <v>0</v>
      </c>
      <c r="W20" s="341"/>
    </row>
    <row r="21" spans="1:23" ht="18" customHeight="1">
      <c r="A21" s="407" t="s">
        <v>1570</v>
      </c>
      <c r="B21" s="952"/>
      <c r="C21" s="341">
        <f t="shared" si="4"/>
        <v>73</v>
      </c>
      <c r="D21" s="616">
        <f t="shared" si="5"/>
        <v>20.7977207977208</v>
      </c>
      <c r="E21" s="341"/>
      <c r="G21" s="611">
        <f t="shared" si="1"/>
        <v>0</v>
      </c>
      <c r="H21" s="341"/>
      <c r="I21" s="341"/>
      <c r="J21" s="611">
        <f t="shared" si="2"/>
        <v>0</v>
      </c>
      <c r="K21" s="341"/>
      <c r="M21" s="611">
        <f t="shared" si="3"/>
        <v>0</v>
      </c>
      <c r="N21" s="341"/>
      <c r="O21" s="950">
        <v>30</v>
      </c>
      <c r="P21" s="611">
        <f t="shared" si="6"/>
        <v>41.095890410958901</v>
      </c>
      <c r="Q21" s="341"/>
      <c r="R21" s="950">
        <v>37</v>
      </c>
      <c r="S21" s="611">
        <f t="shared" si="0"/>
        <v>50.684931506849317</v>
      </c>
      <c r="T21" s="339"/>
      <c r="U21" s="950">
        <v>6</v>
      </c>
      <c r="V21" s="611">
        <f t="shared" si="7"/>
        <v>8.2191780821917799</v>
      </c>
      <c r="W21" s="341"/>
    </row>
    <row r="22" spans="1:23" ht="18" customHeight="1">
      <c r="A22" s="407" t="s">
        <v>1571</v>
      </c>
      <c r="B22" s="952"/>
      <c r="C22" s="341">
        <f t="shared" si="4"/>
        <v>1</v>
      </c>
      <c r="D22" s="616">
        <f t="shared" si="5"/>
        <v>0.28490028490028491</v>
      </c>
      <c r="E22" s="341"/>
      <c r="G22" s="611"/>
      <c r="H22" s="341"/>
      <c r="I22" s="341"/>
      <c r="J22" s="611"/>
      <c r="K22" s="341"/>
      <c r="M22" s="611"/>
      <c r="N22" s="341"/>
      <c r="P22" s="611"/>
      <c r="Q22" s="341"/>
      <c r="R22" s="950">
        <v>1</v>
      </c>
      <c r="S22" s="611">
        <f t="shared" si="0"/>
        <v>100</v>
      </c>
      <c r="T22" s="339"/>
      <c r="U22" s="950">
        <v>0</v>
      </c>
      <c r="V22" s="611"/>
      <c r="W22" s="341"/>
    </row>
    <row r="23" spans="1:23" ht="18" customHeight="1">
      <c r="A23" s="407" t="s">
        <v>1572</v>
      </c>
      <c r="B23" s="952"/>
      <c r="C23" s="341">
        <f>F23+I23+L23+O23+R23+U23</f>
        <v>139</v>
      </c>
      <c r="D23" s="616">
        <f t="shared" si="5"/>
        <v>39.6011396011396</v>
      </c>
      <c r="E23" s="341"/>
      <c r="F23" s="950">
        <v>20</v>
      </c>
      <c r="G23" s="611">
        <f>IF($A23&lt;&gt;0,F23/$C23*100,"")</f>
        <v>14.388489208633093</v>
      </c>
      <c r="H23" s="341"/>
      <c r="I23" s="341"/>
      <c r="J23" s="611">
        <f>IF($A23&lt;&gt;0,I23/$C23*100,"")</f>
        <v>0</v>
      </c>
      <c r="K23" s="341"/>
      <c r="L23" s="950">
        <v>6</v>
      </c>
      <c r="M23" s="611">
        <f>IF($A23&lt;&gt;0,L23/$C23*100,"")</f>
        <v>4.3165467625899279</v>
      </c>
      <c r="N23" s="341"/>
      <c r="O23" s="950">
        <v>64</v>
      </c>
      <c r="P23" s="611">
        <f>IF($A23&lt;&gt;0,O23/$C23*100,"")</f>
        <v>46.043165467625904</v>
      </c>
      <c r="Q23" s="341"/>
      <c r="R23" s="950">
        <v>45</v>
      </c>
      <c r="S23" s="611">
        <f t="shared" si="0"/>
        <v>32.374100719424462</v>
      </c>
      <c r="T23" s="339"/>
      <c r="U23" s="950">
        <v>4</v>
      </c>
      <c r="V23" s="611">
        <f>IF($A23&lt;&gt;0,U23/$C23*100,"")</f>
        <v>2.877697841726619</v>
      </c>
      <c r="W23" s="341"/>
    </row>
    <row r="24" spans="1:23" ht="18" customHeight="1">
      <c r="A24" s="953"/>
      <c r="B24" s="953"/>
      <c r="C24" s="953"/>
      <c r="D24" s="953"/>
      <c r="E24" s="953"/>
      <c r="F24" s="953"/>
      <c r="G24" s="953"/>
      <c r="H24" s="953"/>
      <c r="I24" s="953"/>
      <c r="J24" s="953"/>
      <c r="K24" s="953"/>
      <c r="L24" s="953"/>
      <c r="M24" s="953"/>
      <c r="N24" s="953"/>
      <c r="O24" s="953"/>
      <c r="P24" s="953"/>
      <c r="Q24" s="953"/>
      <c r="R24" s="953"/>
      <c r="S24" s="953"/>
      <c r="U24" s="953"/>
      <c r="V24" s="953"/>
    </row>
    <row r="25" spans="1:23" ht="14.25" customHeight="1">
      <c r="T25" s="612"/>
      <c r="W25" s="612"/>
    </row>
    <row r="26" spans="1:23" ht="18">
      <c r="A26" s="618" t="s">
        <v>1557</v>
      </c>
      <c r="B26" s="398"/>
      <c r="C26" s="611"/>
      <c r="D26" s="611"/>
      <c r="E26" s="398"/>
      <c r="F26" s="398"/>
      <c r="G26" s="398"/>
      <c r="H26" s="398"/>
      <c r="I26" s="398"/>
      <c r="J26" s="398"/>
      <c r="K26" s="398"/>
      <c r="L26" s="611"/>
      <c r="M26" s="611"/>
      <c r="N26" s="398"/>
      <c r="O26" s="611"/>
      <c r="P26" s="339"/>
      <c r="Q26" s="339"/>
      <c r="R26" s="339"/>
      <c r="S26" s="339"/>
      <c r="T26" s="339"/>
      <c r="U26" s="339"/>
      <c r="W26" s="341"/>
    </row>
    <row r="27" spans="1:23" ht="15" customHeight="1">
      <c r="A27" s="339" t="s">
        <v>2140</v>
      </c>
      <c r="T27" s="341"/>
      <c r="W27" s="341"/>
    </row>
    <row r="28" spans="1:23" ht="11.25" customHeight="1">
      <c r="T28" s="341"/>
      <c r="W28" s="341"/>
    </row>
    <row r="29" spans="1:23" s="339" customFormat="1">
      <c r="A29" s="339" t="s">
        <v>1545</v>
      </c>
    </row>
    <row r="30" spans="1:23" s="339" customFormat="1">
      <c r="A30" s="339" t="s">
        <v>385</v>
      </c>
    </row>
    <row r="31" spans="1:23" s="339" customFormat="1"/>
  </sheetData>
  <mergeCells count="7">
    <mergeCell ref="U8:V8"/>
    <mergeCell ref="C8:D8"/>
    <mergeCell ref="F8:G8"/>
    <mergeCell ref="I8:J8"/>
    <mergeCell ref="L8:M8"/>
    <mergeCell ref="O8:P8"/>
    <mergeCell ref="R8:S8"/>
  </mergeCells>
  <printOptions horizontalCentered="1" verticalCentered="1"/>
  <pageMargins left="0" right="0" top="0" bottom="0" header="0.31496062992125984" footer="0.31496062992125984"/>
  <pageSetup paperSize="9" scale="85" orientation="landscape" r:id="rId1"/>
  <drawing r:id="rId2"/>
</worksheet>
</file>

<file path=xl/worksheets/sheet9.xml><?xml version="1.0" encoding="utf-8"?>
<worksheet xmlns="http://schemas.openxmlformats.org/spreadsheetml/2006/main" xmlns:r="http://schemas.openxmlformats.org/officeDocument/2006/relationships">
  <dimension ref="A1:P125"/>
  <sheetViews>
    <sheetView workbookViewId="0"/>
  </sheetViews>
  <sheetFormatPr baseColWidth="10" defaultColWidth="9.140625" defaultRowHeight="12.75"/>
  <cols>
    <col min="1" max="1" width="34.140625" style="434" customWidth="1"/>
    <col min="2" max="2" width="8.28515625" style="544" customWidth="1"/>
    <col min="3" max="3" width="8.28515625" style="436" customWidth="1"/>
    <col min="4" max="4" width="3.42578125" style="434" customWidth="1"/>
    <col min="5" max="5" width="8" style="435" customWidth="1"/>
    <col min="6" max="6" width="8.28515625" style="436" customWidth="1"/>
    <col min="7" max="7" width="3.7109375" style="434" customWidth="1"/>
    <col min="8" max="8" width="8.28515625" style="435" customWidth="1"/>
    <col min="9" max="9" width="8.5703125" style="436" customWidth="1"/>
    <col min="10" max="10" width="3.7109375" style="436" customWidth="1"/>
    <col min="11" max="11" width="8.85546875" style="435" customWidth="1"/>
    <col min="12" max="12" width="9.140625" style="436" customWidth="1"/>
    <col min="13" max="13" width="3.28515625" style="434" customWidth="1"/>
    <col min="14" max="14" width="9" style="435" customWidth="1"/>
    <col min="15" max="15" width="9.140625" style="434" customWidth="1"/>
    <col min="16" max="16" width="2.7109375" style="434" customWidth="1"/>
    <col min="17" max="256" width="9.140625" style="434"/>
    <col min="257" max="257" width="34.140625" style="434" customWidth="1"/>
    <col min="258" max="259" width="8.28515625" style="434" customWidth="1"/>
    <col min="260" max="260" width="3.42578125" style="434" customWidth="1"/>
    <col min="261" max="261" width="8" style="434" customWidth="1"/>
    <col min="262" max="262" width="8.28515625" style="434" customWidth="1"/>
    <col min="263" max="263" width="3.7109375" style="434" customWidth="1"/>
    <col min="264" max="264" width="8.28515625" style="434" customWidth="1"/>
    <col min="265" max="265" width="8.5703125" style="434" customWidth="1"/>
    <col min="266" max="266" width="3.7109375" style="434" customWidth="1"/>
    <col min="267" max="267" width="8.85546875" style="434" customWidth="1"/>
    <col min="268" max="268" width="9.140625" style="434" customWidth="1"/>
    <col min="269" max="269" width="3.28515625" style="434" customWidth="1"/>
    <col min="270" max="270" width="9" style="434" customWidth="1"/>
    <col min="271" max="271" width="9.140625" style="434" customWidth="1"/>
    <col min="272" max="272" width="2.7109375" style="434" customWidth="1"/>
    <col min="273" max="512" width="9.140625" style="434"/>
    <col min="513" max="513" width="34.140625" style="434" customWidth="1"/>
    <col min="514" max="515" width="8.28515625" style="434" customWidth="1"/>
    <col min="516" max="516" width="3.42578125" style="434" customWidth="1"/>
    <col min="517" max="517" width="8" style="434" customWidth="1"/>
    <col min="518" max="518" width="8.28515625" style="434" customWidth="1"/>
    <col min="519" max="519" width="3.7109375" style="434" customWidth="1"/>
    <col min="520" max="520" width="8.28515625" style="434" customWidth="1"/>
    <col min="521" max="521" width="8.5703125" style="434" customWidth="1"/>
    <col min="522" max="522" width="3.7109375" style="434" customWidth="1"/>
    <col min="523" max="523" width="8.85546875" style="434" customWidth="1"/>
    <col min="524" max="524" width="9.140625" style="434" customWidth="1"/>
    <col min="525" max="525" width="3.28515625" style="434" customWidth="1"/>
    <col min="526" max="526" width="9" style="434" customWidth="1"/>
    <col min="527" max="527" width="9.140625" style="434" customWidth="1"/>
    <col min="528" max="528" width="2.7109375" style="434" customWidth="1"/>
    <col min="529" max="768" width="9.140625" style="434"/>
    <col min="769" max="769" width="34.140625" style="434" customWidth="1"/>
    <col min="770" max="771" width="8.28515625" style="434" customWidth="1"/>
    <col min="772" max="772" width="3.42578125" style="434" customWidth="1"/>
    <col min="773" max="773" width="8" style="434" customWidth="1"/>
    <col min="774" max="774" width="8.28515625" style="434" customWidth="1"/>
    <col min="775" max="775" width="3.7109375" style="434" customWidth="1"/>
    <col min="776" max="776" width="8.28515625" style="434" customWidth="1"/>
    <col min="777" max="777" width="8.5703125" style="434" customWidth="1"/>
    <col min="778" max="778" width="3.7109375" style="434" customWidth="1"/>
    <col min="779" max="779" width="8.85546875" style="434" customWidth="1"/>
    <col min="780" max="780" width="9.140625" style="434" customWidth="1"/>
    <col min="781" max="781" width="3.28515625" style="434" customWidth="1"/>
    <col min="782" max="782" width="9" style="434" customWidth="1"/>
    <col min="783" max="783" width="9.140625" style="434" customWidth="1"/>
    <col min="784" max="784" width="2.7109375" style="434" customWidth="1"/>
    <col min="785" max="1024" width="9.140625" style="434"/>
    <col min="1025" max="1025" width="34.140625" style="434" customWidth="1"/>
    <col min="1026" max="1027" width="8.28515625" style="434" customWidth="1"/>
    <col min="1028" max="1028" width="3.42578125" style="434" customWidth="1"/>
    <col min="1029" max="1029" width="8" style="434" customWidth="1"/>
    <col min="1030" max="1030" width="8.28515625" style="434" customWidth="1"/>
    <col min="1031" max="1031" width="3.7109375" style="434" customWidth="1"/>
    <col min="1032" max="1032" width="8.28515625" style="434" customWidth="1"/>
    <col min="1033" max="1033" width="8.5703125" style="434" customWidth="1"/>
    <col min="1034" max="1034" width="3.7109375" style="434" customWidth="1"/>
    <col min="1035" max="1035" width="8.85546875" style="434" customWidth="1"/>
    <col min="1036" max="1036" width="9.140625" style="434" customWidth="1"/>
    <col min="1037" max="1037" width="3.28515625" style="434" customWidth="1"/>
    <col min="1038" max="1038" width="9" style="434" customWidth="1"/>
    <col min="1039" max="1039" width="9.140625" style="434" customWidth="1"/>
    <col min="1040" max="1040" width="2.7109375" style="434" customWidth="1"/>
    <col min="1041" max="1280" width="9.140625" style="434"/>
    <col min="1281" max="1281" width="34.140625" style="434" customWidth="1"/>
    <col min="1282" max="1283" width="8.28515625" style="434" customWidth="1"/>
    <col min="1284" max="1284" width="3.42578125" style="434" customWidth="1"/>
    <col min="1285" max="1285" width="8" style="434" customWidth="1"/>
    <col min="1286" max="1286" width="8.28515625" style="434" customWidth="1"/>
    <col min="1287" max="1287" width="3.7109375" style="434" customWidth="1"/>
    <col min="1288" max="1288" width="8.28515625" style="434" customWidth="1"/>
    <col min="1289" max="1289" width="8.5703125" style="434" customWidth="1"/>
    <col min="1290" max="1290" width="3.7109375" style="434" customWidth="1"/>
    <col min="1291" max="1291" width="8.85546875" style="434" customWidth="1"/>
    <col min="1292" max="1292" width="9.140625" style="434" customWidth="1"/>
    <col min="1293" max="1293" width="3.28515625" style="434" customWidth="1"/>
    <col min="1294" max="1294" width="9" style="434" customWidth="1"/>
    <col min="1295" max="1295" width="9.140625" style="434" customWidth="1"/>
    <col min="1296" max="1296" width="2.7109375" style="434" customWidth="1"/>
    <col min="1297" max="1536" width="9.140625" style="434"/>
    <col min="1537" max="1537" width="34.140625" style="434" customWidth="1"/>
    <col min="1538" max="1539" width="8.28515625" style="434" customWidth="1"/>
    <col min="1540" max="1540" width="3.42578125" style="434" customWidth="1"/>
    <col min="1541" max="1541" width="8" style="434" customWidth="1"/>
    <col min="1542" max="1542" width="8.28515625" style="434" customWidth="1"/>
    <col min="1543" max="1543" width="3.7109375" style="434" customWidth="1"/>
    <col min="1544" max="1544" width="8.28515625" style="434" customWidth="1"/>
    <col min="1545" max="1545" width="8.5703125" style="434" customWidth="1"/>
    <col min="1546" max="1546" width="3.7109375" style="434" customWidth="1"/>
    <col min="1547" max="1547" width="8.85546875" style="434" customWidth="1"/>
    <col min="1548" max="1548" width="9.140625" style="434" customWidth="1"/>
    <col min="1549" max="1549" width="3.28515625" style="434" customWidth="1"/>
    <col min="1550" max="1550" width="9" style="434" customWidth="1"/>
    <col min="1551" max="1551" width="9.140625" style="434" customWidth="1"/>
    <col min="1552" max="1552" width="2.7109375" style="434" customWidth="1"/>
    <col min="1553" max="1792" width="9.140625" style="434"/>
    <col min="1793" max="1793" width="34.140625" style="434" customWidth="1"/>
    <col min="1794" max="1795" width="8.28515625" style="434" customWidth="1"/>
    <col min="1796" max="1796" width="3.42578125" style="434" customWidth="1"/>
    <col min="1797" max="1797" width="8" style="434" customWidth="1"/>
    <col min="1798" max="1798" width="8.28515625" style="434" customWidth="1"/>
    <col min="1799" max="1799" width="3.7109375" style="434" customWidth="1"/>
    <col min="1800" max="1800" width="8.28515625" style="434" customWidth="1"/>
    <col min="1801" max="1801" width="8.5703125" style="434" customWidth="1"/>
    <col min="1802" max="1802" width="3.7109375" style="434" customWidth="1"/>
    <col min="1803" max="1803" width="8.85546875" style="434" customWidth="1"/>
    <col min="1804" max="1804" width="9.140625" style="434" customWidth="1"/>
    <col min="1805" max="1805" width="3.28515625" style="434" customWidth="1"/>
    <col min="1806" max="1806" width="9" style="434" customWidth="1"/>
    <col min="1807" max="1807" width="9.140625" style="434" customWidth="1"/>
    <col min="1808" max="1808" width="2.7109375" style="434" customWidth="1"/>
    <col min="1809" max="2048" width="9.140625" style="434"/>
    <col min="2049" max="2049" width="34.140625" style="434" customWidth="1"/>
    <col min="2050" max="2051" width="8.28515625" style="434" customWidth="1"/>
    <col min="2052" max="2052" width="3.42578125" style="434" customWidth="1"/>
    <col min="2053" max="2053" width="8" style="434" customWidth="1"/>
    <col min="2054" max="2054" width="8.28515625" style="434" customWidth="1"/>
    <col min="2055" max="2055" width="3.7109375" style="434" customWidth="1"/>
    <col min="2056" max="2056" width="8.28515625" style="434" customWidth="1"/>
    <col min="2057" max="2057" width="8.5703125" style="434" customWidth="1"/>
    <col min="2058" max="2058" width="3.7109375" style="434" customWidth="1"/>
    <col min="2059" max="2059" width="8.85546875" style="434" customWidth="1"/>
    <col min="2060" max="2060" width="9.140625" style="434" customWidth="1"/>
    <col min="2061" max="2061" width="3.28515625" style="434" customWidth="1"/>
    <col min="2062" max="2062" width="9" style="434" customWidth="1"/>
    <col min="2063" max="2063" width="9.140625" style="434" customWidth="1"/>
    <col min="2064" max="2064" width="2.7109375" style="434" customWidth="1"/>
    <col min="2065" max="2304" width="9.140625" style="434"/>
    <col min="2305" max="2305" width="34.140625" style="434" customWidth="1"/>
    <col min="2306" max="2307" width="8.28515625" style="434" customWidth="1"/>
    <col min="2308" max="2308" width="3.42578125" style="434" customWidth="1"/>
    <col min="2309" max="2309" width="8" style="434" customWidth="1"/>
    <col min="2310" max="2310" width="8.28515625" style="434" customWidth="1"/>
    <col min="2311" max="2311" width="3.7109375" style="434" customWidth="1"/>
    <col min="2312" max="2312" width="8.28515625" style="434" customWidth="1"/>
    <col min="2313" max="2313" width="8.5703125" style="434" customWidth="1"/>
    <col min="2314" max="2314" width="3.7109375" style="434" customWidth="1"/>
    <col min="2315" max="2315" width="8.85546875" style="434" customWidth="1"/>
    <col min="2316" max="2316" width="9.140625" style="434" customWidth="1"/>
    <col min="2317" max="2317" width="3.28515625" style="434" customWidth="1"/>
    <col min="2318" max="2318" width="9" style="434" customWidth="1"/>
    <col min="2319" max="2319" width="9.140625" style="434" customWidth="1"/>
    <col min="2320" max="2320" width="2.7109375" style="434" customWidth="1"/>
    <col min="2321" max="2560" width="9.140625" style="434"/>
    <col min="2561" max="2561" width="34.140625" style="434" customWidth="1"/>
    <col min="2562" max="2563" width="8.28515625" style="434" customWidth="1"/>
    <col min="2564" max="2564" width="3.42578125" style="434" customWidth="1"/>
    <col min="2565" max="2565" width="8" style="434" customWidth="1"/>
    <col min="2566" max="2566" width="8.28515625" style="434" customWidth="1"/>
    <col min="2567" max="2567" width="3.7109375" style="434" customWidth="1"/>
    <col min="2568" max="2568" width="8.28515625" style="434" customWidth="1"/>
    <col min="2569" max="2569" width="8.5703125" style="434" customWidth="1"/>
    <col min="2570" max="2570" width="3.7109375" style="434" customWidth="1"/>
    <col min="2571" max="2571" width="8.85546875" style="434" customWidth="1"/>
    <col min="2572" max="2572" width="9.140625" style="434" customWidth="1"/>
    <col min="2573" max="2573" width="3.28515625" style="434" customWidth="1"/>
    <col min="2574" max="2574" width="9" style="434" customWidth="1"/>
    <col min="2575" max="2575" width="9.140625" style="434" customWidth="1"/>
    <col min="2576" max="2576" width="2.7109375" style="434" customWidth="1"/>
    <col min="2577" max="2816" width="9.140625" style="434"/>
    <col min="2817" max="2817" width="34.140625" style="434" customWidth="1"/>
    <col min="2818" max="2819" width="8.28515625" style="434" customWidth="1"/>
    <col min="2820" max="2820" width="3.42578125" style="434" customWidth="1"/>
    <col min="2821" max="2821" width="8" style="434" customWidth="1"/>
    <col min="2822" max="2822" width="8.28515625" style="434" customWidth="1"/>
    <col min="2823" max="2823" width="3.7109375" style="434" customWidth="1"/>
    <col min="2824" max="2824" width="8.28515625" style="434" customWidth="1"/>
    <col min="2825" max="2825" width="8.5703125" style="434" customWidth="1"/>
    <col min="2826" max="2826" width="3.7109375" style="434" customWidth="1"/>
    <col min="2827" max="2827" width="8.85546875" style="434" customWidth="1"/>
    <col min="2828" max="2828" width="9.140625" style="434" customWidth="1"/>
    <col min="2829" max="2829" width="3.28515625" style="434" customWidth="1"/>
    <col min="2830" max="2830" width="9" style="434" customWidth="1"/>
    <col min="2831" max="2831" width="9.140625" style="434" customWidth="1"/>
    <col min="2832" max="2832" width="2.7109375" style="434" customWidth="1"/>
    <col min="2833" max="3072" width="9.140625" style="434"/>
    <col min="3073" max="3073" width="34.140625" style="434" customWidth="1"/>
    <col min="3074" max="3075" width="8.28515625" style="434" customWidth="1"/>
    <col min="3076" max="3076" width="3.42578125" style="434" customWidth="1"/>
    <col min="3077" max="3077" width="8" style="434" customWidth="1"/>
    <col min="3078" max="3078" width="8.28515625" style="434" customWidth="1"/>
    <col min="3079" max="3079" width="3.7109375" style="434" customWidth="1"/>
    <col min="3080" max="3080" width="8.28515625" style="434" customWidth="1"/>
    <col min="3081" max="3081" width="8.5703125" style="434" customWidth="1"/>
    <col min="3082" max="3082" width="3.7109375" style="434" customWidth="1"/>
    <col min="3083" max="3083" width="8.85546875" style="434" customWidth="1"/>
    <col min="3084" max="3084" width="9.140625" style="434" customWidth="1"/>
    <col min="3085" max="3085" width="3.28515625" style="434" customWidth="1"/>
    <col min="3086" max="3086" width="9" style="434" customWidth="1"/>
    <col min="3087" max="3087" width="9.140625" style="434" customWidth="1"/>
    <col min="3088" max="3088" width="2.7109375" style="434" customWidth="1"/>
    <col min="3089" max="3328" width="9.140625" style="434"/>
    <col min="3329" max="3329" width="34.140625" style="434" customWidth="1"/>
    <col min="3330" max="3331" width="8.28515625" style="434" customWidth="1"/>
    <col min="3332" max="3332" width="3.42578125" style="434" customWidth="1"/>
    <col min="3333" max="3333" width="8" style="434" customWidth="1"/>
    <col min="3334" max="3334" width="8.28515625" style="434" customWidth="1"/>
    <col min="3335" max="3335" width="3.7109375" style="434" customWidth="1"/>
    <col min="3336" max="3336" width="8.28515625" style="434" customWidth="1"/>
    <col min="3337" max="3337" width="8.5703125" style="434" customWidth="1"/>
    <col min="3338" max="3338" width="3.7109375" style="434" customWidth="1"/>
    <col min="3339" max="3339" width="8.85546875" style="434" customWidth="1"/>
    <col min="3340" max="3340" width="9.140625" style="434" customWidth="1"/>
    <col min="3341" max="3341" width="3.28515625" style="434" customWidth="1"/>
    <col min="3342" max="3342" width="9" style="434" customWidth="1"/>
    <col min="3343" max="3343" width="9.140625" style="434" customWidth="1"/>
    <col min="3344" max="3344" width="2.7109375" style="434" customWidth="1"/>
    <col min="3345" max="3584" width="9.140625" style="434"/>
    <col min="3585" max="3585" width="34.140625" style="434" customWidth="1"/>
    <col min="3586" max="3587" width="8.28515625" style="434" customWidth="1"/>
    <col min="3588" max="3588" width="3.42578125" style="434" customWidth="1"/>
    <col min="3589" max="3589" width="8" style="434" customWidth="1"/>
    <col min="3590" max="3590" width="8.28515625" style="434" customWidth="1"/>
    <col min="3591" max="3591" width="3.7109375" style="434" customWidth="1"/>
    <col min="3592" max="3592" width="8.28515625" style="434" customWidth="1"/>
    <col min="3593" max="3593" width="8.5703125" style="434" customWidth="1"/>
    <col min="3594" max="3594" width="3.7109375" style="434" customWidth="1"/>
    <col min="3595" max="3595" width="8.85546875" style="434" customWidth="1"/>
    <col min="3596" max="3596" width="9.140625" style="434" customWidth="1"/>
    <col min="3597" max="3597" width="3.28515625" style="434" customWidth="1"/>
    <col min="3598" max="3598" width="9" style="434" customWidth="1"/>
    <col min="3599" max="3599" width="9.140625" style="434" customWidth="1"/>
    <col min="3600" max="3600" width="2.7109375" style="434" customWidth="1"/>
    <col min="3601" max="3840" width="9.140625" style="434"/>
    <col min="3841" max="3841" width="34.140625" style="434" customWidth="1"/>
    <col min="3842" max="3843" width="8.28515625" style="434" customWidth="1"/>
    <col min="3844" max="3844" width="3.42578125" style="434" customWidth="1"/>
    <col min="3845" max="3845" width="8" style="434" customWidth="1"/>
    <col min="3846" max="3846" width="8.28515625" style="434" customWidth="1"/>
    <col min="3847" max="3847" width="3.7109375" style="434" customWidth="1"/>
    <col min="3848" max="3848" width="8.28515625" style="434" customWidth="1"/>
    <col min="3849" max="3849" width="8.5703125" style="434" customWidth="1"/>
    <col min="3850" max="3850" width="3.7109375" style="434" customWidth="1"/>
    <col min="3851" max="3851" width="8.85546875" style="434" customWidth="1"/>
    <col min="3852" max="3852" width="9.140625" style="434" customWidth="1"/>
    <col min="3853" max="3853" width="3.28515625" style="434" customWidth="1"/>
    <col min="3854" max="3854" width="9" style="434" customWidth="1"/>
    <col min="3855" max="3855" width="9.140625" style="434" customWidth="1"/>
    <col min="3856" max="3856" width="2.7109375" style="434" customWidth="1"/>
    <col min="3857" max="4096" width="9.140625" style="434"/>
    <col min="4097" max="4097" width="34.140625" style="434" customWidth="1"/>
    <col min="4098" max="4099" width="8.28515625" style="434" customWidth="1"/>
    <col min="4100" max="4100" width="3.42578125" style="434" customWidth="1"/>
    <col min="4101" max="4101" width="8" style="434" customWidth="1"/>
    <col min="4102" max="4102" width="8.28515625" style="434" customWidth="1"/>
    <col min="4103" max="4103" width="3.7109375" style="434" customWidth="1"/>
    <col min="4104" max="4104" width="8.28515625" style="434" customWidth="1"/>
    <col min="4105" max="4105" width="8.5703125" style="434" customWidth="1"/>
    <col min="4106" max="4106" width="3.7109375" style="434" customWidth="1"/>
    <col min="4107" max="4107" width="8.85546875" style="434" customWidth="1"/>
    <col min="4108" max="4108" width="9.140625" style="434" customWidth="1"/>
    <col min="4109" max="4109" width="3.28515625" style="434" customWidth="1"/>
    <col min="4110" max="4110" width="9" style="434" customWidth="1"/>
    <col min="4111" max="4111" width="9.140625" style="434" customWidth="1"/>
    <col min="4112" max="4112" width="2.7109375" style="434" customWidth="1"/>
    <col min="4113" max="4352" width="9.140625" style="434"/>
    <col min="4353" max="4353" width="34.140625" style="434" customWidth="1"/>
    <col min="4354" max="4355" width="8.28515625" style="434" customWidth="1"/>
    <col min="4356" max="4356" width="3.42578125" style="434" customWidth="1"/>
    <col min="4357" max="4357" width="8" style="434" customWidth="1"/>
    <col min="4358" max="4358" width="8.28515625" style="434" customWidth="1"/>
    <col min="4359" max="4359" width="3.7109375" style="434" customWidth="1"/>
    <col min="4360" max="4360" width="8.28515625" style="434" customWidth="1"/>
    <col min="4361" max="4361" width="8.5703125" style="434" customWidth="1"/>
    <col min="4362" max="4362" width="3.7109375" style="434" customWidth="1"/>
    <col min="4363" max="4363" width="8.85546875" style="434" customWidth="1"/>
    <col min="4364" max="4364" width="9.140625" style="434" customWidth="1"/>
    <col min="4365" max="4365" width="3.28515625" style="434" customWidth="1"/>
    <col min="4366" max="4366" width="9" style="434" customWidth="1"/>
    <col min="4367" max="4367" width="9.140625" style="434" customWidth="1"/>
    <col min="4368" max="4368" width="2.7109375" style="434" customWidth="1"/>
    <col min="4369" max="4608" width="9.140625" style="434"/>
    <col min="4609" max="4609" width="34.140625" style="434" customWidth="1"/>
    <col min="4610" max="4611" width="8.28515625" style="434" customWidth="1"/>
    <col min="4612" max="4612" width="3.42578125" style="434" customWidth="1"/>
    <col min="4613" max="4613" width="8" style="434" customWidth="1"/>
    <col min="4614" max="4614" width="8.28515625" style="434" customWidth="1"/>
    <col min="4615" max="4615" width="3.7109375" style="434" customWidth="1"/>
    <col min="4616" max="4616" width="8.28515625" style="434" customWidth="1"/>
    <col min="4617" max="4617" width="8.5703125" style="434" customWidth="1"/>
    <col min="4618" max="4618" width="3.7109375" style="434" customWidth="1"/>
    <col min="4619" max="4619" width="8.85546875" style="434" customWidth="1"/>
    <col min="4620" max="4620" width="9.140625" style="434" customWidth="1"/>
    <col min="4621" max="4621" width="3.28515625" style="434" customWidth="1"/>
    <col min="4622" max="4622" width="9" style="434" customWidth="1"/>
    <col min="4623" max="4623" width="9.140625" style="434" customWidth="1"/>
    <col min="4624" max="4624" width="2.7109375" style="434" customWidth="1"/>
    <col min="4625" max="4864" width="9.140625" style="434"/>
    <col min="4865" max="4865" width="34.140625" style="434" customWidth="1"/>
    <col min="4866" max="4867" width="8.28515625" style="434" customWidth="1"/>
    <col min="4868" max="4868" width="3.42578125" style="434" customWidth="1"/>
    <col min="4869" max="4869" width="8" style="434" customWidth="1"/>
    <col min="4870" max="4870" width="8.28515625" style="434" customWidth="1"/>
    <col min="4871" max="4871" width="3.7109375" style="434" customWidth="1"/>
    <col min="4872" max="4872" width="8.28515625" style="434" customWidth="1"/>
    <col min="4873" max="4873" width="8.5703125" style="434" customWidth="1"/>
    <col min="4874" max="4874" width="3.7109375" style="434" customWidth="1"/>
    <col min="4875" max="4875" width="8.85546875" style="434" customWidth="1"/>
    <col min="4876" max="4876" width="9.140625" style="434" customWidth="1"/>
    <col min="4877" max="4877" width="3.28515625" style="434" customWidth="1"/>
    <col min="4878" max="4878" width="9" style="434" customWidth="1"/>
    <col min="4879" max="4879" width="9.140625" style="434" customWidth="1"/>
    <col min="4880" max="4880" width="2.7109375" style="434" customWidth="1"/>
    <col min="4881" max="5120" width="9.140625" style="434"/>
    <col min="5121" max="5121" width="34.140625" style="434" customWidth="1"/>
    <col min="5122" max="5123" width="8.28515625" style="434" customWidth="1"/>
    <col min="5124" max="5124" width="3.42578125" style="434" customWidth="1"/>
    <col min="5125" max="5125" width="8" style="434" customWidth="1"/>
    <col min="5126" max="5126" width="8.28515625" style="434" customWidth="1"/>
    <col min="5127" max="5127" width="3.7109375" style="434" customWidth="1"/>
    <col min="5128" max="5128" width="8.28515625" style="434" customWidth="1"/>
    <col min="5129" max="5129" width="8.5703125" style="434" customWidth="1"/>
    <col min="5130" max="5130" width="3.7109375" style="434" customWidth="1"/>
    <col min="5131" max="5131" width="8.85546875" style="434" customWidth="1"/>
    <col min="5132" max="5132" width="9.140625" style="434" customWidth="1"/>
    <col min="5133" max="5133" width="3.28515625" style="434" customWidth="1"/>
    <col min="5134" max="5134" width="9" style="434" customWidth="1"/>
    <col min="5135" max="5135" width="9.140625" style="434" customWidth="1"/>
    <col min="5136" max="5136" width="2.7109375" style="434" customWidth="1"/>
    <col min="5137" max="5376" width="9.140625" style="434"/>
    <col min="5377" max="5377" width="34.140625" style="434" customWidth="1"/>
    <col min="5378" max="5379" width="8.28515625" style="434" customWidth="1"/>
    <col min="5380" max="5380" width="3.42578125" style="434" customWidth="1"/>
    <col min="5381" max="5381" width="8" style="434" customWidth="1"/>
    <col min="5382" max="5382" width="8.28515625" style="434" customWidth="1"/>
    <col min="5383" max="5383" width="3.7109375" style="434" customWidth="1"/>
    <col min="5384" max="5384" width="8.28515625" style="434" customWidth="1"/>
    <col min="5385" max="5385" width="8.5703125" style="434" customWidth="1"/>
    <col min="5386" max="5386" width="3.7109375" style="434" customWidth="1"/>
    <col min="5387" max="5387" width="8.85546875" style="434" customWidth="1"/>
    <col min="5388" max="5388" width="9.140625" style="434" customWidth="1"/>
    <col min="5389" max="5389" width="3.28515625" style="434" customWidth="1"/>
    <col min="5390" max="5390" width="9" style="434" customWidth="1"/>
    <col min="5391" max="5391" width="9.140625" style="434" customWidth="1"/>
    <col min="5392" max="5392" width="2.7109375" style="434" customWidth="1"/>
    <col min="5393" max="5632" width="9.140625" style="434"/>
    <col min="5633" max="5633" width="34.140625" style="434" customWidth="1"/>
    <col min="5634" max="5635" width="8.28515625" style="434" customWidth="1"/>
    <col min="5636" max="5636" width="3.42578125" style="434" customWidth="1"/>
    <col min="5637" max="5637" width="8" style="434" customWidth="1"/>
    <col min="5638" max="5638" width="8.28515625" style="434" customWidth="1"/>
    <col min="5639" max="5639" width="3.7109375" style="434" customWidth="1"/>
    <col min="5640" max="5640" width="8.28515625" style="434" customWidth="1"/>
    <col min="5641" max="5641" width="8.5703125" style="434" customWidth="1"/>
    <col min="5642" max="5642" width="3.7109375" style="434" customWidth="1"/>
    <col min="5643" max="5643" width="8.85546875" style="434" customWidth="1"/>
    <col min="5644" max="5644" width="9.140625" style="434" customWidth="1"/>
    <col min="5645" max="5645" width="3.28515625" style="434" customWidth="1"/>
    <col min="5646" max="5646" width="9" style="434" customWidth="1"/>
    <col min="5647" max="5647" width="9.140625" style="434" customWidth="1"/>
    <col min="5648" max="5648" width="2.7109375" style="434" customWidth="1"/>
    <col min="5649" max="5888" width="9.140625" style="434"/>
    <col min="5889" max="5889" width="34.140625" style="434" customWidth="1"/>
    <col min="5890" max="5891" width="8.28515625" style="434" customWidth="1"/>
    <col min="5892" max="5892" width="3.42578125" style="434" customWidth="1"/>
    <col min="5893" max="5893" width="8" style="434" customWidth="1"/>
    <col min="5894" max="5894" width="8.28515625" style="434" customWidth="1"/>
    <col min="5895" max="5895" width="3.7109375" style="434" customWidth="1"/>
    <col min="5896" max="5896" width="8.28515625" style="434" customWidth="1"/>
    <col min="5897" max="5897" width="8.5703125" style="434" customWidth="1"/>
    <col min="5898" max="5898" width="3.7109375" style="434" customWidth="1"/>
    <col min="5899" max="5899" width="8.85546875" style="434" customWidth="1"/>
    <col min="5900" max="5900" width="9.140625" style="434" customWidth="1"/>
    <col min="5901" max="5901" width="3.28515625" style="434" customWidth="1"/>
    <col min="5902" max="5902" width="9" style="434" customWidth="1"/>
    <col min="5903" max="5903" width="9.140625" style="434" customWidth="1"/>
    <col min="5904" max="5904" width="2.7109375" style="434" customWidth="1"/>
    <col min="5905" max="6144" width="9.140625" style="434"/>
    <col min="6145" max="6145" width="34.140625" style="434" customWidth="1"/>
    <col min="6146" max="6147" width="8.28515625" style="434" customWidth="1"/>
    <col min="6148" max="6148" width="3.42578125" style="434" customWidth="1"/>
    <col min="6149" max="6149" width="8" style="434" customWidth="1"/>
    <col min="6150" max="6150" width="8.28515625" style="434" customWidth="1"/>
    <col min="6151" max="6151" width="3.7109375" style="434" customWidth="1"/>
    <col min="6152" max="6152" width="8.28515625" style="434" customWidth="1"/>
    <col min="6153" max="6153" width="8.5703125" style="434" customWidth="1"/>
    <col min="6154" max="6154" width="3.7109375" style="434" customWidth="1"/>
    <col min="6155" max="6155" width="8.85546875" style="434" customWidth="1"/>
    <col min="6156" max="6156" width="9.140625" style="434" customWidth="1"/>
    <col min="6157" max="6157" width="3.28515625" style="434" customWidth="1"/>
    <col min="6158" max="6158" width="9" style="434" customWidth="1"/>
    <col min="6159" max="6159" width="9.140625" style="434" customWidth="1"/>
    <col min="6160" max="6160" width="2.7109375" style="434" customWidth="1"/>
    <col min="6161" max="6400" width="9.140625" style="434"/>
    <col min="6401" max="6401" width="34.140625" style="434" customWidth="1"/>
    <col min="6402" max="6403" width="8.28515625" style="434" customWidth="1"/>
    <col min="6404" max="6404" width="3.42578125" style="434" customWidth="1"/>
    <col min="6405" max="6405" width="8" style="434" customWidth="1"/>
    <col min="6406" max="6406" width="8.28515625" style="434" customWidth="1"/>
    <col min="6407" max="6407" width="3.7109375" style="434" customWidth="1"/>
    <col min="6408" max="6408" width="8.28515625" style="434" customWidth="1"/>
    <col min="6409" max="6409" width="8.5703125" style="434" customWidth="1"/>
    <col min="6410" max="6410" width="3.7109375" style="434" customWidth="1"/>
    <col min="6411" max="6411" width="8.85546875" style="434" customWidth="1"/>
    <col min="6412" max="6412" width="9.140625" style="434" customWidth="1"/>
    <col min="6413" max="6413" width="3.28515625" style="434" customWidth="1"/>
    <col min="6414" max="6414" width="9" style="434" customWidth="1"/>
    <col min="6415" max="6415" width="9.140625" style="434" customWidth="1"/>
    <col min="6416" max="6416" width="2.7109375" style="434" customWidth="1"/>
    <col min="6417" max="6656" width="9.140625" style="434"/>
    <col min="6657" max="6657" width="34.140625" style="434" customWidth="1"/>
    <col min="6658" max="6659" width="8.28515625" style="434" customWidth="1"/>
    <col min="6660" max="6660" width="3.42578125" style="434" customWidth="1"/>
    <col min="6661" max="6661" width="8" style="434" customWidth="1"/>
    <col min="6662" max="6662" width="8.28515625" style="434" customWidth="1"/>
    <col min="6663" max="6663" width="3.7109375" style="434" customWidth="1"/>
    <col min="6664" max="6664" width="8.28515625" style="434" customWidth="1"/>
    <col min="6665" max="6665" width="8.5703125" style="434" customWidth="1"/>
    <col min="6666" max="6666" width="3.7109375" style="434" customWidth="1"/>
    <col min="6667" max="6667" width="8.85546875" style="434" customWidth="1"/>
    <col min="6668" max="6668" width="9.140625" style="434" customWidth="1"/>
    <col min="6669" max="6669" width="3.28515625" style="434" customWidth="1"/>
    <col min="6670" max="6670" width="9" style="434" customWidth="1"/>
    <col min="6671" max="6671" width="9.140625" style="434" customWidth="1"/>
    <col min="6672" max="6672" width="2.7109375" style="434" customWidth="1"/>
    <col min="6673" max="6912" width="9.140625" style="434"/>
    <col min="6913" max="6913" width="34.140625" style="434" customWidth="1"/>
    <col min="6914" max="6915" width="8.28515625" style="434" customWidth="1"/>
    <col min="6916" max="6916" width="3.42578125" style="434" customWidth="1"/>
    <col min="6917" max="6917" width="8" style="434" customWidth="1"/>
    <col min="6918" max="6918" width="8.28515625" style="434" customWidth="1"/>
    <col min="6919" max="6919" width="3.7109375" style="434" customWidth="1"/>
    <col min="6920" max="6920" width="8.28515625" style="434" customWidth="1"/>
    <col min="6921" max="6921" width="8.5703125" style="434" customWidth="1"/>
    <col min="6922" max="6922" width="3.7109375" style="434" customWidth="1"/>
    <col min="6923" max="6923" width="8.85546875" style="434" customWidth="1"/>
    <col min="6924" max="6924" width="9.140625" style="434" customWidth="1"/>
    <col min="6925" max="6925" width="3.28515625" style="434" customWidth="1"/>
    <col min="6926" max="6926" width="9" style="434" customWidth="1"/>
    <col min="6927" max="6927" width="9.140625" style="434" customWidth="1"/>
    <col min="6928" max="6928" width="2.7109375" style="434" customWidth="1"/>
    <col min="6929" max="7168" width="9.140625" style="434"/>
    <col min="7169" max="7169" width="34.140625" style="434" customWidth="1"/>
    <col min="7170" max="7171" width="8.28515625" style="434" customWidth="1"/>
    <col min="7172" max="7172" width="3.42578125" style="434" customWidth="1"/>
    <col min="7173" max="7173" width="8" style="434" customWidth="1"/>
    <col min="7174" max="7174" width="8.28515625" style="434" customWidth="1"/>
    <col min="7175" max="7175" width="3.7109375" style="434" customWidth="1"/>
    <col min="7176" max="7176" width="8.28515625" style="434" customWidth="1"/>
    <col min="7177" max="7177" width="8.5703125" style="434" customWidth="1"/>
    <col min="7178" max="7178" width="3.7109375" style="434" customWidth="1"/>
    <col min="7179" max="7179" width="8.85546875" style="434" customWidth="1"/>
    <col min="7180" max="7180" width="9.140625" style="434" customWidth="1"/>
    <col min="7181" max="7181" width="3.28515625" style="434" customWidth="1"/>
    <col min="7182" max="7182" width="9" style="434" customWidth="1"/>
    <col min="7183" max="7183" width="9.140625" style="434" customWidth="1"/>
    <col min="7184" max="7184" width="2.7109375" style="434" customWidth="1"/>
    <col min="7185" max="7424" width="9.140625" style="434"/>
    <col min="7425" max="7425" width="34.140625" style="434" customWidth="1"/>
    <col min="7426" max="7427" width="8.28515625" style="434" customWidth="1"/>
    <col min="7428" max="7428" width="3.42578125" style="434" customWidth="1"/>
    <col min="7429" max="7429" width="8" style="434" customWidth="1"/>
    <col min="7430" max="7430" width="8.28515625" style="434" customWidth="1"/>
    <col min="7431" max="7431" width="3.7109375" style="434" customWidth="1"/>
    <col min="7432" max="7432" width="8.28515625" style="434" customWidth="1"/>
    <col min="7433" max="7433" width="8.5703125" style="434" customWidth="1"/>
    <col min="7434" max="7434" width="3.7109375" style="434" customWidth="1"/>
    <col min="7435" max="7435" width="8.85546875" style="434" customWidth="1"/>
    <col min="7436" max="7436" width="9.140625" style="434" customWidth="1"/>
    <col min="7437" max="7437" width="3.28515625" style="434" customWidth="1"/>
    <col min="7438" max="7438" width="9" style="434" customWidth="1"/>
    <col min="7439" max="7439" width="9.140625" style="434" customWidth="1"/>
    <col min="7440" max="7440" width="2.7109375" style="434" customWidth="1"/>
    <col min="7441" max="7680" width="9.140625" style="434"/>
    <col min="7681" max="7681" width="34.140625" style="434" customWidth="1"/>
    <col min="7682" max="7683" width="8.28515625" style="434" customWidth="1"/>
    <col min="7684" max="7684" width="3.42578125" style="434" customWidth="1"/>
    <col min="7685" max="7685" width="8" style="434" customWidth="1"/>
    <col min="7686" max="7686" width="8.28515625" style="434" customWidth="1"/>
    <col min="7687" max="7687" width="3.7109375" style="434" customWidth="1"/>
    <col min="7688" max="7688" width="8.28515625" style="434" customWidth="1"/>
    <col min="7689" max="7689" width="8.5703125" style="434" customWidth="1"/>
    <col min="7690" max="7690" width="3.7109375" style="434" customWidth="1"/>
    <col min="7691" max="7691" width="8.85546875" style="434" customWidth="1"/>
    <col min="7692" max="7692" width="9.140625" style="434" customWidth="1"/>
    <col min="7693" max="7693" width="3.28515625" style="434" customWidth="1"/>
    <col min="7694" max="7694" width="9" style="434" customWidth="1"/>
    <col min="7695" max="7695" width="9.140625" style="434" customWidth="1"/>
    <col min="7696" max="7696" width="2.7109375" style="434" customWidth="1"/>
    <col min="7697" max="7936" width="9.140625" style="434"/>
    <col min="7937" max="7937" width="34.140625" style="434" customWidth="1"/>
    <col min="7938" max="7939" width="8.28515625" style="434" customWidth="1"/>
    <col min="7940" max="7940" width="3.42578125" style="434" customWidth="1"/>
    <col min="7941" max="7941" width="8" style="434" customWidth="1"/>
    <col min="7942" max="7942" width="8.28515625" style="434" customWidth="1"/>
    <col min="7943" max="7943" width="3.7109375" style="434" customWidth="1"/>
    <col min="7944" max="7944" width="8.28515625" style="434" customWidth="1"/>
    <col min="7945" max="7945" width="8.5703125" style="434" customWidth="1"/>
    <col min="7946" max="7946" width="3.7109375" style="434" customWidth="1"/>
    <col min="7947" max="7947" width="8.85546875" style="434" customWidth="1"/>
    <col min="7948" max="7948" width="9.140625" style="434" customWidth="1"/>
    <col min="7949" max="7949" width="3.28515625" style="434" customWidth="1"/>
    <col min="7950" max="7950" width="9" style="434" customWidth="1"/>
    <col min="7951" max="7951" width="9.140625" style="434" customWidth="1"/>
    <col min="7952" max="7952" width="2.7109375" style="434" customWidth="1"/>
    <col min="7953" max="8192" width="9.140625" style="434"/>
    <col min="8193" max="8193" width="34.140625" style="434" customWidth="1"/>
    <col min="8194" max="8195" width="8.28515625" style="434" customWidth="1"/>
    <col min="8196" max="8196" width="3.42578125" style="434" customWidth="1"/>
    <col min="8197" max="8197" width="8" style="434" customWidth="1"/>
    <col min="8198" max="8198" width="8.28515625" style="434" customWidth="1"/>
    <col min="8199" max="8199" width="3.7109375" style="434" customWidth="1"/>
    <col min="8200" max="8200" width="8.28515625" style="434" customWidth="1"/>
    <col min="8201" max="8201" width="8.5703125" style="434" customWidth="1"/>
    <col min="8202" max="8202" width="3.7109375" style="434" customWidth="1"/>
    <col min="8203" max="8203" width="8.85546875" style="434" customWidth="1"/>
    <col min="8204" max="8204" width="9.140625" style="434" customWidth="1"/>
    <col min="8205" max="8205" width="3.28515625" style="434" customWidth="1"/>
    <col min="8206" max="8206" width="9" style="434" customWidth="1"/>
    <col min="8207" max="8207" width="9.140625" style="434" customWidth="1"/>
    <col min="8208" max="8208" width="2.7109375" style="434" customWidth="1"/>
    <col min="8209" max="8448" width="9.140625" style="434"/>
    <col min="8449" max="8449" width="34.140625" style="434" customWidth="1"/>
    <col min="8450" max="8451" width="8.28515625" style="434" customWidth="1"/>
    <col min="8452" max="8452" width="3.42578125" style="434" customWidth="1"/>
    <col min="8453" max="8453" width="8" style="434" customWidth="1"/>
    <col min="8454" max="8454" width="8.28515625" style="434" customWidth="1"/>
    <col min="8455" max="8455" width="3.7109375" style="434" customWidth="1"/>
    <col min="8456" max="8456" width="8.28515625" style="434" customWidth="1"/>
    <col min="8457" max="8457" width="8.5703125" style="434" customWidth="1"/>
    <col min="8458" max="8458" width="3.7109375" style="434" customWidth="1"/>
    <col min="8459" max="8459" width="8.85546875" style="434" customWidth="1"/>
    <col min="8460" max="8460" width="9.140625" style="434" customWidth="1"/>
    <col min="8461" max="8461" width="3.28515625" style="434" customWidth="1"/>
    <col min="8462" max="8462" width="9" style="434" customWidth="1"/>
    <col min="8463" max="8463" width="9.140625" style="434" customWidth="1"/>
    <col min="8464" max="8464" width="2.7109375" style="434" customWidth="1"/>
    <col min="8465" max="8704" width="9.140625" style="434"/>
    <col min="8705" max="8705" width="34.140625" style="434" customWidth="1"/>
    <col min="8706" max="8707" width="8.28515625" style="434" customWidth="1"/>
    <col min="8708" max="8708" width="3.42578125" style="434" customWidth="1"/>
    <col min="8709" max="8709" width="8" style="434" customWidth="1"/>
    <col min="8710" max="8710" width="8.28515625" style="434" customWidth="1"/>
    <col min="8711" max="8711" width="3.7109375" style="434" customWidth="1"/>
    <col min="8712" max="8712" width="8.28515625" style="434" customWidth="1"/>
    <col min="8713" max="8713" width="8.5703125" style="434" customWidth="1"/>
    <col min="8714" max="8714" width="3.7109375" style="434" customWidth="1"/>
    <col min="8715" max="8715" width="8.85546875" style="434" customWidth="1"/>
    <col min="8716" max="8716" width="9.140625" style="434" customWidth="1"/>
    <col min="8717" max="8717" width="3.28515625" style="434" customWidth="1"/>
    <col min="8718" max="8718" width="9" style="434" customWidth="1"/>
    <col min="8719" max="8719" width="9.140625" style="434" customWidth="1"/>
    <col min="8720" max="8720" width="2.7109375" style="434" customWidth="1"/>
    <col min="8721" max="8960" width="9.140625" style="434"/>
    <col min="8961" max="8961" width="34.140625" style="434" customWidth="1"/>
    <col min="8962" max="8963" width="8.28515625" style="434" customWidth="1"/>
    <col min="8964" max="8964" width="3.42578125" style="434" customWidth="1"/>
    <col min="8965" max="8965" width="8" style="434" customWidth="1"/>
    <col min="8966" max="8966" width="8.28515625" style="434" customWidth="1"/>
    <col min="8967" max="8967" width="3.7109375" style="434" customWidth="1"/>
    <col min="8968" max="8968" width="8.28515625" style="434" customWidth="1"/>
    <col min="8969" max="8969" width="8.5703125" style="434" customWidth="1"/>
    <col min="8970" max="8970" width="3.7109375" style="434" customWidth="1"/>
    <col min="8971" max="8971" width="8.85546875" style="434" customWidth="1"/>
    <col min="8972" max="8972" width="9.140625" style="434" customWidth="1"/>
    <col min="8973" max="8973" width="3.28515625" style="434" customWidth="1"/>
    <col min="8974" max="8974" width="9" style="434" customWidth="1"/>
    <col min="8975" max="8975" width="9.140625" style="434" customWidth="1"/>
    <col min="8976" max="8976" width="2.7109375" style="434" customWidth="1"/>
    <col min="8977" max="9216" width="9.140625" style="434"/>
    <col min="9217" max="9217" width="34.140625" style="434" customWidth="1"/>
    <col min="9218" max="9219" width="8.28515625" style="434" customWidth="1"/>
    <col min="9220" max="9220" width="3.42578125" style="434" customWidth="1"/>
    <col min="9221" max="9221" width="8" style="434" customWidth="1"/>
    <col min="9222" max="9222" width="8.28515625" style="434" customWidth="1"/>
    <col min="9223" max="9223" width="3.7109375" style="434" customWidth="1"/>
    <col min="9224" max="9224" width="8.28515625" style="434" customWidth="1"/>
    <col min="9225" max="9225" width="8.5703125" style="434" customWidth="1"/>
    <col min="9226" max="9226" width="3.7109375" style="434" customWidth="1"/>
    <col min="9227" max="9227" width="8.85546875" style="434" customWidth="1"/>
    <col min="9228" max="9228" width="9.140625" style="434" customWidth="1"/>
    <col min="9229" max="9229" width="3.28515625" style="434" customWidth="1"/>
    <col min="9230" max="9230" width="9" style="434" customWidth="1"/>
    <col min="9231" max="9231" width="9.140625" style="434" customWidth="1"/>
    <col min="9232" max="9232" width="2.7109375" style="434" customWidth="1"/>
    <col min="9233" max="9472" width="9.140625" style="434"/>
    <col min="9473" max="9473" width="34.140625" style="434" customWidth="1"/>
    <col min="9474" max="9475" width="8.28515625" style="434" customWidth="1"/>
    <col min="9476" max="9476" width="3.42578125" style="434" customWidth="1"/>
    <col min="9477" max="9477" width="8" style="434" customWidth="1"/>
    <col min="9478" max="9478" width="8.28515625" style="434" customWidth="1"/>
    <col min="9479" max="9479" width="3.7109375" style="434" customWidth="1"/>
    <col min="9480" max="9480" width="8.28515625" style="434" customWidth="1"/>
    <col min="9481" max="9481" width="8.5703125" style="434" customWidth="1"/>
    <col min="9482" max="9482" width="3.7109375" style="434" customWidth="1"/>
    <col min="9483" max="9483" width="8.85546875" style="434" customWidth="1"/>
    <col min="9484" max="9484" width="9.140625" style="434" customWidth="1"/>
    <col min="9485" max="9485" width="3.28515625" style="434" customWidth="1"/>
    <col min="9486" max="9486" width="9" style="434" customWidth="1"/>
    <col min="9487" max="9487" width="9.140625" style="434" customWidth="1"/>
    <col min="9488" max="9488" width="2.7109375" style="434" customWidth="1"/>
    <col min="9489" max="9728" width="9.140625" style="434"/>
    <col min="9729" max="9729" width="34.140625" style="434" customWidth="1"/>
    <col min="9730" max="9731" width="8.28515625" style="434" customWidth="1"/>
    <col min="9732" max="9732" width="3.42578125" style="434" customWidth="1"/>
    <col min="9733" max="9733" width="8" style="434" customWidth="1"/>
    <col min="9734" max="9734" width="8.28515625" style="434" customWidth="1"/>
    <col min="9735" max="9735" width="3.7109375" style="434" customWidth="1"/>
    <col min="9736" max="9736" width="8.28515625" style="434" customWidth="1"/>
    <col min="9737" max="9737" width="8.5703125" style="434" customWidth="1"/>
    <col min="9738" max="9738" width="3.7109375" style="434" customWidth="1"/>
    <col min="9739" max="9739" width="8.85546875" style="434" customWidth="1"/>
    <col min="9740" max="9740" width="9.140625" style="434" customWidth="1"/>
    <col min="9741" max="9741" width="3.28515625" style="434" customWidth="1"/>
    <col min="9742" max="9742" width="9" style="434" customWidth="1"/>
    <col min="9743" max="9743" width="9.140625" style="434" customWidth="1"/>
    <col min="9744" max="9744" width="2.7109375" style="434" customWidth="1"/>
    <col min="9745" max="9984" width="9.140625" style="434"/>
    <col min="9985" max="9985" width="34.140625" style="434" customWidth="1"/>
    <col min="9986" max="9987" width="8.28515625" style="434" customWidth="1"/>
    <col min="9988" max="9988" width="3.42578125" style="434" customWidth="1"/>
    <col min="9989" max="9989" width="8" style="434" customWidth="1"/>
    <col min="9990" max="9990" width="8.28515625" style="434" customWidth="1"/>
    <col min="9991" max="9991" width="3.7109375" style="434" customWidth="1"/>
    <col min="9992" max="9992" width="8.28515625" style="434" customWidth="1"/>
    <col min="9993" max="9993" width="8.5703125" style="434" customWidth="1"/>
    <col min="9994" max="9994" width="3.7109375" style="434" customWidth="1"/>
    <col min="9995" max="9995" width="8.85546875" style="434" customWidth="1"/>
    <col min="9996" max="9996" width="9.140625" style="434" customWidth="1"/>
    <col min="9997" max="9997" width="3.28515625" style="434" customWidth="1"/>
    <col min="9998" max="9998" width="9" style="434" customWidth="1"/>
    <col min="9999" max="9999" width="9.140625" style="434" customWidth="1"/>
    <col min="10000" max="10000" width="2.7109375" style="434" customWidth="1"/>
    <col min="10001" max="10240" width="9.140625" style="434"/>
    <col min="10241" max="10241" width="34.140625" style="434" customWidth="1"/>
    <col min="10242" max="10243" width="8.28515625" style="434" customWidth="1"/>
    <col min="10244" max="10244" width="3.42578125" style="434" customWidth="1"/>
    <col min="10245" max="10245" width="8" style="434" customWidth="1"/>
    <col min="10246" max="10246" width="8.28515625" style="434" customWidth="1"/>
    <col min="10247" max="10247" width="3.7109375" style="434" customWidth="1"/>
    <col min="10248" max="10248" width="8.28515625" style="434" customWidth="1"/>
    <col min="10249" max="10249" width="8.5703125" style="434" customWidth="1"/>
    <col min="10250" max="10250" width="3.7109375" style="434" customWidth="1"/>
    <col min="10251" max="10251" width="8.85546875" style="434" customWidth="1"/>
    <col min="10252" max="10252" width="9.140625" style="434" customWidth="1"/>
    <col min="10253" max="10253" width="3.28515625" style="434" customWidth="1"/>
    <col min="10254" max="10254" width="9" style="434" customWidth="1"/>
    <col min="10255" max="10255" width="9.140625" style="434" customWidth="1"/>
    <col min="10256" max="10256" width="2.7109375" style="434" customWidth="1"/>
    <col min="10257" max="10496" width="9.140625" style="434"/>
    <col min="10497" max="10497" width="34.140625" style="434" customWidth="1"/>
    <col min="10498" max="10499" width="8.28515625" style="434" customWidth="1"/>
    <col min="10500" max="10500" width="3.42578125" style="434" customWidth="1"/>
    <col min="10501" max="10501" width="8" style="434" customWidth="1"/>
    <col min="10502" max="10502" width="8.28515625" style="434" customWidth="1"/>
    <col min="10503" max="10503" width="3.7109375" style="434" customWidth="1"/>
    <col min="10504" max="10504" width="8.28515625" style="434" customWidth="1"/>
    <col min="10505" max="10505" width="8.5703125" style="434" customWidth="1"/>
    <col min="10506" max="10506" width="3.7109375" style="434" customWidth="1"/>
    <col min="10507" max="10507" width="8.85546875" style="434" customWidth="1"/>
    <col min="10508" max="10508" width="9.140625" style="434" customWidth="1"/>
    <col min="10509" max="10509" width="3.28515625" style="434" customWidth="1"/>
    <col min="10510" max="10510" width="9" style="434" customWidth="1"/>
    <col min="10511" max="10511" width="9.140625" style="434" customWidth="1"/>
    <col min="10512" max="10512" width="2.7109375" style="434" customWidth="1"/>
    <col min="10513" max="10752" width="9.140625" style="434"/>
    <col min="10753" max="10753" width="34.140625" style="434" customWidth="1"/>
    <col min="10754" max="10755" width="8.28515625" style="434" customWidth="1"/>
    <col min="10756" max="10756" width="3.42578125" style="434" customWidth="1"/>
    <col min="10757" max="10757" width="8" style="434" customWidth="1"/>
    <col min="10758" max="10758" width="8.28515625" style="434" customWidth="1"/>
    <col min="10759" max="10759" width="3.7109375" style="434" customWidth="1"/>
    <col min="10760" max="10760" width="8.28515625" style="434" customWidth="1"/>
    <col min="10761" max="10761" width="8.5703125" style="434" customWidth="1"/>
    <col min="10762" max="10762" width="3.7109375" style="434" customWidth="1"/>
    <col min="10763" max="10763" width="8.85546875" style="434" customWidth="1"/>
    <col min="10764" max="10764" width="9.140625" style="434" customWidth="1"/>
    <col min="10765" max="10765" width="3.28515625" style="434" customWidth="1"/>
    <col min="10766" max="10766" width="9" style="434" customWidth="1"/>
    <col min="10767" max="10767" width="9.140625" style="434" customWidth="1"/>
    <col min="10768" max="10768" width="2.7109375" style="434" customWidth="1"/>
    <col min="10769" max="11008" width="9.140625" style="434"/>
    <col min="11009" max="11009" width="34.140625" style="434" customWidth="1"/>
    <col min="11010" max="11011" width="8.28515625" style="434" customWidth="1"/>
    <col min="11012" max="11012" width="3.42578125" style="434" customWidth="1"/>
    <col min="11013" max="11013" width="8" style="434" customWidth="1"/>
    <col min="11014" max="11014" width="8.28515625" style="434" customWidth="1"/>
    <col min="11015" max="11015" width="3.7109375" style="434" customWidth="1"/>
    <col min="11016" max="11016" width="8.28515625" style="434" customWidth="1"/>
    <col min="11017" max="11017" width="8.5703125" style="434" customWidth="1"/>
    <col min="11018" max="11018" width="3.7109375" style="434" customWidth="1"/>
    <col min="11019" max="11019" width="8.85546875" style="434" customWidth="1"/>
    <col min="11020" max="11020" width="9.140625" style="434" customWidth="1"/>
    <col min="11021" max="11021" width="3.28515625" style="434" customWidth="1"/>
    <col min="11022" max="11022" width="9" style="434" customWidth="1"/>
    <col min="11023" max="11023" width="9.140625" style="434" customWidth="1"/>
    <col min="11024" max="11024" width="2.7109375" style="434" customWidth="1"/>
    <col min="11025" max="11264" width="9.140625" style="434"/>
    <col min="11265" max="11265" width="34.140625" style="434" customWidth="1"/>
    <col min="11266" max="11267" width="8.28515625" style="434" customWidth="1"/>
    <col min="11268" max="11268" width="3.42578125" style="434" customWidth="1"/>
    <col min="11269" max="11269" width="8" style="434" customWidth="1"/>
    <col min="11270" max="11270" width="8.28515625" style="434" customWidth="1"/>
    <col min="11271" max="11271" width="3.7109375" style="434" customWidth="1"/>
    <col min="11272" max="11272" width="8.28515625" style="434" customWidth="1"/>
    <col min="11273" max="11273" width="8.5703125" style="434" customWidth="1"/>
    <col min="11274" max="11274" width="3.7109375" style="434" customWidth="1"/>
    <col min="11275" max="11275" width="8.85546875" style="434" customWidth="1"/>
    <col min="11276" max="11276" width="9.140625" style="434" customWidth="1"/>
    <col min="11277" max="11277" width="3.28515625" style="434" customWidth="1"/>
    <col min="11278" max="11278" width="9" style="434" customWidth="1"/>
    <col min="11279" max="11279" width="9.140625" style="434" customWidth="1"/>
    <col min="11280" max="11280" width="2.7109375" style="434" customWidth="1"/>
    <col min="11281" max="11520" width="9.140625" style="434"/>
    <col min="11521" max="11521" width="34.140625" style="434" customWidth="1"/>
    <col min="11522" max="11523" width="8.28515625" style="434" customWidth="1"/>
    <col min="11524" max="11524" width="3.42578125" style="434" customWidth="1"/>
    <col min="11525" max="11525" width="8" style="434" customWidth="1"/>
    <col min="11526" max="11526" width="8.28515625" style="434" customWidth="1"/>
    <col min="11527" max="11527" width="3.7109375" style="434" customWidth="1"/>
    <col min="11528" max="11528" width="8.28515625" style="434" customWidth="1"/>
    <col min="11529" max="11529" width="8.5703125" style="434" customWidth="1"/>
    <col min="11530" max="11530" width="3.7109375" style="434" customWidth="1"/>
    <col min="11531" max="11531" width="8.85546875" style="434" customWidth="1"/>
    <col min="11532" max="11532" width="9.140625" style="434" customWidth="1"/>
    <col min="11533" max="11533" width="3.28515625" style="434" customWidth="1"/>
    <col min="11534" max="11534" width="9" style="434" customWidth="1"/>
    <col min="11535" max="11535" width="9.140625" style="434" customWidth="1"/>
    <col min="11536" max="11536" width="2.7109375" style="434" customWidth="1"/>
    <col min="11537" max="11776" width="9.140625" style="434"/>
    <col min="11777" max="11777" width="34.140625" style="434" customWidth="1"/>
    <col min="11778" max="11779" width="8.28515625" style="434" customWidth="1"/>
    <col min="11780" max="11780" width="3.42578125" style="434" customWidth="1"/>
    <col min="11781" max="11781" width="8" style="434" customWidth="1"/>
    <col min="11782" max="11782" width="8.28515625" style="434" customWidth="1"/>
    <col min="11783" max="11783" width="3.7109375" style="434" customWidth="1"/>
    <col min="11784" max="11784" width="8.28515625" style="434" customWidth="1"/>
    <col min="11785" max="11785" width="8.5703125" style="434" customWidth="1"/>
    <col min="11786" max="11786" width="3.7109375" style="434" customWidth="1"/>
    <col min="11787" max="11787" width="8.85546875" style="434" customWidth="1"/>
    <col min="11788" max="11788" width="9.140625" style="434" customWidth="1"/>
    <col min="11789" max="11789" width="3.28515625" style="434" customWidth="1"/>
    <col min="11790" max="11790" width="9" style="434" customWidth="1"/>
    <col min="11791" max="11791" width="9.140625" style="434" customWidth="1"/>
    <col min="11792" max="11792" width="2.7109375" style="434" customWidth="1"/>
    <col min="11793" max="12032" width="9.140625" style="434"/>
    <col min="12033" max="12033" width="34.140625" style="434" customWidth="1"/>
    <col min="12034" max="12035" width="8.28515625" style="434" customWidth="1"/>
    <col min="12036" max="12036" width="3.42578125" style="434" customWidth="1"/>
    <col min="12037" max="12037" width="8" style="434" customWidth="1"/>
    <col min="12038" max="12038" width="8.28515625" style="434" customWidth="1"/>
    <col min="12039" max="12039" width="3.7109375" style="434" customWidth="1"/>
    <col min="12040" max="12040" width="8.28515625" style="434" customWidth="1"/>
    <col min="12041" max="12041" width="8.5703125" style="434" customWidth="1"/>
    <col min="12042" max="12042" width="3.7109375" style="434" customWidth="1"/>
    <col min="12043" max="12043" width="8.85546875" style="434" customWidth="1"/>
    <col min="12044" max="12044" width="9.140625" style="434" customWidth="1"/>
    <col min="12045" max="12045" width="3.28515625" style="434" customWidth="1"/>
    <col min="12046" max="12046" width="9" style="434" customWidth="1"/>
    <col min="12047" max="12047" width="9.140625" style="434" customWidth="1"/>
    <col min="12048" max="12048" width="2.7109375" style="434" customWidth="1"/>
    <col min="12049" max="12288" width="9.140625" style="434"/>
    <col min="12289" max="12289" width="34.140625" style="434" customWidth="1"/>
    <col min="12290" max="12291" width="8.28515625" style="434" customWidth="1"/>
    <col min="12292" max="12292" width="3.42578125" style="434" customWidth="1"/>
    <col min="12293" max="12293" width="8" style="434" customWidth="1"/>
    <col min="12294" max="12294" width="8.28515625" style="434" customWidth="1"/>
    <col min="12295" max="12295" width="3.7109375" style="434" customWidth="1"/>
    <col min="12296" max="12296" width="8.28515625" style="434" customWidth="1"/>
    <col min="12297" max="12297" width="8.5703125" style="434" customWidth="1"/>
    <col min="12298" max="12298" width="3.7109375" style="434" customWidth="1"/>
    <col min="12299" max="12299" width="8.85546875" style="434" customWidth="1"/>
    <col min="12300" max="12300" width="9.140625" style="434" customWidth="1"/>
    <col min="12301" max="12301" width="3.28515625" style="434" customWidth="1"/>
    <col min="12302" max="12302" width="9" style="434" customWidth="1"/>
    <col min="12303" max="12303" width="9.140625" style="434" customWidth="1"/>
    <col min="12304" max="12304" width="2.7109375" style="434" customWidth="1"/>
    <col min="12305" max="12544" width="9.140625" style="434"/>
    <col min="12545" max="12545" width="34.140625" style="434" customWidth="1"/>
    <col min="12546" max="12547" width="8.28515625" style="434" customWidth="1"/>
    <col min="12548" max="12548" width="3.42578125" style="434" customWidth="1"/>
    <col min="12549" max="12549" width="8" style="434" customWidth="1"/>
    <col min="12550" max="12550" width="8.28515625" style="434" customWidth="1"/>
    <col min="12551" max="12551" width="3.7109375" style="434" customWidth="1"/>
    <col min="12552" max="12552" width="8.28515625" style="434" customWidth="1"/>
    <col min="12553" max="12553" width="8.5703125" style="434" customWidth="1"/>
    <col min="12554" max="12554" width="3.7109375" style="434" customWidth="1"/>
    <col min="12555" max="12555" width="8.85546875" style="434" customWidth="1"/>
    <col min="12556" max="12556" width="9.140625" style="434" customWidth="1"/>
    <col min="12557" max="12557" width="3.28515625" style="434" customWidth="1"/>
    <col min="12558" max="12558" width="9" style="434" customWidth="1"/>
    <col min="12559" max="12559" width="9.140625" style="434" customWidth="1"/>
    <col min="12560" max="12560" width="2.7109375" style="434" customWidth="1"/>
    <col min="12561" max="12800" width="9.140625" style="434"/>
    <col min="12801" max="12801" width="34.140625" style="434" customWidth="1"/>
    <col min="12802" max="12803" width="8.28515625" style="434" customWidth="1"/>
    <col min="12804" max="12804" width="3.42578125" style="434" customWidth="1"/>
    <col min="12805" max="12805" width="8" style="434" customWidth="1"/>
    <col min="12806" max="12806" width="8.28515625" style="434" customWidth="1"/>
    <col min="12807" max="12807" width="3.7109375" style="434" customWidth="1"/>
    <col min="12808" max="12808" width="8.28515625" style="434" customWidth="1"/>
    <col min="12809" max="12809" width="8.5703125" style="434" customWidth="1"/>
    <col min="12810" max="12810" width="3.7109375" style="434" customWidth="1"/>
    <col min="12811" max="12811" width="8.85546875" style="434" customWidth="1"/>
    <col min="12812" max="12812" width="9.140625" style="434" customWidth="1"/>
    <col min="12813" max="12813" width="3.28515625" style="434" customWidth="1"/>
    <col min="12814" max="12814" width="9" style="434" customWidth="1"/>
    <col min="12815" max="12815" width="9.140625" style="434" customWidth="1"/>
    <col min="12816" max="12816" width="2.7109375" style="434" customWidth="1"/>
    <col min="12817" max="13056" width="9.140625" style="434"/>
    <col min="13057" max="13057" width="34.140625" style="434" customWidth="1"/>
    <col min="13058" max="13059" width="8.28515625" style="434" customWidth="1"/>
    <col min="13060" max="13060" width="3.42578125" style="434" customWidth="1"/>
    <col min="13061" max="13061" width="8" style="434" customWidth="1"/>
    <col min="13062" max="13062" width="8.28515625" style="434" customWidth="1"/>
    <col min="13063" max="13063" width="3.7109375" style="434" customWidth="1"/>
    <col min="13064" max="13064" width="8.28515625" style="434" customWidth="1"/>
    <col min="13065" max="13065" width="8.5703125" style="434" customWidth="1"/>
    <col min="13066" max="13066" width="3.7109375" style="434" customWidth="1"/>
    <col min="13067" max="13067" width="8.85546875" style="434" customWidth="1"/>
    <col min="13068" max="13068" width="9.140625" style="434" customWidth="1"/>
    <col min="13069" max="13069" width="3.28515625" style="434" customWidth="1"/>
    <col min="13070" max="13070" width="9" style="434" customWidth="1"/>
    <col min="13071" max="13071" width="9.140625" style="434" customWidth="1"/>
    <col min="13072" max="13072" width="2.7109375" style="434" customWidth="1"/>
    <col min="13073" max="13312" width="9.140625" style="434"/>
    <col min="13313" max="13313" width="34.140625" style="434" customWidth="1"/>
    <col min="13314" max="13315" width="8.28515625" style="434" customWidth="1"/>
    <col min="13316" max="13316" width="3.42578125" style="434" customWidth="1"/>
    <col min="13317" max="13317" width="8" style="434" customWidth="1"/>
    <col min="13318" max="13318" width="8.28515625" style="434" customWidth="1"/>
    <col min="13319" max="13319" width="3.7109375" style="434" customWidth="1"/>
    <col min="13320" max="13320" width="8.28515625" style="434" customWidth="1"/>
    <col min="13321" max="13321" width="8.5703125" style="434" customWidth="1"/>
    <col min="13322" max="13322" width="3.7109375" style="434" customWidth="1"/>
    <col min="13323" max="13323" width="8.85546875" style="434" customWidth="1"/>
    <col min="13324" max="13324" width="9.140625" style="434" customWidth="1"/>
    <col min="13325" max="13325" width="3.28515625" style="434" customWidth="1"/>
    <col min="13326" max="13326" width="9" style="434" customWidth="1"/>
    <col min="13327" max="13327" width="9.140625" style="434" customWidth="1"/>
    <col min="13328" max="13328" width="2.7109375" style="434" customWidth="1"/>
    <col min="13329" max="13568" width="9.140625" style="434"/>
    <col min="13569" max="13569" width="34.140625" style="434" customWidth="1"/>
    <col min="13570" max="13571" width="8.28515625" style="434" customWidth="1"/>
    <col min="13572" max="13572" width="3.42578125" style="434" customWidth="1"/>
    <col min="13573" max="13573" width="8" style="434" customWidth="1"/>
    <col min="13574" max="13574" width="8.28515625" style="434" customWidth="1"/>
    <col min="13575" max="13575" width="3.7109375" style="434" customWidth="1"/>
    <col min="13576" max="13576" width="8.28515625" style="434" customWidth="1"/>
    <col min="13577" max="13577" width="8.5703125" style="434" customWidth="1"/>
    <col min="13578" max="13578" width="3.7109375" style="434" customWidth="1"/>
    <col min="13579" max="13579" width="8.85546875" style="434" customWidth="1"/>
    <col min="13580" max="13580" width="9.140625" style="434" customWidth="1"/>
    <col min="13581" max="13581" width="3.28515625" style="434" customWidth="1"/>
    <col min="13582" max="13582" width="9" style="434" customWidth="1"/>
    <col min="13583" max="13583" width="9.140625" style="434" customWidth="1"/>
    <col min="13584" max="13584" width="2.7109375" style="434" customWidth="1"/>
    <col min="13585" max="13824" width="9.140625" style="434"/>
    <col min="13825" max="13825" width="34.140625" style="434" customWidth="1"/>
    <col min="13826" max="13827" width="8.28515625" style="434" customWidth="1"/>
    <col min="13828" max="13828" width="3.42578125" style="434" customWidth="1"/>
    <col min="13829" max="13829" width="8" style="434" customWidth="1"/>
    <col min="13830" max="13830" width="8.28515625" style="434" customWidth="1"/>
    <col min="13831" max="13831" width="3.7109375" style="434" customWidth="1"/>
    <col min="13832" max="13832" width="8.28515625" style="434" customWidth="1"/>
    <col min="13833" max="13833" width="8.5703125" style="434" customWidth="1"/>
    <col min="13834" max="13834" width="3.7109375" style="434" customWidth="1"/>
    <col min="13835" max="13835" width="8.85546875" style="434" customWidth="1"/>
    <col min="13836" max="13836" width="9.140625" style="434" customWidth="1"/>
    <col min="13837" max="13837" width="3.28515625" style="434" customWidth="1"/>
    <col min="13838" max="13838" width="9" style="434" customWidth="1"/>
    <col min="13839" max="13839" width="9.140625" style="434" customWidth="1"/>
    <col min="13840" max="13840" width="2.7109375" style="434" customWidth="1"/>
    <col min="13841" max="14080" width="9.140625" style="434"/>
    <col min="14081" max="14081" width="34.140625" style="434" customWidth="1"/>
    <col min="14082" max="14083" width="8.28515625" style="434" customWidth="1"/>
    <col min="14084" max="14084" width="3.42578125" style="434" customWidth="1"/>
    <col min="14085" max="14085" width="8" style="434" customWidth="1"/>
    <col min="14086" max="14086" width="8.28515625" style="434" customWidth="1"/>
    <col min="14087" max="14087" width="3.7109375" style="434" customWidth="1"/>
    <col min="14088" max="14088" width="8.28515625" style="434" customWidth="1"/>
    <col min="14089" max="14089" width="8.5703125" style="434" customWidth="1"/>
    <col min="14090" max="14090" width="3.7109375" style="434" customWidth="1"/>
    <col min="14091" max="14091" width="8.85546875" style="434" customWidth="1"/>
    <col min="14092" max="14092" width="9.140625" style="434" customWidth="1"/>
    <col min="14093" max="14093" width="3.28515625" style="434" customWidth="1"/>
    <col min="14094" max="14094" width="9" style="434" customWidth="1"/>
    <col min="14095" max="14095" width="9.140625" style="434" customWidth="1"/>
    <col min="14096" max="14096" width="2.7109375" style="434" customWidth="1"/>
    <col min="14097" max="14336" width="9.140625" style="434"/>
    <col min="14337" max="14337" width="34.140625" style="434" customWidth="1"/>
    <col min="14338" max="14339" width="8.28515625" style="434" customWidth="1"/>
    <col min="14340" max="14340" width="3.42578125" style="434" customWidth="1"/>
    <col min="14341" max="14341" width="8" style="434" customWidth="1"/>
    <col min="14342" max="14342" width="8.28515625" style="434" customWidth="1"/>
    <col min="14343" max="14343" width="3.7109375" style="434" customWidth="1"/>
    <col min="14344" max="14344" width="8.28515625" style="434" customWidth="1"/>
    <col min="14345" max="14345" width="8.5703125" style="434" customWidth="1"/>
    <col min="14346" max="14346" width="3.7109375" style="434" customWidth="1"/>
    <col min="14347" max="14347" width="8.85546875" style="434" customWidth="1"/>
    <col min="14348" max="14348" width="9.140625" style="434" customWidth="1"/>
    <col min="14349" max="14349" width="3.28515625" style="434" customWidth="1"/>
    <col min="14350" max="14350" width="9" style="434" customWidth="1"/>
    <col min="14351" max="14351" width="9.140625" style="434" customWidth="1"/>
    <col min="14352" max="14352" width="2.7109375" style="434" customWidth="1"/>
    <col min="14353" max="14592" width="9.140625" style="434"/>
    <col min="14593" max="14593" width="34.140625" style="434" customWidth="1"/>
    <col min="14594" max="14595" width="8.28515625" style="434" customWidth="1"/>
    <col min="14596" max="14596" width="3.42578125" style="434" customWidth="1"/>
    <col min="14597" max="14597" width="8" style="434" customWidth="1"/>
    <col min="14598" max="14598" width="8.28515625" style="434" customWidth="1"/>
    <col min="14599" max="14599" width="3.7109375" style="434" customWidth="1"/>
    <col min="14600" max="14600" width="8.28515625" style="434" customWidth="1"/>
    <col min="14601" max="14601" width="8.5703125" style="434" customWidth="1"/>
    <col min="14602" max="14602" width="3.7109375" style="434" customWidth="1"/>
    <col min="14603" max="14603" width="8.85546875" style="434" customWidth="1"/>
    <col min="14604" max="14604" width="9.140625" style="434" customWidth="1"/>
    <col min="14605" max="14605" width="3.28515625" style="434" customWidth="1"/>
    <col min="14606" max="14606" width="9" style="434" customWidth="1"/>
    <col min="14607" max="14607" width="9.140625" style="434" customWidth="1"/>
    <col min="14608" max="14608" width="2.7109375" style="434" customWidth="1"/>
    <col min="14609" max="14848" width="9.140625" style="434"/>
    <col min="14849" max="14849" width="34.140625" style="434" customWidth="1"/>
    <col min="14850" max="14851" width="8.28515625" style="434" customWidth="1"/>
    <col min="14852" max="14852" width="3.42578125" style="434" customWidth="1"/>
    <col min="14853" max="14853" width="8" style="434" customWidth="1"/>
    <col min="14854" max="14854" width="8.28515625" style="434" customWidth="1"/>
    <col min="14855" max="14855" width="3.7109375" style="434" customWidth="1"/>
    <col min="14856" max="14856" width="8.28515625" style="434" customWidth="1"/>
    <col min="14857" max="14857" width="8.5703125" style="434" customWidth="1"/>
    <col min="14858" max="14858" width="3.7109375" style="434" customWidth="1"/>
    <col min="14859" max="14859" width="8.85546875" style="434" customWidth="1"/>
    <col min="14860" max="14860" width="9.140625" style="434" customWidth="1"/>
    <col min="14861" max="14861" width="3.28515625" style="434" customWidth="1"/>
    <col min="14862" max="14862" width="9" style="434" customWidth="1"/>
    <col min="14863" max="14863" width="9.140625" style="434" customWidth="1"/>
    <col min="14864" max="14864" width="2.7109375" style="434" customWidth="1"/>
    <col min="14865" max="15104" width="9.140625" style="434"/>
    <col min="15105" max="15105" width="34.140625" style="434" customWidth="1"/>
    <col min="15106" max="15107" width="8.28515625" style="434" customWidth="1"/>
    <col min="15108" max="15108" width="3.42578125" style="434" customWidth="1"/>
    <col min="15109" max="15109" width="8" style="434" customWidth="1"/>
    <col min="15110" max="15110" width="8.28515625" style="434" customWidth="1"/>
    <col min="15111" max="15111" width="3.7109375" style="434" customWidth="1"/>
    <col min="15112" max="15112" width="8.28515625" style="434" customWidth="1"/>
    <col min="15113" max="15113" width="8.5703125" style="434" customWidth="1"/>
    <col min="15114" max="15114" width="3.7109375" style="434" customWidth="1"/>
    <col min="15115" max="15115" width="8.85546875" style="434" customWidth="1"/>
    <col min="15116" max="15116" width="9.140625" style="434" customWidth="1"/>
    <col min="15117" max="15117" width="3.28515625" style="434" customWidth="1"/>
    <col min="15118" max="15118" width="9" style="434" customWidth="1"/>
    <col min="15119" max="15119" width="9.140625" style="434" customWidth="1"/>
    <col min="15120" max="15120" width="2.7109375" style="434" customWidth="1"/>
    <col min="15121" max="15360" width="9.140625" style="434"/>
    <col min="15361" max="15361" width="34.140625" style="434" customWidth="1"/>
    <col min="15362" max="15363" width="8.28515625" style="434" customWidth="1"/>
    <col min="15364" max="15364" width="3.42578125" style="434" customWidth="1"/>
    <col min="15365" max="15365" width="8" style="434" customWidth="1"/>
    <col min="15366" max="15366" width="8.28515625" style="434" customWidth="1"/>
    <col min="15367" max="15367" width="3.7109375" style="434" customWidth="1"/>
    <col min="15368" max="15368" width="8.28515625" style="434" customWidth="1"/>
    <col min="15369" max="15369" width="8.5703125" style="434" customWidth="1"/>
    <col min="15370" max="15370" width="3.7109375" style="434" customWidth="1"/>
    <col min="15371" max="15371" width="8.85546875" style="434" customWidth="1"/>
    <col min="15372" max="15372" width="9.140625" style="434" customWidth="1"/>
    <col min="15373" max="15373" width="3.28515625" style="434" customWidth="1"/>
    <col min="15374" max="15374" width="9" style="434" customWidth="1"/>
    <col min="15375" max="15375" width="9.140625" style="434" customWidth="1"/>
    <col min="15376" max="15376" width="2.7109375" style="434" customWidth="1"/>
    <col min="15377" max="15616" width="9.140625" style="434"/>
    <col min="15617" max="15617" width="34.140625" style="434" customWidth="1"/>
    <col min="15618" max="15619" width="8.28515625" style="434" customWidth="1"/>
    <col min="15620" max="15620" width="3.42578125" style="434" customWidth="1"/>
    <col min="15621" max="15621" width="8" style="434" customWidth="1"/>
    <col min="15622" max="15622" width="8.28515625" style="434" customWidth="1"/>
    <col min="15623" max="15623" width="3.7109375" style="434" customWidth="1"/>
    <col min="15624" max="15624" width="8.28515625" style="434" customWidth="1"/>
    <col min="15625" max="15625" width="8.5703125" style="434" customWidth="1"/>
    <col min="15626" max="15626" width="3.7109375" style="434" customWidth="1"/>
    <col min="15627" max="15627" width="8.85546875" style="434" customWidth="1"/>
    <col min="15628" max="15628" width="9.140625" style="434" customWidth="1"/>
    <col min="15629" max="15629" width="3.28515625" style="434" customWidth="1"/>
    <col min="15630" max="15630" width="9" style="434" customWidth="1"/>
    <col min="15631" max="15631" width="9.140625" style="434" customWidth="1"/>
    <col min="15632" max="15632" width="2.7109375" style="434" customWidth="1"/>
    <col min="15633" max="15872" width="9.140625" style="434"/>
    <col min="15873" max="15873" width="34.140625" style="434" customWidth="1"/>
    <col min="15874" max="15875" width="8.28515625" style="434" customWidth="1"/>
    <col min="15876" max="15876" width="3.42578125" style="434" customWidth="1"/>
    <col min="15877" max="15877" width="8" style="434" customWidth="1"/>
    <col min="15878" max="15878" width="8.28515625" style="434" customWidth="1"/>
    <col min="15879" max="15879" width="3.7109375" style="434" customWidth="1"/>
    <col min="15880" max="15880" width="8.28515625" style="434" customWidth="1"/>
    <col min="15881" max="15881" width="8.5703125" style="434" customWidth="1"/>
    <col min="15882" max="15882" width="3.7109375" style="434" customWidth="1"/>
    <col min="15883" max="15883" width="8.85546875" style="434" customWidth="1"/>
    <col min="15884" max="15884" width="9.140625" style="434" customWidth="1"/>
    <col min="15885" max="15885" width="3.28515625" style="434" customWidth="1"/>
    <col min="15886" max="15886" width="9" style="434" customWidth="1"/>
    <col min="15887" max="15887" width="9.140625" style="434" customWidth="1"/>
    <col min="15888" max="15888" width="2.7109375" style="434" customWidth="1"/>
    <col min="15889" max="16128" width="9.140625" style="434"/>
    <col min="16129" max="16129" width="34.140625" style="434" customWidth="1"/>
    <col min="16130" max="16131" width="8.28515625" style="434" customWidth="1"/>
    <col min="16132" max="16132" width="3.42578125" style="434" customWidth="1"/>
    <col min="16133" max="16133" width="8" style="434" customWidth="1"/>
    <col min="16134" max="16134" width="8.28515625" style="434" customWidth="1"/>
    <col min="16135" max="16135" width="3.7109375" style="434" customWidth="1"/>
    <col min="16136" max="16136" width="8.28515625" style="434" customWidth="1"/>
    <col min="16137" max="16137" width="8.5703125" style="434" customWidth="1"/>
    <col min="16138" max="16138" width="3.7109375" style="434" customWidth="1"/>
    <col min="16139" max="16139" width="8.85546875" style="434" customWidth="1"/>
    <col min="16140" max="16140" width="9.140625" style="434" customWidth="1"/>
    <col min="16141" max="16141" width="3.28515625" style="434" customWidth="1"/>
    <col min="16142" max="16142" width="9" style="434" customWidth="1"/>
    <col min="16143" max="16143" width="9.140625" style="434" customWidth="1"/>
    <col min="16144" max="16144" width="2.7109375" style="434" customWidth="1"/>
    <col min="16145" max="16384" width="9.140625" style="434"/>
  </cols>
  <sheetData>
    <row r="1" spans="1:16">
      <c r="A1" s="434" t="s">
        <v>366</v>
      </c>
    </row>
    <row r="2" spans="1:16" ht="12" customHeight="1">
      <c r="A2" s="434" t="s">
        <v>367</v>
      </c>
    </row>
    <row r="3" spans="1:16" ht="7.5" customHeight="1"/>
    <row r="4" spans="1:16">
      <c r="A4" s="42" t="s">
        <v>368</v>
      </c>
      <c r="L4" s="434"/>
    </row>
    <row r="5" spans="1:16" ht="6.75" customHeight="1" thickBot="1">
      <c r="O5" s="436"/>
    </row>
    <row r="6" spans="1:16" ht="12" customHeight="1">
      <c r="A6" s="437" t="s">
        <v>369</v>
      </c>
      <c r="B6" s="805"/>
      <c r="C6" s="439"/>
      <c r="D6" s="437"/>
      <c r="E6" s="85"/>
      <c r="F6" s="86"/>
      <c r="G6" s="87"/>
      <c r="H6" s="85"/>
      <c r="I6" s="86"/>
      <c r="J6" s="86"/>
      <c r="K6" s="85"/>
      <c r="L6" s="86"/>
      <c r="M6" s="87"/>
      <c r="N6" s="85"/>
      <c r="O6" s="439"/>
      <c r="P6" s="439"/>
    </row>
    <row r="7" spans="1:16" ht="15" customHeight="1">
      <c r="A7" s="440" t="s">
        <v>370</v>
      </c>
      <c r="B7" s="1264" t="s">
        <v>371</v>
      </c>
      <c r="C7" s="1265"/>
      <c r="D7" s="440"/>
      <c r="E7" s="1266" t="s">
        <v>289</v>
      </c>
      <c r="F7" s="1266"/>
      <c r="G7" s="440"/>
      <c r="H7" s="1266" t="s">
        <v>291</v>
      </c>
      <c r="I7" s="1266"/>
      <c r="J7" s="442"/>
      <c r="K7" s="1266" t="s">
        <v>372</v>
      </c>
      <c r="L7" s="1266"/>
      <c r="M7" s="440"/>
      <c r="N7" s="1266" t="s">
        <v>292</v>
      </c>
      <c r="O7" s="1266"/>
    </row>
    <row r="8" spans="1:16" ht="15" customHeight="1">
      <c r="A8" s="434" t="s">
        <v>373</v>
      </c>
      <c r="B8" s="806" t="s">
        <v>323</v>
      </c>
      <c r="C8" s="444" t="s">
        <v>324</v>
      </c>
      <c r="D8" s="440"/>
      <c r="E8" s="443" t="s">
        <v>323</v>
      </c>
      <c r="F8" s="444" t="s">
        <v>324</v>
      </c>
      <c r="G8" s="440"/>
      <c r="H8" s="443" t="s">
        <v>323</v>
      </c>
      <c r="I8" s="444" t="s">
        <v>324</v>
      </c>
      <c r="J8" s="802"/>
      <c r="K8" s="443" t="s">
        <v>323</v>
      </c>
      <c r="L8" s="444" t="s">
        <v>324</v>
      </c>
      <c r="M8" s="440"/>
      <c r="N8" s="443" t="s">
        <v>323</v>
      </c>
      <c r="O8" s="444" t="s">
        <v>324</v>
      </c>
    </row>
    <row r="9" spans="1:16" ht="12.75" customHeight="1" thickBot="1">
      <c r="A9" s="445" t="s">
        <v>374</v>
      </c>
      <c r="B9" s="807"/>
      <c r="C9" s="447"/>
      <c r="D9" s="445"/>
      <c r="E9" s="446"/>
      <c r="F9" s="447"/>
      <c r="G9" s="445"/>
      <c r="H9" s="446"/>
      <c r="I9" s="447"/>
      <c r="J9" s="447"/>
      <c r="K9" s="446"/>
      <c r="L9" s="447"/>
      <c r="M9" s="445"/>
      <c r="N9" s="446"/>
      <c r="O9" s="447"/>
      <c r="P9" s="447"/>
    </row>
    <row r="10" spans="1:16" ht="9" customHeight="1"/>
    <row r="11" spans="1:16" ht="14.1" customHeight="1">
      <c r="A11" s="90" t="s">
        <v>325</v>
      </c>
      <c r="B11" s="508">
        <f>IF($A11&lt;&gt;0,E11+H11+K11+N11,"")</f>
        <v>1982</v>
      </c>
      <c r="C11" s="436">
        <f>SUM(C13+C95)</f>
        <v>100</v>
      </c>
      <c r="E11" s="435">
        <f>E13+E95</f>
        <v>492</v>
      </c>
      <c r="F11" s="436">
        <f>IF($A11&lt;&gt;"",E11/$B11*100,"")</f>
        <v>24.8234106962664</v>
      </c>
      <c r="H11" s="435">
        <f>H13+H95</f>
        <v>191</v>
      </c>
      <c r="I11" s="436">
        <f>IF($A11&lt;&gt;"",H11/$B11*100,"")</f>
        <v>9.6367305751765908</v>
      </c>
      <c r="K11" s="435">
        <f>K13+K95</f>
        <v>494</v>
      </c>
      <c r="L11" s="436">
        <f>IF($A11&lt;&gt;"",K11/$B11*100,"")</f>
        <v>24.924318869828458</v>
      </c>
      <c r="M11" s="440"/>
      <c r="N11" s="435">
        <f>N13+N95</f>
        <v>805</v>
      </c>
      <c r="O11" s="436">
        <f>IF($A11&lt;&gt;"",N11/$B11*100,"")</f>
        <v>40.615539858728553</v>
      </c>
      <c r="P11" s="442"/>
    </row>
    <row r="12" spans="1:16" ht="9" customHeight="1">
      <c r="B12" s="508" t="str">
        <f t="shared" ref="B12:B77" si="0">IF($A12&lt;&gt;"",E12+H12+K12+N12,"")</f>
        <v/>
      </c>
      <c r="C12" s="436" t="str">
        <f t="shared" ref="C12:C75" si="1">IF(A12&lt;&gt;0,B12/$B$11*100,"")</f>
        <v/>
      </c>
      <c r="F12" s="436" t="str">
        <f>IF($A12&lt;&gt;"",E12/$B12*100,"")</f>
        <v/>
      </c>
      <c r="I12" s="436" t="str">
        <f>IF($A12&lt;&gt;"",H12/$B12*100,"")</f>
        <v/>
      </c>
      <c r="L12" s="436" t="str">
        <f>IF($A12&lt;&gt;"",K12/$B12*100,"")</f>
        <v/>
      </c>
      <c r="M12" s="440"/>
      <c r="O12" s="436" t="str">
        <f t="shared" ref="O12:O77" si="2">IF($A12&lt;&gt;"",N12/$B12*100,"")</f>
        <v/>
      </c>
      <c r="P12" s="442"/>
    </row>
    <row r="13" spans="1:16" ht="14.1" customHeight="1">
      <c r="A13" s="63" t="s">
        <v>326</v>
      </c>
      <c r="B13" s="508">
        <f t="shared" si="0"/>
        <v>1748</v>
      </c>
      <c r="C13" s="436">
        <f t="shared" si="1"/>
        <v>88.193743693239156</v>
      </c>
      <c r="E13" s="435">
        <f>E93+E15+E26+E34+E74+E60+E81</f>
        <v>460</v>
      </c>
      <c r="F13" s="436">
        <f>IF($A13&lt;&gt;"",E13/$B13*100,"")</f>
        <v>26.315789473684209</v>
      </c>
      <c r="H13" s="435">
        <f>H93+H15+H26+H34+H74+H60+H81</f>
        <v>170</v>
      </c>
      <c r="I13" s="436">
        <f>IF($A13&lt;&gt;"",H13/$B13*100,"")</f>
        <v>9.7254004576659039</v>
      </c>
      <c r="K13" s="435">
        <f>K93+K15+K26+K34+K74+K60+K81</f>
        <v>419</v>
      </c>
      <c r="L13" s="436">
        <f>IF($A13&lt;&gt;"",K13/$B13*100,"")</f>
        <v>23.970251716247141</v>
      </c>
      <c r="M13" s="440"/>
      <c r="N13" s="435">
        <f>N93+N15+N26+N34+N74+N60+N81</f>
        <v>699</v>
      </c>
      <c r="O13" s="436">
        <f t="shared" si="2"/>
        <v>39.988558352402748</v>
      </c>
      <c r="P13" s="442"/>
    </row>
    <row r="14" spans="1:16" ht="9" customHeight="1">
      <c r="E14" s="544"/>
      <c r="F14" s="544"/>
      <c r="G14" s="544"/>
      <c r="H14" s="544"/>
      <c r="I14" s="544"/>
      <c r="J14" s="544"/>
      <c r="K14" s="544"/>
      <c r="L14" s="544"/>
      <c r="M14" s="544"/>
      <c r="N14" s="544"/>
      <c r="O14" s="436" t="str">
        <f t="shared" si="2"/>
        <v/>
      </c>
      <c r="P14" s="442"/>
    </row>
    <row r="15" spans="1:16" ht="13.35" customHeight="1">
      <c r="A15" s="63" t="s">
        <v>327</v>
      </c>
      <c r="B15" s="544">
        <f>IF($A15&lt;&gt;"",E15+H15+K15+N15,"")</f>
        <v>172</v>
      </c>
      <c r="C15" s="436">
        <f t="shared" si="1"/>
        <v>8.6781029263370328</v>
      </c>
      <c r="E15" s="435">
        <f>E16+E21</f>
        <v>56</v>
      </c>
      <c r="F15" s="436">
        <f>IF($A15&lt;&gt;"",E15/$B15*100,"")</f>
        <v>32.558139534883722</v>
      </c>
      <c r="H15" s="435">
        <f>H16+H21</f>
        <v>19</v>
      </c>
      <c r="I15" s="436">
        <f>IF($A15&lt;&gt;"",H15/$B15*100,"")</f>
        <v>11.046511627906977</v>
      </c>
      <c r="K15" s="435">
        <f>K16+K21</f>
        <v>57</v>
      </c>
      <c r="L15" s="436">
        <f>IF($A15&lt;&gt;"",K15/$B15*100,"")</f>
        <v>33.139534883720927</v>
      </c>
      <c r="M15" s="440"/>
      <c r="N15" s="435">
        <f>N16+N21</f>
        <v>40</v>
      </c>
      <c r="O15" s="436">
        <f t="shared" si="2"/>
        <v>23.255813953488371</v>
      </c>
      <c r="P15" s="442"/>
    </row>
    <row r="16" spans="1:16" ht="13.15" customHeight="1">
      <c r="A16" s="434" t="s">
        <v>20</v>
      </c>
      <c r="B16" s="544">
        <f t="shared" si="0"/>
        <v>64</v>
      </c>
      <c r="C16" s="436">
        <f t="shared" si="1"/>
        <v>3.2290615539858729</v>
      </c>
      <c r="E16" s="435">
        <f>SUM(E17:E19)</f>
        <v>17</v>
      </c>
      <c r="F16" s="436">
        <f>IF($A16&lt;&gt;"",E16/$B16*100,"")</f>
        <v>26.5625</v>
      </c>
      <c r="H16" s="435">
        <f>SUM(H17:H19)</f>
        <v>7</v>
      </c>
      <c r="I16" s="436">
        <f>IF($A16&lt;&gt;"",H16/$B16*100,"")</f>
        <v>10.9375</v>
      </c>
      <c r="K16" s="435">
        <f>SUM(K17:K19)</f>
        <v>12</v>
      </c>
      <c r="L16" s="436">
        <f>IF($A16&lt;&gt;"",K16/$B16*100,"")</f>
        <v>18.75</v>
      </c>
      <c r="M16" s="440"/>
      <c r="N16" s="435">
        <f>SUM(N17:N19)</f>
        <v>28</v>
      </c>
      <c r="O16" s="436">
        <f t="shared" si="2"/>
        <v>43.75</v>
      </c>
      <c r="P16" s="442"/>
    </row>
    <row r="17" spans="1:16" ht="13.15" customHeight="1">
      <c r="A17" s="434" t="s">
        <v>21</v>
      </c>
      <c r="B17" s="544">
        <f t="shared" si="0"/>
        <v>4</v>
      </c>
      <c r="C17" s="436">
        <f t="shared" si="1"/>
        <v>0.20181634712411706</v>
      </c>
      <c r="E17" s="434">
        <v>1</v>
      </c>
      <c r="F17" s="436">
        <f t="shared" ref="F17:F80" si="3">IF($A17&lt;&gt;"",E17/$B17*100,"")</f>
        <v>25</v>
      </c>
      <c r="H17" s="434">
        <v>0</v>
      </c>
      <c r="I17" s="436">
        <f t="shared" ref="I17:I80" si="4">IF($A17&lt;&gt;"",H17/$B17*100,"")</f>
        <v>0</v>
      </c>
      <c r="J17" s="434"/>
      <c r="K17" s="434">
        <v>0</v>
      </c>
      <c r="L17" s="436">
        <f t="shared" ref="L17:L80" si="5">IF($A17&lt;&gt;"",K17/$B17*100,"")</f>
        <v>0</v>
      </c>
      <c r="N17" s="434">
        <v>3</v>
      </c>
      <c r="O17" s="436">
        <f t="shared" si="2"/>
        <v>75</v>
      </c>
      <c r="P17" s="442"/>
    </row>
    <row r="18" spans="1:16" ht="13.15" customHeight="1">
      <c r="A18" s="434" t="s">
        <v>22</v>
      </c>
      <c r="B18" s="544">
        <f t="shared" si="0"/>
        <v>39</v>
      </c>
      <c r="C18" s="436">
        <f t="shared" si="1"/>
        <v>1.9677093844601412</v>
      </c>
      <c r="E18" s="434">
        <v>15</v>
      </c>
      <c r="F18" s="436">
        <f t="shared" si="3"/>
        <v>38.461538461538467</v>
      </c>
      <c r="H18" s="434">
        <v>4</v>
      </c>
      <c r="I18" s="436">
        <f t="shared" si="4"/>
        <v>10.256410256410255</v>
      </c>
      <c r="J18" s="434"/>
      <c r="K18" s="434">
        <v>6</v>
      </c>
      <c r="L18" s="436">
        <f t="shared" si="5"/>
        <v>15.384615384615385</v>
      </c>
      <c r="N18" s="434">
        <v>14</v>
      </c>
      <c r="O18" s="436">
        <f t="shared" si="2"/>
        <v>35.897435897435898</v>
      </c>
      <c r="P18" s="442"/>
    </row>
    <row r="19" spans="1:16" ht="13.15" customHeight="1">
      <c r="A19" s="434" t="s">
        <v>23</v>
      </c>
      <c r="B19" s="544">
        <f t="shared" si="0"/>
        <v>21</v>
      </c>
      <c r="C19" s="436">
        <f t="shared" si="1"/>
        <v>1.0595358224016145</v>
      </c>
      <c r="E19" s="434">
        <v>1</v>
      </c>
      <c r="F19" s="436">
        <f t="shared" si="3"/>
        <v>4.7619047619047619</v>
      </c>
      <c r="H19" s="434">
        <v>3</v>
      </c>
      <c r="I19" s="436">
        <f t="shared" si="4"/>
        <v>14.285714285714285</v>
      </c>
      <c r="J19" s="434"/>
      <c r="K19" s="434">
        <v>6</v>
      </c>
      <c r="L19" s="436">
        <f t="shared" si="5"/>
        <v>28.571428571428569</v>
      </c>
      <c r="N19" s="434">
        <v>11</v>
      </c>
      <c r="O19" s="436">
        <f t="shared" si="2"/>
        <v>52.380952380952387</v>
      </c>
      <c r="P19" s="442"/>
    </row>
    <row r="20" spans="1:16" ht="9" customHeight="1">
      <c r="B20" s="544" t="str">
        <f t="shared" si="0"/>
        <v/>
      </c>
      <c r="C20" s="436" t="str">
        <f t="shared" si="1"/>
        <v/>
      </c>
      <c r="F20" s="436" t="str">
        <f t="shared" si="3"/>
        <v/>
      </c>
      <c r="I20" s="436" t="str">
        <f t="shared" si="4"/>
        <v/>
      </c>
      <c r="L20" s="436" t="str">
        <f t="shared" si="5"/>
        <v/>
      </c>
      <c r="M20" s="440"/>
      <c r="O20" s="436" t="str">
        <f t="shared" si="2"/>
        <v/>
      </c>
      <c r="P20" s="442"/>
    </row>
    <row r="21" spans="1:16" ht="13.15" customHeight="1">
      <c r="A21" s="434" t="s">
        <v>24</v>
      </c>
      <c r="B21" s="544">
        <f t="shared" si="0"/>
        <v>108</v>
      </c>
      <c r="C21" s="436">
        <f t="shared" si="1"/>
        <v>5.4490413723511608</v>
      </c>
      <c r="E21" s="435">
        <f>SUM(E22:E24)</f>
        <v>39</v>
      </c>
      <c r="F21" s="436">
        <f t="shared" si="3"/>
        <v>36.111111111111107</v>
      </c>
      <c r="H21" s="435">
        <f>SUM(H22:H24)</f>
        <v>12</v>
      </c>
      <c r="I21" s="436">
        <f t="shared" si="4"/>
        <v>11.111111111111111</v>
      </c>
      <c r="K21" s="435">
        <f>SUM(K22:K24)</f>
        <v>45</v>
      </c>
      <c r="L21" s="436">
        <f t="shared" si="5"/>
        <v>41.666666666666671</v>
      </c>
      <c r="M21" s="440"/>
      <c r="N21" s="435">
        <f>SUM(N22:N24)</f>
        <v>12</v>
      </c>
      <c r="O21" s="436">
        <f t="shared" si="2"/>
        <v>11.111111111111111</v>
      </c>
      <c r="P21" s="442"/>
    </row>
    <row r="22" spans="1:16" ht="13.15" customHeight="1">
      <c r="A22" s="434" t="s">
        <v>25</v>
      </c>
      <c r="B22" s="544">
        <f t="shared" si="0"/>
        <v>33</v>
      </c>
      <c r="C22" s="436">
        <f t="shared" si="1"/>
        <v>1.6649848637739657</v>
      </c>
      <c r="E22" s="434">
        <v>17</v>
      </c>
      <c r="F22" s="436">
        <f t="shared" si="3"/>
        <v>51.515151515151516</v>
      </c>
      <c r="H22" s="434">
        <v>3</v>
      </c>
      <c r="I22" s="436">
        <f t="shared" si="4"/>
        <v>9.0909090909090917</v>
      </c>
      <c r="J22" s="434"/>
      <c r="K22" s="434">
        <v>10</v>
      </c>
      <c r="L22" s="436">
        <f t="shared" si="5"/>
        <v>30.303030303030305</v>
      </c>
      <c r="N22" s="434">
        <v>3</v>
      </c>
      <c r="O22" s="436">
        <f t="shared" si="2"/>
        <v>9.0909090909090917</v>
      </c>
      <c r="P22" s="442"/>
    </row>
    <row r="23" spans="1:16" ht="13.15" customHeight="1">
      <c r="A23" s="434" t="s">
        <v>26</v>
      </c>
      <c r="B23" s="544">
        <f t="shared" si="0"/>
        <v>22</v>
      </c>
      <c r="C23" s="436">
        <f t="shared" si="1"/>
        <v>1.109989909182644</v>
      </c>
      <c r="E23" s="434">
        <v>14</v>
      </c>
      <c r="F23" s="436">
        <f t="shared" si="3"/>
        <v>63.636363636363633</v>
      </c>
      <c r="H23" s="434">
        <v>0</v>
      </c>
      <c r="I23" s="436">
        <f t="shared" si="4"/>
        <v>0</v>
      </c>
      <c r="J23" s="434"/>
      <c r="K23" s="434">
        <v>8</v>
      </c>
      <c r="L23" s="436">
        <f t="shared" si="5"/>
        <v>36.363636363636367</v>
      </c>
      <c r="N23" s="434">
        <v>0</v>
      </c>
      <c r="O23" s="436">
        <f t="shared" si="2"/>
        <v>0</v>
      </c>
      <c r="P23" s="442"/>
    </row>
    <row r="24" spans="1:16" ht="13.15" customHeight="1">
      <c r="A24" s="434" t="s">
        <v>27</v>
      </c>
      <c r="B24" s="544">
        <f t="shared" si="0"/>
        <v>53</v>
      </c>
      <c r="C24" s="436">
        <f t="shared" si="1"/>
        <v>2.6740665993945512</v>
      </c>
      <c r="E24" s="434">
        <v>8</v>
      </c>
      <c r="F24" s="436">
        <f t="shared" si="3"/>
        <v>15.09433962264151</v>
      </c>
      <c r="H24" s="434">
        <v>9</v>
      </c>
      <c r="I24" s="436">
        <f t="shared" si="4"/>
        <v>16.981132075471699</v>
      </c>
      <c r="J24" s="434"/>
      <c r="K24" s="434">
        <v>27</v>
      </c>
      <c r="L24" s="436">
        <f t="shared" si="5"/>
        <v>50.943396226415096</v>
      </c>
      <c r="N24" s="434">
        <v>9</v>
      </c>
      <c r="O24" s="436">
        <f t="shared" si="2"/>
        <v>16.981132075471699</v>
      </c>
      <c r="P24" s="442"/>
    </row>
    <row r="25" spans="1:16" ht="9" customHeight="1">
      <c r="B25" s="544" t="str">
        <f t="shared" si="0"/>
        <v/>
      </c>
      <c r="C25" s="436" t="str">
        <f t="shared" si="1"/>
        <v/>
      </c>
      <c r="F25" s="436" t="str">
        <f t="shared" si="3"/>
        <v/>
      </c>
      <c r="I25" s="436" t="str">
        <f t="shared" si="4"/>
        <v/>
      </c>
      <c r="L25" s="436" t="str">
        <f t="shared" si="5"/>
        <v/>
      </c>
      <c r="M25" s="440"/>
      <c r="O25" s="436" t="str">
        <f t="shared" si="2"/>
        <v/>
      </c>
      <c r="P25" s="442"/>
    </row>
    <row r="26" spans="1:16" ht="13.15" customHeight="1">
      <c r="A26" s="63" t="s">
        <v>375</v>
      </c>
      <c r="B26" s="544">
        <f t="shared" si="0"/>
        <v>157</v>
      </c>
      <c r="C26" s="436">
        <f t="shared" si="1"/>
        <v>7.9212916246215945</v>
      </c>
      <c r="E26" s="435">
        <f>SUM(E28:E32)</f>
        <v>74</v>
      </c>
      <c r="F26" s="436">
        <f t="shared" si="3"/>
        <v>47.133757961783438</v>
      </c>
      <c r="H26" s="435">
        <f>SUM(H28:H32)</f>
        <v>10</v>
      </c>
      <c r="I26" s="436">
        <f t="shared" si="4"/>
        <v>6.369426751592357</v>
      </c>
      <c r="K26" s="435">
        <f>SUM(K28:K32)</f>
        <v>49</v>
      </c>
      <c r="L26" s="436">
        <f t="shared" si="5"/>
        <v>31.210191082802545</v>
      </c>
      <c r="M26" s="440"/>
      <c r="N26" s="435">
        <f>SUM(N28:N32)</f>
        <v>24</v>
      </c>
      <c r="O26" s="436">
        <f t="shared" si="2"/>
        <v>15.286624203821656</v>
      </c>
      <c r="P26" s="442"/>
    </row>
    <row r="27" spans="1:16" ht="13.15" customHeight="1">
      <c r="A27" s="434" t="s">
        <v>29</v>
      </c>
      <c r="B27" s="544">
        <f t="shared" si="0"/>
        <v>157</v>
      </c>
      <c r="C27" s="436">
        <f t="shared" si="1"/>
        <v>7.9212916246215945</v>
      </c>
      <c r="E27" s="435">
        <f>SUM(E28:E32)</f>
        <v>74</v>
      </c>
      <c r="F27" s="436">
        <f t="shared" si="3"/>
        <v>47.133757961783438</v>
      </c>
      <c r="H27" s="435">
        <f>SUM(H28:H32)</f>
        <v>10</v>
      </c>
      <c r="I27" s="436">
        <f t="shared" si="4"/>
        <v>6.369426751592357</v>
      </c>
      <c r="K27" s="435">
        <f>SUM(K28:K32)</f>
        <v>49</v>
      </c>
      <c r="L27" s="436">
        <f t="shared" si="5"/>
        <v>31.210191082802545</v>
      </c>
      <c r="M27" s="440"/>
      <c r="N27" s="435">
        <f>SUM(N28:N32)</f>
        <v>24</v>
      </c>
      <c r="O27" s="436">
        <f t="shared" si="2"/>
        <v>15.286624203821656</v>
      </c>
      <c r="P27" s="442"/>
    </row>
    <row r="28" spans="1:16" ht="13.15" customHeight="1">
      <c r="A28" s="434" t="s">
        <v>30</v>
      </c>
      <c r="B28" s="544">
        <f t="shared" si="0"/>
        <v>45</v>
      </c>
      <c r="C28" s="436">
        <f t="shared" si="1"/>
        <v>2.2704339051463167</v>
      </c>
      <c r="E28" s="434">
        <v>21</v>
      </c>
      <c r="F28" s="436">
        <f t="shared" si="3"/>
        <v>46.666666666666664</v>
      </c>
      <c r="H28" s="434">
        <v>2</v>
      </c>
      <c r="I28" s="436">
        <f t="shared" si="4"/>
        <v>4.4444444444444446</v>
      </c>
      <c r="J28" s="434"/>
      <c r="K28" s="434">
        <v>19</v>
      </c>
      <c r="L28" s="436">
        <f t="shared" si="5"/>
        <v>42.222222222222221</v>
      </c>
      <c r="N28" s="434">
        <v>3</v>
      </c>
      <c r="O28" s="436">
        <f t="shared" si="2"/>
        <v>6.666666666666667</v>
      </c>
      <c r="P28" s="442"/>
    </row>
    <row r="29" spans="1:16" ht="13.15" customHeight="1">
      <c r="A29" s="434" t="s">
        <v>31</v>
      </c>
      <c r="B29" s="544">
        <f t="shared" si="0"/>
        <v>31</v>
      </c>
      <c r="C29" s="436">
        <f t="shared" si="1"/>
        <v>1.564076690211907</v>
      </c>
      <c r="E29" s="434">
        <v>16</v>
      </c>
      <c r="F29" s="436">
        <f t="shared" si="3"/>
        <v>51.612903225806448</v>
      </c>
      <c r="H29" s="434">
        <v>2</v>
      </c>
      <c r="I29" s="436">
        <f t="shared" si="4"/>
        <v>6.4516129032258061</v>
      </c>
      <c r="J29" s="434"/>
      <c r="K29" s="434">
        <v>7</v>
      </c>
      <c r="L29" s="436">
        <f t="shared" si="5"/>
        <v>22.58064516129032</v>
      </c>
      <c r="N29" s="434">
        <v>6</v>
      </c>
      <c r="O29" s="436">
        <f t="shared" si="2"/>
        <v>19.35483870967742</v>
      </c>
      <c r="P29" s="442"/>
    </row>
    <row r="30" spans="1:16" ht="13.15" customHeight="1">
      <c r="A30" s="434" t="s">
        <v>32</v>
      </c>
      <c r="B30" s="544">
        <f t="shared" si="0"/>
        <v>17</v>
      </c>
      <c r="C30" s="436">
        <f t="shared" si="1"/>
        <v>0.85771947527749737</v>
      </c>
      <c r="E30" s="434">
        <v>6</v>
      </c>
      <c r="F30" s="436">
        <f t="shared" si="3"/>
        <v>35.294117647058826</v>
      </c>
      <c r="H30" s="434">
        <v>1</v>
      </c>
      <c r="I30" s="436">
        <f t="shared" si="4"/>
        <v>5.8823529411764701</v>
      </c>
      <c r="J30" s="434"/>
      <c r="K30" s="434">
        <v>5</v>
      </c>
      <c r="L30" s="436">
        <f t="shared" si="5"/>
        <v>29.411764705882355</v>
      </c>
      <c r="N30" s="434">
        <v>5</v>
      </c>
      <c r="O30" s="436">
        <f t="shared" si="2"/>
        <v>29.411764705882355</v>
      </c>
      <c r="P30" s="442"/>
    </row>
    <row r="31" spans="1:16" ht="13.15" customHeight="1">
      <c r="A31" s="434" t="s">
        <v>33</v>
      </c>
      <c r="B31" s="544">
        <f t="shared" si="0"/>
        <v>27</v>
      </c>
      <c r="C31" s="436">
        <f t="shared" si="1"/>
        <v>1.3622603430877902</v>
      </c>
      <c r="E31" s="434">
        <v>11</v>
      </c>
      <c r="F31" s="436">
        <f t="shared" si="3"/>
        <v>40.74074074074074</v>
      </c>
      <c r="H31" s="434">
        <v>1</v>
      </c>
      <c r="I31" s="436">
        <f t="shared" si="4"/>
        <v>3.7037037037037033</v>
      </c>
      <c r="J31" s="434"/>
      <c r="K31" s="434">
        <v>11</v>
      </c>
      <c r="L31" s="436">
        <f t="shared" si="5"/>
        <v>40.74074074074074</v>
      </c>
      <c r="N31" s="434">
        <v>4</v>
      </c>
      <c r="O31" s="436">
        <f t="shared" si="2"/>
        <v>14.814814814814813</v>
      </c>
      <c r="P31" s="442"/>
    </row>
    <row r="32" spans="1:16" ht="13.15" customHeight="1">
      <c r="A32" s="434" t="s">
        <v>34</v>
      </c>
      <c r="B32" s="544">
        <f t="shared" si="0"/>
        <v>37</v>
      </c>
      <c r="C32" s="436">
        <f t="shared" si="1"/>
        <v>1.8668012108980829</v>
      </c>
      <c r="E32" s="434">
        <v>20</v>
      </c>
      <c r="F32" s="436">
        <f t="shared" si="3"/>
        <v>54.054054054054056</v>
      </c>
      <c r="H32" s="434">
        <v>4</v>
      </c>
      <c r="I32" s="436">
        <f t="shared" si="4"/>
        <v>10.810810810810811</v>
      </c>
      <c r="J32" s="434"/>
      <c r="K32" s="434">
        <v>7</v>
      </c>
      <c r="L32" s="436">
        <f t="shared" si="5"/>
        <v>18.918918918918919</v>
      </c>
      <c r="N32" s="434">
        <v>6</v>
      </c>
      <c r="O32" s="436">
        <f t="shared" si="2"/>
        <v>16.216216216216218</v>
      </c>
      <c r="P32" s="442"/>
    </row>
    <row r="33" spans="1:16" ht="9" customHeight="1">
      <c r="B33" s="544" t="str">
        <f t="shared" si="0"/>
        <v/>
      </c>
      <c r="C33" s="436" t="str">
        <f t="shared" si="1"/>
        <v/>
      </c>
      <c r="F33" s="436" t="str">
        <f t="shared" si="3"/>
        <v/>
      </c>
      <c r="I33" s="436" t="str">
        <f t="shared" si="4"/>
        <v/>
      </c>
      <c r="L33" s="436" t="str">
        <f t="shared" si="5"/>
        <v/>
      </c>
      <c r="M33" s="440"/>
      <c r="O33" s="436" t="str">
        <f t="shared" si="2"/>
        <v/>
      </c>
      <c r="P33" s="442"/>
    </row>
    <row r="34" spans="1:16" ht="13.15" customHeight="1">
      <c r="A34" s="63" t="s">
        <v>329</v>
      </c>
      <c r="B34" s="544">
        <f t="shared" si="0"/>
        <v>463</v>
      </c>
      <c r="C34" s="436">
        <f t="shared" si="1"/>
        <v>23.360242179616549</v>
      </c>
      <c r="E34" s="435">
        <f>E35+E41+E51+E53</f>
        <v>135</v>
      </c>
      <c r="F34" s="436">
        <f t="shared" si="3"/>
        <v>29.15766738660907</v>
      </c>
      <c r="H34" s="435">
        <f>H35+H41+H51+H53</f>
        <v>47</v>
      </c>
      <c r="I34" s="436">
        <f t="shared" si="4"/>
        <v>10.151187904967603</v>
      </c>
      <c r="K34" s="435">
        <f>K35+K41+K51+K53</f>
        <v>119</v>
      </c>
      <c r="L34" s="436">
        <f t="shared" si="5"/>
        <v>25.70194384449244</v>
      </c>
      <c r="M34" s="440"/>
      <c r="N34" s="435">
        <f>N35+N41+N51+N53</f>
        <v>162</v>
      </c>
      <c r="O34" s="436">
        <f t="shared" si="2"/>
        <v>34.989200863930883</v>
      </c>
      <c r="P34" s="442"/>
    </row>
    <row r="35" spans="1:16" ht="13.15" customHeight="1">
      <c r="A35" s="434" t="s">
        <v>36</v>
      </c>
      <c r="B35" s="544">
        <f t="shared" si="0"/>
        <v>120</v>
      </c>
      <c r="C35" s="436">
        <f t="shared" si="1"/>
        <v>6.0544904137235118</v>
      </c>
      <c r="E35" s="435">
        <f>SUM(E36:E39)</f>
        <v>26</v>
      </c>
      <c r="F35" s="436">
        <f t="shared" si="3"/>
        <v>21.666666666666668</v>
      </c>
      <c r="H35" s="435">
        <f>SUM(H36:H39)</f>
        <v>8</v>
      </c>
      <c r="I35" s="436">
        <f t="shared" si="4"/>
        <v>6.666666666666667</v>
      </c>
      <c r="K35" s="435">
        <f>SUM(K36:K39)</f>
        <v>18</v>
      </c>
      <c r="L35" s="436">
        <f t="shared" si="5"/>
        <v>15</v>
      </c>
      <c r="M35" s="440"/>
      <c r="N35" s="435">
        <f>SUM(N36:N39)</f>
        <v>68</v>
      </c>
      <c r="O35" s="436">
        <f t="shared" si="2"/>
        <v>56.666666666666664</v>
      </c>
      <c r="P35" s="442"/>
    </row>
    <row r="36" spans="1:16" ht="13.15" customHeight="1">
      <c r="A36" s="434" t="s">
        <v>37</v>
      </c>
      <c r="B36" s="544">
        <f t="shared" si="0"/>
        <v>51</v>
      </c>
      <c r="C36" s="436">
        <f t="shared" si="1"/>
        <v>2.5731584258324927</v>
      </c>
      <c r="E36" s="434">
        <v>3</v>
      </c>
      <c r="F36" s="436">
        <f t="shared" si="3"/>
        <v>5.8823529411764701</v>
      </c>
      <c r="H36" s="434">
        <v>2</v>
      </c>
      <c r="I36" s="436">
        <f t="shared" si="4"/>
        <v>3.9215686274509802</v>
      </c>
      <c r="J36" s="434"/>
      <c r="K36" s="434">
        <v>4</v>
      </c>
      <c r="L36" s="436">
        <f t="shared" si="5"/>
        <v>7.8431372549019605</v>
      </c>
      <c r="N36" s="434">
        <v>42</v>
      </c>
      <c r="O36" s="436">
        <f>IF($A36&lt;&gt;"",N54/$B36*100,"")</f>
        <v>13.725490196078432</v>
      </c>
      <c r="P36" s="442"/>
    </row>
    <row r="37" spans="1:16" ht="13.15" customHeight="1">
      <c r="A37" s="434" t="s">
        <v>38</v>
      </c>
      <c r="B37" s="544">
        <f t="shared" si="0"/>
        <v>34</v>
      </c>
      <c r="C37" s="436">
        <f t="shared" si="1"/>
        <v>1.7154389505549947</v>
      </c>
      <c r="E37" s="434">
        <v>6</v>
      </c>
      <c r="F37" s="436">
        <f t="shared" si="3"/>
        <v>17.647058823529413</v>
      </c>
      <c r="H37" s="434">
        <v>3</v>
      </c>
      <c r="I37" s="436">
        <f t="shared" si="4"/>
        <v>8.8235294117647065</v>
      </c>
      <c r="J37" s="434"/>
      <c r="K37" s="434">
        <v>8</v>
      </c>
      <c r="L37" s="436">
        <f t="shared" si="5"/>
        <v>23.52941176470588</v>
      </c>
      <c r="N37" s="434">
        <v>17</v>
      </c>
      <c r="O37" s="436">
        <f t="shared" si="2"/>
        <v>50</v>
      </c>
      <c r="P37" s="442"/>
    </row>
    <row r="38" spans="1:16" ht="13.15" customHeight="1">
      <c r="A38" s="434" t="s">
        <v>39</v>
      </c>
      <c r="B38" s="544">
        <f t="shared" si="0"/>
        <v>22</v>
      </c>
      <c r="C38" s="436">
        <f t="shared" si="1"/>
        <v>1.109989909182644</v>
      </c>
      <c r="E38" s="434">
        <v>12</v>
      </c>
      <c r="F38" s="436">
        <f t="shared" si="3"/>
        <v>54.54545454545454</v>
      </c>
      <c r="H38" s="434">
        <v>2</v>
      </c>
      <c r="I38" s="436">
        <f t="shared" si="4"/>
        <v>9.0909090909090917</v>
      </c>
      <c r="J38" s="434"/>
      <c r="K38" s="434">
        <v>2</v>
      </c>
      <c r="L38" s="436">
        <f t="shared" si="5"/>
        <v>9.0909090909090917</v>
      </c>
      <c r="N38" s="434">
        <v>6</v>
      </c>
      <c r="O38" s="436">
        <f t="shared" si="2"/>
        <v>27.27272727272727</v>
      </c>
      <c r="P38" s="442">
        <v>0</v>
      </c>
    </row>
    <row r="39" spans="1:16" ht="13.15" customHeight="1">
      <c r="A39" s="434" t="s">
        <v>40</v>
      </c>
      <c r="B39" s="544">
        <f t="shared" si="0"/>
        <v>13</v>
      </c>
      <c r="C39" s="436">
        <f t="shared" si="1"/>
        <v>0.65590312815338037</v>
      </c>
      <c r="E39" s="434">
        <v>5</v>
      </c>
      <c r="F39" s="436">
        <f t="shared" si="3"/>
        <v>38.461538461538467</v>
      </c>
      <c r="H39" s="434">
        <v>1</v>
      </c>
      <c r="I39" s="436">
        <f t="shared" si="4"/>
        <v>7.6923076923076925</v>
      </c>
      <c r="J39" s="434"/>
      <c r="K39" s="434">
        <v>4</v>
      </c>
      <c r="L39" s="436">
        <f t="shared" si="5"/>
        <v>30.76923076923077</v>
      </c>
      <c r="N39" s="434">
        <v>3</v>
      </c>
      <c r="O39" s="436">
        <f t="shared" si="2"/>
        <v>23.076923076923077</v>
      </c>
      <c r="P39" s="442"/>
    </row>
    <row r="40" spans="1:16" ht="9" customHeight="1">
      <c r="B40" s="544" t="str">
        <f t="shared" si="0"/>
        <v/>
      </c>
      <c r="C40" s="436" t="str">
        <f t="shared" si="1"/>
        <v/>
      </c>
      <c r="F40" s="436" t="str">
        <f t="shared" si="3"/>
        <v/>
      </c>
      <c r="I40" s="436" t="str">
        <f t="shared" si="4"/>
        <v/>
      </c>
      <c r="L40" s="436" t="str">
        <f t="shared" si="5"/>
        <v/>
      </c>
      <c r="M40" s="440"/>
      <c r="O40" s="436" t="str">
        <f t="shared" si="2"/>
        <v/>
      </c>
      <c r="P40" s="442"/>
    </row>
    <row r="41" spans="1:16" ht="13.15" customHeight="1">
      <c r="A41" s="434" t="s">
        <v>41</v>
      </c>
      <c r="B41" s="544">
        <f>IF($A41&lt;&gt;"",E41+H41+K41+N41,"")</f>
        <v>194</v>
      </c>
      <c r="C41" s="436">
        <f t="shared" si="1"/>
        <v>9.7880928355196772</v>
      </c>
      <c r="E41" s="435">
        <f>SUM(E42:E49)</f>
        <v>67</v>
      </c>
      <c r="F41" s="436">
        <f t="shared" si="3"/>
        <v>34.536082474226802</v>
      </c>
      <c r="H41" s="435">
        <f>SUM(H42:H49)</f>
        <v>22</v>
      </c>
      <c r="I41" s="436">
        <f t="shared" si="4"/>
        <v>11.340206185567011</v>
      </c>
      <c r="K41" s="435">
        <f>SUM(K42:K49)</f>
        <v>60</v>
      </c>
      <c r="L41" s="436">
        <f t="shared" si="5"/>
        <v>30.927835051546392</v>
      </c>
      <c r="M41" s="440"/>
      <c r="N41" s="435">
        <f>SUM(N42:N49)</f>
        <v>45</v>
      </c>
      <c r="O41" s="436">
        <f t="shared" si="2"/>
        <v>23.195876288659793</v>
      </c>
      <c r="P41" s="442"/>
    </row>
    <row r="42" spans="1:16" ht="13.15" customHeight="1">
      <c r="A42" s="434" t="s">
        <v>49</v>
      </c>
      <c r="B42" s="544">
        <f t="shared" si="0"/>
        <v>18</v>
      </c>
      <c r="C42" s="436">
        <f t="shared" si="1"/>
        <v>0.90817356205852673</v>
      </c>
      <c r="E42" s="434">
        <v>6</v>
      </c>
      <c r="F42" s="436">
        <f t="shared" si="3"/>
        <v>33.333333333333329</v>
      </c>
      <c r="H42" s="434">
        <v>1</v>
      </c>
      <c r="I42" s="436">
        <f t="shared" si="4"/>
        <v>5.5555555555555554</v>
      </c>
      <c r="J42" s="434"/>
      <c r="K42" s="434">
        <v>7</v>
      </c>
      <c r="L42" s="436">
        <f t="shared" si="5"/>
        <v>38.888888888888893</v>
      </c>
      <c r="N42" s="434">
        <v>4</v>
      </c>
      <c r="O42" s="436">
        <f t="shared" si="2"/>
        <v>22.222222222222221</v>
      </c>
      <c r="P42" s="442"/>
    </row>
    <row r="43" spans="1:16" ht="13.15" customHeight="1">
      <c r="A43" s="434" t="s">
        <v>42</v>
      </c>
      <c r="B43" s="544">
        <f t="shared" si="0"/>
        <v>20</v>
      </c>
      <c r="C43" s="436">
        <f t="shared" si="1"/>
        <v>1.0090817356205852</v>
      </c>
      <c r="E43" s="434">
        <v>8</v>
      </c>
      <c r="F43" s="436">
        <f t="shared" si="3"/>
        <v>40</v>
      </c>
      <c r="H43" s="434">
        <v>5</v>
      </c>
      <c r="I43" s="436">
        <f t="shared" si="4"/>
        <v>25</v>
      </c>
      <c r="J43" s="434"/>
      <c r="K43" s="434">
        <v>7</v>
      </c>
      <c r="L43" s="436">
        <f t="shared" si="5"/>
        <v>35</v>
      </c>
      <c r="N43" s="434">
        <v>0</v>
      </c>
      <c r="O43" s="436">
        <f t="shared" si="2"/>
        <v>0</v>
      </c>
      <c r="P43" s="442"/>
    </row>
    <row r="44" spans="1:16" ht="13.15" customHeight="1">
      <c r="A44" s="434" t="s">
        <v>43</v>
      </c>
      <c r="B44" s="544">
        <f t="shared" si="0"/>
        <v>37</v>
      </c>
      <c r="C44" s="436">
        <f t="shared" si="1"/>
        <v>1.8668012108980829</v>
      </c>
      <c r="E44" s="434">
        <v>5</v>
      </c>
      <c r="F44" s="436">
        <f t="shared" si="3"/>
        <v>13.513513513513514</v>
      </c>
      <c r="H44" s="434">
        <v>4</v>
      </c>
      <c r="I44" s="436">
        <f t="shared" si="4"/>
        <v>10.810810810810811</v>
      </c>
      <c r="J44" s="434"/>
      <c r="K44" s="434">
        <v>8</v>
      </c>
      <c r="L44" s="436">
        <f t="shared" si="5"/>
        <v>21.621621621621621</v>
      </c>
      <c r="N44" s="434">
        <v>20</v>
      </c>
      <c r="O44" s="436">
        <f t="shared" si="2"/>
        <v>54.054054054054056</v>
      </c>
      <c r="P44" s="442"/>
    </row>
    <row r="45" spans="1:16" ht="13.15" customHeight="1">
      <c r="A45" s="434" t="s">
        <v>44</v>
      </c>
      <c r="B45" s="544">
        <f t="shared" si="0"/>
        <v>24</v>
      </c>
      <c r="C45" s="436">
        <f t="shared" si="1"/>
        <v>1.2108980827447022</v>
      </c>
      <c r="E45" s="434">
        <v>10</v>
      </c>
      <c r="F45" s="436">
        <f t="shared" si="3"/>
        <v>41.666666666666671</v>
      </c>
      <c r="H45" s="434">
        <v>3</v>
      </c>
      <c r="I45" s="436">
        <f t="shared" si="4"/>
        <v>12.5</v>
      </c>
      <c r="J45" s="434"/>
      <c r="K45" s="434">
        <v>8</v>
      </c>
      <c r="L45" s="436">
        <f t="shared" si="5"/>
        <v>33.333333333333329</v>
      </c>
      <c r="N45" s="434">
        <v>3</v>
      </c>
      <c r="O45" s="436">
        <f t="shared" si="2"/>
        <v>12.5</v>
      </c>
      <c r="P45" s="442"/>
    </row>
    <row r="46" spans="1:16" ht="13.15" customHeight="1">
      <c r="A46" s="434" t="s">
        <v>331</v>
      </c>
      <c r="B46" s="544">
        <f t="shared" si="0"/>
        <v>26</v>
      </c>
      <c r="C46" s="436">
        <f t="shared" si="1"/>
        <v>1.3118062563067607</v>
      </c>
      <c r="E46" s="434">
        <v>14</v>
      </c>
      <c r="F46" s="436">
        <f t="shared" si="3"/>
        <v>53.846153846153847</v>
      </c>
      <c r="H46" s="434">
        <v>1</v>
      </c>
      <c r="I46" s="436">
        <f t="shared" si="4"/>
        <v>3.8461538461538463</v>
      </c>
      <c r="J46" s="434"/>
      <c r="K46" s="434">
        <v>9</v>
      </c>
      <c r="L46" s="436">
        <f t="shared" si="5"/>
        <v>34.615384615384613</v>
      </c>
      <c r="N46" s="434">
        <v>2</v>
      </c>
      <c r="O46" s="436">
        <f t="shared" si="2"/>
        <v>7.6923076923076925</v>
      </c>
      <c r="P46" s="442"/>
    </row>
    <row r="47" spans="1:16" ht="13.15" customHeight="1">
      <c r="A47" s="434" t="s">
        <v>48</v>
      </c>
      <c r="B47" s="544">
        <f t="shared" si="0"/>
        <v>7</v>
      </c>
      <c r="C47" s="436">
        <f t="shared" si="1"/>
        <v>0.35317860746720486</v>
      </c>
      <c r="E47" s="434">
        <v>3</v>
      </c>
      <c r="F47" s="436">
        <f t="shared" si="3"/>
        <v>42.857142857142854</v>
      </c>
      <c r="H47" s="434">
        <v>1</v>
      </c>
      <c r="I47" s="436">
        <f t="shared" si="4"/>
        <v>14.285714285714285</v>
      </c>
      <c r="J47" s="434"/>
      <c r="K47" s="434">
        <v>2</v>
      </c>
      <c r="L47" s="436">
        <f t="shared" si="5"/>
        <v>28.571428571428569</v>
      </c>
      <c r="N47" s="434">
        <v>1</v>
      </c>
      <c r="O47" s="436">
        <f t="shared" si="2"/>
        <v>14.285714285714285</v>
      </c>
      <c r="P47" s="442"/>
    </row>
    <row r="48" spans="1:16" ht="13.15" customHeight="1">
      <c r="A48" s="434" t="s">
        <v>47</v>
      </c>
      <c r="B48" s="544">
        <f t="shared" si="0"/>
        <v>45</v>
      </c>
      <c r="C48" s="436">
        <f t="shared" si="1"/>
        <v>2.2704339051463167</v>
      </c>
      <c r="E48" s="434">
        <v>17</v>
      </c>
      <c r="F48" s="436">
        <f t="shared" si="3"/>
        <v>37.777777777777779</v>
      </c>
      <c r="H48" s="434">
        <v>4</v>
      </c>
      <c r="I48" s="436">
        <f t="shared" si="4"/>
        <v>8.8888888888888893</v>
      </c>
      <c r="J48" s="434"/>
      <c r="K48" s="434">
        <v>15</v>
      </c>
      <c r="L48" s="436">
        <f t="shared" si="5"/>
        <v>33.333333333333329</v>
      </c>
      <c r="N48" s="434">
        <v>9</v>
      </c>
      <c r="O48" s="436">
        <f t="shared" si="2"/>
        <v>20</v>
      </c>
      <c r="P48" s="442"/>
    </row>
    <row r="49" spans="1:16" ht="13.15" customHeight="1">
      <c r="A49" s="434" t="s">
        <v>46</v>
      </c>
      <c r="B49" s="544">
        <f>IF($A49&lt;&gt;"",E49+H49+K49+N49,"")</f>
        <v>17</v>
      </c>
      <c r="C49" s="436">
        <f>IF(A49&lt;&gt;0,B49/$B$11*100,"")</f>
        <v>0.85771947527749737</v>
      </c>
      <c r="E49" s="434">
        <v>4</v>
      </c>
      <c r="F49" s="436">
        <f t="shared" si="3"/>
        <v>23.52941176470588</v>
      </c>
      <c r="H49" s="434">
        <v>3</v>
      </c>
      <c r="I49" s="436">
        <f t="shared" si="4"/>
        <v>17.647058823529413</v>
      </c>
      <c r="J49" s="434"/>
      <c r="K49" s="434">
        <v>4</v>
      </c>
      <c r="L49" s="436">
        <f t="shared" si="5"/>
        <v>23.52941176470588</v>
      </c>
      <c r="N49" s="434">
        <v>6</v>
      </c>
      <c r="O49" s="436">
        <f t="shared" si="2"/>
        <v>35.294117647058826</v>
      </c>
      <c r="P49" s="442"/>
    </row>
    <row r="50" spans="1:16" ht="9" customHeight="1">
      <c r="B50" s="544" t="str">
        <f t="shared" si="0"/>
        <v/>
      </c>
      <c r="C50" s="436" t="str">
        <f t="shared" si="1"/>
        <v/>
      </c>
      <c r="E50" s="434"/>
      <c r="F50" s="436" t="str">
        <f t="shared" si="3"/>
        <v/>
      </c>
      <c r="H50" s="434"/>
      <c r="I50" s="436" t="str">
        <f t="shared" si="4"/>
        <v/>
      </c>
      <c r="J50" s="434"/>
      <c r="K50" s="434"/>
      <c r="L50" s="436" t="str">
        <f t="shared" si="5"/>
        <v/>
      </c>
      <c r="N50" s="434"/>
      <c r="O50" s="436" t="str">
        <f t="shared" si="2"/>
        <v/>
      </c>
      <c r="P50" s="442"/>
    </row>
    <row r="51" spans="1:16" ht="13.15" customHeight="1">
      <c r="A51" s="434" t="s">
        <v>50</v>
      </c>
      <c r="B51" s="544">
        <f t="shared" si="0"/>
        <v>58</v>
      </c>
      <c r="C51" s="436">
        <f t="shared" si="1"/>
        <v>2.9263370332996974</v>
      </c>
      <c r="E51" s="434">
        <v>19</v>
      </c>
      <c r="F51" s="436">
        <f t="shared" si="3"/>
        <v>32.758620689655174</v>
      </c>
      <c r="H51" s="434">
        <v>3</v>
      </c>
      <c r="I51" s="436">
        <f t="shared" si="4"/>
        <v>5.1724137931034484</v>
      </c>
      <c r="J51" s="434"/>
      <c r="K51" s="434">
        <v>15</v>
      </c>
      <c r="L51" s="436">
        <f t="shared" si="5"/>
        <v>25.862068965517242</v>
      </c>
      <c r="N51" s="434">
        <v>21</v>
      </c>
      <c r="O51" s="436">
        <f t="shared" si="2"/>
        <v>36.206896551724135</v>
      </c>
      <c r="P51" s="442"/>
    </row>
    <row r="52" spans="1:16" ht="9" customHeight="1">
      <c r="B52" s="544" t="str">
        <f t="shared" si="0"/>
        <v/>
      </c>
      <c r="C52" s="436" t="str">
        <f t="shared" si="1"/>
        <v/>
      </c>
      <c r="F52" s="436" t="str">
        <f t="shared" si="3"/>
        <v/>
      </c>
      <c r="I52" s="436" t="str">
        <f t="shared" si="4"/>
        <v/>
      </c>
      <c r="L52" s="436" t="str">
        <f t="shared" si="5"/>
        <v/>
      </c>
      <c r="M52" s="440"/>
      <c r="O52" s="436" t="str">
        <f t="shared" si="2"/>
        <v/>
      </c>
      <c r="P52" s="442"/>
    </row>
    <row r="53" spans="1:16" ht="13.15" customHeight="1">
      <c r="A53" s="434" t="s">
        <v>51</v>
      </c>
      <c r="B53" s="544">
        <f t="shared" si="0"/>
        <v>91</v>
      </c>
      <c r="C53" s="436">
        <f t="shared" si="1"/>
        <v>4.5913218970736631</v>
      </c>
      <c r="E53" s="435">
        <f>SUM(E54:E58)</f>
        <v>23</v>
      </c>
      <c r="F53" s="436">
        <f t="shared" si="3"/>
        <v>25.274725274725274</v>
      </c>
      <c r="H53" s="435">
        <f>SUM(H54:H58)</f>
        <v>14</v>
      </c>
      <c r="I53" s="436">
        <f t="shared" si="4"/>
        <v>15.384615384615385</v>
      </c>
      <c r="K53" s="435">
        <f>SUM(K54:K58)</f>
        <v>26</v>
      </c>
      <c r="L53" s="436">
        <f t="shared" si="5"/>
        <v>28.571428571428569</v>
      </c>
      <c r="M53" s="440"/>
      <c r="N53" s="435">
        <f>SUM(N54:N58)</f>
        <v>28</v>
      </c>
      <c r="O53" s="436">
        <f t="shared" si="2"/>
        <v>30.76923076923077</v>
      </c>
      <c r="P53" s="442"/>
    </row>
    <row r="54" spans="1:16" ht="13.15" customHeight="1">
      <c r="A54" s="434" t="s">
        <v>52</v>
      </c>
      <c r="B54" s="544">
        <f t="shared" si="0"/>
        <v>15</v>
      </c>
      <c r="C54" s="436">
        <f t="shared" si="1"/>
        <v>0.75681130171543898</v>
      </c>
      <c r="E54" s="434">
        <v>3</v>
      </c>
      <c r="F54" s="436">
        <f t="shared" si="3"/>
        <v>20</v>
      </c>
      <c r="H54" s="434">
        <v>3</v>
      </c>
      <c r="I54" s="436">
        <f t="shared" si="4"/>
        <v>20</v>
      </c>
      <c r="J54" s="434"/>
      <c r="K54" s="434">
        <v>2</v>
      </c>
      <c r="L54" s="436">
        <f t="shared" si="5"/>
        <v>13.333333333333334</v>
      </c>
      <c r="N54" s="434">
        <v>7</v>
      </c>
      <c r="O54" s="436">
        <f t="shared" si="2"/>
        <v>46.666666666666664</v>
      </c>
      <c r="P54" s="442"/>
    </row>
    <row r="55" spans="1:16" ht="13.15" customHeight="1">
      <c r="A55" s="434" t="s">
        <v>53</v>
      </c>
      <c r="B55" s="544">
        <f t="shared" si="0"/>
        <v>29</v>
      </c>
      <c r="C55" s="436">
        <f t="shared" si="1"/>
        <v>1.4631685166498487</v>
      </c>
      <c r="E55" s="434">
        <v>10</v>
      </c>
      <c r="F55" s="436">
        <f t="shared" si="3"/>
        <v>34.482758620689658</v>
      </c>
      <c r="H55" s="434">
        <v>3</v>
      </c>
      <c r="I55" s="436">
        <f t="shared" si="4"/>
        <v>10.344827586206897</v>
      </c>
      <c r="J55" s="434"/>
      <c r="K55" s="434">
        <v>7</v>
      </c>
      <c r="L55" s="436">
        <f t="shared" si="5"/>
        <v>24.137931034482758</v>
      </c>
      <c r="N55" s="434">
        <v>9</v>
      </c>
      <c r="O55" s="436">
        <f t="shared" si="2"/>
        <v>31.03448275862069</v>
      </c>
      <c r="P55" s="442"/>
    </row>
    <row r="56" spans="1:16" ht="13.15" customHeight="1">
      <c r="A56" s="434" t="s">
        <v>54</v>
      </c>
      <c r="B56" s="544">
        <f t="shared" si="0"/>
        <v>23</v>
      </c>
      <c r="C56" s="436">
        <f t="shared" si="1"/>
        <v>1.160443995963673</v>
      </c>
      <c r="E56" s="434">
        <v>4</v>
      </c>
      <c r="F56" s="436">
        <f t="shared" si="3"/>
        <v>17.391304347826086</v>
      </c>
      <c r="H56" s="434">
        <v>5</v>
      </c>
      <c r="I56" s="436">
        <f t="shared" si="4"/>
        <v>21.739130434782609</v>
      </c>
      <c r="J56" s="434"/>
      <c r="K56" s="434">
        <v>7</v>
      </c>
      <c r="L56" s="436">
        <f t="shared" si="5"/>
        <v>30.434782608695656</v>
      </c>
      <c r="N56" s="434">
        <v>7</v>
      </c>
      <c r="O56" s="436">
        <f t="shared" si="2"/>
        <v>30.434782608695656</v>
      </c>
      <c r="P56" s="442"/>
    </row>
    <row r="57" spans="1:16" ht="13.15" customHeight="1">
      <c r="A57" s="434" t="s">
        <v>332</v>
      </c>
      <c r="B57" s="544">
        <f t="shared" si="0"/>
        <v>10</v>
      </c>
      <c r="C57" s="436">
        <f t="shared" si="1"/>
        <v>0.50454086781029261</v>
      </c>
      <c r="E57" s="434">
        <v>1</v>
      </c>
      <c r="F57" s="436">
        <f t="shared" si="3"/>
        <v>10</v>
      </c>
      <c r="H57" s="434">
        <v>2</v>
      </c>
      <c r="I57" s="436">
        <f t="shared" si="4"/>
        <v>20</v>
      </c>
      <c r="J57" s="434"/>
      <c r="K57" s="434">
        <v>3</v>
      </c>
      <c r="L57" s="436">
        <f t="shared" si="5"/>
        <v>30</v>
      </c>
      <c r="N57" s="434">
        <v>4</v>
      </c>
      <c r="O57" s="436">
        <f t="shared" si="2"/>
        <v>40</v>
      </c>
      <c r="P57" s="442"/>
    </row>
    <row r="58" spans="1:16" ht="13.15" customHeight="1">
      <c r="A58" s="434" t="s">
        <v>56</v>
      </c>
      <c r="B58" s="544">
        <f t="shared" si="0"/>
        <v>14</v>
      </c>
      <c r="C58" s="436">
        <f t="shared" si="1"/>
        <v>0.70635721493440973</v>
      </c>
      <c r="E58" s="434">
        <v>5</v>
      </c>
      <c r="F58" s="436">
        <f t="shared" si="3"/>
        <v>35.714285714285715</v>
      </c>
      <c r="H58" s="434">
        <v>1</v>
      </c>
      <c r="I58" s="436">
        <f t="shared" si="4"/>
        <v>7.1428571428571423</v>
      </c>
      <c r="J58" s="434"/>
      <c r="K58" s="434">
        <v>7</v>
      </c>
      <c r="L58" s="436">
        <f t="shared" si="5"/>
        <v>50</v>
      </c>
      <c r="N58" s="434">
        <v>1</v>
      </c>
      <c r="O58" s="436">
        <f t="shared" si="2"/>
        <v>7.1428571428571423</v>
      </c>
      <c r="P58" s="442"/>
    </row>
    <row r="59" spans="1:16" ht="9" customHeight="1">
      <c r="B59" s="544" t="str">
        <f t="shared" si="0"/>
        <v/>
      </c>
      <c r="C59" s="436" t="str">
        <f t="shared" si="1"/>
        <v/>
      </c>
      <c r="F59" s="436" t="str">
        <f t="shared" si="3"/>
        <v/>
      </c>
      <c r="I59" s="436" t="str">
        <f t="shared" si="4"/>
        <v/>
      </c>
      <c r="L59" s="436" t="str">
        <f t="shared" si="5"/>
        <v/>
      </c>
      <c r="M59" s="440"/>
      <c r="O59" s="436" t="str">
        <f t="shared" si="2"/>
        <v/>
      </c>
      <c r="P59" s="442"/>
    </row>
    <row r="60" spans="1:16" ht="13.15" customHeight="1">
      <c r="A60" s="63" t="s">
        <v>333</v>
      </c>
      <c r="B60" s="544">
        <f t="shared" si="0"/>
        <v>562</v>
      </c>
      <c r="C60" s="436">
        <f t="shared" si="1"/>
        <v>28.355196770938445</v>
      </c>
      <c r="E60" s="435">
        <f>E61+E63+E70+E72</f>
        <v>79</v>
      </c>
      <c r="F60" s="436">
        <f t="shared" si="3"/>
        <v>14.056939501779359</v>
      </c>
      <c r="H60" s="435">
        <f>H61+H63+H70+H72</f>
        <v>47</v>
      </c>
      <c r="I60" s="436">
        <f t="shared" si="4"/>
        <v>8.362989323843415</v>
      </c>
      <c r="K60" s="435">
        <f>K61+K63+K70+K72</f>
        <v>79</v>
      </c>
      <c r="L60" s="436">
        <f t="shared" si="5"/>
        <v>14.056939501779359</v>
      </c>
      <c r="M60" s="440"/>
      <c r="N60" s="435">
        <f>N61+N63+N70+N72</f>
        <v>357</v>
      </c>
      <c r="O60" s="436">
        <f t="shared" si="2"/>
        <v>63.523131672597863</v>
      </c>
      <c r="P60" s="442"/>
    </row>
    <row r="61" spans="1:16" ht="13.15" customHeight="1">
      <c r="A61" s="434" t="s">
        <v>334</v>
      </c>
      <c r="B61" s="544">
        <f t="shared" si="0"/>
        <v>23</v>
      </c>
      <c r="C61" s="436">
        <f t="shared" si="1"/>
        <v>1.160443995963673</v>
      </c>
      <c r="E61" s="434">
        <v>3</v>
      </c>
      <c r="F61" s="436">
        <f t="shared" si="3"/>
        <v>13.043478260869565</v>
      </c>
      <c r="H61" s="434">
        <v>6</v>
      </c>
      <c r="I61" s="436">
        <f t="shared" si="4"/>
        <v>26.086956521739129</v>
      </c>
      <c r="J61" s="434"/>
      <c r="K61" s="434">
        <v>8</v>
      </c>
      <c r="L61" s="436">
        <f t="shared" si="5"/>
        <v>34.782608695652172</v>
      </c>
      <c r="N61" s="434">
        <v>6</v>
      </c>
      <c r="O61" s="436">
        <f t="shared" si="2"/>
        <v>26.086956521739129</v>
      </c>
      <c r="P61" s="442"/>
    </row>
    <row r="62" spans="1:16" ht="9" customHeight="1">
      <c r="B62" s="544" t="str">
        <f t="shared" si="0"/>
        <v/>
      </c>
      <c r="C62" s="436" t="str">
        <f t="shared" si="1"/>
        <v/>
      </c>
      <c r="F62" s="436" t="str">
        <f t="shared" si="3"/>
        <v/>
      </c>
      <c r="I62" s="436" t="str">
        <f t="shared" si="4"/>
        <v/>
      </c>
      <c r="L62" s="436" t="str">
        <f t="shared" si="5"/>
        <v/>
      </c>
      <c r="M62" s="440"/>
      <c r="O62" s="436" t="str">
        <f t="shared" si="2"/>
        <v/>
      </c>
      <c r="P62" s="442"/>
    </row>
    <row r="63" spans="1:16" ht="13.15" customHeight="1">
      <c r="A63" s="434" t="s">
        <v>60</v>
      </c>
      <c r="B63" s="544">
        <f t="shared" si="0"/>
        <v>400</v>
      </c>
      <c r="C63" s="436">
        <f t="shared" si="1"/>
        <v>20.181634712411707</v>
      </c>
      <c r="E63" s="435">
        <f>SUM(E64:E68)</f>
        <v>35</v>
      </c>
      <c r="F63" s="436">
        <f t="shared" si="3"/>
        <v>8.75</v>
      </c>
      <c r="H63" s="435">
        <f>SUM(H64:H68)</f>
        <v>24</v>
      </c>
      <c r="I63" s="436">
        <f t="shared" si="4"/>
        <v>6</v>
      </c>
      <c r="K63" s="435">
        <f>SUM(K64:K68)</f>
        <v>48</v>
      </c>
      <c r="L63" s="436">
        <f t="shared" si="5"/>
        <v>12</v>
      </c>
      <c r="M63" s="440"/>
      <c r="N63" s="435">
        <f>SUM(N64:N68)</f>
        <v>293</v>
      </c>
      <c r="O63" s="436">
        <f t="shared" si="2"/>
        <v>73.25</v>
      </c>
      <c r="P63" s="442"/>
    </row>
    <row r="64" spans="1:16" ht="13.15" customHeight="1">
      <c r="A64" s="434" t="s">
        <v>61</v>
      </c>
      <c r="B64" s="544">
        <f t="shared" si="0"/>
        <v>320</v>
      </c>
      <c r="C64" s="436">
        <f t="shared" si="1"/>
        <v>16.145307769929364</v>
      </c>
      <c r="E64" s="434">
        <v>25</v>
      </c>
      <c r="F64" s="436">
        <f t="shared" si="3"/>
        <v>7.8125</v>
      </c>
      <c r="H64" s="434">
        <v>17</v>
      </c>
      <c r="I64" s="436">
        <f t="shared" si="4"/>
        <v>5.3125</v>
      </c>
      <c r="J64" s="434"/>
      <c r="K64" s="434">
        <v>22</v>
      </c>
      <c r="L64" s="436">
        <f t="shared" si="5"/>
        <v>6.8750000000000009</v>
      </c>
      <c r="N64" s="434">
        <v>256</v>
      </c>
      <c r="O64" s="436">
        <f t="shared" si="2"/>
        <v>80</v>
      </c>
      <c r="P64" s="442"/>
    </row>
    <row r="65" spans="1:16" ht="13.15" customHeight="1">
      <c r="A65" s="434" t="s">
        <v>62</v>
      </c>
      <c r="B65" s="544">
        <f t="shared" si="0"/>
        <v>31</v>
      </c>
      <c r="C65" s="436">
        <f t="shared" si="1"/>
        <v>1.564076690211907</v>
      </c>
      <c r="E65" s="434">
        <v>2</v>
      </c>
      <c r="F65" s="436">
        <f t="shared" si="3"/>
        <v>6.4516129032258061</v>
      </c>
      <c r="H65" s="434">
        <v>3</v>
      </c>
      <c r="I65" s="436">
        <f t="shared" si="4"/>
        <v>9.67741935483871</v>
      </c>
      <c r="J65" s="434"/>
      <c r="K65" s="434">
        <v>9</v>
      </c>
      <c r="L65" s="436">
        <f t="shared" si="5"/>
        <v>29.032258064516132</v>
      </c>
      <c r="N65" s="434">
        <v>17</v>
      </c>
      <c r="O65" s="436">
        <f t="shared" si="2"/>
        <v>54.838709677419352</v>
      </c>
      <c r="P65" s="442"/>
    </row>
    <row r="66" spans="1:16" ht="13.15" customHeight="1">
      <c r="A66" s="434" t="s">
        <v>64</v>
      </c>
      <c r="B66" s="544">
        <f t="shared" si="0"/>
        <v>24</v>
      </c>
      <c r="C66" s="436">
        <f t="shared" si="1"/>
        <v>1.2108980827447022</v>
      </c>
      <c r="E66" s="434">
        <v>5</v>
      </c>
      <c r="F66" s="436">
        <f t="shared" si="3"/>
        <v>20.833333333333336</v>
      </c>
      <c r="H66" s="434">
        <v>1</v>
      </c>
      <c r="I66" s="436">
        <f t="shared" si="4"/>
        <v>4.1666666666666661</v>
      </c>
      <c r="J66" s="434"/>
      <c r="K66" s="434">
        <v>9</v>
      </c>
      <c r="L66" s="436">
        <f t="shared" si="5"/>
        <v>37.5</v>
      </c>
      <c r="N66" s="434">
        <v>9</v>
      </c>
      <c r="O66" s="436">
        <f t="shared" si="2"/>
        <v>37.5</v>
      </c>
      <c r="P66" s="442"/>
    </row>
    <row r="67" spans="1:16" ht="13.15" customHeight="1">
      <c r="A67" s="434" t="s">
        <v>376</v>
      </c>
      <c r="B67" s="544">
        <f t="shared" si="0"/>
        <v>12</v>
      </c>
      <c r="C67" s="436">
        <f t="shared" si="1"/>
        <v>0.60544904137235112</v>
      </c>
      <c r="E67" s="434">
        <v>1</v>
      </c>
      <c r="F67" s="436">
        <f t="shared" si="3"/>
        <v>8.3333333333333321</v>
      </c>
      <c r="H67" s="434">
        <v>1</v>
      </c>
      <c r="I67" s="436">
        <f t="shared" si="4"/>
        <v>8.3333333333333321</v>
      </c>
      <c r="J67" s="434"/>
      <c r="K67" s="434">
        <v>3</v>
      </c>
      <c r="L67" s="436">
        <f t="shared" si="5"/>
        <v>25</v>
      </c>
      <c r="N67" s="434">
        <v>7</v>
      </c>
      <c r="O67" s="436">
        <f t="shared" si="2"/>
        <v>58.333333333333336</v>
      </c>
      <c r="P67" s="442"/>
    </row>
    <row r="68" spans="1:16" ht="13.15" customHeight="1">
      <c r="A68" s="434" t="s">
        <v>63</v>
      </c>
      <c r="B68" s="544">
        <f t="shared" si="0"/>
        <v>13</v>
      </c>
      <c r="C68" s="436">
        <f t="shared" si="1"/>
        <v>0.65590312815338037</v>
      </c>
      <c r="E68" s="434">
        <v>2</v>
      </c>
      <c r="F68" s="436">
        <f t="shared" si="3"/>
        <v>15.384615384615385</v>
      </c>
      <c r="H68" s="434">
        <v>2</v>
      </c>
      <c r="I68" s="436">
        <f t="shared" si="4"/>
        <v>15.384615384615385</v>
      </c>
      <c r="J68" s="434"/>
      <c r="K68" s="434">
        <v>5</v>
      </c>
      <c r="L68" s="436">
        <f t="shared" si="5"/>
        <v>38.461538461538467</v>
      </c>
      <c r="N68" s="434">
        <v>4</v>
      </c>
      <c r="O68" s="436">
        <f t="shared" si="2"/>
        <v>30.76923076923077</v>
      </c>
      <c r="P68" s="442"/>
    </row>
    <row r="69" spans="1:16" ht="9" customHeight="1">
      <c r="B69" s="544" t="str">
        <f t="shared" si="0"/>
        <v/>
      </c>
      <c r="C69" s="436" t="str">
        <f t="shared" si="1"/>
        <v/>
      </c>
      <c r="E69" s="434"/>
      <c r="F69" s="436" t="str">
        <f t="shared" si="3"/>
        <v/>
      </c>
      <c r="H69" s="434"/>
      <c r="I69" s="436" t="str">
        <f t="shared" si="4"/>
        <v/>
      </c>
      <c r="J69" s="434"/>
      <c r="K69" s="434"/>
      <c r="L69" s="436" t="str">
        <f t="shared" si="5"/>
        <v/>
      </c>
      <c r="N69" s="434"/>
      <c r="O69" s="436" t="str">
        <f t="shared" si="2"/>
        <v/>
      </c>
      <c r="P69" s="442"/>
    </row>
    <row r="70" spans="1:16" ht="13.15" customHeight="1">
      <c r="A70" s="434" t="s">
        <v>66</v>
      </c>
      <c r="B70" s="544">
        <f t="shared" si="0"/>
        <v>50</v>
      </c>
      <c r="C70" s="436">
        <f t="shared" si="1"/>
        <v>2.5227043390514634</v>
      </c>
      <c r="E70" s="434">
        <v>33</v>
      </c>
      <c r="F70" s="436">
        <f t="shared" si="3"/>
        <v>66</v>
      </c>
      <c r="H70" s="434">
        <v>1</v>
      </c>
      <c r="I70" s="436">
        <f t="shared" si="4"/>
        <v>2</v>
      </c>
      <c r="J70" s="434"/>
      <c r="K70" s="434">
        <v>15</v>
      </c>
      <c r="L70" s="436">
        <f t="shared" si="5"/>
        <v>30</v>
      </c>
      <c r="N70" s="434">
        <v>1</v>
      </c>
      <c r="O70" s="436">
        <f t="shared" si="2"/>
        <v>2</v>
      </c>
      <c r="P70" s="442"/>
    </row>
    <row r="71" spans="1:16" ht="9" customHeight="1">
      <c r="B71" s="544" t="str">
        <f t="shared" si="0"/>
        <v/>
      </c>
      <c r="C71" s="436" t="str">
        <f t="shared" si="1"/>
        <v/>
      </c>
      <c r="E71" s="434"/>
      <c r="F71" s="436" t="str">
        <f t="shared" si="3"/>
        <v/>
      </c>
      <c r="H71" s="434"/>
      <c r="I71" s="436" t="str">
        <f t="shared" si="4"/>
        <v/>
      </c>
      <c r="J71" s="434"/>
      <c r="K71" s="434"/>
      <c r="L71" s="436" t="str">
        <f t="shared" si="5"/>
        <v/>
      </c>
      <c r="N71" s="434"/>
      <c r="O71" s="436" t="str">
        <f t="shared" si="2"/>
        <v/>
      </c>
      <c r="P71" s="442"/>
    </row>
    <row r="72" spans="1:16" ht="13.15" customHeight="1">
      <c r="A72" s="434" t="s">
        <v>67</v>
      </c>
      <c r="B72" s="544">
        <f t="shared" si="0"/>
        <v>89</v>
      </c>
      <c r="C72" s="436">
        <f t="shared" si="1"/>
        <v>4.4904137235116037</v>
      </c>
      <c r="E72" s="434">
        <v>8</v>
      </c>
      <c r="F72" s="436">
        <f t="shared" si="3"/>
        <v>8.9887640449438209</v>
      </c>
      <c r="H72" s="434">
        <v>16</v>
      </c>
      <c r="I72" s="436">
        <f t="shared" si="4"/>
        <v>17.977528089887642</v>
      </c>
      <c r="J72" s="434"/>
      <c r="K72" s="434">
        <v>8</v>
      </c>
      <c r="L72" s="436">
        <f t="shared" si="5"/>
        <v>8.9887640449438209</v>
      </c>
      <c r="N72" s="434">
        <v>57</v>
      </c>
      <c r="O72" s="436">
        <f t="shared" si="2"/>
        <v>64.044943820224717</v>
      </c>
      <c r="P72" s="442"/>
    </row>
    <row r="73" spans="1:16" ht="9" customHeight="1">
      <c r="B73" s="544" t="str">
        <f t="shared" si="0"/>
        <v/>
      </c>
      <c r="C73" s="436" t="str">
        <f t="shared" si="1"/>
        <v/>
      </c>
      <c r="F73" s="436" t="str">
        <f t="shared" si="3"/>
        <v/>
      </c>
      <c r="I73" s="436" t="str">
        <f t="shared" si="4"/>
        <v/>
      </c>
      <c r="L73" s="436" t="str">
        <f t="shared" si="5"/>
        <v/>
      </c>
      <c r="M73" s="440"/>
      <c r="O73" s="436" t="str">
        <f t="shared" si="2"/>
        <v/>
      </c>
      <c r="P73" s="442"/>
    </row>
    <row r="74" spans="1:16" ht="13.15" customHeight="1">
      <c r="A74" s="63" t="s">
        <v>336</v>
      </c>
      <c r="B74" s="544">
        <f t="shared" si="0"/>
        <v>110</v>
      </c>
      <c r="C74" s="436">
        <f t="shared" si="1"/>
        <v>5.5499495459132184</v>
      </c>
      <c r="E74" s="435">
        <f>E75</f>
        <v>36</v>
      </c>
      <c r="F74" s="436">
        <f t="shared" si="3"/>
        <v>32.727272727272727</v>
      </c>
      <c r="H74" s="435">
        <f>H75</f>
        <v>17</v>
      </c>
      <c r="I74" s="436">
        <f t="shared" si="4"/>
        <v>15.454545454545453</v>
      </c>
      <c r="K74" s="435">
        <f>K75</f>
        <v>38</v>
      </c>
      <c r="L74" s="436">
        <f t="shared" si="5"/>
        <v>34.545454545454547</v>
      </c>
      <c r="M74" s="440"/>
      <c r="N74" s="435">
        <f>N75</f>
        <v>19</v>
      </c>
      <c r="O74" s="436">
        <f t="shared" si="2"/>
        <v>17.272727272727273</v>
      </c>
      <c r="P74" s="442"/>
    </row>
    <row r="75" spans="1:16" ht="13.15" customHeight="1">
      <c r="A75" s="434" t="s">
        <v>337</v>
      </c>
      <c r="B75" s="544">
        <f t="shared" si="0"/>
        <v>110</v>
      </c>
      <c r="C75" s="436">
        <f t="shared" si="1"/>
        <v>5.5499495459132184</v>
      </c>
      <c r="E75" s="435">
        <f>SUM(E76:E79)</f>
        <v>36</v>
      </c>
      <c r="F75" s="436">
        <f t="shared" si="3"/>
        <v>32.727272727272727</v>
      </c>
      <c r="H75" s="435">
        <f>SUM(H76:H79)</f>
        <v>17</v>
      </c>
      <c r="I75" s="436">
        <f t="shared" si="4"/>
        <v>15.454545454545453</v>
      </c>
      <c r="K75" s="435">
        <f>SUM(K76:K79)</f>
        <v>38</v>
      </c>
      <c r="L75" s="436">
        <f t="shared" si="5"/>
        <v>34.545454545454547</v>
      </c>
      <c r="M75" s="440"/>
      <c r="N75" s="435">
        <f>SUM(N76:N79)</f>
        <v>19</v>
      </c>
      <c r="O75" s="436">
        <f t="shared" si="2"/>
        <v>17.272727272727273</v>
      </c>
      <c r="P75" s="442"/>
    </row>
    <row r="76" spans="1:16" ht="13.15" customHeight="1">
      <c r="A76" s="434" t="s">
        <v>70</v>
      </c>
      <c r="B76" s="544">
        <f t="shared" si="0"/>
        <v>15</v>
      </c>
      <c r="C76" s="436">
        <f t="shared" ref="C76:C100" si="6">IF(A76&lt;&gt;0,B76/$B$11*100,"")</f>
        <v>0.75681130171543898</v>
      </c>
      <c r="E76" s="434">
        <v>2</v>
      </c>
      <c r="F76" s="436">
        <f t="shared" si="3"/>
        <v>13.333333333333334</v>
      </c>
      <c r="H76" s="434">
        <v>3</v>
      </c>
      <c r="I76" s="436">
        <f t="shared" si="4"/>
        <v>20</v>
      </c>
      <c r="J76" s="434"/>
      <c r="K76" s="434">
        <v>2</v>
      </c>
      <c r="L76" s="436">
        <f t="shared" si="5"/>
        <v>13.333333333333334</v>
      </c>
      <c r="N76" s="434">
        <v>8</v>
      </c>
      <c r="O76" s="436">
        <f t="shared" si="2"/>
        <v>53.333333333333336</v>
      </c>
      <c r="P76" s="442"/>
    </row>
    <row r="77" spans="1:16" ht="13.15" customHeight="1">
      <c r="A77" s="434" t="s">
        <v>71</v>
      </c>
      <c r="B77" s="544">
        <f t="shared" si="0"/>
        <v>57</v>
      </c>
      <c r="C77" s="436">
        <f t="shared" si="6"/>
        <v>2.8758829465186682</v>
      </c>
      <c r="E77" s="434">
        <v>21</v>
      </c>
      <c r="F77" s="436">
        <f t="shared" si="3"/>
        <v>36.84210526315789</v>
      </c>
      <c r="H77" s="434">
        <v>6</v>
      </c>
      <c r="I77" s="436">
        <f t="shared" si="4"/>
        <v>10.526315789473683</v>
      </c>
      <c r="J77" s="434"/>
      <c r="K77" s="434">
        <v>23</v>
      </c>
      <c r="L77" s="436">
        <f t="shared" si="5"/>
        <v>40.350877192982452</v>
      </c>
      <c r="N77" s="434">
        <v>7</v>
      </c>
      <c r="O77" s="436">
        <f t="shared" si="2"/>
        <v>12.280701754385964</v>
      </c>
      <c r="P77" s="442"/>
    </row>
    <row r="78" spans="1:16" ht="13.15" customHeight="1">
      <c r="A78" s="434" t="s">
        <v>72</v>
      </c>
      <c r="B78" s="544">
        <f t="shared" ref="B78:B100" si="7">IF($A78&lt;&gt;"",E78+H78+K78+N78,"")</f>
        <v>11</v>
      </c>
      <c r="C78" s="436">
        <f t="shared" si="6"/>
        <v>0.55499495459132198</v>
      </c>
      <c r="E78" s="434">
        <v>6</v>
      </c>
      <c r="F78" s="436">
        <f t="shared" si="3"/>
        <v>54.54545454545454</v>
      </c>
      <c r="H78" s="434">
        <v>3</v>
      </c>
      <c r="I78" s="436">
        <f t="shared" si="4"/>
        <v>27.27272727272727</v>
      </c>
      <c r="J78" s="434"/>
      <c r="K78" s="434">
        <v>1</v>
      </c>
      <c r="L78" s="436">
        <f t="shared" si="5"/>
        <v>9.0909090909090917</v>
      </c>
      <c r="N78" s="434">
        <v>1</v>
      </c>
      <c r="O78" s="436">
        <f t="shared" ref="O78:O100" si="8">IF($A78&lt;&gt;"",N78/$B78*100,"")</f>
        <v>9.0909090909090917</v>
      </c>
      <c r="P78" s="442"/>
    </row>
    <row r="79" spans="1:16" ht="13.15" customHeight="1">
      <c r="A79" s="434" t="s">
        <v>73</v>
      </c>
      <c r="B79" s="544">
        <f t="shared" si="7"/>
        <v>27</v>
      </c>
      <c r="C79" s="436">
        <f t="shared" si="6"/>
        <v>1.3622603430877902</v>
      </c>
      <c r="E79" s="434">
        <v>7</v>
      </c>
      <c r="F79" s="436">
        <f t="shared" si="3"/>
        <v>25.925925925925924</v>
      </c>
      <c r="H79" s="434">
        <v>5</v>
      </c>
      <c r="I79" s="436">
        <f t="shared" si="4"/>
        <v>18.518518518518519</v>
      </c>
      <c r="J79" s="434"/>
      <c r="K79" s="434">
        <v>12</v>
      </c>
      <c r="L79" s="436">
        <f t="shared" si="5"/>
        <v>44.444444444444443</v>
      </c>
      <c r="N79" s="434">
        <v>3</v>
      </c>
      <c r="O79" s="436">
        <f t="shared" si="8"/>
        <v>11.111111111111111</v>
      </c>
      <c r="P79" s="442"/>
    </row>
    <row r="80" spans="1:16" ht="9" customHeight="1">
      <c r="C80" s="436" t="str">
        <f t="shared" si="6"/>
        <v/>
      </c>
      <c r="F80" s="436" t="str">
        <f t="shared" si="3"/>
        <v/>
      </c>
      <c r="I80" s="436" t="str">
        <f t="shared" si="4"/>
        <v/>
      </c>
      <c r="L80" s="436" t="str">
        <f t="shared" si="5"/>
        <v/>
      </c>
      <c r="M80" s="440"/>
      <c r="O80" s="436" t="str">
        <f t="shared" si="8"/>
        <v/>
      </c>
      <c r="P80" s="442"/>
    </row>
    <row r="81" spans="1:16" ht="12.75" customHeight="1">
      <c r="A81" s="63" t="s">
        <v>396</v>
      </c>
      <c r="B81" s="544">
        <f t="shared" si="7"/>
        <v>177</v>
      </c>
      <c r="C81" s="436">
        <f t="shared" si="6"/>
        <v>8.9303733602421786</v>
      </c>
      <c r="E81" s="435">
        <f>SUM(E82)</f>
        <v>35</v>
      </c>
      <c r="F81" s="436">
        <f t="shared" ref="F81:F100" si="9">IF($A81&lt;&gt;"",E81/$B81*100,"")</f>
        <v>19.774011299435028</v>
      </c>
      <c r="H81" s="435">
        <f>SUM(H82)</f>
        <v>16</v>
      </c>
      <c r="I81" s="436">
        <f t="shared" ref="I81:I100" si="10">IF($A81&lt;&gt;"",H81/$B81*100,"")</f>
        <v>9.0395480225988702</v>
      </c>
      <c r="K81" s="435">
        <f>SUM(K82)</f>
        <v>40</v>
      </c>
      <c r="L81" s="436">
        <f t="shared" ref="L81:L100" si="11">IF($A81&lt;&gt;"",K81/$B81*100,"")</f>
        <v>22.598870056497177</v>
      </c>
      <c r="M81" s="440"/>
      <c r="N81" s="435">
        <f>SUM(N82)</f>
        <v>86</v>
      </c>
      <c r="O81" s="436">
        <f t="shared" si="8"/>
        <v>48.587570621468927</v>
      </c>
      <c r="P81" s="442"/>
    </row>
    <row r="82" spans="1:16" ht="13.15" customHeight="1">
      <c r="A82" s="434" t="s">
        <v>75</v>
      </c>
      <c r="B82" s="544">
        <f t="shared" si="7"/>
        <v>177</v>
      </c>
      <c r="C82" s="436">
        <f t="shared" si="6"/>
        <v>8.9303733602421786</v>
      </c>
      <c r="E82" s="435">
        <f>SUM(E83:E91)</f>
        <v>35</v>
      </c>
      <c r="F82" s="436">
        <f t="shared" si="9"/>
        <v>19.774011299435028</v>
      </c>
      <c r="H82" s="435">
        <f>SUM(H83:H91)</f>
        <v>16</v>
      </c>
      <c r="I82" s="436">
        <f t="shared" si="10"/>
        <v>9.0395480225988702</v>
      </c>
      <c r="K82" s="435">
        <f>SUM(K83:K91)</f>
        <v>40</v>
      </c>
      <c r="L82" s="436">
        <f t="shared" si="11"/>
        <v>22.598870056497177</v>
      </c>
      <c r="M82" s="440"/>
      <c r="N82" s="435">
        <f>SUM(N83:N91)</f>
        <v>86</v>
      </c>
      <c r="O82" s="436">
        <f t="shared" si="8"/>
        <v>48.587570621468927</v>
      </c>
      <c r="P82" s="442"/>
    </row>
    <row r="83" spans="1:16" ht="13.15" customHeight="1">
      <c r="A83" s="434" t="s">
        <v>338</v>
      </c>
      <c r="B83" s="544">
        <f t="shared" si="7"/>
        <v>12</v>
      </c>
      <c r="C83" s="436">
        <f t="shared" si="6"/>
        <v>0.60544904137235112</v>
      </c>
      <c r="E83" s="434">
        <v>3</v>
      </c>
      <c r="F83" s="436">
        <f t="shared" si="9"/>
        <v>25</v>
      </c>
      <c r="H83" s="434">
        <v>1</v>
      </c>
      <c r="I83" s="436">
        <f t="shared" si="10"/>
        <v>8.3333333333333321</v>
      </c>
      <c r="J83" s="434"/>
      <c r="K83" s="434">
        <v>6</v>
      </c>
      <c r="L83" s="436">
        <f t="shared" si="11"/>
        <v>50</v>
      </c>
      <c r="N83" s="434">
        <v>2</v>
      </c>
      <c r="O83" s="436">
        <f t="shared" si="8"/>
        <v>16.666666666666664</v>
      </c>
      <c r="P83" s="442"/>
    </row>
    <row r="84" spans="1:16" ht="13.15" customHeight="1">
      <c r="A84" s="434" t="s">
        <v>76</v>
      </c>
      <c r="B84" s="544">
        <f t="shared" si="7"/>
        <v>27</v>
      </c>
      <c r="C84" s="436">
        <f t="shared" si="6"/>
        <v>1.3622603430877902</v>
      </c>
      <c r="E84" s="434">
        <v>9</v>
      </c>
      <c r="F84" s="436">
        <f t="shared" si="9"/>
        <v>33.333333333333329</v>
      </c>
      <c r="H84" s="434">
        <v>3</v>
      </c>
      <c r="I84" s="436">
        <f t="shared" si="10"/>
        <v>11.111111111111111</v>
      </c>
      <c r="J84" s="434"/>
      <c r="K84" s="434">
        <v>6</v>
      </c>
      <c r="L84" s="436">
        <f t="shared" si="11"/>
        <v>22.222222222222221</v>
      </c>
      <c r="N84" s="434">
        <v>9</v>
      </c>
      <c r="O84" s="436">
        <f t="shared" si="8"/>
        <v>33.333333333333329</v>
      </c>
      <c r="P84" s="442"/>
    </row>
    <row r="85" spans="1:16" ht="13.15" customHeight="1">
      <c r="A85" s="434" t="s">
        <v>78</v>
      </c>
      <c r="B85" s="544">
        <f t="shared" si="7"/>
        <v>20</v>
      </c>
      <c r="C85" s="436">
        <f t="shared" si="6"/>
        <v>1.0090817356205852</v>
      </c>
      <c r="E85" s="434">
        <v>6</v>
      </c>
      <c r="F85" s="436">
        <f t="shared" si="9"/>
        <v>30</v>
      </c>
      <c r="H85" s="434">
        <v>1</v>
      </c>
      <c r="I85" s="436">
        <f t="shared" si="10"/>
        <v>5</v>
      </c>
      <c r="J85" s="434"/>
      <c r="K85" s="434">
        <v>6</v>
      </c>
      <c r="L85" s="436">
        <f t="shared" si="11"/>
        <v>30</v>
      </c>
      <c r="N85" s="434">
        <v>7</v>
      </c>
      <c r="O85" s="436">
        <f t="shared" si="8"/>
        <v>35</v>
      </c>
      <c r="P85" s="442"/>
    </row>
    <row r="86" spans="1:16" ht="13.15" customHeight="1">
      <c r="A86" s="434" t="s">
        <v>80</v>
      </c>
      <c r="B86" s="544">
        <f t="shared" si="7"/>
        <v>20</v>
      </c>
      <c r="C86" s="436">
        <f t="shared" si="6"/>
        <v>1.0090817356205852</v>
      </c>
      <c r="E86" s="434">
        <v>1</v>
      </c>
      <c r="F86" s="436">
        <f t="shared" si="9"/>
        <v>5</v>
      </c>
      <c r="H86" s="434">
        <v>1</v>
      </c>
      <c r="I86" s="436">
        <f t="shared" si="10"/>
        <v>5</v>
      </c>
      <c r="J86" s="434"/>
      <c r="K86" s="434">
        <v>4</v>
      </c>
      <c r="L86" s="436">
        <f t="shared" si="11"/>
        <v>20</v>
      </c>
      <c r="N86" s="434">
        <v>14</v>
      </c>
      <c r="O86" s="436">
        <f t="shared" si="8"/>
        <v>70</v>
      </c>
      <c r="P86" s="442"/>
    </row>
    <row r="87" spans="1:16" ht="13.15" customHeight="1">
      <c r="A87" s="434" t="s">
        <v>79</v>
      </c>
      <c r="B87" s="544">
        <f t="shared" si="7"/>
        <v>16</v>
      </c>
      <c r="C87" s="436">
        <f t="shared" si="6"/>
        <v>0.80726538849646823</v>
      </c>
      <c r="E87" s="434">
        <v>2</v>
      </c>
      <c r="F87" s="436">
        <f t="shared" si="9"/>
        <v>12.5</v>
      </c>
      <c r="H87" s="434">
        <v>2</v>
      </c>
      <c r="I87" s="436">
        <f t="shared" si="10"/>
        <v>12.5</v>
      </c>
      <c r="J87" s="434"/>
      <c r="K87" s="434">
        <v>4</v>
      </c>
      <c r="L87" s="436">
        <f t="shared" si="11"/>
        <v>25</v>
      </c>
      <c r="N87" s="434">
        <v>8</v>
      </c>
      <c r="O87" s="436">
        <f t="shared" si="8"/>
        <v>50</v>
      </c>
      <c r="P87" s="442"/>
    </row>
    <row r="88" spans="1:16" ht="13.15" customHeight="1">
      <c r="A88" s="434" t="s">
        <v>77</v>
      </c>
      <c r="B88" s="544">
        <f t="shared" si="7"/>
        <v>11</v>
      </c>
      <c r="C88" s="436">
        <f t="shared" si="6"/>
        <v>0.55499495459132198</v>
      </c>
      <c r="E88" s="434">
        <v>2</v>
      </c>
      <c r="F88" s="436">
        <f t="shared" si="9"/>
        <v>18.181818181818183</v>
      </c>
      <c r="H88" s="434">
        <v>3</v>
      </c>
      <c r="I88" s="436">
        <f t="shared" si="10"/>
        <v>27.27272727272727</v>
      </c>
      <c r="J88" s="434"/>
      <c r="K88" s="434">
        <v>0</v>
      </c>
      <c r="L88" s="436">
        <f t="shared" si="11"/>
        <v>0</v>
      </c>
      <c r="N88" s="434">
        <v>6</v>
      </c>
      <c r="O88" s="436">
        <f t="shared" si="8"/>
        <v>54.54545454545454</v>
      </c>
      <c r="P88" s="442"/>
    </row>
    <row r="89" spans="1:16" ht="13.15" customHeight="1">
      <c r="A89" s="434" t="s">
        <v>81</v>
      </c>
      <c r="B89" s="544">
        <f t="shared" si="7"/>
        <v>39</v>
      </c>
      <c r="C89" s="436">
        <f t="shared" si="6"/>
        <v>1.9677093844601412</v>
      </c>
      <c r="E89" s="434">
        <v>4</v>
      </c>
      <c r="F89" s="436">
        <f t="shared" si="9"/>
        <v>10.256410256410255</v>
      </c>
      <c r="H89" s="434">
        <v>4</v>
      </c>
      <c r="I89" s="436">
        <f t="shared" si="10"/>
        <v>10.256410256410255</v>
      </c>
      <c r="J89" s="434"/>
      <c r="K89" s="434">
        <v>3</v>
      </c>
      <c r="L89" s="436">
        <f t="shared" si="11"/>
        <v>7.6923076923076925</v>
      </c>
      <c r="N89" s="434">
        <v>28</v>
      </c>
      <c r="O89" s="436">
        <f t="shared" si="8"/>
        <v>71.794871794871796</v>
      </c>
      <c r="P89" s="442"/>
    </row>
    <row r="90" spans="1:16" ht="13.15" customHeight="1">
      <c r="A90" s="434" t="s">
        <v>377</v>
      </c>
      <c r="B90" s="544">
        <f t="shared" si="7"/>
        <v>10</v>
      </c>
      <c r="C90" s="436">
        <f t="shared" si="6"/>
        <v>0.50454086781029261</v>
      </c>
      <c r="E90" s="434">
        <v>0</v>
      </c>
      <c r="F90" s="436">
        <f t="shared" si="9"/>
        <v>0</v>
      </c>
      <c r="H90" s="434">
        <v>1</v>
      </c>
      <c r="I90" s="436">
        <f t="shared" si="10"/>
        <v>10</v>
      </c>
      <c r="J90" s="434"/>
      <c r="K90" s="434">
        <v>0</v>
      </c>
      <c r="L90" s="436">
        <f t="shared" si="11"/>
        <v>0</v>
      </c>
      <c r="N90" s="434">
        <v>9</v>
      </c>
      <c r="O90" s="436">
        <f t="shared" si="8"/>
        <v>90</v>
      </c>
      <c r="P90" s="442"/>
    </row>
    <row r="91" spans="1:16" ht="13.15" customHeight="1">
      <c r="A91" s="434" t="s">
        <v>339</v>
      </c>
      <c r="B91" s="544">
        <f t="shared" si="7"/>
        <v>22</v>
      </c>
      <c r="C91" s="436">
        <f t="shared" si="6"/>
        <v>1.109989909182644</v>
      </c>
      <c r="E91" s="434">
        <v>8</v>
      </c>
      <c r="F91" s="436">
        <f t="shared" si="9"/>
        <v>36.363636363636367</v>
      </c>
      <c r="H91" s="434">
        <v>0</v>
      </c>
      <c r="I91" s="436">
        <f t="shared" si="10"/>
        <v>0</v>
      </c>
      <c r="J91" s="434"/>
      <c r="K91" s="434">
        <v>11</v>
      </c>
      <c r="L91" s="436">
        <f t="shared" si="11"/>
        <v>50</v>
      </c>
      <c r="N91" s="434">
        <v>3</v>
      </c>
      <c r="O91" s="436">
        <f t="shared" si="8"/>
        <v>13.636363636363635</v>
      </c>
      <c r="P91" s="442"/>
    </row>
    <row r="92" spans="1:16" ht="9" customHeight="1">
      <c r="B92" s="544" t="str">
        <f t="shared" si="7"/>
        <v/>
      </c>
      <c r="C92" s="436" t="str">
        <f t="shared" si="6"/>
        <v/>
      </c>
      <c r="E92" s="434"/>
      <c r="F92" s="436" t="str">
        <f t="shared" si="9"/>
        <v/>
      </c>
      <c r="H92" s="434"/>
      <c r="I92" s="436" t="str">
        <f t="shared" si="10"/>
        <v/>
      </c>
      <c r="J92" s="434"/>
      <c r="K92" s="434"/>
      <c r="L92" s="436" t="str">
        <f t="shared" si="11"/>
        <v/>
      </c>
      <c r="N92" s="434"/>
      <c r="O92" s="436" t="str">
        <f t="shared" si="8"/>
        <v/>
      </c>
      <c r="P92" s="442"/>
    </row>
    <row r="93" spans="1:16" ht="13.15" customHeight="1">
      <c r="A93" s="434" t="s">
        <v>85</v>
      </c>
      <c r="B93" s="544">
        <f t="shared" si="7"/>
        <v>107</v>
      </c>
      <c r="C93" s="436">
        <f t="shared" si="6"/>
        <v>5.3985872855701311</v>
      </c>
      <c r="E93" s="434">
        <v>45</v>
      </c>
      <c r="F93" s="436">
        <f t="shared" si="9"/>
        <v>42.056074766355138</v>
      </c>
      <c r="H93" s="434">
        <v>14</v>
      </c>
      <c r="I93" s="436">
        <f t="shared" si="10"/>
        <v>13.084112149532709</v>
      </c>
      <c r="J93" s="434"/>
      <c r="K93" s="434">
        <v>37</v>
      </c>
      <c r="L93" s="436">
        <f t="shared" si="11"/>
        <v>34.579439252336449</v>
      </c>
      <c r="N93" s="434">
        <v>11</v>
      </c>
      <c r="O93" s="436">
        <f t="shared" si="8"/>
        <v>10.2803738317757</v>
      </c>
      <c r="P93" s="442"/>
    </row>
    <row r="94" spans="1:16" ht="9" customHeight="1">
      <c r="B94" s="544" t="str">
        <f t="shared" si="7"/>
        <v/>
      </c>
      <c r="C94" s="436" t="str">
        <f t="shared" si="6"/>
        <v/>
      </c>
      <c r="F94" s="436" t="str">
        <f t="shared" si="9"/>
        <v/>
      </c>
      <c r="I94" s="436" t="str">
        <f t="shared" si="10"/>
        <v/>
      </c>
      <c r="L94" s="436" t="str">
        <f t="shared" si="11"/>
        <v/>
      </c>
      <c r="M94" s="440"/>
      <c r="O94" s="436" t="str">
        <f t="shared" si="8"/>
        <v/>
      </c>
      <c r="P94" s="442"/>
    </row>
    <row r="95" spans="1:16" ht="12" customHeight="1">
      <c r="A95" s="63" t="s">
        <v>346</v>
      </c>
      <c r="B95" s="544">
        <f t="shared" si="7"/>
        <v>234</v>
      </c>
      <c r="C95" s="436">
        <f t="shared" si="6"/>
        <v>11.806256306760847</v>
      </c>
      <c r="E95" s="435">
        <f>SUM(E96:E100)</f>
        <v>32</v>
      </c>
      <c r="F95" s="436">
        <f t="shared" si="9"/>
        <v>13.675213675213676</v>
      </c>
      <c r="H95" s="435">
        <f>SUM(H96:H100)</f>
        <v>21</v>
      </c>
      <c r="I95" s="436">
        <f t="shared" si="10"/>
        <v>8.9743589743589745</v>
      </c>
      <c r="K95" s="435">
        <f>SUM(K96:K100)</f>
        <v>75</v>
      </c>
      <c r="L95" s="436">
        <f t="shared" si="11"/>
        <v>32.051282051282051</v>
      </c>
      <c r="M95" s="440"/>
      <c r="N95" s="435">
        <f>SUM(N96:N100)</f>
        <v>106</v>
      </c>
      <c r="O95" s="436">
        <f t="shared" si="8"/>
        <v>45.299145299145302</v>
      </c>
      <c r="P95" s="442"/>
    </row>
    <row r="96" spans="1:16" ht="12" customHeight="1">
      <c r="A96" s="434" t="s">
        <v>347</v>
      </c>
      <c r="B96" s="544">
        <f t="shared" si="7"/>
        <v>110</v>
      </c>
      <c r="C96" s="436">
        <f t="shared" si="6"/>
        <v>5.5499495459132184</v>
      </c>
      <c r="E96" s="434">
        <v>11</v>
      </c>
      <c r="F96" s="436">
        <f t="shared" si="9"/>
        <v>10</v>
      </c>
      <c r="H96" s="434">
        <v>9</v>
      </c>
      <c r="I96" s="436">
        <f t="shared" si="10"/>
        <v>8.1818181818181817</v>
      </c>
      <c r="J96" s="434"/>
      <c r="K96" s="434">
        <v>40</v>
      </c>
      <c r="L96" s="436">
        <f t="shared" si="11"/>
        <v>36.363636363636367</v>
      </c>
      <c r="N96" s="434">
        <v>50</v>
      </c>
      <c r="O96" s="436">
        <f t="shared" si="8"/>
        <v>45.454545454545453</v>
      </c>
      <c r="P96" s="442"/>
    </row>
    <row r="97" spans="1:16" ht="12" customHeight="1">
      <c r="A97" s="434" t="s">
        <v>348</v>
      </c>
      <c r="B97" s="544">
        <f t="shared" si="7"/>
        <v>35</v>
      </c>
      <c r="C97" s="436">
        <f t="shared" si="6"/>
        <v>1.7658930373360242</v>
      </c>
      <c r="E97" s="434">
        <v>9</v>
      </c>
      <c r="F97" s="436">
        <f t="shared" si="9"/>
        <v>25.714285714285712</v>
      </c>
      <c r="H97" s="434">
        <v>4</v>
      </c>
      <c r="I97" s="436">
        <f t="shared" si="10"/>
        <v>11.428571428571429</v>
      </c>
      <c r="J97" s="434"/>
      <c r="K97" s="434">
        <v>12</v>
      </c>
      <c r="L97" s="436">
        <f t="shared" si="11"/>
        <v>34.285714285714285</v>
      </c>
      <c r="N97" s="434">
        <v>10</v>
      </c>
      <c r="O97" s="436">
        <f t="shared" si="8"/>
        <v>28.571428571428569</v>
      </c>
      <c r="P97" s="442"/>
    </row>
    <row r="98" spans="1:16" ht="12" customHeight="1">
      <c r="A98" s="434" t="s">
        <v>349</v>
      </c>
      <c r="B98" s="544">
        <f t="shared" si="7"/>
        <v>35</v>
      </c>
      <c r="C98" s="436">
        <f t="shared" si="6"/>
        <v>1.7658930373360242</v>
      </c>
      <c r="E98" s="434">
        <v>4</v>
      </c>
      <c r="F98" s="436">
        <f t="shared" si="9"/>
        <v>11.428571428571429</v>
      </c>
      <c r="H98" s="434">
        <v>4</v>
      </c>
      <c r="I98" s="436">
        <f t="shared" si="10"/>
        <v>11.428571428571429</v>
      </c>
      <c r="J98" s="434"/>
      <c r="K98" s="434">
        <v>11</v>
      </c>
      <c r="L98" s="436">
        <f t="shared" si="11"/>
        <v>31.428571428571427</v>
      </c>
      <c r="N98" s="434">
        <v>16</v>
      </c>
      <c r="O98" s="436">
        <f t="shared" si="8"/>
        <v>45.714285714285715</v>
      </c>
      <c r="P98" s="442"/>
    </row>
    <row r="99" spans="1:16" ht="12" customHeight="1">
      <c r="A99" s="42" t="s">
        <v>378</v>
      </c>
      <c r="B99" s="544">
        <f t="shared" si="7"/>
        <v>24</v>
      </c>
      <c r="C99" s="436">
        <f t="shared" si="6"/>
        <v>1.2108980827447022</v>
      </c>
      <c r="E99" s="434">
        <v>3</v>
      </c>
      <c r="F99" s="436">
        <f t="shared" si="9"/>
        <v>12.5</v>
      </c>
      <c r="H99" s="434">
        <v>1</v>
      </c>
      <c r="I99" s="436">
        <f t="shared" si="10"/>
        <v>4.1666666666666661</v>
      </c>
      <c r="J99" s="434"/>
      <c r="K99" s="434">
        <v>6</v>
      </c>
      <c r="L99" s="436">
        <f t="shared" si="11"/>
        <v>25</v>
      </c>
      <c r="N99" s="434">
        <v>14</v>
      </c>
      <c r="O99" s="436">
        <f t="shared" si="8"/>
        <v>58.333333333333336</v>
      </c>
      <c r="P99" s="442"/>
    </row>
    <row r="100" spans="1:16" ht="12" customHeight="1">
      <c r="A100" s="434" t="s">
        <v>351</v>
      </c>
      <c r="B100" s="544">
        <f t="shared" si="7"/>
        <v>30</v>
      </c>
      <c r="C100" s="436">
        <f t="shared" si="6"/>
        <v>1.513622603430878</v>
      </c>
      <c r="E100" s="434">
        <v>5</v>
      </c>
      <c r="F100" s="436">
        <f t="shared" si="9"/>
        <v>16.666666666666664</v>
      </c>
      <c r="H100" s="434">
        <v>3</v>
      </c>
      <c r="I100" s="436">
        <f t="shared" si="10"/>
        <v>10</v>
      </c>
      <c r="J100" s="434"/>
      <c r="K100" s="434">
        <v>6</v>
      </c>
      <c r="L100" s="436">
        <f t="shared" si="11"/>
        <v>20</v>
      </c>
      <c r="N100" s="434">
        <v>16</v>
      </c>
      <c r="O100" s="436">
        <f t="shared" si="8"/>
        <v>53.333333333333336</v>
      </c>
      <c r="P100" s="442"/>
    </row>
    <row r="101" spans="1:16" ht="12.75" customHeight="1" thickBot="1">
      <c r="I101" s="435"/>
      <c r="L101" s="435"/>
      <c r="O101" s="436"/>
      <c r="P101" s="436"/>
    </row>
    <row r="102" spans="1:16" ht="9.75" customHeight="1">
      <c r="A102" s="437"/>
      <c r="B102" s="805"/>
      <c r="C102" s="439"/>
      <c r="D102" s="437"/>
      <c r="E102" s="438"/>
      <c r="F102" s="439"/>
      <c r="G102" s="437"/>
      <c r="H102" s="438"/>
      <c r="I102" s="438"/>
      <c r="J102" s="439"/>
      <c r="K102" s="438"/>
      <c r="L102" s="438"/>
      <c r="M102" s="437"/>
      <c r="N102" s="438"/>
      <c r="O102" s="439"/>
      <c r="P102" s="439"/>
    </row>
    <row r="103" spans="1:16" ht="12.75" customHeight="1">
      <c r="A103" s="66" t="s">
        <v>2108</v>
      </c>
      <c r="B103" s="451"/>
      <c r="C103" s="442"/>
      <c r="D103" s="440"/>
      <c r="E103" s="441"/>
      <c r="F103" s="442"/>
      <c r="G103" s="440"/>
      <c r="H103" s="441"/>
      <c r="J103" s="442"/>
      <c r="K103" s="441"/>
      <c r="M103" s="440"/>
      <c r="N103" s="441"/>
      <c r="O103" s="442"/>
      <c r="P103" s="442"/>
    </row>
    <row r="104" spans="1:16" ht="7.5" customHeight="1">
      <c r="A104" s="440"/>
      <c r="B104" s="451"/>
      <c r="C104" s="442"/>
      <c r="D104" s="440"/>
      <c r="E104" s="441"/>
      <c r="F104" s="442"/>
      <c r="G104" s="440"/>
      <c r="H104" s="441"/>
      <c r="J104" s="442"/>
      <c r="K104" s="441"/>
      <c r="M104" s="440"/>
      <c r="N104" s="441"/>
      <c r="O104" s="442"/>
      <c r="P104" s="442"/>
    </row>
    <row r="105" spans="1:16">
      <c r="A105" s="434" t="s">
        <v>354</v>
      </c>
    </row>
    <row r="106" spans="1:16">
      <c r="A106" s="434" t="s">
        <v>365</v>
      </c>
    </row>
    <row r="107" spans="1:16">
      <c r="I107" s="436" t="str">
        <f t="shared" ref="I107" si="12">IF($A107&lt;&gt;"",H107/$B107*100,"")</f>
        <v/>
      </c>
    </row>
    <row r="108" spans="1:16">
      <c r="I108" s="436" t="str">
        <f t="shared" ref="I108:I123" si="13">IF($A108&lt;&gt;"",H108/$B108*100,"")</f>
        <v/>
      </c>
    </row>
    <row r="109" spans="1:16">
      <c r="I109" s="436" t="str">
        <f t="shared" si="13"/>
        <v/>
      </c>
    </row>
    <row r="110" spans="1:16">
      <c r="I110" s="436" t="str">
        <f t="shared" si="13"/>
        <v/>
      </c>
    </row>
    <row r="111" spans="1:16">
      <c r="I111" s="436" t="str">
        <f t="shared" si="13"/>
        <v/>
      </c>
    </row>
    <row r="112" spans="1:16">
      <c r="I112" s="436" t="str">
        <f t="shared" si="13"/>
        <v/>
      </c>
    </row>
    <row r="113" spans="9:9">
      <c r="I113" s="436" t="str">
        <f t="shared" si="13"/>
        <v/>
      </c>
    </row>
    <row r="114" spans="9:9">
      <c r="I114" s="436" t="str">
        <f t="shared" si="13"/>
        <v/>
      </c>
    </row>
    <row r="115" spans="9:9">
      <c r="I115" s="436" t="str">
        <f t="shared" si="13"/>
        <v/>
      </c>
    </row>
    <row r="116" spans="9:9">
      <c r="I116" s="436" t="str">
        <f t="shared" si="13"/>
        <v/>
      </c>
    </row>
    <row r="117" spans="9:9">
      <c r="I117" s="436" t="str">
        <f t="shared" si="13"/>
        <v/>
      </c>
    </row>
    <row r="118" spans="9:9">
      <c r="I118" s="436" t="str">
        <f t="shared" si="13"/>
        <v/>
      </c>
    </row>
    <row r="119" spans="9:9">
      <c r="I119" s="436" t="str">
        <f t="shared" si="13"/>
        <v/>
      </c>
    </row>
    <row r="120" spans="9:9">
      <c r="I120" s="436" t="str">
        <f t="shared" si="13"/>
        <v/>
      </c>
    </row>
    <row r="121" spans="9:9">
      <c r="I121" s="436" t="str">
        <f t="shared" si="13"/>
        <v/>
      </c>
    </row>
    <row r="122" spans="9:9">
      <c r="I122" s="436" t="str">
        <f t="shared" si="13"/>
        <v/>
      </c>
    </row>
    <row r="123" spans="9:9">
      <c r="I123" s="436" t="str">
        <f t="shared" si="13"/>
        <v/>
      </c>
    </row>
    <row r="124" spans="9:9">
      <c r="I124" s="436" t="str">
        <f>IF($A124&lt;&gt;"",H124/$B124*100,"")</f>
        <v/>
      </c>
    </row>
    <row r="125" spans="9:9">
      <c r="I125" s="436" t="str">
        <f>IF($A125&lt;&gt;"",H125/$B125*100,"")</f>
        <v/>
      </c>
    </row>
  </sheetData>
  <mergeCells count="5">
    <mergeCell ref="B7:C7"/>
    <mergeCell ref="E7:F7"/>
    <mergeCell ref="H7:I7"/>
    <mergeCell ref="K7:L7"/>
    <mergeCell ref="N7:O7"/>
  </mergeCells>
  <printOptions horizontalCentered="1" verticalCentered="1"/>
  <pageMargins left="0" right="0" top="0" bottom="0" header="0.31496062992125984" footer="0.31496062992125984"/>
  <pageSetup paperSize="9" scale="60" orientation="portrait" r:id="rId1"/>
  <drawing r:id="rId2"/>
</worksheet>
</file>

<file path=xl/worksheets/sheet90.xml><?xml version="1.0" encoding="utf-8"?>
<worksheet xmlns="http://schemas.openxmlformats.org/spreadsheetml/2006/main" xmlns:r="http://schemas.openxmlformats.org/officeDocument/2006/relationships">
  <dimension ref="A1:E45"/>
  <sheetViews>
    <sheetView workbookViewId="0">
      <selection activeCell="B46" sqref="B46"/>
    </sheetView>
  </sheetViews>
  <sheetFormatPr baseColWidth="10" defaultColWidth="8.85546875" defaultRowHeight="14.25"/>
  <cols>
    <col min="1" max="1" width="37.5703125" style="966" customWidth="1"/>
    <col min="2" max="2" width="3.28515625" style="966" customWidth="1"/>
    <col min="3" max="3" width="15" style="967" customWidth="1"/>
    <col min="4" max="4" width="17.5703125" style="965" customWidth="1"/>
    <col min="5" max="5" width="3.7109375" style="966" customWidth="1"/>
    <col min="6" max="256" width="8.85546875" style="966"/>
    <col min="257" max="257" width="37.5703125" style="966" customWidth="1"/>
    <col min="258" max="258" width="3.28515625" style="966" customWidth="1"/>
    <col min="259" max="259" width="15" style="966" customWidth="1"/>
    <col min="260" max="260" width="17.5703125" style="966" customWidth="1"/>
    <col min="261" max="261" width="3.7109375" style="966" customWidth="1"/>
    <col min="262" max="512" width="8.85546875" style="966"/>
    <col min="513" max="513" width="37.5703125" style="966" customWidth="1"/>
    <col min="514" max="514" width="3.28515625" style="966" customWidth="1"/>
    <col min="515" max="515" width="15" style="966" customWidth="1"/>
    <col min="516" max="516" width="17.5703125" style="966" customWidth="1"/>
    <col min="517" max="517" width="3.7109375" style="966" customWidth="1"/>
    <col min="518" max="768" width="8.85546875" style="966"/>
    <col min="769" max="769" width="37.5703125" style="966" customWidth="1"/>
    <col min="770" max="770" width="3.28515625" style="966" customWidth="1"/>
    <col min="771" max="771" width="15" style="966" customWidth="1"/>
    <col min="772" max="772" width="17.5703125" style="966" customWidth="1"/>
    <col min="773" max="773" width="3.7109375" style="966" customWidth="1"/>
    <col min="774" max="1024" width="8.85546875" style="966"/>
    <col min="1025" max="1025" width="37.5703125" style="966" customWidth="1"/>
    <col min="1026" max="1026" width="3.28515625" style="966" customWidth="1"/>
    <col min="1027" max="1027" width="15" style="966" customWidth="1"/>
    <col min="1028" max="1028" width="17.5703125" style="966" customWidth="1"/>
    <col min="1029" max="1029" width="3.7109375" style="966" customWidth="1"/>
    <col min="1030" max="1280" width="8.85546875" style="966"/>
    <col min="1281" max="1281" width="37.5703125" style="966" customWidth="1"/>
    <col min="1282" max="1282" width="3.28515625" style="966" customWidth="1"/>
    <col min="1283" max="1283" width="15" style="966" customWidth="1"/>
    <col min="1284" max="1284" width="17.5703125" style="966" customWidth="1"/>
    <col min="1285" max="1285" width="3.7109375" style="966" customWidth="1"/>
    <col min="1286" max="1536" width="8.85546875" style="966"/>
    <col min="1537" max="1537" width="37.5703125" style="966" customWidth="1"/>
    <col min="1538" max="1538" width="3.28515625" style="966" customWidth="1"/>
    <col min="1539" max="1539" width="15" style="966" customWidth="1"/>
    <col min="1540" max="1540" width="17.5703125" style="966" customWidth="1"/>
    <col min="1541" max="1541" width="3.7109375" style="966" customWidth="1"/>
    <col min="1542" max="1792" width="8.85546875" style="966"/>
    <col min="1793" max="1793" width="37.5703125" style="966" customWidth="1"/>
    <col min="1794" max="1794" width="3.28515625" style="966" customWidth="1"/>
    <col min="1795" max="1795" width="15" style="966" customWidth="1"/>
    <col min="1796" max="1796" width="17.5703125" style="966" customWidth="1"/>
    <col min="1797" max="1797" width="3.7109375" style="966" customWidth="1"/>
    <col min="1798" max="2048" width="8.85546875" style="966"/>
    <col min="2049" max="2049" width="37.5703125" style="966" customWidth="1"/>
    <col min="2050" max="2050" width="3.28515625" style="966" customWidth="1"/>
    <col min="2051" max="2051" width="15" style="966" customWidth="1"/>
    <col min="2052" max="2052" width="17.5703125" style="966" customWidth="1"/>
    <col min="2053" max="2053" width="3.7109375" style="966" customWidth="1"/>
    <col min="2054" max="2304" width="8.85546875" style="966"/>
    <col min="2305" max="2305" width="37.5703125" style="966" customWidth="1"/>
    <col min="2306" max="2306" width="3.28515625" style="966" customWidth="1"/>
    <col min="2307" max="2307" width="15" style="966" customWidth="1"/>
    <col min="2308" max="2308" width="17.5703125" style="966" customWidth="1"/>
    <col min="2309" max="2309" width="3.7109375" style="966" customWidth="1"/>
    <col min="2310" max="2560" width="8.85546875" style="966"/>
    <col min="2561" max="2561" width="37.5703125" style="966" customWidth="1"/>
    <col min="2562" max="2562" width="3.28515625" style="966" customWidth="1"/>
    <col min="2563" max="2563" width="15" style="966" customWidth="1"/>
    <col min="2564" max="2564" width="17.5703125" style="966" customWidth="1"/>
    <col min="2565" max="2565" width="3.7109375" style="966" customWidth="1"/>
    <col min="2566" max="2816" width="8.85546875" style="966"/>
    <col min="2817" max="2817" width="37.5703125" style="966" customWidth="1"/>
    <col min="2818" max="2818" width="3.28515625" style="966" customWidth="1"/>
    <col min="2819" max="2819" width="15" style="966" customWidth="1"/>
    <col min="2820" max="2820" width="17.5703125" style="966" customWidth="1"/>
    <col min="2821" max="2821" width="3.7109375" style="966" customWidth="1"/>
    <col min="2822" max="3072" width="8.85546875" style="966"/>
    <col min="3073" max="3073" width="37.5703125" style="966" customWidth="1"/>
    <col min="3074" max="3074" width="3.28515625" style="966" customWidth="1"/>
    <col min="3075" max="3075" width="15" style="966" customWidth="1"/>
    <col min="3076" max="3076" width="17.5703125" style="966" customWidth="1"/>
    <col min="3077" max="3077" width="3.7109375" style="966" customWidth="1"/>
    <col min="3078" max="3328" width="8.85546875" style="966"/>
    <col min="3329" max="3329" width="37.5703125" style="966" customWidth="1"/>
    <col min="3330" max="3330" width="3.28515625" style="966" customWidth="1"/>
    <col min="3331" max="3331" width="15" style="966" customWidth="1"/>
    <col min="3332" max="3332" width="17.5703125" style="966" customWidth="1"/>
    <col min="3333" max="3333" width="3.7109375" style="966" customWidth="1"/>
    <col min="3334" max="3584" width="8.85546875" style="966"/>
    <col min="3585" max="3585" width="37.5703125" style="966" customWidth="1"/>
    <col min="3586" max="3586" width="3.28515625" style="966" customWidth="1"/>
    <col min="3587" max="3587" width="15" style="966" customWidth="1"/>
    <col min="3588" max="3588" width="17.5703125" style="966" customWidth="1"/>
    <col min="3589" max="3589" width="3.7109375" style="966" customWidth="1"/>
    <col min="3590" max="3840" width="8.85546875" style="966"/>
    <col min="3841" max="3841" width="37.5703125" style="966" customWidth="1"/>
    <col min="3842" max="3842" width="3.28515625" style="966" customWidth="1"/>
    <col min="3843" max="3843" width="15" style="966" customWidth="1"/>
    <col min="3844" max="3844" width="17.5703125" style="966" customWidth="1"/>
    <col min="3845" max="3845" width="3.7109375" style="966" customWidth="1"/>
    <col min="3846" max="4096" width="8.85546875" style="966"/>
    <col min="4097" max="4097" width="37.5703125" style="966" customWidth="1"/>
    <col min="4098" max="4098" width="3.28515625" style="966" customWidth="1"/>
    <col min="4099" max="4099" width="15" style="966" customWidth="1"/>
    <col min="4100" max="4100" width="17.5703125" style="966" customWidth="1"/>
    <col min="4101" max="4101" width="3.7109375" style="966" customWidth="1"/>
    <col min="4102" max="4352" width="8.85546875" style="966"/>
    <col min="4353" max="4353" width="37.5703125" style="966" customWidth="1"/>
    <col min="4354" max="4354" width="3.28515625" style="966" customWidth="1"/>
    <col min="4355" max="4355" width="15" style="966" customWidth="1"/>
    <col min="4356" max="4356" width="17.5703125" style="966" customWidth="1"/>
    <col min="4357" max="4357" width="3.7109375" style="966" customWidth="1"/>
    <col min="4358" max="4608" width="8.85546875" style="966"/>
    <col min="4609" max="4609" width="37.5703125" style="966" customWidth="1"/>
    <col min="4610" max="4610" width="3.28515625" style="966" customWidth="1"/>
    <col min="4611" max="4611" width="15" style="966" customWidth="1"/>
    <col min="4612" max="4612" width="17.5703125" style="966" customWidth="1"/>
    <col min="4613" max="4613" width="3.7109375" style="966" customWidth="1"/>
    <col min="4614" max="4864" width="8.85546875" style="966"/>
    <col min="4865" max="4865" width="37.5703125" style="966" customWidth="1"/>
    <col min="4866" max="4866" width="3.28515625" style="966" customWidth="1"/>
    <col min="4867" max="4867" width="15" style="966" customWidth="1"/>
    <col min="4868" max="4868" width="17.5703125" style="966" customWidth="1"/>
    <col min="4869" max="4869" width="3.7109375" style="966" customWidth="1"/>
    <col min="4870" max="5120" width="8.85546875" style="966"/>
    <col min="5121" max="5121" width="37.5703125" style="966" customWidth="1"/>
    <col min="5122" max="5122" width="3.28515625" style="966" customWidth="1"/>
    <col min="5123" max="5123" width="15" style="966" customWidth="1"/>
    <col min="5124" max="5124" width="17.5703125" style="966" customWidth="1"/>
    <col min="5125" max="5125" width="3.7109375" style="966" customWidth="1"/>
    <col min="5126" max="5376" width="8.85546875" style="966"/>
    <col min="5377" max="5377" width="37.5703125" style="966" customWidth="1"/>
    <col min="5378" max="5378" width="3.28515625" style="966" customWidth="1"/>
    <col min="5379" max="5379" width="15" style="966" customWidth="1"/>
    <col min="5380" max="5380" width="17.5703125" style="966" customWidth="1"/>
    <col min="5381" max="5381" width="3.7109375" style="966" customWidth="1"/>
    <col min="5382" max="5632" width="8.85546875" style="966"/>
    <col min="5633" max="5633" width="37.5703125" style="966" customWidth="1"/>
    <col min="5634" max="5634" width="3.28515625" style="966" customWidth="1"/>
    <col min="5635" max="5635" width="15" style="966" customWidth="1"/>
    <col min="5636" max="5636" width="17.5703125" style="966" customWidth="1"/>
    <col min="5637" max="5637" width="3.7109375" style="966" customWidth="1"/>
    <col min="5638" max="5888" width="8.85546875" style="966"/>
    <col min="5889" max="5889" width="37.5703125" style="966" customWidth="1"/>
    <col min="5890" max="5890" width="3.28515625" style="966" customWidth="1"/>
    <col min="5891" max="5891" width="15" style="966" customWidth="1"/>
    <col min="5892" max="5892" width="17.5703125" style="966" customWidth="1"/>
    <col min="5893" max="5893" width="3.7109375" style="966" customWidth="1"/>
    <col min="5894" max="6144" width="8.85546875" style="966"/>
    <col min="6145" max="6145" width="37.5703125" style="966" customWidth="1"/>
    <col min="6146" max="6146" width="3.28515625" style="966" customWidth="1"/>
    <col min="6147" max="6147" width="15" style="966" customWidth="1"/>
    <col min="6148" max="6148" width="17.5703125" style="966" customWidth="1"/>
    <col min="6149" max="6149" width="3.7109375" style="966" customWidth="1"/>
    <col min="6150" max="6400" width="8.85546875" style="966"/>
    <col min="6401" max="6401" width="37.5703125" style="966" customWidth="1"/>
    <col min="6402" max="6402" width="3.28515625" style="966" customWidth="1"/>
    <col min="6403" max="6403" width="15" style="966" customWidth="1"/>
    <col min="6404" max="6404" width="17.5703125" style="966" customWidth="1"/>
    <col min="6405" max="6405" width="3.7109375" style="966" customWidth="1"/>
    <col min="6406" max="6656" width="8.85546875" style="966"/>
    <col min="6657" max="6657" width="37.5703125" style="966" customWidth="1"/>
    <col min="6658" max="6658" width="3.28515625" style="966" customWidth="1"/>
    <col min="6659" max="6659" width="15" style="966" customWidth="1"/>
    <col min="6660" max="6660" width="17.5703125" style="966" customWidth="1"/>
    <col min="6661" max="6661" width="3.7109375" style="966" customWidth="1"/>
    <col min="6662" max="6912" width="8.85546875" style="966"/>
    <col min="6913" max="6913" width="37.5703125" style="966" customWidth="1"/>
    <col min="6914" max="6914" width="3.28515625" style="966" customWidth="1"/>
    <col min="6915" max="6915" width="15" style="966" customWidth="1"/>
    <col min="6916" max="6916" width="17.5703125" style="966" customWidth="1"/>
    <col min="6917" max="6917" width="3.7109375" style="966" customWidth="1"/>
    <col min="6918" max="7168" width="8.85546875" style="966"/>
    <col min="7169" max="7169" width="37.5703125" style="966" customWidth="1"/>
    <col min="7170" max="7170" width="3.28515625" style="966" customWidth="1"/>
    <col min="7171" max="7171" width="15" style="966" customWidth="1"/>
    <col min="7172" max="7172" width="17.5703125" style="966" customWidth="1"/>
    <col min="7173" max="7173" width="3.7109375" style="966" customWidth="1"/>
    <col min="7174" max="7424" width="8.85546875" style="966"/>
    <col min="7425" max="7425" width="37.5703125" style="966" customWidth="1"/>
    <col min="7426" max="7426" width="3.28515625" style="966" customWidth="1"/>
    <col min="7427" max="7427" width="15" style="966" customWidth="1"/>
    <col min="7428" max="7428" width="17.5703125" style="966" customWidth="1"/>
    <col min="7429" max="7429" width="3.7109375" style="966" customWidth="1"/>
    <col min="7430" max="7680" width="8.85546875" style="966"/>
    <col min="7681" max="7681" width="37.5703125" style="966" customWidth="1"/>
    <col min="7682" max="7682" width="3.28515625" style="966" customWidth="1"/>
    <col min="7683" max="7683" width="15" style="966" customWidth="1"/>
    <col min="7684" max="7684" width="17.5703125" style="966" customWidth="1"/>
    <col min="7685" max="7685" width="3.7109375" style="966" customWidth="1"/>
    <col min="7686" max="7936" width="8.85546875" style="966"/>
    <col min="7937" max="7937" width="37.5703125" style="966" customWidth="1"/>
    <col min="7938" max="7938" width="3.28515625" style="966" customWidth="1"/>
    <col min="7939" max="7939" width="15" style="966" customWidth="1"/>
    <col min="7940" max="7940" width="17.5703125" style="966" customWidth="1"/>
    <col min="7941" max="7941" width="3.7109375" style="966" customWidth="1"/>
    <col min="7942" max="8192" width="8.85546875" style="966"/>
    <col min="8193" max="8193" width="37.5703125" style="966" customWidth="1"/>
    <col min="8194" max="8194" width="3.28515625" style="966" customWidth="1"/>
    <col min="8195" max="8195" width="15" style="966" customWidth="1"/>
    <col min="8196" max="8196" width="17.5703125" style="966" customWidth="1"/>
    <col min="8197" max="8197" width="3.7109375" style="966" customWidth="1"/>
    <col min="8198" max="8448" width="8.85546875" style="966"/>
    <col min="8449" max="8449" width="37.5703125" style="966" customWidth="1"/>
    <col min="8450" max="8450" width="3.28515625" style="966" customWidth="1"/>
    <col min="8451" max="8451" width="15" style="966" customWidth="1"/>
    <col min="8452" max="8452" width="17.5703125" style="966" customWidth="1"/>
    <col min="8453" max="8453" width="3.7109375" style="966" customWidth="1"/>
    <col min="8454" max="8704" width="8.85546875" style="966"/>
    <col min="8705" max="8705" width="37.5703125" style="966" customWidth="1"/>
    <col min="8706" max="8706" width="3.28515625" style="966" customWidth="1"/>
    <col min="8707" max="8707" width="15" style="966" customWidth="1"/>
    <col min="8708" max="8708" width="17.5703125" style="966" customWidth="1"/>
    <col min="8709" max="8709" width="3.7109375" style="966" customWidth="1"/>
    <col min="8710" max="8960" width="8.85546875" style="966"/>
    <col min="8961" max="8961" width="37.5703125" style="966" customWidth="1"/>
    <col min="8962" max="8962" width="3.28515625" style="966" customWidth="1"/>
    <col min="8963" max="8963" width="15" style="966" customWidth="1"/>
    <col min="8964" max="8964" width="17.5703125" style="966" customWidth="1"/>
    <col min="8965" max="8965" width="3.7109375" style="966" customWidth="1"/>
    <col min="8966" max="9216" width="8.85546875" style="966"/>
    <col min="9217" max="9217" width="37.5703125" style="966" customWidth="1"/>
    <col min="9218" max="9218" width="3.28515625" style="966" customWidth="1"/>
    <col min="9219" max="9219" width="15" style="966" customWidth="1"/>
    <col min="9220" max="9220" width="17.5703125" style="966" customWidth="1"/>
    <col min="9221" max="9221" width="3.7109375" style="966" customWidth="1"/>
    <col min="9222" max="9472" width="8.85546875" style="966"/>
    <col min="9473" max="9473" width="37.5703125" style="966" customWidth="1"/>
    <col min="9474" max="9474" width="3.28515625" style="966" customWidth="1"/>
    <col min="9475" max="9475" width="15" style="966" customWidth="1"/>
    <col min="9476" max="9476" width="17.5703125" style="966" customWidth="1"/>
    <col min="9477" max="9477" width="3.7109375" style="966" customWidth="1"/>
    <col min="9478" max="9728" width="8.85546875" style="966"/>
    <col min="9729" max="9729" width="37.5703125" style="966" customWidth="1"/>
    <col min="9730" max="9730" width="3.28515625" style="966" customWidth="1"/>
    <col min="9731" max="9731" width="15" style="966" customWidth="1"/>
    <col min="9732" max="9732" width="17.5703125" style="966" customWidth="1"/>
    <col min="9733" max="9733" width="3.7109375" style="966" customWidth="1"/>
    <col min="9734" max="9984" width="8.85546875" style="966"/>
    <col min="9985" max="9985" width="37.5703125" style="966" customWidth="1"/>
    <col min="9986" max="9986" width="3.28515625" style="966" customWidth="1"/>
    <col min="9987" max="9987" width="15" style="966" customWidth="1"/>
    <col min="9988" max="9988" width="17.5703125" style="966" customWidth="1"/>
    <col min="9989" max="9989" width="3.7109375" style="966" customWidth="1"/>
    <col min="9990" max="10240" width="8.85546875" style="966"/>
    <col min="10241" max="10241" width="37.5703125" style="966" customWidth="1"/>
    <col min="10242" max="10242" width="3.28515625" style="966" customWidth="1"/>
    <col min="10243" max="10243" width="15" style="966" customWidth="1"/>
    <col min="10244" max="10244" width="17.5703125" style="966" customWidth="1"/>
    <col min="10245" max="10245" width="3.7109375" style="966" customWidth="1"/>
    <col min="10246" max="10496" width="8.85546875" style="966"/>
    <col min="10497" max="10497" width="37.5703125" style="966" customWidth="1"/>
    <col min="10498" max="10498" width="3.28515625" style="966" customWidth="1"/>
    <col min="10499" max="10499" width="15" style="966" customWidth="1"/>
    <col min="10500" max="10500" width="17.5703125" style="966" customWidth="1"/>
    <col min="10501" max="10501" width="3.7109375" style="966" customWidth="1"/>
    <col min="10502" max="10752" width="8.85546875" style="966"/>
    <col min="10753" max="10753" width="37.5703125" style="966" customWidth="1"/>
    <col min="10754" max="10754" width="3.28515625" style="966" customWidth="1"/>
    <col min="10755" max="10755" width="15" style="966" customWidth="1"/>
    <col min="10756" max="10756" width="17.5703125" style="966" customWidth="1"/>
    <col min="10757" max="10757" width="3.7109375" style="966" customWidth="1"/>
    <col min="10758" max="11008" width="8.85546875" style="966"/>
    <col min="11009" max="11009" width="37.5703125" style="966" customWidth="1"/>
    <col min="11010" max="11010" width="3.28515625" style="966" customWidth="1"/>
    <col min="11011" max="11011" width="15" style="966" customWidth="1"/>
    <col min="11012" max="11012" width="17.5703125" style="966" customWidth="1"/>
    <col min="11013" max="11013" width="3.7109375" style="966" customWidth="1"/>
    <col min="11014" max="11264" width="8.85546875" style="966"/>
    <col min="11265" max="11265" width="37.5703125" style="966" customWidth="1"/>
    <col min="11266" max="11266" width="3.28515625" style="966" customWidth="1"/>
    <col min="11267" max="11267" width="15" style="966" customWidth="1"/>
    <col min="11268" max="11268" width="17.5703125" style="966" customWidth="1"/>
    <col min="11269" max="11269" width="3.7109375" style="966" customWidth="1"/>
    <col min="11270" max="11520" width="8.85546875" style="966"/>
    <col min="11521" max="11521" width="37.5703125" style="966" customWidth="1"/>
    <col min="11522" max="11522" width="3.28515625" style="966" customWidth="1"/>
    <col min="11523" max="11523" width="15" style="966" customWidth="1"/>
    <col min="11524" max="11524" width="17.5703125" style="966" customWidth="1"/>
    <col min="11525" max="11525" width="3.7109375" style="966" customWidth="1"/>
    <col min="11526" max="11776" width="8.85546875" style="966"/>
    <col min="11777" max="11777" width="37.5703125" style="966" customWidth="1"/>
    <col min="11778" max="11778" width="3.28515625" style="966" customWidth="1"/>
    <col min="11779" max="11779" width="15" style="966" customWidth="1"/>
    <col min="11780" max="11780" width="17.5703125" style="966" customWidth="1"/>
    <col min="11781" max="11781" width="3.7109375" style="966" customWidth="1"/>
    <col min="11782" max="12032" width="8.85546875" style="966"/>
    <col min="12033" max="12033" width="37.5703125" style="966" customWidth="1"/>
    <col min="12034" max="12034" width="3.28515625" style="966" customWidth="1"/>
    <col min="12035" max="12035" width="15" style="966" customWidth="1"/>
    <col min="12036" max="12036" width="17.5703125" style="966" customWidth="1"/>
    <col min="12037" max="12037" width="3.7109375" style="966" customWidth="1"/>
    <col min="12038" max="12288" width="8.85546875" style="966"/>
    <col min="12289" max="12289" width="37.5703125" style="966" customWidth="1"/>
    <col min="12290" max="12290" width="3.28515625" style="966" customWidth="1"/>
    <col min="12291" max="12291" width="15" style="966" customWidth="1"/>
    <col min="12292" max="12292" width="17.5703125" style="966" customWidth="1"/>
    <col min="12293" max="12293" width="3.7109375" style="966" customWidth="1"/>
    <col min="12294" max="12544" width="8.85546875" style="966"/>
    <col min="12545" max="12545" width="37.5703125" style="966" customWidth="1"/>
    <col min="12546" max="12546" width="3.28515625" style="966" customWidth="1"/>
    <col min="12547" max="12547" width="15" style="966" customWidth="1"/>
    <col min="12548" max="12548" width="17.5703125" style="966" customWidth="1"/>
    <col min="12549" max="12549" width="3.7109375" style="966" customWidth="1"/>
    <col min="12550" max="12800" width="8.85546875" style="966"/>
    <col min="12801" max="12801" width="37.5703125" style="966" customWidth="1"/>
    <col min="12802" max="12802" width="3.28515625" style="966" customWidth="1"/>
    <col min="12803" max="12803" width="15" style="966" customWidth="1"/>
    <col min="12804" max="12804" width="17.5703125" style="966" customWidth="1"/>
    <col min="12805" max="12805" width="3.7109375" style="966" customWidth="1"/>
    <col min="12806" max="13056" width="8.85546875" style="966"/>
    <col min="13057" max="13057" width="37.5703125" style="966" customWidth="1"/>
    <col min="13058" max="13058" width="3.28515625" style="966" customWidth="1"/>
    <col min="13059" max="13059" width="15" style="966" customWidth="1"/>
    <col min="13060" max="13060" width="17.5703125" style="966" customWidth="1"/>
    <col min="13061" max="13061" width="3.7109375" style="966" customWidth="1"/>
    <col min="13062" max="13312" width="8.85546875" style="966"/>
    <col min="13313" max="13313" width="37.5703125" style="966" customWidth="1"/>
    <col min="13314" max="13314" width="3.28515625" style="966" customWidth="1"/>
    <col min="13315" max="13315" width="15" style="966" customWidth="1"/>
    <col min="13316" max="13316" width="17.5703125" style="966" customWidth="1"/>
    <col min="13317" max="13317" width="3.7109375" style="966" customWidth="1"/>
    <col min="13318" max="13568" width="8.85546875" style="966"/>
    <col min="13569" max="13569" width="37.5703125" style="966" customWidth="1"/>
    <col min="13570" max="13570" width="3.28515625" style="966" customWidth="1"/>
    <col min="13571" max="13571" width="15" style="966" customWidth="1"/>
    <col min="13572" max="13572" width="17.5703125" style="966" customWidth="1"/>
    <col min="13573" max="13573" width="3.7109375" style="966" customWidth="1"/>
    <col min="13574" max="13824" width="8.85546875" style="966"/>
    <col min="13825" max="13825" width="37.5703125" style="966" customWidth="1"/>
    <col min="13826" max="13826" width="3.28515625" style="966" customWidth="1"/>
    <col min="13827" max="13827" width="15" style="966" customWidth="1"/>
    <col min="13828" max="13828" width="17.5703125" style="966" customWidth="1"/>
    <col min="13829" max="13829" width="3.7109375" style="966" customWidth="1"/>
    <col min="13830" max="14080" width="8.85546875" style="966"/>
    <col min="14081" max="14081" width="37.5703125" style="966" customWidth="1"/>
    <col min="14082" max="14082" width="3.28515625" style="966" customWidth="1"/>
    <col min="14083" max="14083" width="15" style="966" customWidth="1"/>
    <col min="14084" max="14084" width="17.5703125" style="966" customWidth="1"/>
    <col min="14085" max="14085" width="3.7109375" style="966" customWidth="1"/>
    <col min="14086" max="14336" width="8.85546875" style="966"/>
    <col min="14337" max="14337" width="37.5703125" style="966" customWidth="1"/>
    <col min="14338" max="14338" width="3.28515625" style="966" customWidth="1"/>
    <col min="14339" max="14339" width="15" style="966" customWidth="1"/>
    <col min="14340" max="14340" width="17.5703125" style="966" customWidth="1"/>
    <col min="14341" max="14341" width="3.7109375" style="966" customWidth="1"/>
    <col min="14342" max="14592" width="8.85546875" style="966"/>
    <col min="14593" max="14593" width="37.5703125" style="966" customWidth="1"/>
    <col min="14594" max="14594" width="3.28515625" style="966" customWidth="1"/>
    <col min="14595" max="14595" width="15" style="966" customWidth="1"/>
    <col min="14596" max="14596" width="17.5703125" style="966" customWidth="1"/>
    <col min="14597" max="14597" width="3.7109375" style="966" customWidth="1"/>
    <col min="14598" max="14848" width="8.85546875" style="966"/>
    <col min="14849" max="14849" width="37.5703125" style="966" customWidth="1"/>
    <col min="14850" max="14850" width="3.28515625" style="966" customWidth="1"/>
    <col min="14851" max="14851" width="15" style="966" customWidth="1"/>
    <col min="14852" max="14852" width="17.5703125" style="966" customWidth="1"/>
    <col min="14853" max="14853" width="3.7109375" style="966" customWidth="1"/>
    <col min="14854" max="15104" width="8.85546875" style="966"/>
    <col min="15105" max="15105" width="37.5703125" style="966" customWidth="1"/>
    <col min="15106" max="15106" width="3.28515625" style="966" customWidth="1"/>
    <col min="15107" max="15107" width="15" style="966" customWidth="1"/>
    <col min="15108" max="15108" width="17.5703125" style="966" customWidth="1"/>
    <col min="15109" max="15109" width="3.7109375" style="966" customWidth="1"/>
    <col min="15110" max="15360" width="8.85546875" style="966"/>
    <col min="15361" max="15361" width="37.5703125" style="966" customWidth="1"/>
    <col min="15362" max="15362" width="3.28515625" style="966" customWidth="1"/>
    <col min="15363" max="15363" width="15" style="966" customWidth="1"/>
    <col min="15364" max="15364" width="17.5703125" style="966" customWidth="1"/>
    <col min="15365" max="15365" width="3.7109375" style="966" customWidth="1"/>
    <col min="15366" max="15616" width="8.85546875" style="966"/>
    <col min="15617" max="15617" width="37.5703125" style="966" customWidth="1"/>
    <col min="15618" max="15618" width="3.28515625" style="966" customWidth="1"/>
    <col min="15619" max="15619" width="15" style="966" customWidth="1"/>
    <col min="15620" max="15620" width="17.5703125" style="966" customWidth="1"/>
    <col min="15621" max="15621" width="3.7109375" style="966" customWidth="1"/>
    <col min="15622" max="15872" width="8.85546875" style="966"/>
    <col min="15873" max="15873" width="37.5703125" style="966" customWidth="1"/>
    <col min="15874" max="15874" width="3.28515625" style="966" customWidth="1"/>
    <col min="15875" max="15875" width="15" style="966" customWidth="1"/>
    <col min="15876" max="15876" width="17.5703125" style="966" customWidth="1"/>
    <col min="15877" max="15877" width="3.7109375" style="966" customWidth="1"/>
    <col min="15878" max="16128" width="8.85546875" style="966"/>
    <col min="16129" max="16129" width="37.5703125" style="966" customWidth="1"/>
    <col min="16130" max="16130" width="3.28515625" style="966" customWidth="1"/>
    <col min="16131" max="16131" width="15" style="966" customWidth="1"/>
    <col min="16132" max="16132" width="17.5703125" style="966" customWidth="1"/>
    <col min="16133" max="16133" width="3.7109375" style="966" customWidth="1"/>
    <col min="16134" max="16384" width="8.85546875" style="966"/>
  </cols>
  <sheetData>
    <row r="1" spans="1:5">
      <c r="A1" s="984" t="s">
        <v>0</v>
      </c>
      <c r="B1" s="984"/>
      <c r="C1" s="985"/>
    </row>
    <row r="2" spans="1:5">
      <c r="A2" s="984" t="s">
        <v>1</v>
      </c>
      <c r="B2" s="984"/>
      <c r="C2" s="985"/>
    </row>
    <row r="3" spans="1:5" ht="4.5" customHeight="1">
      <c r="A3" s="984"/>
      <c r="B3" s="984"/>
      <c r="C3" s="985"/>
    </row>
    <row r="4" spans="1:5">
      <c r="A4" s="984" t="s">
        <v>1575</v>
      </c>
      <c r="B4" s="984"/>
      <c r="C4" s="985"/>
    </row>
    <row r="5" spans="1:5" ht="5.25" customHeight="1" thickBot="1"/>
    <row r="6" spans="1:5" ht="6.75" customHeight="1">
      <c r="A6" s="968"/>
      <c r="B6" s="968"/>
      <c r="C6" s="969"/>
      <c r="D6" s="970"/>
      <c r="E6" s="970"/>
    </row>
    <row r="7" spans="1:5">
      <c r="A7" s="844" t="s">
        <v>1561</v>
      </c>
      <c r="B7" s="986"/>
      <c r="C7" s="1317" t="s">
        <v>1098</v>
      </c>
      <c r="D7" s="1317"/>
    </row>
    <row r="8" spans="1:5">
      <c r="A8" s="853"/>
      <c r="B8" s="986"/>
      <c r="C8" s="987" t="s">
        <v>360</v>
      </c>
      <c r="D8" s="844" t="s">
        <v>10</v>
      </c>
    </row>
    <row r="9" spans="1:5" ht="6.75" customHeight="1" thickBot="1">
      <c r="A9" s="971"/>
      <c r="B9" s="971"/>
      <c r="C9" s="972"/>
      <c r="D9" s="973"/>
    </row>
    <row r="10" spans="1:5" ht="7.5" customHeight="1">
      <c r="A10" s="974"/>
      <c r="B10" s="974"/>
      <c r="C10" s="975"/>
      <c r="D10" s="976"/>
      <c r="E10" s="970"/>
    </row>
    <row r="11" spans="1:5" ht="15">
      <c r="A11" s="988" t="s">
        <v>325</v>
      </c>
      <c r="B11" s="977"/>
      <c r="C11" s="978">
        <f>IF($A11&lt;&gt;0,C13+C29,"")</f>
        <v>123</v>
      </c>
      <c r="D11" s="979">
        <f>IF($A11&lt;&gt;0,D13+D29,"")</f>
        <v>100</v>
      </c>
    </row>
    <row r="12" spans="1:5" ht="8.25" customHeight="1">
      <c r="A12" s="977"/>
      <c r="B12" s="977"/>
      <c r="C12" s="980"/>
      <c r="D12" s="981"/>
    </row>
    <row r="13" spans="1:5" ht="15">
      <c r="A13" s="988" t="s">
        <v>326</v>
      </c>
      <c r="B13" s="977"/>
      <c r="C13" s="980">
        <f>SUM(C15+C17+C19+C21+C23+C25+C27)</f>
        <v>67</v>
      </c>
      <c r="D13" s="979">
        <f>IF($A13&lt;&gt;"",C13/C$11*100,"")</f>
        <v>54.471544715447152</v>
      </c>
    </row>
    <row r="14" spans="1:5" ht="8.25" customHeight="1">
      <c r="A14" s="977"/>
      <c r="B14" s="977"/>
      <c r="C14" s="980"/>
      <c r="D14" s="979" t="str">
        <f t="shared" ref="D14:D19" si="0">IF($A14&lt;&gt;"",C14/C$11*100,"")</f>
        <v/>
      </c>
    </row>
    <row r="15" spans="1:5" ht="15">
      <c r="A15" s="989" t="s">
        <v>327</v>
      </c>
      <c r="B15" s="988"/>
      <c r="C15" s="980">
        <v>35</v>
      </c>
      <c r="D15" s="979">
        <f t="shared" si="0"/>
        <v>28.455284552845526</v>
      </c>
    </row>
    <row r="16" spans="1:5" ht="8.25" customHeight="1">
      <c r="A16" s="989"/>
      <c r="B16" s="977"/>
      <c r="C16" s="980"/>
      <c r="D16" s="979" t="str">
        <f t="shared" si="0"/>
        <v/>
      </c>
    </row>
    <row r="17" spans="1:4" ht="15">
      <c r="A17" s="989" t="s">
        <v>375</v>
      </c>
      <c r="B17" s="988"/>
      <c r="C17" s="980">
        <v>3</v>
      </c>
      <c r="D17" s="979">
        <f t="shared" si="0"/>
        <v>2.4390243902439024</v>
      </c>
    </row>
    <row r="18" spans="1:4" ht="8.25" customHeight="1">
      <c r="A18" s="989"/>
      <c r="B18" s="977"/>
      <c r="C18" s="980"/>
      <c r="D18" s="979" t="str">
        <f t="shared" si="0"/>
        <v/>
      </c>
    </row>
    <row r="19" spans="1:4" ht="15">
      <c r="A19" s="989" t="s">
        <v>329</v>
      </c>
      <c r="B19" s="988"/>
      <c r="C19" s="980">
        <v>10</v>
      </c>
      <c r="D19" s="979">
        <f t="shared" si="0"/>
        <v>8.1300813008130071</v>
      </c>
    </row>
    <row r="20" spans="1:4" ht="8.25" customHeight="1">
      <c r="A20" s="990"/>
      <c r="B20" s="977"/>
      <c r="C20" s="980"/>
      <c r="D20" s="981"/>
    </row>
    <row r="21" spans="1:4" ht="15" hidden="1">
      <c r="A21" s="990" t="s">
        <v>336</v>
      </c>
      <c r="B21" s="988"/>
      <c r="C21" s="980"/>
      <c r="D21" s="979">
        <f t="shared" ref="D21:D41" si="1">IF($A21&lt;&gt;"",C21/C$11*100,"")</f>
        <v>0</v>
      </c>
    </row>
    <row r="22" spans="1:4" ht="9.75" hidden="1" customHeight="1">
      <c r="A22" s="990"/>
      <c r="B22" s="988"/>
      <c r="C22" s="980"/>
      <c r="D22" s="979"/>
    </row>
    <row r="23" spans="1:4">
      <c r="A23" s="989" t="s">
        <v>396</v>
      </c>
      <c r="B23" s="977"/>
      <c r="C23" s="980">
        <v>9</v>
      </c>
      <c r="D23" s="979">
        <f t="shared" si="1"/>
        <v>7.3170731707317067</v>
      </c>
    </row>
    <row r="24" spans="1:4" ht="8.25" customHeight="1">
      <c r="A24" s="989"/>
      <c r="B24" s="977"/>
      <c r="C24" s="980"/>
      <c r="D24" s="979" t="str">
        <f t="shared" si="1"/>
        <v/>
      </c>
    </row>
    <row r="25" spans="1:4" s="991" customFormat="1" ht="15">
      <c r="A25" s="989" t="s">
        <v>333</v>
      </c>
      <c r="B25" s="988"/>
      <c r="C25" s="980">
        <v>5</v>
      </c>
      <c r="D25" s="979">
        <f t="shared" si="1"/>
        <v>4.0650406504065035</v>
      </c>
    </row>
    <row r="26" spans="1:4" ht="8.25" customHeight="1">
      <c r="A26" s="977"/>
      <c r="B26" s="977"/>
      <c r="C26" s="980"/>
      <c r="D26" s="979" t="str">
        <f t="shared" si="1"/>
        <v/>
      </c>
    </row>
    <row r="27" spans="1:4" ht="12.75" customHeight="1">
      <c r="A27" s="989" t="s">
        <v>1576</v>
      </c>
      <c r="B27" s="977"/>
      <c r="C27" s="980">
        <v>5</v>
      </c>
      <c r="D27" s="979">
        <f t="shared" si="1"/>
        <v>4.0650406504065035</v>
      </c>
    </row>
    <row r="28" spans="1:4" ht="8.25" customHeight="1">
      <c r="A28" s="977"/>
      <c r="B28" s="977"/>
      <c r="C28" s="980"/>
      <c r="D28" s="979"/>
    </row>
    <row r="29" spans="1:4" ht="15">
      <c r="A29" s="988" t="s">
        <v>346</v>
      </c>
      <c r="B29" s="988"/>
      <c r="C29" s="980">
        <f>SUM(C31:C41)</f>
        <v>56</v>
      </c>
      <c r="D29" s="979">
        <f t="shared" si="1"/>
        <v>45.528455284552841</v>
      </c>
    </row>
    <row r="30" spans="1:4" ht="10.5" hidden="1" customHeight="1">
      <c r="A30" s="988"/>
      <c r="B30" s="988"/>
      <c r="C30" s="980"/>
      <c r="D30" s="979"/>
    </row>
    <row r="31" spans="1:4" hidden="1">
      <c r="A31" s="977" t="s">
        <v>1563</v>
      </c>
      <c r="B31" s="977"/>
      <c r="C31" s="980">
        <v>20</v>
      </c>
      <c r="D31" s="979">
        <f t="shared" si="1"/>
        <v>16.260162601626014</v>
      </c>
    </row>
    <row r="32" spans="1:4" ht="10.5" hidden="1" customHeight="1">
      <c r="A32" s="977"/>
      <c r="B32" s="977"/>
      <c r="C32" s="980"/>
      <c r="D32" s="979" t="str">
        <f t="shared" si="1"/>
        <v/>
      </c>
    </row>
    <row r="33" spans="1:5" hidden="1">
      <c r="A33" s="989" t="s">
        <v>775</v>
      </c>
      <c r="B33" s="977"/>
      <c r="C33" s="980">
        <v>1</v>
      </c>
      <c r="D33" s="979">
        <f t="shared" si="1"/>
        <v>0.81300813008130091</v>
      </c>
    </row>
    <row r="34" spans="1:5" ht="9" hidden="1" customHeight="1">
      <c r="A34" s="977"/>
      <c r="B34" s="977"/>
      <c r="C34" s="980"/>
      <c r="D34" s="979" t="str">
        <f t="shared" si="1"/>
        <v/>
      </c>
    </row>
    <row r="35" spans="1:5" hidden="1">
      <c r="A35" s="977" t="s">
        <v>1564</v>
      </c>
      <c r="B35" s="977"/>
      <c r="C35" s="980">
        <v>10</v>
      </c>
      <c r="D35" s="979">
        <f t="shared" si="1"/>
        <v>8.1300813008130071</v>
      </c>
    </row>
    <row r="36" spans="1:5" ht="9" hidden="1" customHeight="1">
      <c r="A36" s="977"/>
      <c r="B36" s="977"/>
      <c r="C36" s="980"/>
      <c r="D36" s="979"/>
    </row>
    <row r="37" spans="1:5" hidden="1">
      <c r="A37" s="977" t="s">
        <v>779</v>
      </c>
      <c r="B37" s="977"/>
      <c r="C37" s="980">
        <v>8</v>
      </c>
      <c r="D37" s="979">
        <f t="shared" si="1"/>
        <v>6.5040650406504072</v>
      </c>
    </row>
    <row r="38" spans="1:5" ht="9" hidden="1" customHeight="1">
      <c r="A38" s="977"/>
      <c r="B38" s="977"/>
      <c r="C38" s="980"/>
      <c r="D38" s="979"/>
    </row>
    <row r="39" spans="1:5" hidden="1">
      <c r="A39" s="977" t="s">
        <v>1565</v>
      </c>
      <c r="B39" s="977"/>
      <c r="C39" s="980">
        <v>8</v>
      </c>
      <c r="D39" s="979">
        <f t="shared" si="1"/>
        <v>6.5040650406504072</v>
      </c>
    </row>
    <row r="40" spans="1:5" ht="9" hidden="1" customHeight="1">
      <c r="D40" s="982"/>
    </row>
    <row r="41" spans="1:5" hidden="1">
      <c r="A41" s="966" t="s">
        <v>781</v>
      </c>
      <c r="C41" s="967">
        <v>9</v>
      </c>
      <c r="D41" s="982">
        <f t="shared" si="1"/>
        <v>7.3170731707317067</v>
      </c>
    </row>
    <row r="42" spans="1:5" ht="10.5" customHeight="1" thickBot="1"/>
    <row r="43" spans="1:5" ht="12" customHeight="1">
      <c r="A43" s="983"/>
      <c r="B43" s="983"/>
      <c r="C43" s="969"/>
      <c r="D43" s="969"/>
      <c r="E43" s="970"/>
    </row>
    <row r="44" spans="1:5">
      <c r="A44" s="966" t="s">
        <v>1545</v>
      </c>
    </row>
    <row r="45" spans="1:5">
      <c r="A45" s="966" t="s">
        <v>795</v>
      </c>
    </row>
  </sheetData>
  <mergeCells count="1">
    <mergeCell ref="C7:D7"/>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sheetPr>
    <tabColor theme="5" tint="0.59999389629810485"/>
  </sheetPr>
  <dimension ref="A1:O19"/>
  <sheetViews>
    <sheetView workbookViewId="0">
      <selection activeCell="A37" sqref="A37:XFD37"/>
    </sheetView>
  </sheetViews>
  <sheetFormatPr baseColWidth="10" defaultRowHeight="15"/>
  <sheetData>
    <row r="1" spans="1:15" ht="12.75" customHeight="1"/>
    <row r="2" spans="1:15" ht="12.75" customHeight="1"/>
    <row r="3" spans="1:15" ht="12.75" customHeight="1">
      <c r="A3" s="42" t="s">
        <v>346</v>
      </c>
      <c r="B3" s="431" t="s">
        <v>1574</v>
      </c>
      <c r="C3" s="42" t="s">
        <v>1573</v>
      </c>
      <c r="D3" s="42" t="s">
        <v>1077</v>
      </c>
      <c r="E3" s="42" t="s">
        <v>1079</v>
      </c>
      <c r="F3" s="42" t="s">
        <v>1583</v>
      </c>
      <c r="G3" s="42" t="s">
        <v>1076</v>
      </c>
      <c r="H3" s="42" t="s">
        <v>1075</v>
      </c>
      <c r="K3" s="42"/>
      <c r="L3" s="42"/>
      <c r="M3" s="42"/>
      <c r="N3" s="431"/>
      <c r="O3" s="31"/>
    </row>
    <row r="4" spans="1:15" ht="12.75" customHeight="1">
      <c r="A4" s="31">
        <v>45.528455284552841</v>
      </c>
      <c r="B4" s="31">
        <v>28.455284552845526</v>
      </c>
      <c r="C4" s="31">
        <v>8.1300813008130071</v>
      </c>
      <c r="D4" s="31">
        <v>7.3170731707317067</v>
      </c>
      <c r="E4" s="31">
        <v>4.0650406504065035</v>
      </c>
      <c r="F4" s="31">
        <v>4.0650406504065035</v>
      </c>
      <c r="G4" s="31">
        <v>2.4390243902439024</v>
      </c>
      <c r="H4" s="31">
        <v>0.84</v>
      </c>
      <c r="K4" s="2"/>
      <c r="L4" s="2"/>
      <c r="M4" s="31"/>
      <c r="N4" s="31"/>
    </row>
    <row r="5" spans="1:15">
      <c r="B5" s="42"/>
      <c r="C5" s="431"/>
      <c r="D5" s="42"/>
      <c r="E5" s="42"/>
      <c r="F5" s="42"/>
      <c r="G5" s="42"/>
      <c r="M5" s="31"/>
      <c r="O5" s="31"/>
    </row>
    <row r="6" spans="1:15">
      <c r="B6" s="31"/>
      <c r="C6" s="31"/>
      <c r="E6" s="31"/>
      <c r="F6" s="31"/>
      <c r="G6" s="31"/>
      <c r="H6" s="42"/>
      <c r="I6" s="42"/>
      <c r="M6" s="31"/>
      <c r="O6" s="31"/>
    </row>
    <row r="7" spans="1:15">
      <c r="D7" s="1"/>
      <c r="I7" s="1"/>
      <c r="M7" s="31"/>
      <c r="O7" s="31"/>
    </row>
    <row r="8" spans="1:15">
      <c r="M8" s="31"/>
      <c r="O8" s="31"/>
    </row>
    <row r="9" spans="1:15">
      <c r="M9" s="31"/>
      <c r="O9" s="31"/>
    </row>
    <row r="10" spans="1:15">
      <c r="M10" s="31"/>
      <c r="O10" s="31"/>
    </row>
    <row r="11" spans="1:15">
      <c r="O11" s="31"/>
    </row>
    <row r="12" spans="1:15">
      <c r="O12" s="31"/>
    </row>
    <row r="13" spans="1:15">
      <c r="O13" s="31"/>
    </row>
    <row r="14" spans="1:15">
      <c r="O14" s="31"/>
    </row>
    <row r="15" spans="1:15">
      <c r="O15" s="31"/>
    </row>
    <row r="16" spans="1:15">
      <c r="O16" s="31"/>
    </row>
    <row r="17" spans="15:15">
      <c r="O17" s="31"/>
    </row>
    <row r="18" spans="15:15">
      <c r="O18" s="31"/>
    </row>
    <row r="19" spans="15:15">
      <c r="O19" s="31"/>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92.xml><?xml version="1.0" encoding="utf-8"?>
<worksheet xmlns="http://schemas.openxmlformats.org/spreadsheetml/2006/main" xmlns:r="http://schemas.openxmlformats.org/officeDocument/2006/relationships">
  <dimension ref="A1:W29"/>
  <sheetViews>
    <sheetView workbookViewId="0">
      <selection activeCell="R9" sqref="R9"/>
    </sheetView>
  </sheetViews>
  <sheetFormatPr baseColWidth="10" defaultRowHeight="15"/>
  <cols>
    <col min="1" max="1" width="15.5703125" customWidth="1"/>
    <col min="2" max="2" width="9.42578125" customWidth="1"/>
    <col min="3" max="4" width="8.7109375" customWidth="1"/>
    <col min="5" max="5" width="3.140625" customWidth="1"/>
    <col min="6" max="7" width="8.28515625" customWidth="1"/>
    <col min="8" max="8" width="2.28515625" customWidth="1"/>
    <col min="9" max="10" width="8.28515625" hidden="1" customWidth="1"/>
    <col min="11" max="11" width="2.7109375" hidden="1" customWidth="1"/>
    <col min="12" max="12" width="8.28515625" customWidth="1"/>
    <col min="13" max="13" width="8.7109375" customWidth="1"/>
    <col min="14" max="14" width="2.7109375" customWidth="1"/>
    <col min="15" max="16" width="8.7109375" customWidth="1"/>
    <col min="17" max="17" width="2.7109375" customWidth="1"/>
    <col min="18" max="19" width="8.7109375" customWidth="1"/>
    <col min="20" max="20" width="2.7109375" customWidth="1"/>
    <col min="21" max="22" width="8.7109375" customWidth="1"/>
    <col min="23" max="23" width="2.7109375" customWidth="1"/>
    <col min="257" max="257" width="15.5703125" customWidth="1"/>
    <col min="258" max="258" width="9.42578125" customWidth="1"/>
    <col min="259" max="260" width="8.7109375" customWidth="1"/>
    <col min="261" max="261" width="3.140625" customWidth="1"/>
    <col min="262" max="263" width="8.28515625" customWidth="1"/>
    <col min="264" max="264" width="2.28515625" customWidth="1"/>
    <col min="265" max="267" width="0" hidden="1" customWidth="1"/>
    <col min="268" max="268" width="8.28515625" customWidth="1"/>
    <col min="269" max="269" width="8.7109375" customWidth="1"/>
    <col min="270" max="270" width="2.7109375" customWidth="1"/>
    <col min="271" max="272" width="8.7109375" customWidth="1"/>
    <col min="273" max="273" width="2.7109375" customWidth="1"/>
    <col min="274" max="275" width="8.7109375" customWidth="1"/>
    <col min="276" max="276" width="2.7109375" customWidth="1"/>
    <col min="277" max="278" width="8.7109375" customWidth="1"/>
    <col min="279" max="279" width="2.7109375" customWidth="1"/>
    <col min="513" max="513" width="15.5703125" customWidth="1"/>
    <col min="514" max="514" width="9.42578125" customWidth="1"/>
    <col min="515" max="516" width="8.7109375" customWidth="1"/>
    <col min="517" max="517" width="3.140625" customWidth="1"/>
    <col min="518" max="519" width="8.28515625" customWidth="1"/>
    <col min="520" max="520" width="2.28515625" customWidth="1"/>
    <col min="521" max="523" width="0" hidden="1" customWidth="1"/>
    <col min="524" max="524" width="8.28515625" customWidth="1"/>
    <col min="525" max="525" width="8.7109375" customWidth="1"/>
    <col min="526" max="526" width="2.7109375" customWidth="1"/>
    <col min="527" max="528" width="8.7109375" customWidth="1"/>
    <col min="529" max="529" width="2.7109375" customWidth="1"/>
    <col min="530" max="531" width="8.7109375" customWidth="1"/>
    <col min="532" max="532" width="2.7109375" customWidth="1"/>
    <col min="533" max="534" width="8.7109375" customWidth="1"/>
    <col min="535" max="535" width="2.7109375" customWidth="1"/>
    <col min="769" max="769" width="15.5703125" customWidth="1"/>
    <col min="770" max="770" width="9.42578125" customWidth="1"/>
    <col min="771" max="772" width="8.7109375" customWidth="1"/>
    <col min="773" max="773" width="3.140625" customWidth="1"/>
    <col min="774" max="775" width="8.28515625" customWidth="1"/>
    <col min="776" max="776" width="2.28515625" customWidth="1"/>
    <col min="777" max="779" width="0" hidden="1" customWidth="1"/>
    <col min="780" max="780" width="8.28515625" customWidth="1"/>
    <col min="781" max="781" width="8.7109375" customWidth="1"/>
    <col min="782" max="782" width="2.7109375" customWidth="1"/>
    <col min="783" max="784" width="8.7109375" customWidth="1"/>
    <col min="785" max="785" width="2.7109375" customWidth="1"/>
    <col min="786" max="787" width="8.7109375" customWidth="1"/>
    <col min="788" max="788" width="2.7109375" customWidth="1"/>
    <col min="789" max="790" width="8.7109375" customWidth="1"/>
    <col min="791" max="791" width="2.7109375" customWidth="1"/>
    <col min="1025" max="1025" width="15.5703125" customWidth="1"/>
    <col min="1026" max="1026" width="9.42578125" customWidth="1"/>
    <col min="1027" max="1028" width="8.7109375" customWidth="1"/>
    <col min="1029" max="1029" width="3.140625" customWidth="1"/>
    <col min="1030" max="1031" width="8.28515625" customWidth="1"/>
    <col min="1032" max="1032" width="2.28515625" customWidth="1"/>
    <col min="1033" max="1035" width="0" hidden="1" customWidth="1"/>
    <col min="1036" max="1036" width="8.28515625" customWidth="1"/>
    <col min="1037" max="1037" width="8.7109375" customWidth="1"/>
    <col min="1038" max="1038" width="2.7109375" customWidth="1"/>
    <col min="1039" max="1040" width="8.7109375" customWidth="1"/>
    <col min="1041" max="1041" width="2.7109375" customWidth="1"/>
    <col min="1042" max="1043" width="8.7109375" customWidth="1"/>
    <col min="1044" max="1044" width="2.7109375" customWidth="1"/>
    <col min="1045" max="1046" width="8.7109375" customWidth="1"/>
    <col min="1047" max="1047" width="2.7109375" customWidth="1"/>
    <col min="1281" max="1281" width="15.5703125" customWidth="1"/>
    <col min="1282" max="1282" width="9.42578125" customWidth="1"/>
    <col min="1283" max="1284" width="8.7109375" customWidth="1"/>
    <col min="1285" max="1285" width="3.140625" customWidth="1"/>
    <col min="1286" max="1287" width="8.28515625" customWidth="1"/>
    <col min="1288" max="1288" width="2.28515625" customWidth="1"/>
    <col min="1289" max="1291" width="0" hidden="1" customWidth="1"/>
    <col min="1292" max="1292" width="8.28515625" customWidth="1"/>
    <col min="1293" max="1293" width="8.7109375" customWidth="1"/>
    <col min="1294" max="1294" width="2.7109375" customWidth="1"/>
    <col min="1295" max="1296" width="8.7109375" customWidth="1"/>
    <col min="1297" max="1297" width="2.7109375" customWidth="1"/>
    <col min="1298" max="1299" width="8.7109375" customWidth="1"/>
    <col min="1300" max="1300" width="2.7109375" customWidth="1"/>
    <col min="1301" max="1302" width="8.7109375" customWidth="1"/>
    <col min="1303" max="1303" width="2.7109375" customWidth="1"/>
    <col min="1537" max="1537" width="15.5703125" customWidth="1"/>
    <col min="1538" max="1538" width="9.42578125" customWidth="1"/>
    <col min="1539" max="1540" width="8.7109375" customWidth="1"/>
    <col min="1541" max="1541" width="3.140625" customWidth="1"/>
    <col min="1542" max="1543" width="8.28515625" customWidth="1"/>
    <col min="1544" max="1544" width="2.28515625" customWidth="1"/>
    <col min="1545" max="1547" width="0" hidden="1" customWidth="1"/>
    <col min="1548" max="1548" width="8.28515625" customWidth="1"/>
    <col min="1549" max="1549" width="8.7109375" customWidth="1"/>
    <col min="1550" max="1550" width="2.7109375" customWidth="1"/>
    <col min="1551" max="1552" width="8.7109375" customWidth="1"/>
    <col min="1553" max="1553" width="2.7109375" customWidth="1"/>
    <col min="1554" max="1555" width="8.7109375" customWidth="1"/>
    <col min="1556" max="1556" width="2.7109375" customWidth="1"/>
    <col min="1557" max="1558" width="8.7109375" customWidth="1"/>
    <col min="1559" max="1559" width="2.7109375" customWidth="1"/>
    <col min="1793" max="1793" width="15.5703125" customWidth="1"/>
    <col min="1794" max="1794" width="9.42578125" customWidth="1"/>
    <col min="1795" max="1796" width="8.7109375" customWidth="1"/>
    <col min="1797" max="1797" width="3.140625" customWidth="1"/>
    <col min="1798" max="1799" width="8.28515625" customWidth="1"/>
    <col min="1800" max="1800" width="2.28515625" customWidth="1"/>
    <col min="1801" max="1803" width="0" hidden="1" customWidth="1"/>
    <col min="1804" max="1804" width="8.28515625" customWidth="1"/>
    <col min="1805" max="1805" width="8.7109375" customWidth="1"/>
    <col min="1806" max="1806" width="2.7109375" customWidth="1"/>
    <col min="1807" max="1808" width="8.7109375" customWidth="1"/>
    <col min="1809" max="1809" width="2.7109375" customWidth="1"/>
    <col min="1810" max="1811" width="8.7109375" customWidth="1"/>
    <col min="1812" max="1812" width="2.7109375" customWidth="1"/>
    <col min="1813" max="1814" width="8.7109375" customWidth="1"/>
    <col min="1815" max="1815" width="2.7109375" customWidth="1"/>
    <col min="2049" max="2049" width="15.5703125" customWidth="1"/>
    <col min="2050" max="2050" width="9.42578125" customWidth="1"/>
    <col min="2051" max="2052" width="8.7109375" customWidth="1"/>
    <col min="2053" max="2053" width="3.140625" customWidth="1"/>
    <col min="2054" max="2055" width="8.28515625" customWidth="1"/>
    <col min="2056" max="2056" width="2.28515625" customWidth="1"/>
    <col min="2057" max="2059" width="0" hidden="1" customWidth="1"/>
    <col min="2060" max="2060" width="8.28515625" customWidth="1"/>
    <col min="2061" max="2061" width="8.7109375" customWidth="1"/>
    <col min="2062" max="2062" width="2.7109375" customWidth="1"/>
    <col min="2063" max="2064" width="8.7109375" customWidth="1"/>
    <col min="2065" max="2065" width="2.7109375" customWidth="1"/>
    <col min="2066" max="2067" width="8.7109375" customWidth="1"/>
    <col min="2068" max="2068" width="2.7109375" customWidth="1"/>
    <col min="2069" max="2070" width="8.7109375" customWidth="1"/>
    <col min="2071" max="2071" width="2.7109375" customWidth="1"/>
    <col min="2305" max="2305" width="15.5703125" customWidth="1"/>
    <col min="2306" max="2306" width="9.42578125" customWidth="1"/>
    <col min="2307" max="2308" width="8.7109375" customWidth="1"/>
    <col min="2309" max="2309" width="3.140625" customWidth="1"/>
    <col min="2310" max="2311" width="8.28515625" customWidth="1"/>
    <col min="2312" max="2312" width="2.28515625" customWidth="1"/>
    <col min="2313" max="2315" width="0" hidden="1" customWidth="1"/>
    <col min="2316" max="2316" width="8.28515625" customWidth="1"/>
    <col min="2317" max="2317" width="8.7109375" customWidth="1"/>
    <col min="2318" max="2318" width="2.7109375" customWidth="1"/>
    <col min="2319" max="2320" width="8.7109375" customWidth="1"/>
    <col min="2321" max="2321" width="2.7109375" customWidth="1"/>
    <col min="2322" max="2323" width="8.7109375" customWidth="1"/>
    <col min="2324" max="2324" width="2.7109375" customWidth="1"/>
    <col min="2325" max="2326" width="8.7109375" customWidth="1"/>
    <col min="2327" max="2327" width="2.7109375" customWidth="1"/>
    <col min="2561" max="2561" width="15.5703125" customWidth="1"/>
    <col min="2562" max="2562" width="9.42578125" customWidth="1"/>
    <col min="2563" max="2564" width="8.7109375" customWidth="1"/>
    <col min="2565" max="2565" width="3.140625" customWidth="1"/>
    <col min="2566" max="2567" width="8.28515625" customWidth="1"/>
    <col min="2568" max="2568" width="2.28515625" customWidth="1"/>
    <col min="2569" max="2571" width="0" hidden="1" customWidth="1"/>
    <col min="2572" max="2572" width="8.28515625" customWidth="1"/>
    <col min="2573" max="2573" width="8.7109375" customWidth="1"/>
    <col min="2574" max="2574" width="2.7109375" customWidth="1"/>
    <col min="2575" max="2576" width="8.7109375" customWidth="1"/>
    <col min="2577" max="2577" width="2.7109375" customWidth="1"/>
    <col min="2578" max="2579" width="8.7109375" customWidth="1"/>
    <col min="2580" max="2580" width="2.7109375" customWidth="1"/>
    <col min="2581" max="2582" width="8.7109375" customWidth="1"/>
    <col min="2583" max="2583" width="2.7109375" customWidth="1"/>
    <col min="2817" max="2817" width="15.5703125" customWidth="1"/>
    <col min="2818" max="2818" width="9.42578125" customWidth="1"/>
    <col min="2819" max="2820" width="8.7109375" customWidth="1"/>
    <col min="2821" max="2821" width="3.140625" customWidth="1"/>
    <col min="2822" max="2823" width="8.28515625" customWidth="1"/>
    <col min="2824" max="2824" width="2.28515625" customWidth="1"/>
    <col min="2825" max="2827" width="0" hidden="1" customWidth="1"/>
    <col min="2828" max="2828" width="8.28515625" customWidth="1"/>
    <col min="2829" max="2829" width="8.7109375" customWidth="1"/>
    <col min="2830" max="2830" width="2.7109375" customWidth="1"/>
    <col min="2831" max="2832" width="8.7109375" customWidth="1"/>
    <col min="2833" max="2833" width="2.7109375" customWidth="1"/>
    <col min="2834" max="2835" width="8.7109375" customWidth="1"/>
    <col min="2836" max="2836" width="2.7109375" customWidth="1"/>
    <col min="2837" max="2838" width="8.7109375" customWidth="1"/>
    <col min="2839" max="2839" width="2.7109375" customWidth="1"/>
    <col min="3073" max="3073" width="15.5703125" customWidth="1"/>
    <col min="3074" max="3074" width="9.42578125" customWidth="1"/>
    <col min="3075" max="3076" width="8.7109375" customWidth="1"/>
    <col min="3077" max="3077" width="3.140625" customWidth="1"/>
    <col min="3078" max="3079" width="8.28515625" customWidth="1"/>
    <col min="3080" max="3080" width="2.28515625" customWidth="1"/>
    <col min="3081" max="3083" width="0" hidden="1" customWidth="1"/>
    <col min="3084" max="3084" width="8.28515625" customWidth="1"/>
    <col min="3085" max="3085" width="8.7109375" customWidth="1"/>
    <col min="3086" max="3086" width="2.7109375" customWidth="1"/>
    <col min="3087" max="3088" width="8.7109375" customWidth="1"/>
    <col min="3089" max="3089" width="2.7109375" customWidth="1"/>
    <col min="3090" max="3091" width="8.7109375" customWidth="1"/>
    <col min="3092" max="3092" width="2.7109375" customWidth="1"/>
    <col min="3093" max="3094" width="8.7109375" customWidth="1"/>
    <col min="3095" max="3095" width="2.7109375" customWidth="1"/>
    <col min="3329" max="3329" width="15.5703125" customWidth="1"/>
    <col min="3330" max="3330" width="9.42578125" customWidth="1"/>
    <col min="3331" max="3332" width="8.7109375" customWidth="1"/>
    <col min="3333" max="3333" width="3.140625" customWidth="1"/>
    <col min="3334" max="3335" width="8.28515625" customWidth="1"/>
    <col min="3336" max="3336" width="2.28515625" customWidth="1"/>
    <col min="3337" max="3339" width="0" hidden="1" customWidth="1"/>
    <col min="3340" max="3340" width="8.28515625" customWidth="1"/>
    <col min="3341" max="3341" width="8.7109375" customWidth="1"/>
    <col min="3342" max="3342" width="2.7109375" customWidth="1"/>
    <col min="3343" max="3344" width="8.7109375" customWidth="1"/>
    <col min="3345" max="3345" width="2.7109375" customWidth="1"/>
    <col min="3346" max="3347" width="8.7109375" customWidth="1"/>
    <col min="3348" max="3348" width="2.7109375" customWidth="1"/>
    <col min="3349" max="3350" width="8.7109375" customWidth="1"/>
    <col min="3351" max="3351" width="2.7109375" customWidth="1"/>
    <col min="3585" max="3585" width="15.5703125" customWidth="1"/>
    <col min="3586" max="3586" width="9.42578125" customWidth="1"/>
    <col min="3587" max="3588" width="8.7109375" customWidth="1"/>
    <col min="3589" max="3589" width="3.140625" customWidth="1"/>
    <col min="3590" max="3591" width="8.28515625" customWidth="1"/>
    <col min="3592" max="3592" width="2.28515625" customWidth="1"/>
    <col min="3593" max="3595" width="0" hidden="1" customWidth="1"/>
    <col min="3596" max="3596" width="8.28515625" customWidth="1"/>
    <col min="3597" max="3597" width="8.7109375" customWidth="1"/>
    <col min="3598" max="3598" width="2.7109375" customWidth="1"/>
    <col min="3599" max="3600" width="8.7109375" customWidth="1"/>
    <col min="3601" max="3601" width="2.7109375" customWidth="1"/>
    <col min="3602" max="3603" width="8.7109375" customWidth="1"/>
    <col min="3604" max="3604" width="2.7109375" customWidth="1"/>
    <col min="3605" max="3606" width="8.7109375" customWidth="1"/>
    <col min="3607" max="3607" width="2.7109375" customWidth="1"/>
    <col min="3841" max="3841" width="15.5703125" customWidth="1"/>
    <col min="3842" max="3842" width="9.42578125" customWidth="1"/>
    <col min="3843" max="3844" width="8.7109375" customWidth="1"/>
    <col min="3845" max="3845" width="3.140625" customWidth="1"/>
    <col min="3846" max="3847" width="8.28515625" customWidth="1"/>
    <col min="3848" max="3848" width="2.28515625" customWidth="1"/>
    <col min="3849" max="3851" width="0" hidden="1" customWidth="1"/>
    <col min="3852" max="3852" width="8.28515625" customWidth="1"/>
    <col min="3853" max="3853" width="8.7109375" customWidth="1"/>
    <col min="3854" max="3854" width="2.7109375" customWidth="1"/>
    <col min="3855" max="3856" width="8.7109375" customWidth="1"/>
    <col min="3857" max="3857" width="2.7109375" customWidth="1"/>
    <col min="3858" max="3859" width="8.7109375" customWidth="1"/>
    <col min="3860" max="3860" width="2.7109375" customWidth="1"/>
    <col min="3861" max="3862" width="8.7109375" customWidth="1"/>
    <col min="3863" max="3863" width="2.7109375" customWidth="1"/>
    <col min="4097" max="4097" width="15.5703125" customWidth="1"/>
    <col min="4098" max="4098" width="9.42578125" customWidth="1"/>
    <col min="4099" max="4100" width="8.7109375" customWidth="1"/>
    <col min="4101" max="4101" width="3.140625" customWidth="1"/>
    <col min="4102" max="4103" width="8.28515625" customWidth="1"/>
    <col min="4104" max="4104" width="2.28515625" customWidth="1"/>
    <col min="4105" max="4107" width="0" hidden="1" customWidth="1"/>
    <col min="4108" max="4108" width="8.28515625" customWidth="1"/>
    <col min="4109" max="4109" width="8.7109375" customWidth="1"/>
    <col min="4110" max="4110" width="2.7109375" customWidth="1"/>
    <col min="4111" max="4112" width="8.7109375" customWidth="1"/>
    <col min="4113" max="4113" width="2.7109375" customWidth="1"/>
    <col min="4114" max="4115" width="8.7109375" customWidth="1"/>
    <col min="4116" max="4116" width="2.7109375" customWidth="1"/>
    <col min="4117" max="4118" width="8.7109375" customWidth="1"/>
    <col min="4119" max="4119" width="2.7109375" customWidth="1"/>
    <col min="4353" max="4353" width="15.5703125" customWidth="1"/>
    <col min="4354" max="4354" width="9.42578125" customWidth="1"/>
    <col min="4355" max="4356" width="8.7109375" customWidth="1"/>
    <col min="4357" max="4357" width="3.140625" customWidth="1"/>
    <col min="4358" max="4359" width="8.28515625" customWidth="1"/>
    <col min="4360" max="4360" width="2.28515625" customWidth="1"/>
    <col min="4361" max="4363" width="0" hidden="1" customWidth="1"/>
    <col min="4364" max="4364" width="8.28515625" customWidth="1"/>
    <col min="4365" max="4365" width="8.7109375" customWidth="1"/>
    <col min="4366" max="4366" width="2.7109375" customWidth="1"/>
    <col min="4367" max="4368" width="8.7109375" customWidth="1"/>
    <col min="4369" max="4369" width="2.7109375" customWidth="1"/>
    <col min="4370" max="4371" width="8.7109375" customWidth="1"/>
    <col min="4372" max="4372" width="2.7109375" customWidth="1"/>
    <col min="4373" max="4374" width="8.7109375" customWidth="1"/>
    <col min="4375" max="4375" width="2.7109375" customWidth="1"/>
    <col min="4609" max="4609" width="15.5703125" customWidth="1"/>
    <col min="4610" max="4610" width="9.42578125" customWidth="1"/>
    <col min="4611" max="4612" width="8.7109375" customWidth="1"/>
    <col min="4613" max="4613" width="3.140625" customWidth="1"/>
    <col min="4614" max="4615" width="8.28515625" customWidth="1"/>
    <col min="4616" max="4616" width="2.28515625" customWidth="1"/>
    <col min="4617" max="4619" width="0" hidden="1" customWidth="1"/>
    <col min="4620" max="4620" width="8.28515625" customWidth="1"/>
    <col min="4621" max="4621" width="8.7109375" customWidth="1"/>
    <col min="4622" max="4622" width="2.7109375" customWidth="1"/>
    <col min="4623" max="4624" width="8.7109375" customWidth="1"/>
    <col min="4625" max="4625" width="2.7109375" customWidth="1"/>
    <col min="4626" max="4627" width="8.7109375" customWidth="1"/>
    <col min="4628" max="4628" width="2.7109375" customWidth="1"/>
    <col min="4629" max="4630" width="8.7109375" customWidth="1"/>
    <col min="4631" max="4631" width="2.7109375" customWidth="1"/>
    <col min="4865" max="4865" width="15.5703125" customWidth="1"/>
    <col min="4866" max="4866" width="9.42578125" customWidth="1"/>
    <col min="4867" max="4868" width="8.7109375" customWidth="1"/>
    <col min="4869" max="4869" width="3.140625" customWidth="1"/>
    <col min="4870" max="4871" width="8.28515625" customWidth="1"/>
    <col min="4872" max="4872" width="2.28515625" customWidth="1"/>
    <col min="4873" max="4875" width="0" hidden="1" customWidth="1"/>
    <col min="4876" max="4876" width="8.28515625" customWidth="1"/>
    <col min="4877" max="4877" width="8.7109375" customWidth="1"/>
    <col min="4878" max="4878" width="2.7109375" customWidth="1"/>
    <col min="4879" max="4880" width="8.7109375" customWidth="1"/>
    <col min="4881" max="4881" width="2.7109375" customWidth="1"/>
    <col min="4882" max="4883" width="8.7109375" customWidth="1"/>
    <col min="4884" max="4884" width="2.7109375" customWidth="1"/>
    <col min="4885" max="4886" width="8.7109375" customWidth="1"/>
    <col min="4887" max="4887" width="2.7109375" customWidth="1"/>
    <col min="5121" max="5121" width="15.5703125" customWidth="1"/>
    <col min="5122" max="5122" width="9.42578125" customWidth="1"/>
    <col min="5123" max="5124" width="8.7109375" customWidth="1"/>
    <col min="5125" max="5125" width="3.140625" customWidth="1"/>
    <col min="5126" max="5127" width="8.28515625" customWidth="1"/>
    <col min="5128" max="5128" width="2.28515625" customWidth="1"/>
    <col min="5129" max="5131" width="0" hidden="1" customWidth="1"/>
    <col min="5132" max="5132" width="8.28515625" customWidth="1"/>
    <col min="5133" max="5133" width="8.7109375" customWidth="1"/>
    <col min="5134" max="5134" width="2.7109375" customWidth="1"/>
    <col min="5135" max="5136" width="8.7109375" customWidth="1"/>
    <col min="5137" max="5137" width="2.7109375" customWidth="1"/>
    <col min="5138" max="5139" width="8.7109375" customWidth="1"/>
    <col min="5140" max="5140" width="2.7109375" customWidth="1"/>
    <col min="5141" max="5142" width="8.7109375" customWidth="1"/>
    <col min="5143" max="5143" width="2.7109375" customWidth="1"/>
    <col min="5377" max="5377" width="15.5703125" customWidth="1"/>
    <col min="5378" max="5378" width="9.42578125" customWidth="1"/>
    <col min="5379" max="5380" width="8.7109375" customWidth="1"/>
    <col min="5381" max="5381" width="3.140625" customWidth="1"/>
    <col min="5382" max="5383" width="8.28515625" customWidth="1"/>
    <col min="5384" max="5384" width="2.28515625" customWidth="1"/>
    <col min="5385" max="5387" width="0" hidden="1" customWidth="1"/>
    <col min="5388" max="5388" width="8.28515625" customWidth="1"/>
    <col min="5389" max="5389" width="8.7109375" customWidth="1"/>
    <col min="5390" max="5390" width="2.7109375" customWidth="1"/>
    <col min="5391" max="5392" width="8.7109375" customWidth="1"/>
    <col min="5393" max="5393" width="2.7109375" customWidth="1"/>
    <col min="5394" max="5395" width="8.7109375" customWidth="1"/>
    <col min="5396" max="5396" width="2.7109375" customWidth="1"/>
    <col min="5397" max="5398" width="8.7109375" customWidth="1"/>
    <col min="5399" max="5399" width="2.7109375" customWidth="1"/>
    <col min="5633" max="5633" width="15.5703125" customWidth="1"/>
    <col min="5634" max="5634" width="9.42578125" customWidth="1"/>
    <col min="5635" max="5636" width="8.7109375" customWidth="1"/>
    <col min="5637" max="5637" width="3.140625" customWidth="1"/>
    <col min="5638" max="5639" width="8.28515625" customWidth="1"/>
    <col min="5640" max="5640" width="2.28515625" customWidth="1"/>
    <col min="5641" max="5643" width="0" hidden="1" customWidth="1"/>
    <col min="5644" max="5644" width="8.28515625" customWidth="1"/>
    <col min="5645" max="5645" width="8.7109375" customWidth="1"/>
    <col min="5646" max="5646" width="2.7109375" customWidth="1"/>
    <col min="5647" max="5648" width="8.7109375" customWidth="1"/>
    <col min="5649" max="5649" width="2.7109375" customWidth="1"/>
    <col min="5650" max="5651" width="8.7109375" customWidth="1"/>
    <col min="5652" max="5652" width="2.7109375" customWidth="1"/>
    <col min="5653" max="5654" width="8.7109375" customWidth="1"/>
    <col min="5655" max="5655" width="2.7109375" customWidth="1"/>
    <col min="5889" max="5889" width="15.5703125" customWidth="1"/>
    <col min="5890" max="5890" width="9.42578125" customWidth="1"/>
    <col min="5891" max="5892" width="8.7109375" customWidth="1"/>
    <col min="5893" max="5893" width="3.140625" customWidth="1"/>
    <col min="5894" max="5895" width="8.28515625" customWidth="1"/>
    <col min="5896" max="5896" width="2.28515625" customWidth="1"/>
    <col min="5897" max="5899" width="0" hidden="1" customWidth="1"/>
    <col min="5900" max="5900" width="8.28515625" customWidth="1"/>
    <col min="5901" max="5901" width="8.7109375" customWidth="1"/>
    <col min="5902" max="5902" width="2.7109375" customWidth="1"/>
    <col min="5903" max="5904" width="8.7109375" customWidth="1"/>
    <col min="5905" max="5905" width="2.7109375" customWidth="1"/>
    <col min="5906" max="5907" width="8.7109375" customWidth="1"/>
    <col min="5908" max="5908" width="2.7109375" customWidth="1"/>
    <col min="5909" max="5910" width="8.7109375" customWidth="1"/>
    <col min="5911" max="5911" width="2.7109375" customWidth="1"/>
    <col min="6145" max="6145" width="15.5703125" customWidth="1"/>
    <col min="6146" max="6146" width="9.42578125" customWidth="1"/>
    <col min="6147" max="6148" width="8.7109375" customWidth="1"/>
    <col min="6149" max="6149" width="3.140625" customWidth="1"/>
    <col min="6150" max="6151" width="8.28515625" customWidth="1"/>
    <col min="6152" max="6152" width="2.28515625" customWidth="1"/>
    <col min="6153" max="6155" width="0" hidden="1" customWidth="1"/>
    <col min="6156" max="6156" width="8.28515625" customWidth="1"/>
    <col min="6157" max="6157" width="8.7109375" customWidth="1"/>
    <col min="6158" max="6158" width="2.7109375" customWidth="1"/>
    <col min="6159" max="6160" width="8.7109375" customWidth="1"/>
    <col min="6161" max="6161" width="2.7109375" customWidth="1"/>
    <col min="6162" max="6163" width="8.7109375" customWidth="1"/>
    <col min="6164" max="6164" width="2.7109375" customWidth="1"/>
    <col min="6165" max="6166" width="8.7109375" customWidth="1"/>
    <col min="6167" max="6167" width="2.7109375" customWidth="1"/>
    <col min="6401" max="6401" width="15.5703125" customWidth="1"/>
    <col min="6402" max="6402" width="9.42578125" customWidth="1"/>
    <col min="6403" max="6404" width="8.7109375" customWidth="1"/>
    <col min="6405" max="6405" width="3.140625" customWidth="1"/>
    <col min="6406" max="6407" width="8.28515625" customWidth="1"/>
    <col min="6408" max="6408" width="2.28515625" customWidth="1"/>
    <col min="6409" max="6411" width="0" hidden="1" customWidth="1"/>
    <col min="6412" max="6412" width="8.28515625" customWidth="1"/>
    <col min="6413" max="6413" width="8.7109375" customWidth="1"/>
    <col min="6414" max="6414" width="2.7109375" customWidth="1"/>
    <col min="6415" max="6416" width="8.7109375" customWidth="1"/>
    <col min="6417" max="6417" width="2.7109375" customWidth="1"/>
    <col min="6418" max="6419" width="8.7109375" customWidth="1"/>
    <col min="6420" max="6420" width="2.7109375" customWidth="1"/>
    <col min="6421" max="6422" width="8.7109375" customWidth="1"/>
    <col min="6423" max="6423" width="2.7109375" customWidth="1"/>
    <col min="6657" max="6657" width="15.5703125" customWidth="1"/>
    <col min="6658" max="6658" width="9.42578125" customWidth="1"/>
    <col min="6659" max="6660" width="8.7109375" customWidth="1"/>
    <col min="6661" max="6661" width="3.140625" customWidth="1"/>
    <col min="6662" max="6663" width="8.28515625" customWidth="1"/>
    <col min="6664" max="6664" width="2.28515625" customWidth="1"/>
    <col min="6665" max="6667" width="0" hidden="1" customWidth="1"/>
    <col min="6668" max="6668" width="8.28515625" customWidth="1"/>
    <col min="6669" max="6669" width="8.7109375" customWidth="1"/>
    <col min="6670" max="6670" width="2.7109375" customWidth="1"/>
    <col min="6671" max="6672" width="8.7109375" customWidth="1"/>
    <col min="6673" max="6673" width="2.7109375" customWidth="1"/>
    <col min="6674" max="6675" width="8.7109375" customWidth="1"/>
    <col min="6676" max="6676" width="2.7109375" customWidth="1"/>
    <col min="6677" max="6678" width="8.7109375" customWidth="1"/>
    <col min="6679" max="6679" width="2.7109375" customWidth="1"/>
    <col min="6913" max="6913" width="15.5703125" customWidth="1"/>
    <col min="6914" max="6914" width="9.42578125" customWidth="1"/>
    <col min="6915" max="6916" width="8.7109375" customWidth="1"/>
    <col min="6917" max="6917" width="3.140625" customWidth="1"/>
    <col min="6918" max="6919" width="8.28515625" customWidth="1"/>
    <col min="6920" max="6920" width="2.28515625" customWidth="1"/>
    <col min="6921" max="6923" width="0" hidden="1" customWidth="1"/>
    <col min="6924" max="6924" width="8.28515625" customWidth="1"/>
    <col min="6925" max="6925" width="8.7109375" customWidth="1"/>
    <col min="6926" max="6926" width="2.7109375" customWidth="1"/>
    <col min="6927" max="6928" width="8.7109375" customWidth="1"/>
    <col min="6929" max="6929" width="2.7109375" customWidth="1"/>
    <col min="6930" max="6931" width="8.7109375" customWidth="1"/>
    <col min="6932" max="6932" width="2.7109375" customWidth="1"/>
    <col min="6933" max="6934" width="8.7109375" customWidth="1"/>
    <col min="6935" max="6935" width="2.7109375" customWidth="1"/>
    <col min="7169" max="7169" width="15.5703125" customWidth="1"/>
    <col min="7170" max="7170" width="9.42578125" customWidth="1"/>
    <col min="7171" max="7172" width="8.7109375" customWidth="1"/>
    <col min="7173" max="7173" width="3.140625" customWidth="1"/>
    <col min="7174" max="7175" width="8.28515625" customWidth="1"/>
    <col min="7176" max="7176" width="2.28515625" customWidth="1"/>
    <col min="7177" max="7179" width="0" hidden="1" customWidth="1"/>
    <col min="7180" max="7180" width="8.28515625" customWidth="1"/>
    <col min="7181" max="7181" width="8.7109375" customWidth="1"/>
    <col min="7182" max="7182" width="2.7109375" customWidth="1"/>
    <col min="7183" max="7184" width="8.7109375" customWidth="1"/>
    <col min="7185" max="7185" width="2.7109375" customWidth="1"/>
    <col min="7186" max="7187" width="8.7109375" customWidth="1"/>
    <col min="7188" max="7188" width="2.7109375" customWidth="1"/>
    <col min="7189" max="7190" width="8.7109375" customWidth="1"/>
    <col min="7191" max="7191" width="2.7109375" customWidth="1"/>
    <col min="7425" max="7425" width="15.5703125" customWidth="1"/>
    <col min="7426" max="7426" width="9.42578125" customWidth="1"/>
    <col min="7427" max="7428" width="8.7109375" customWidth="1"/>
    <col min="7429" max="7429" width="3.140625" customWidth="1"/>
    <col min="7430" max="7431" width="8.28515625" customWidth="1"/>
    <col min="7432" max="7432" width="2.28515625" customWidth="1"/>
    <col min="7433" max="7435" width="0" hidden="1" customWidth="1"/>
    <col min="7436" max="7436" width="8.28515625" customWidth="1"/>
    <col min="7437" max="7437" width="8.7109375" customWidth="1"/>
    <col min="7438" max="7438" width="2.7109375" customWidth="1"/>
    <col min="7439" max="7440" width="8.7109375" customWidth="1"/>
    <col min="7441" max="7441" width="2.7109375" customWidth="1"/>
    <col min="7442" max="7443" width="8.7109375" customWidth="1"/>
    <col min="7444" max="7444" width="2.7109375" customWidth="1"/>
    <col min="7445" max="7446" width="8.7109375" customWidth="1"/>
    <col min="7447" max="7447" width="2.7109375" customWidth="1"/>
    <col min="7681" max="7681" width="15.5703125" customWidth="1"/>
    <col min="7682" max="7682" width="9.42578125" customWidth="1"/>
    <col min="7683" max="7684" width="8.7109375" customWidth="1"/>
    <col min="7685" max="7685" width="3.140625" customWidth="1"/>
    <col min="7686" max="7687" width="8.28515625" customWidth="1"/>
    <col min="7688" max="7688" width="2.28515625" customWidth="1"/>
    <col min="7689" max="7691" width="0" hidden="1" customWidth="1"/>
    <col min="7692" max="7692" width="8.28515625" customWidth="1"/>
    <col min="7693" max="7693" width="8.7109375" customWidth="1"/>
    <col min="7694" max="7694" width="2.7109375" customWidth="1"/>
    <col min="7695" max="7696" width="8.7109375" customWidth="1"/>
    <col min="7697" max="7697" width="2.7109375" customWidth="1"/>
    <col min="7698" max="7699" width="8.7109375" customWidth="1"/>
    <col min="7700" max="7700" width="2.7109375" customWidth="1"/>
    <col min="7701" max="7702" width="8.7109375" customWidth="1"/>
    <col min="7703" max="7703" width="2.7109375" customWidth="1"/>
    <col min="7937" max="7937" width="15.5703125" customWidth="1"/>
    <col min="7938" max="7938" width="9.42578125" customWidth="1"/>
    <col min="7939" max="7940" width="8.7109375" customWidth="1"/>
    <col min="7941" max="7941" width="3.140625" customWidth="1"/>
    <col min="7942" max="7943" width="8.28515625" customWidth="1"/>
    <col min="7944" max="7944" width="2.28515625" customWidth="1"/>
    <col min="7945" max="7947" width="0" hidden="1" customWidth="1"/>
    <col min="7948" max="7948" width="8.28515625" customWidth="1"/>
    <col min="7949" max="7949" width="8.7109375" customWidth="1"/>
    <col min="7950" max="7950" width="2.7109375" customWidth="1"/>
    <col min="7951" max="7952" width="8.7109375" customWidth="1"/>
    <col min="7953" max="7953" width="2.7109375" customWidth="1"/>
    <col min="7954" max="7955" width="8.7109375" customWidth="1"/>
    <col min="7956" max="7956" width="2.7109375" customWidth="1"/>
    <col min="7957" max="7958" width="8.7109375" customWidth="1"/>
    <col min="7959" max="7959" width="2.7109375" customWidth="1"/>
    <col min="8193" max="8193" width="15.5703125" customWidth="1"/>
    <col min="8194" max="8194" width="9.42578125" customWidth="1"/>
    <col min="8195" max="8196" width="8.7109375" customWidth="1"/>
    <col min="8197" max="8197" width="3.140625" customWidth="1"/>
    <col min="8198" max="8199" width="8.28515625" customWidth="1"/>
    <col min="8200" max="8200" width="2.28515625" customWidth="1"/>
    <col min="8201" max="8203" width="0" hidden="1" customWidth="1"/>
    <col min="8204" max="8204" width="8.28515625" customWidth="1"/>
    <col min="8205" max="8205" width="8.7109375" customWidth="1"/>
    <col min="8206" max="8206" width="2.7109375" customWidth="1"/>
    <col min="8207" max="8208" width="8.7109375" customWidth="1"/>
    <col min="8209" max="8209" width="2.7109375" customWidth="1"/>
    <col min="8210" max="8211" width="8.7109375" customWidth="1"/>
    <col min="8212" max="8212" width="2.7109375" customWidth="1"/>
    <col min="8213" max="8214" width="8.7109375" customWidth="1"/>
    <col min="8215" max="8215" width="2.7109375" customWidth="1"/>
    <col min="8449" max="8449" width="15.5703125" customWidth="1"/>
    <col min="8450" max="8450" width="9.42578125" customWidth="1"/>
    <col min="8451" max="8452" width="8.7109375" customWidth="1"/>
    <col min="8453" max="8453" width="3.140625" customWidth="1"/>
    <col min="8454" max="8455" width="8.28515625" customWidth="1"/>
    <col min="8456" max="8456" width="2.28515625" customWidth="1"/>
    <col min="8457" max="8459" width="0" hidden="1" customWidth="1"/>
    <col min="8460" max="8460" width="8.28515625" customWidth="1"/>
    <col min="8461" max="8461" width="8.7109375" customWidth="1"/>
    <col min="8462" max="8462" width="2.7109375" customWidth="1"/>
    <col min="8463" max="8464" width="8.7109375" customWidth="1"/>
    <col min="8465" max="8465" width="2.7109375" customWidth="1"/>
    <col min="8466" max="8467" width="8.7109375" customWidth="1"/>
    <col min="8468" max="8468" width="2.7109375" customWidth="1"/>
    <col min="8469" max="8470" width="8.7109375" customWidth="1"/>
    <col min="8471" max="8471" width="2.7109375" customWidth="1"/>
    <col min="8705" max="8705" width="15.5703125" customWidth="1"/>
    <col min="8706" max="8706" width="9.42578125" customWidth="1"/>
    <col min="8707" max="8708" width="8.7109375" customWidth="1"/>
    <col min="8709" max="8709" width="3.140625" customWidth="1"/>
    <col min="8710" max="8711" width="8.28515625" customWidth="1"/>
    <col min="8712" max="8712" width="2.28515625" customWidth="1"/>
    <col min="8713" max="8715" width="0" hidden="1" customWidth="1"/>
    <col min="8716" max="8716" width="8.28515625" customWidth="1"/>
    <col min="8717" max="8717" width="8.7109375" customWidth="1"/>
    <col min="8718" max="8718" width="2.7109375" customWidth="1"/>
    <col min="8719" max="8720" width="8.7109375" customWidth="1"/>
    <col min="8721" max="8721" width="2.7109375" customWidth="1"/>
    <col min="8722" max="8723" width="8.7109375" customWidth="1"/>
    <col min="8724" max="8724" width="2.7109375" customWidth="1"/>
    <col min="8725" max="8726" width="8.7109375" customWidth="1"/>
    <col min="8727" max="8727" width="2.7109375" customWidth="1"/>
    <col min="8961" max="8961" width="15.5703125" customWidth="1"/>
    <col min="8962" max="8962" width="9.42578125" customWidth="1"/>
    <col min="8963" max="8964" width="8.7109375" customWidth="1"/>
    <col min="8965" max="8965" width="3.140625" customWidth="1"/>
    <col min="8966" max="8967" width="8.28515625" customWidth="1"/>
    <col min="8968" max="8968" width="2.28515625" customWidth="1"/>
    <col min="8969" max="8971" width="0" hidden="1" customWidth="1"/>
    <col min="8972" max="8972" width="8.28515625" customWidth="1"/>
    <col min="8973" max="8973" width="8.7109375" customWidth="1"/>
    <col min="8974" max="8974" width="2.7109375" customWidth="1"/>
    <col min="8975" max="8976" width="8.7109375" customWidth="1"/>
    <col min="8977" max="8977" width="2.7109375" customWidth="1"/>
    <col min="8978" max="8979" width="8.7109375" customWidth="1"/>
    <col min="8980" max="8980" width="2.7109375" customWidth="1"/>
    <col min="8981" max="8982" width="8.7109375" customWidth="1"/>
    <col min="8983" max="8983" width="2.7109375" customWidth="1"/>
    <col min="9217" max="9217" width="15.5703125" customWidth="1"/>
    <col min="9218" max="9218" width="9.42578125" customWidth="1"/>
    <col min="9219" max="9220" width="8.7109375" customWidth="1"/>
    <col min="9221" max="9221" width="3.140625" customWidth="1"/>
    <col min="9222" max="9223" width="8.28515625" customWidth="1"/>
    <col min="9224" max="9224" width="2.28515625" customWidth="1"/>
    <col min="9225" max="9227" width="0" hidden="1" customWidth="1"/>
    <col min="9228" max="9228" width="8.28515625" customWidth="1"/>
    <col min="9229" max="9229" width="8.7109375" customWidth="1"/>
    <col min="9230" max="9230" width="2.7109375" customWidth="1"/>
    <col min="9231" max="9232" width="8.7109375" customWidth="1"/>
    <col min="9233" max="9233" width="2.7109375" customWidth="1"/>
    <col min="9234" max="9235" width="8.7109375" customWidth="1"/>
    <col min="9236" max="9236" width="2.7109375" customWidth="1"/>
    <col min="9237" max="9238" width="8.7109375" customWidth="1"/>
    <col min="9239" max="9239" width="2.7109375" customWidth="1"/>
    <col min="9473" max="9473" width="15.5703125" customWidth="1"/>
    <col min="9474" max="9474" width="9.42578125" customWidth="1"/>
    <col min="9475" max="9476" width="8.7109375" customWidth="1"/>
    <col min="9477" max="9477" width="3.140625" customWidth="1"/>
    <col min="9478" max="9479" width="8.28515625" customWidth="1"/>
    <col min="9480" max="9480" width="2.28515625" customWidth="1"/>
    <col min="9481" max="9483" width="0" hidden="1" customWidth="1"/>
    <col min="9484" max="9484" width="8.28515625" customWidth="1"/>
    <col min="9485" max="9485" width="8.7109375" customWidth="1"/>
    <col min="9486" max="9486" width="2.7109375" customWidth="1"/>
    <col min="9487" max="9488" width="8.7109375" customWidth="1"/>
    <col min="9489" max="9489" width="2.7109375" customWidth="1"/>
    <col min="9490" max="9491" width="8.7109375" customWidth="1"/>
    <col min="9492" max="9492" width="2.7109375" customWidth="1"/>
    <col min="9493" max="9494" width="8.7109375" customWidth="1"/>
    <col min="9495" max="9495" width="2.7109375" customWidth="1"/>
    <col min="9729" max="9729" width="15.5703125" customWidth="1"/>
    <col min="9730" max="9730" width="9.42578125" customWidth="1"/>
    <col min="9731" max="9732" width="8.7109375" customWidth="1"/>
    <col min="9733" max="9733" width="3.140625" customWidth="1"/>
    <col min="9734" max="9735" width="8.28515625" customWidth="1"/>
    <col min="9736" max="9736" width="2.28515625" customWidth="1"/>
    <col min="9737" max="9739" width="0" hidden="1" customWidth="1"/>
    <col min="9740" max="9740" width="8.28515625" customWidth="1"/>
    <col min="9741" max="9741" width="8.7109375" customWidth="1"/>
    <col min="9742" max="9742" width="2.7109375" customWidth="1"/>
    <col min="9743" max="9744" width="8.7109375" customWidth="1"/>
    <col min="9745" max="9745" width="2.7109375" customWidth="1"/>
    <col min="9746" max="9747" width="8.7109375" customWidth="1"/>
    <col min="9748" max="9748" width="2.7109375" customWidth="1"/>
    <col min="9749" max="9750" width="8.7109375" customWidth="1"/>
    <col min="9751" max="9751" width="2.7109375" customWidth="1"/>
    <col min="9985" max="9985" width="15.5703125" customWidth="1"/>
    <col min="9986" max="9986" width="9.42578125" customWidth="1"/>
    <col min="9987" max="9988" width="8.7109375" customWidth="1"/>
    <col min="9989" max="9989" width="3.140625" customWidth="1"/>
    <col min="9990" max="9991" width="8.28515625" customWidth="1"/>
    <col min="9992" max="9992" width="2.28515625" customWidth="1"/>
    <col min="9993" max="9995" width="0" hidden="1" customWidth="1"/>
    <col min="9996" max="9996" width="8.28515625" customWidth="1"/>
    <col min="9997" max="9997" width="8.7109375" customWidth="1"/>
    <col min="9998" max="9998" width="2.7109375" customWidth="1"/>
    <col min="9999" max="10000" width="8.7109375" customWidth="1"/>
    <col min="10001" max="10001" width="2.7109375" customWidth="1"/>
    <col min="10002" max="10003" width="8.7109375" customWidth="1"/>
    <col min="10004" max="10004" width="2.7109375" customWidth="1"/>
    <col min="10005" max="10006" width="8.7109375" customWidth="1"/>
    <col min="10007" max="10007" width="2.7109375" customWidth="1"/>
    <col min="10241" max="10241" width="15.5703125" customWidth="1"/>
    <col min="10242" max="10242" width="9.42578125" customWidth="1"/>
    <col min="10243" max="10244" width="8.7109375" customWidth="1"/>
    <col min="10245" max="10245" width="3.140625" customWidth="1"/>
    <col min="10246" max="10247" width="8.28515625" customWidth="1"/>
    <col min="10248" max="10248" width="2.28515625" customWidth="1"/>
    <col min="10249" max="10251" width="0" hidden="1" customWidth="1"/>
    <col min="10252" max="10252" width="8.28515625" customWidth="1"/>
    <col min="10253" max="10253" width="8.7109375" customWidth="1"/>
    <col min="10254" max="10254" width="2.7109375" customWidth="1"/>
    <col min="10255" max="10256" width="8.7109375" customWidth="1"/>
    <col min="10257" max="10257" width="2.7109375" customWidth="1"/>
    <col min="10258" max="10259" width="8.7109375" customWidth="1"/>
    <col min="10260" max="10260" width="2.7109375" customWidth="1"/>
    <col min="10261" max="10262" width="8.7109375" customWidth="1"/>
    <col min="10263" max="10263" width="2.7109375" customWidth="1"/>
    <col min="10497" max="10497" width="15.5703125" customWidth="1"/>
    <col min="10498" max="10498" width="9.42578125" customWidth="1"/>
    <col min="10499" max="10500" width="8.7109375" customWidth="1"/>
    <col min="10501" max="10501" width="3.140625" customWidth="1"/>
    <col min="10502" max="10503" width="8.28515625" customWidth="1"/>
    <col min="10504" max="10504" width="2.28515625" customWidth="1"/>
    <col min="10505" max="10507" width="0" hidden="1" customWidth="1"/>
    <col min="10508" max="10508" width="8.28515625" customWidth="1"/>
    <col min="10509" max="10509" width="8.7109375" customWidth="1"/>
    <col min="10510" max="10510" width="2.7109375" customWidth="1"/>
    <col min="10511" max="10512" width="8.7109375" customWidth="1"/>
    <col min="10513" max="10513" width="2.7109375" customWidth="1"/>
    <col min="10514" max="10515" width="8.7109375" customWidth="1"/>
    <col min="10516" max="10516" width="2.7109375" customWidth="1"/>
    <col min="10517" max="10518" width="8.7109375" customWidth="1"/>
    <col min="10519" max="10519" width="2.7109375" customWidth="1"/>
    <col min="10753" max="10753" width="15.5703125" customWidth="1"/>
    <col min="10754" max="10754" width="9.42578125" customWidth="1"/>
    <col min="10755" max="10756" width="8.7109375" customWidth="1"/>
    <col min="10757" max="10757" width="3.140625" customWidth="1"/>
    <col min="10758" max="10759" width="8.28515625" customWidth="1"/>
    <col min="10760" max="10760" width="2.28515625" customWidth="1"/>
    <col min="10761" max="10763" width="0" hidden="1" customWidth="1"/>
    <col min="10764" max="10764" width="8.28515625" customWidth="1"/>
    <col min="10765" max="10765" width="8.7109375" customWidth="1"/>
    <col min="10766" max="10766" width="2.7109375" customWidth="1"/>
    <col min="10767" max="10768" width="8.7109375" customWidth="1"/>
    <col min="10769" max="10769" width="2.7109375" customWidth="1"/>
    <col min="10770" max="10771" width="8.7109375" customWidth="1"/>
    <col min="10772" max="10772" width="2.7109375" customWidth="1"/>
    <col min="10773" max="10774" width="8.7109375" customWidth="1"/>
    <col min="10775" max="10775" width="2.7109375" customWidth="1"/>
    <col min="11009" max="11009" width="15.5703125" customWidth="1"/>
    <col min="11010" max="11010" width="9.42578125" customWidth="1"/>
    <col min="11011" max="11012" width="8.7109375" customWidth="1"/>
    <col min="11013" max="11013" width="3.140625" customWidth="1"/>
    <col min="11014" max="11015" width="8.28515625" customWidth="1"/>
    <col min="11016" max="11016" width="2.28515625" customWidth="1"/>
    <col min="11017" max="11019" width="0" hidden="1" customWidth="1"/>
    <col min="11020" max="11020" width="8.28515625" customWidth="1"/>
    <col min="11021" max="11021" width="8.7109375" customWidth="1"/>
    <col min="11022" max="11022" width="2.7109375" customWidth="1"/>
    <col min="11023" max="11024" width="8.7109375" customWidth="1"/>
    <col min="11025" max="11025" width="2.7109375" customWidth="1"/>
    <col min="11026" max="11027" width="8.7109375" customWidth="1"/>
    <col min="11028" max="11028" width="2.7109375" customWidth="1"/>
    <col min="11029" max="11030" width="8.7109375" customWidth="1"/>
    <col min="11031" max="11031" width="2.7109375" customWidth="1"/>
    <col min="11265" max="11265" width="15.5703125" customWidth="1"/>
    <col min="11266" max="11266" width="9.42578125" customWidth="1"/>
    <col min="11267" max="11268" width="8.7109375" customWidth="1"/>
    <col min="11269" max="11269" width="3.140625" customWidth="1"/>
    <col min="11270" max="11271" width="8.28515625" customWidth="1"/>
    <col min="11272" max="11272" width="2.28515625" customWidth="1"/>
    <col min="11273" max="11275" width="0" hidden="1" customWidth="1"/>
    <col min="11276" max="11276" width="8.28515625" customWidth="1"/>
    <col min="11277" max="11277" width="8.7109375" customWidth="1"/>
    <col min="11278" max="11278" width="2.7109375" customWidth="1"/>
    <col min="11279" max="11280" width="8.7109375" customWidth="1"/>
    <col min="11281" max="11281" width="2.7109375" customWidth="1"/>
    <col min="11282" max="11283" width="8.7109375" customWidth="1"/>
    <col min="11284" max="11284" width="2.7109375" customWidth="1"/>
    <col min="11285" max="11286" width="8.7109375" customWidth="1"/>
    <col min="11287" max="11287" width="2.7109375" customWidth="1"/>
    <col min="11521" max="11521" width="15.5703125" customWidth="1"/>
    <col min="11522" max="11522" width="9.42578125" customWidth="1"/>
    <col min="11523" max="11524" width="8.7109375" customWidth="1"/>
    <col min="11525" max="11525" width="3.140625" customWidth="1"/>
    <col min="11526" max="11527" width="8.28515625" customWidth="1"/>
    <col min="11528" max="11528" width="2.28515625" customWidth="1"/>
    <col min="11529" max="11531" width="0" hidden="1" customWidth="1"/>
    <col min="11532" max="11532" width="8.28515625" customWidth="1"/>
    <col min="11533" max="11533" width="8.7109375" customWidth="1"/>
    <col min="11534" max="11534" width="2.7109375" customWidth="1"/>
    <col min="11535" max="11536" width="8.7109375" customWidth="1"/>
    <col min="11537" max="11537" width="2.7109375" customWidth="1"/>
    <col min="11538" max="11539" width="8.7109375" customWidth="1"/>
    <col min="11540" max="11540" width="2.7109375" customWidth="1"/>
    <col min="11541" max="11542" width="8.7109375" customWidth="1"/>
    <col min="11543" max="11543" width="2.7109375" customWidth="1"/>
    <col min="11777" max="11777" width="15.5703125" customWidth="1"/>
    <col min="11778" max="11778" width="9.42578125" customWidth="1"/>
    <col min="11779" max="11780" width="8.7109375" customWidth="1"/>
    <col min="11781" max="11781" width="3.140625" customWidth="1"/>
    <col min="11782" max="11783" width="8.28515625" customWidth="1"/>
    <col min="11784" max="11784" width="2.28515625" customWidth="1"/>
    <col min="11785" max="11787" width="0" hidden="1" customWidth="1"/>
    <col min="11788" max="11788" width="8.28515625" customWidth="1"/>
    <col min="11789" max="11789" width="8.7109375" customWidth="1"/>
    <col min="11790" max="11790" width="2.7109375" customWidth="1"/>
    <col min="11791" max="11792" width="8.7109375" customWidth="1"/>
    <col min="11793" max="11793" width="2.7109375" customWidth="1"/>
    <col min="11794" max="11795" width="8.7109375" customWidth="1"/>
    <col min="11796" max="11796" width="2.7109375" customWidth="1"/>
    <col min="11797" max="11798" width="8.7109375" customWidth="1"/>
    <col min="11799" max="11799" width="2.7109375" customWidth="1"/>
    <col min="12033" max="12033" width="15.5703125" customWidth="1"/>
    <col min="12034" max="12034" width="9.42578125" customWidth="1"/>
    <col min="12035" max="12036" width="8.7109375" customWidth="1"/>
    <col min="12037" max="12037" width="3.140625" customWidth="1"/>
    <col min="12038" max="12039" width="8.28515625" customWidth="1"/>
    <col min="12040" max="12040" width="2.28515625" customWidth="1"/>
    <col min="12041" max="12043" width="0" hidden="1" customWidth="1"/>
    <col min="12044" max="12044" width="8.28515625" customWidth="1"/>
    <col min="12045" max="12045" width="8.7109375" customWidth="1"/>
    <col min="12046" max="12046" width="2.7109375" customWidth="1"/>
    <col min="12047" max="12048" width="8.7109375" customWidth="1"/>
    <col min="12049" max="12049" width="2.7109375" customWidth="1"/>
    <col min="12050" max="12051" width="8.7109375" customWidth="1"/>
    <col min="12052" max="12052" width="2.7109375" customWidth="1"/>
    <col min="12053" max="12054" width="8.7109375" customWidth="1"/>
    <col min="12055" max="12055" width="2.7109375" customWidth="1"/>
    <col min="12289" max="12289" width="15.5703125" customWidth="1"/>
    <col min="12290" max="12290" width="9.42578125" customWidth="1"/>
    <col min="12291" max="12292" width="8.7109375" customWidth="1"/>
    <col min="12293" max="12293" width="3.140625" customWidth="1"/>
    <col min="12294" max="12295" width="8.28515625" customWidth="1"/>
    <col min="12296" max="12296" width="2.28515625" customWidth="1"/>
    <col min="12297" max="12299" width="0" hidden="1" customWidth="1"/>
    <col min="12300" max="12300" width="8.28515625" customWidth="1"/>
    <col min="12301" max="12301" width="8.7109375" customWidth="1"/>
    <col min="12302" max="12302" width="2.7109375" customWidth="1"/>
    <col min="12303" max="12304" width="8.7109375" customWidth="1"/>
    <col min="12305" max="12305" width="2.7109375" customWidth="1"/>
    <col min="12306" max="12307" width="8.7109375" customWidth="1"/>
    <col min="12308" max="12308" width="2.7109375" customWidth="1"/>
    <col min="12309" max="12310" width="8.7109375" customWidth="1"/>
    <col min="12311" max="12311" width="2.7109375" customWidth="1"/>
    <col min="12545" max="12545" width="15.5703125" customWidth="1"/>
    <col min="12546" max="12546" width="9.42578125" customWidth="1"/>
    <col min="12547" max="12548" width="8.7109375" customWidth="1"/>
    <col min="12549" max="12549" width="3.140625" customWidth="1"/>
    <col min="12550" max="12551" width="8.28515625" customWidth="1"/>
    <col min="12552" max="12552" width="2.28515625" customWidth="1"/>
    <col min="12553" max="12555" width="0" hidden="1" customWidth="1"/>
    <col min="12556" max="12556" width="8.28515625" customWidth="1"/>
    <col min="12557" max="12557" width="8.7109375" customWidth="1"/>
    <col min="12558" max="12558" width="2.7109375" customWidth="1"/>
    <col min="12559" max="12560" width="8.7109375" customWidth="1"/>
    <col min="12561" max="12561" width="2.7109375" customWidth="1"/>
    <col min="12562" max="12563" width="8.7109375" customWidth="1"/>
    <col min="12564" max="12564" width="2.7109375" customWidth="1"/>
    <col min="12565" max="12566" width="8.7109375" customWidth="1"/>
    <col min="12567" max="12567" width="2.7109375" customWidth="1"/>
    <col min="12801" max="12801" width="15.5703125" customWidth="1"/>
    <col min="12802" max="12802" width="9.42578125" customWidth="1"/>
    <col min="12803" max="12804" width="8.7109375" customWidth="1"/>
    <col min="12805" max="12805" width="3.140625" customWidth="1"/>
    <col min="12806" max="12807" width="8.28515625" customWidth="1"/>
    <col min="12808" max="12808" width="2.28515625" customWidth="1"/>
    <col min="12809" max="12811" width="0" hidden="1" customWidth="1"/>
    <col min="12812" max="12812" width="8.28515625" customWidth="1"/>
    <col min="12813" max="12813" width="8.7109375" customWidth="1"/>
    <col min="12814" max="12814" width="2.7109375" customWidth="1"/>
    <col min="12815" max="12816" width="8.7109375" customWidth="1"/>
    <col min="12817" max="12817" width="2.7109375" customWidth="1"/>
    <col min="12818" max="12819" width="8.7109375" customWidth="1"/>
    <col min="12820" max="12820" width="2.7109375" customWidth="1"/>
    <col min="12821" max="12822" width="8.7109375" customWidth="1"/>
    <col min="12823" max="12823" width="2.7109375" customWidth="1"/>
    <col min="13057" max="13057" width="15.5703125" customWidth="1"/>
    <col min="13058" max="13058" width="9.42578125" customWidth="1"/>
    <col min="13059" max="13060" width="8.7109375" customWidth="1"/>
    <col min="13061" max="13061" width="3.140625" customWidth="1"/>
    <col min="13062" max="13063" width="8.28515625" customWidth="1"/>
    <col min="13064" max="13064" width="2.28515625" customWidth="1"/>
    <col min="13065" max="13067" width="0" hidden="1" customWidth="1"/>
    <col min="13068" max="13068" width="8.28515625" customWidth="1"/>
    <col min="13069" max="13069" width="8.7109375" customWidth="1"/>
    <col min="13070" max="13070" width="2.7109375" customWidth="1"/>
    <col min="13071" max="13072" width="8.7109375" customWidth="1"/>
    <col min="13073" max="13073" width="2.7109375" customWidth="1"/>
    <col min="13074" max="13075" width="8.7109375" customWidth="1"/>
    <col min="13076" max="13076" width="2.7109375" customWidth="1"/>
    <col min="13077" max="13078" width="8.7109375" customWidth="1"/>
    <col min="13079" max="13079" width="2.7109375" customWidth="1"/>
    <col min="13313" max="13313" width="15.5703125" customWidth="1"/>
    <col min="13314" max="13314" width="9.42578125" customWidth="1"/>
    <col min="13315" max="13316" width="8.7109375" customWidth="1"/>
    <col min="13317" max="13317" width="3.140625" customWidth="1"/>
    <col min="13318" max="13319" width="8.28515625" customWidth="1"/>
    <col min="13320" max="13320" width="2.28515625" customWidth="1"/>
    <col min="13321" max="13323" width="0" hidden="1" customWidth="1"/>
    <col min="13324" max="13324" width="8.28515625" customWidth="1"/>
    <col min="13325" max="13325" width="8.7109375" customWidth="1"/>
    <col min="13326" max="13326" width="2.7109375" customWidth="1"/>
    <col min="13327" max="13328" width="8.7109375" customWidth="1"/>
    <col min="13329" max="13329" width="2.7109375" customWidth="1"/>
    <col min="13330" max="13331" width="8.7109375" customWidth="1"/>
    <col min="13332" max="13332" width="2.7109375" customWidth="1"/>
    <col min="13333" max="13334" width="8.7109375" customWidth="1"/>
    <col min="13335" max="13335" width="2.7109375" customWidth="1"/>
    <col min="13569" max="13569" width="15.5703125" customWidth="1"/>
    <col min="13570" max="13570" width="9.42578125" customWidth="1"/>
    <col min="13571" max="13572" width="8.7109375" customWidth="1"/>
    <col min="13573" max="13573" width="3.140625" customWidth="1"/>
    <col min="13574" max="13575" width="8.28515625" customWidth="1"/>
    <col min="13576" max="13576" width="2.28515625" customWidth="1"/>
    <col min="13577" max="13579" width="0" hidden="1" customWidth="1"/>
    <col min="13580" max="13580" width="8.28515625" customWidth="1"/>
    <col min="13581" max="13581" width="8.7109375" customWidth="1"/>
    <col min="13582" max="13582" width="2.7109375" customWidth="1"/>
    <col min="13583" max="13584" width="8.7109375" customWidth="1"/>
    <col min="13585" max="13585" width="2.7109375" customWidth="1"/>
    <col min="13586" max="13587" width="8.7109375" customWidth="1"/>
    <col min="13588" max="13588" width="2.7109375" customWidth="1"/>
    <col min="13589" max="13590" width="8.7109375" customWidth="1"/>
    <col min="13591" max="13591" width="2.7109375" customWidth="1"/>
    <col min="13825" max="13825" width="15.5703125" customWidth="1"/>
    <col min="13826" max="13826" width="9.42578125" customWidth="1"/>
    <col min="13827" max="13828" width="8.7109375" customWidth="1"/>
    <col min="13829" max="13829" width="3.140625" customWidth="1"/>
    <col min="13830" max="13831" width="8.28515625" customWidth="1"/>
    <col min="13832" max="13832" width="2.28515625" customWidth="1"/>
    <col min="13833" max="13835" width="0" hidden="1" customWidth="1"/>
    <col min="13836" max="13836" width="8.28515625" customWidth="1"/>
    <col min="13837" max="13837" width="8.7109375" customWidth="1"/>
    <col min="13838" max="13838" width="2.7109375" customWidth="1"/>
    <col min="13839" max="13840" width="8.7109375" customWidth="1"/>
    <col min="13841" max="13841" width="2.7109375" customWidth="1"/>
    <col min="13842" max="13843" width="8.7109375" customWidth="1"/>
    <col min="13844" max="13844" width="2.7109375" customWidth="1"/>
    <col min="13845" max="13846" width="8.7109375" customWidth="1"/>
    <col min="13847" max="13847" width="2.7109375" customWidth="1"/>
    <col min="14081" max="14081" width="15.5703125" customWidth="1"/>
    <col min="14082" max="14082" width="9.42578125" customWidth="1"/>
    <col min="14083" max="14084" width="8.7109375" customWidth="1"/>
    <col min="14085" max="14085" width="3.140625" customWidth="1"/>
    <col min="14086" max="14087" width="8.28515625" customWidth="1"/>
    <col min="14088" max="14088" width="2.28515625" customWidth="1"/>
    <col min="14089" max="14091" width="0" hidden="1" customWidth="1"/>
    <col min="14092" max="14092" width="8.28515625" customWidth="1"/>
    <col min="14093" max="14093" width="8.7109375" customWidth="1"/>
    <col min="14094" max="14094" width="2.7109375" customWidth="1"/>
    <col min="14095" max="14096" width="8.7109375" customWidth="1"/>
    <col min="14097" max="14097" width="2.7109375" customWidth="1"/>
    <col min="14098" max="14099" width="8.7109375" customWidth="1"/>
    <col min="14100" max="14100" width="2.7109375" customWidth="1"/>
    <col min="14101" max="14102" width="8.7109375" customWidth="1"/>
    <col min="14103" max="14103" width="2.7109375" customWidth="1"/>
    <col min="14337" max="14337" width="15.5703125" customWidth="1"/>
    <col min="14338" max="14338" width="9.42578125" customWidth="1"/>
    <col min="14339" max="14340" width="8.7109375" customWidth="1"/>
    <col min="14341" max="14341" width="3.140625" customWidth="1"/>
    <col min="14342" max="14343" width="8.28515625" customWidth="1"/>
    <col min="14344" max="14344" width="2.28515625" customWidth="1"/>
    <col min="14345" max="14347" width="0" hidden="1" customWidth="1"/>
    <col min="14348" max="14348" width="8.28515625" customWidth="1"/>
    <col min="14349" max="14349" width="8.7109375" customWidth="1"/>
    <col min="14350" max="14350" width="2.7109375" customWidth="1"/>
    <col min="14351" max="14352" width="8.7109375" customWidth="1"/>
    <col min="14353" max="14353" width="2.7109375" customWidth="1"/>
    <col min="14354" max="14355" width="8.7109375" customWidth="1"/>
    <col min="14356" max="14356" width="2.7109375" customWidth="1"/>
    <col min="14357" max="14358" width="8.7109375" customWidth="1"/>
    <col min="14359" max="14359" width="2.7109375" customWidth="1"/>
    <col min="14593" max="14593" width="15.5703125" customWidth="1"/>
    <col min="14594" max="14594" width="9.42578125" customWidth="1"/>
    <col min="14595" max="14596" width="8.7109375" customWidth="1"/>
    <col min="14597" max="14597" width="3.140625" customWidth="1"/>
    <col min="14598" max="14599" width="8.28515625" customWidth="1"/>
    <col min="14600" max="14600" width="2.28515625" customWidth="1"/>
    <col min="14601" max="14603" width="0" hidden="1" customWidth="1"/>
    <col min="14604" max="14604" width="8.28515625" customWidth="1"/>
    <col min="14605" max="14605" width="8.7109375" customWidth="1"/>
    <col min="14606" max="14606" width="2.7109375" customWidth="1"/>
    <col min="14607" max="14608" width="8.7109375" customWidth="1"/>
    <col min="14609" max="14609" width="2.7109375" customWidth="1"/>
    <col min="14610" max="14611" width="8.7109375" customWidth="1"/>
    <col min="14612" max="14612" width="2.7109375" customWidth="1"/>
    <col min="14613" max="14614" width="8.7109375" customWidth="1"/>
    <col min="14615" max="14615" width="2.7109375" customWidth="1"/>
    <col min="14849" max="14849" width="15.5703125" customWidth="1"/>
    <col min="14850" max="14850" width="9.42578125" customWidth="1"/>
    <col min="14851" max="14852" width="8.7109375" customWidth="1"/>
    <col min="14853" max="14853" width="3.140625" customWidth="1"/>
    <col min="14854" max="14855" width="8.28515625" customWidth="1"/>
    <col min="14856" max="14856" width="2.28515625" customWidth="1"/>
    <col min="14857" max="14859" width="0" hidden="1" customWidth="1"/>
    <col min="14860" max="14860" width="8.28515625" customWidth="1"/>
    <col min="14861" max="14861" width="8.7109375" customWidth="1"/>
    <col min="14862" max="14862" width="2.7109375" customWidth="1"/>
    <col min="14863" max="14864" width="8.7109375" customWidth="1"/>
    <col min="14865" max="14865" width="2.7109375" customWidth="1"/>
    <col min="14866" max="14867" width="8.7109375" customWidth="1"/>
    <col min="14868" max="14868" width="2.7109375" customWidth="1"/>
    <col min="14869" max="14870" width="8.7109375" customWidth="1"/>
    <col min="14871" max="14871" width="2.7109375" customWidth="1"/>
    <col min="15105" max="15105" width="15.5703125" customWidth="1"/>
    <col min="15106" max="15106" width="9.42578125" customWidth="1"/>
    <col min="15107" max="15108" width="8.7109375" customWidth="1"/>
    <col min="15109" max="15109" width="3.140625" customWidth="1"/>
    <col min="15110" max="15111" width="8.28515625" customWidth="1"/>
    <col min="15112" max="15112" width="2.28515625" customWidth="1"/>
    <col min="15113" max="15115" width="0" hidden="1" customWidth="1"/>
    <col min="15116" max="15116" width="8.28515625" customWidth="1"/>
    <col min="15117" max="15117" width="8.7109375" customWidth="1"/>
    <col min="15118" max="15118" width="2.7109375" customWidth="1"/>
    <col min="15119" max="15120" width="8.7109375" customWidth="1"/>
    <col min="15121" max="15121" width="2.7109375" customWidth="1"/>
    <col min="15122" max="15123" width="8.7109375" customWidth="1"/>
    <col min="15124" max="15124" width="2.7109375" customWidth="1"/>
    <col min="15125" max="15126" width="8.7109375" customWidth="1"/>
    <col min="15127" max="15127" width="2.7109375" customWidth="1"/>
    <col min="15361" max="15361" width="15.5703125" customWidth="1"/>
    <col min="15362" max="15362" width="9.42578125" customWidth="1"/>
    <col min="15363" max="15364" width="8.7109375" customWidth="1"/>
    <col min="15365" max="15365" width="3.140625" customWidth="1"/>
    <col min="15366" max="15367" width="8.28515625" customWidth="1"/>
    <col min="15368" max="15368" width="2.28515625" customWidth="1"/>
    <col min="15369" max="15371" width="0" hidden="1" customWidth="1"/>
    <col min="15372" max="15372" width="8.28515625" customWidth="1"/>
    <col min="15373" max="15373" width="8.7109375" customWidth="1"/>
    <col min="15374" max="15374" width="2.7109375" customWidth="1"/>
    <col min="15375" max="15376" width="8.7109375" customWidth="1"/>
    <col min="15377" max="15377" width="2.7109375" customWidth="1"/>
    <col min="15378" max="15379" width="8.7109375" customWidth="1"/>
    <col min="15380" max="15380" width="2.7109375" customWidth="1"/>
    <col min="15381" max="15382" width="8.7109375" customWidth="1"/>
    <col min="15383" max="15383" width="2.7109375" customWidth="1"/>
    <col min="15617" max="15617" width="15.5703125" customWidth="1"/>
    <col min="15618" max="15618" width="9.42578125" customWidth="1"/>
    <col min="15619" max="15620" width="8.7109375" customWidth="1"/>
    <col min="15621" max="15621" width="3.140625" customWidth="1"/>
    <col min="15622" max="15623" width="8.28515625" customWidth="1"/>
    <col min="15624" max="15624" width="2.28515625" customWidth="1"/>
    <col min="15625" max="15627" width="0" hidden="1" customWidth="1"/>
    <col min="15628" max="15628" width="8.28515625" customWidth="1"/>
    <col min="15629" max="15629" width="8.7109375" customWidth="1"/>
    <col min="15630" max="15630" width="2.7109375" customWidth="1"/>
    <col min="15631" max="15632" width="8.7109375" customWidth="1"/>
    <col min="15633" max="15633" width="2.7109375" customWidth="1"/>
    <col min="15634" max="15635" width="8.7109375" customWidth="1"/>
    <col min="15636" max="15636" width="2.7109375" customWidth="1"/>
    <col min="15637" max="15638" width="8.7109375" customWidth="1"/>
    <col min="15639" max="15639" width="2.7109375" customWidth="1"/>
    <col min="15873" max="15873" width="15.5703125" customWidth="1"/>
    <col min="15874" max="15874" width="9.42578125" customWidth="1"/>
    <col min="15875" max="15876" width="8.7109375" customWidth="1"/>
    <col min="15877" max="15877" width="3.140625" customWidth="1"/>
    <col min="15878" max="15879" width="8.28515625" customWidth="1"/>
    <col min="15880" max="15880" width="2.28515625" customWidth="1"/>
    <col min="15881" max="15883" width="0" hidden="1" customWidth="1"/>
    <col min="15884" max="15884" width="8.28515625" customWidth="1"/>
    <col min="15885" max="15885" width="8.7109375" customWidth="1"/>
    <col min="15886" max="15886" width="2.7109375" customWidth="1"/>
    <col min="15887" max="15888" width="8.7109375" customWidth="1"/>
    <col min="15889" max="15889" width="2.7109375" customWidth="1"/>
    <col min="15890" max="15891" width="8.7109375" customWidth="1"/>
    <col min="15892" max="15892" width="2.7109375" customWidth="1"/>
    <col min="15893" max="15894" width="8.7109375" customWidth="1"/>
    <col min="15895" max="15895" width="2.7109375" customWidth="1"/>
    <col min="16129" max="16129" width="15.5703125" customWidth="1"/>
    <col min="16130" max="16130" width="9.42578125" customWidth="1"/>
    <col min="16131" max="16132" width="8.7109375" customWidth="1"/>
    <col min="16133" max="16133" width="3.140625" customWidth="1"/>
    <col min="16134" max="16135" width="8.28515625" customWidth="1"/>
    <col min="16136" max="16136" width="2.28515625" customWidth="1"/>
    <col min="16137" max="16139" width="0" hidden="1" customWidth="1"/>
    <col min="16140" max="16140" width="8.28515625" customWidth="1"/>
    <col min="16141" max="16141" width="8.7109375" customWidth="1"/>
    <col min="16142" max="16142" width="2.7109375" customWidth="1"/>
    <col min="16143" max="16144" width="8.7109375" customWidth="1"/>
    <col min="16145" max="16145" width="2.7109375" customWidth="1"/>
    <col min="16146" max="16147" width="8.7109375" customWidth="1"/>
    <col min="16148" max="16148" width="2.7109375" customWidth="1"/>
    <col min="16149" max="16150" width="8.7109375" customWidth="1"/>
    <col min="16151" max="16151" width="2.7109375" customWidth="1"/>
  </cols>
  <sheetData>
    <row r="1" spans="1:23" ht="15.75">
      <c r="A1" s="339" t="s">
        <v>496</v>
      </c>
      <c r="B1" s="339"/>
      <c r="C1" s="339"/>
      <c r="E1" s="31"/>
      <c r="F1" s="31"/>
      <c r="G1" s="31"/>
      <c r="H1" s="31"/>
      <c r="I1" s="31"/>
      <c r="J1" s="31"/>
      <c r="K1" s="31"/>
      <c r="L1" s="339"/>
      <c r="M1" s="339"/>
      <c r="N1" s="339"/>
      <c r="O1" s="339"/>
      <c r="P1" s="339"/>
      <c r="Q1" s="339"/>
    </row>
    <row r="2" spans="1:23" ht="15.75">
      <c r="A2" s="339" t="s">
        <v>497</v>
      </c>
      <c r="B2" s="339"/>
      <c r="C2" s="339"/>
      <c r="E2" s="31"/>
      <c r="F2" s="31"/>
      <c r="G2" s="31"/>
      <c r="H2" s="31"/>
      <c r="I2" s="31"/>
      <c r="J2" s="31"/>
      <c r="K2" s="31"/>
      <c r="L2" s="339"/>
      <c r="M2" s="339"/>
      <c r="N2" s="339"/>
      <c r="O2" s="339"/>
      <c r="P2" s="339"/>
      <c r="Q2" s="339"/>
    </row>
    <row r="3" spans="1:23" ht="15.75">
      <c r="A3" s="339"/>
      <c r="B3" s="339"/>
      <c r="C3" s="339"/>
      <c r="D3" s="553"/>
      <c r="E3" s="610"/>
      <c r="F3" s="610"/>
      <c r="G3" s="610"/>
      <c r="H3" s="610"/>
      <c r="I3" s="610"/>
      <c r="J3" s="610"/>
      <c r="K3" s="610"/>
      <c r="L3" s="339"/>
      <c r="M3" s="339"/>
      <c r="N3" s="339"/>
      <c r="O3" s="339"/>
      <c r="P3" s="339"/>
      <c r="Q3" s="339"/>
    </row>
    <row r="4" spans="1:23" ht="15.75">
      <c r="A4" s="339" t="s">
        <v>1577</v>
      </c>
      <c r="B4" s="339"/>
      <c r="C4" s="339"/>
      <c r="D4" s="553"/>
      <c r="E4" s="553"/>
      <c r="F4" s="553"/>
      <c r="G4" s="553"/>
      <c r="H4" s="553"/>
      <c r="I4" s="553"/>
      <c r="J4" s="553"/>
      <c r="K4" s="553"/>
      <c r="L4" s="339"/>
      <c r="M4" s="339"/>
      <c r="N4" s="339"/>
      <c r="O4" s="339"/>
      <c r="P4" s="339"/>
      <c r="Q4" s="339"/>
    </row>
    <row r="5" spans="1:23" ht="15.75">
      <c r="A5" s="339" t="s">
        <v>1566</v>
      </c>
      <c r="B5" s="339"/>
      <c r="C5" s="339"/>
      <c r="D5" s="553"/>
      <c r="E5" s="553"/>
      <c r="F5" s="553"/>
      <c r="G5" s="553"/>
      <c r="H5" s="553"/>
      <c r="I5" s="553"/>
      <c r="J5" s="553"/>
      <c r="K5" s="553"/>
      <c r="L5" s="339"/>
      <c r="M5" s="339"/>
      <c r="N5" s="339"/>
      <c r="O5" s="339"/>
      <c r="P5" s="339"/>
      <c r="Q5" s="339"/>
    </row>
    <row r="6" spans="1:23" ht="15.75">
      <c r="A6" s="341"/>
      <c r="B6" s="341"/>
      <c r="C6" s="341"/>
      <c r="D6" s="341"/>
      <c r="E6" s="341"/>
      <c r="F6" s="341"/>
      <c r="G6" s="341"/>
      <c r="H6" s="341"/>
      <c r="I6" s="341"/>
      <c r="J6" s="341"/>
      <c r="K6" s="341"/>
      <c r="L6" s="341"/>
      <c r="M6" s="341"/>
      <c r="N6" s="341"/>
      <c r="O6" s="611"/>
      <c r="P6" s="611"/>
      <c r="Q6" s="611"/>
    </row>
    <row r="7" spans="1:23" ht="15.75">
      <c r="A7" s="612"/>
      <c r="B7" s="612"/>
      <c r="C7" s="612"/>
      <c r="D7" s="612"/>
      <c r="E7" s="612"/>
      <c r="F7" s="612"/>
      <c r="G7" s="612"/>
      <c r="H7" s="612"/>
      <c r="I7" s="612"/>
      <c r="J7" s="612"/>
      <c r="K7" s="612"/>
      <c r="L7" s="612"/>
      <c r="M7" s="612"/>
      <c r="N7" s="612"/>
      <c r="O7" s="612"/>
      <c r="P7" s="612"/>
      <c r="Q7" s="612"/>
      <c r="R7" s="612"/>
      <c r="S7" s="612"/>
      <c r="T7" s="612"/>
      <c r="U7" s="612"/>
      <c r="V7" s="612"/>
      <c r="W7" s="612"/>
    </row>
    <row r="8" spans="1:23" ht="18.75">
      <c r="A8" s="349" t="s">
        <v>1548</v>
      </c>
      <c r="B8" s="365"/>
      <c r="C8" s="1316" t="s">
        <v>1549</v>
      </c>
      <c r="D8" s="1316"/>
      <c r="E8" s="36"/>
      <c r="F8" s="1316" t="s">
        <v>1550</v>
      </c>
      <c r="G8" s="1316"/>
      <c r="H8" s="36"/>
      <c r="I8" s="1316" t="s">
        <v>757</v>
      </c>
      <c r="J8" s="1316"/>
      <c r="K8" s="36"/>
      <c r="L8" s="1316" t="s">
        <v>299</v>
      </c>
      <c r="M8" s="1316"/>
      <c r="N8" s="349"/>
      <c r="O8" s="1316" t="s">
        <v>296</v>
      </c>
      <c r="P8" s="1316"/>
      <c r="Q8" s="341"/>
      <c r="R8" s="1316" t="s">
        <v>303</v>
      </c>
      <c r="S8" s="1316"/>
      <c r="U8" s="1316" t="s">
        <v>304</v>
      </c>
      <c r="V8" s="1316"/>
    </row>
    <row r="9" spans="1:23" ht="15.75">
      <c r="A9" s="349" t="s">
        <v>1551</v>
      </c>
      <c r="B9" s="365"/>
      <c r="C9" s="365" t="s">
        <v>1552</v>
      </c>
      <c r="D9" s="365" t="s">
        <v>10</v>
      </c>
      <c r="E9" s="365"/>
      <c r="F9" s="365" t="s">
        <v>1552</v>
      </c>
      <c r="G9" s="365" t="s">
        <v>10</v>
      </c>
      <c r="H9" s="365"/>
      <c r="I9" s="365" t="s">
        <v>1552</v>
      </c>
      <c r="J9" s="365" t="s">
        <v>10</v>
      </c>
      <c r="K9" s="365"/>
      <c r="L9" s="365" t="s">
        <v>1552</v>
      </c>
      <c r="M9" s="365" t="s">
        <v>10</v>
      </c>
      <c r="N9" s="516"/>
      <c r="O9" s="365" t="s">
        <v>1552</v>
      </c>
      <c r="P9" s="365" t="s">
        <v>10</v>
      </c>
      <c r="Q9" s="365"/>
      <c r="R9" s="365" t="s">
        <v>1552</v>
      </c>
      <c r="S9" s="365" t="s">
        <v>10</v>
      </c>
      <c r="U9" s="365" t="s">
        <v>1552</v>
      </c>
      <c r="V9" s="365" t="s">
        <v>10</v>
      </c>
    </row>
    <row r="10" spans="1:23" ht="15.75">
      <c r="A10" s="613"/>
      <c r="B10" s="614"/>
      <c r="C10" s="614"/>
      <c r="D10" s="614"/>
      <c r="E10" s="614"/>
      <c r="F10" s="614"/>
      <c r="G10" s="614"/>
      <c r="H10" s="614"/>
      <c r="I10" s="614"/>
      <c r="J10" s="614"/>
      <c r="K10" s="614"/>
      <c r="L10" s="614"/>
      <c r="M10" s="614"/>
      <c r="N10" s="614"/>
      <c r="O10" s="615"/>
      <c r="P10" s="615"/>
      <c r="Q10" s="615"/>
      <c r="R10" s="615"/>
      <c r="S10" s="615"/>
      <c r="U10" s="615"/>
      <c r="V10" s="615"/>
    </row>
    <row r="11" spans="1:23" ht="18" customHeight="1">
      <c r="A11" s="341"/>
      <c r="B11" s="341"/>
      <c r="C11" s="341"/>
      <c r="D11" s="341"/>
      <c r="E11" s="341"/>
      <c r="F11" s="341"/>
      <c r="G11" s="341"/>
      <c r="H11" s="341"/>
      <c r="I11" s="341"/>
      <c r="J11" s="341"/>
      <c r="K11" s="341"/>
      <c r="L11" s="341"/>
      <c r="M11" s="341"/>
      <c r="N11" s="341"/>
      <c r="O11" s="611"/>
      <c r="P11" s="611"/>
      <c r="Q11" s="611"/>
      <c r="R11" s="611"/>
      <c r="S11" s="611"/>
      <c r="T11" s="612"/>
      <c r="U11" s="611"/>
      <c r="V11" s="611"/>
      <c r="W11" s="612"/>
    </row>
    <row r="12" spans="1:23" ht="18" customHeight="1">
      <c r="A12" s="349" t="s">
        <v>5</v>
      </c>
      <c r="B12" s="341"/>
      <c r="C12" s="562">
        <f>SUM(C14:C21)</f>
        <v>252</v>
      </c>
      <c r="D12" s="616">
        <f>SUM(D14:D21)</f>
        <v>100</v>
      </c>
      <c r="E12" s="341"/>
      <c r="F12" s="341">
        <f>SUM(F14:F21)</f>
        <v>53</v>
      </c>
      <c r="G12" s="611">
        <f>IF($A12&lt;&gt;0,F12/$C12*100,"")</f>
        <v>21.031746031746032</v>
      </c>
      <c r="H12" s="341"/>
      <c r="I12" s="341">
        <f>SUM(I14:I21)</f>
        <v>0</v>
      </c>
      <c r="J12" s="611">
        <f>IF($A12&lt;&gt;0,I12/$C12*100,"")</f>
        <v>0</v>
      </c>
      <c r="K12" s="341"/>
      <c r="L12" s="341">
        <f>SUM(L14:L21)</f>
        <v>14</v>
      </c>
      <c r="M12" s="611">
        <f>IF($A12&lt;&gt;0,L12/$C12*100,"")</f>
        <v>5.5555555555555554</v>
      </c>
      <c r="N12" s="341"/>
      <c r="O12" s="341">
        <f>SUM(O14:O21)</f>
        <v>77</v>
      </c>
      <c r="P12" s="611">
        <f t="shared" ref="P12:P21" si="0">IF($A12&lt;&gt;0,O12/$C12*100,"")</f>
        <v>30.555555555555557</v>
      </c>
      <c r="Q12" s="611"/>
      <c r="R12" s="341">
        <f>SUM(R14:R21)</f>
        <v>80</v>
      </c>
      <c r="S12" s="611">
        <f t="shared" ref="S12:S21" si="1">IF($A12&lt;&gt;0,R12/$C12*100,"")</f>
        <v>31.746031746031743</v>
      </c>
      <c r="T12" s="339"/>
      <c r="U12" s="341">
        <f>SUM(U14:U21)</f>
        <v>28</v>
      </c>
      <c r="V12" s="611">
        <f t="shared" ref="V12:V21" si="2">IF($A12&lt;&gt;0,U12/$C12*100,"")</f>
        <v>11.111111111111111</v>
      </c>
      <c r="W12" s="341"/>
    </row>
    <row r="13" spans="1:23" ht="18" customHeight="1">
      <c r="A13" s="365"/>
      <c r="B13" s="341"/>
      <c r="C13" s="341"/>
      <c r="D13" s="616"/>
      <c r="E13" s="341"/>
      <c r="F13" s="341"/>
      <c r="G13" s="611"/>
      <c r="H13" s="341"/>
      <c r="I13" s="341"/>
      <c r="J13" s="611"/>
      <c r="K13" s="341"/>
      <c r="L13" s="341"/>
      <c r="M13" s="611"/>
      <c r="N13" s="341"/>
      <c r="O13" s="341"/>
      <c r="P13" s="611" t="str">
        <f t="shared" si="0"/>
        <v/>
      </c>
      <c r="Q13" s="611"/>
      <c r="R13" s="341"/>
      <c r="S13" s="611" t="str">
        <f t="shared" si="1"/>
        <v/>
      </c>
      <c r="T13" s="339"/>
      <c r="U13" s="341"/>
      <c r="V13" s="611" t="str">
        <f t="shared" si="2"/>
        <v/>
      </c>
      <c r="W13" s="341"/>
    </row>
    <row r="14" spans="1:23" ht="18" customHeight="1">
      <c r="A14" s="349" t="s">
        <v>1553</v>
      </c>
      <c r="B14" s="341"/>
      <c r="C14" s="341">
        <f>F14+I14+L14+O14+R14+U14</f>
        <v>2</v>
      </c>
      <c r="D14" s="616">
        <f>IF(A14&lt;&gt;0,C14/C12*100,"")</f>
        <v>0.79365079365079361</v>
      </c>
      <c r="E14" s="341"/>
      <c r="F14" s="339">
        <v>0</v>
      </c>
      <c r="G14" s="611">
        <f>IF($A14&lt;&gt;0,F14/$C14*100,"")</f>
        <v>0</v>
      </c>
      <c r="H14" s="341"/>
      <c r="I14" s="341"/>
      <c r="J14" s="611">
        <f>IF($A14&lt;&gt;0,I14/$C14*100,"")</f>
        <v>0</v>
      </c>
      <c r="K14" s="341"/>
      <c r="L14" s="339">
        <v>0</v>
      </c>
      <c r="M14" s="611">
        <f>IF($A14&lt;&gt;0,L14/$C14*100,"")</f>
        <v>0</v>
      </c>
      <c r="N14" s="341"/>
      <c r="O14" s="339">
        <v>2</v>
      </c>
      <c r="P14" s="611">
        <f t="shared" si="0"/>
        <v>100</v>
      </c>
      <c r="Q14" s="611"/>
      <c r="R14" s="339">
        <v>0</v>
      </c>
      <c r="S14" s="611">
        <f t="shared" si="1"/>
        <v>0</v>
      </c>
      <c r="T14" s="339"/>
      <c r="U14" s="339">
        <v>0</v>
      </c>
      <c r="V14" s="611">
        <f t="shared" si="2"/>
        <v>0</v>
      </c>
      <c r="W14" s="341"/>
    </row>
    <row r="15" spans="1:23" ht="18" customHeight="1">
      <c r="A15" s="407" t="s">
        <v>1567</v>
      </c>
      <c r="B15" s="36"/>
      <c r="C15" s="341">
        <f t="shared" ref="C15:C21" si="3">F15+I15+L15+O15+R15+U15</f>
        <v>7</v>
      </c>
      <c r="D15" s="616">
        <f>IF(A15&lt;&gt;0,C15/C12*100,"")</f>
        <v>2.7777777777777777</v>
      </c>
      <c r="E15" s="341"/>
      <c r="F15" s="339">
        <v>0</v>
      </c>
      <c r="G15" s="611">
        <f>IF($A15&lt;&gt;0,F15/$C15*100,"")</f>
        <v>0</v>
      </c>
      <c r="H15" s="341"/>
      <c r="I15" s="341"/>
      <c r="J15" s="611">
        <f>IF($A15&lt;&gt;0,I15/$C15*100,"")</f>
        <v>0</v>
      </c>
      <c r="K15" s="341"/>
      <c r="L15" s="339">
        <v>0</v>
      </c>
      <c r="M15" s="611">
        <f>IF($A15&lt;&gt;0,L15/$C15*100,"")</f>
        <v>0</v>
      </c>
      <c r="N15" s="341"/>
      <c r="O15" s="339">
        <v>0</v>
      </c>
      <c r="P15" s="611">
        <f t="shared" si="0"/>
        <v>0</v>
      </c>
      <c r="Q15" s="341"/>
      <c r="R15" s="339">
        <v>6</v>
      </c>
      <c r="S15" s="611">
        <f t="shared" si="1"/>
        <v>85.714285714285708</v>
      </c>
      <c r="T15" s="339"/>
      <c r="U15" s="339">
        <v>1</v>
      </c>
      <c r="V15" s="611">
        <f t="shared" si="2"/>
        <v>14.285714285714285</v>
      </c>
      <c r="W15" s="341"/>
    </row>
    <row r="16" spans="1:23" ht="18" customHeight="1">
      <c r="A16" s="407" t="s">
        <v>1578</v>
      </c>
      <c r="B16" s="36"/>
      <c r="C16" s="341">
        <f t="shared" si="3"/>
        <v>18</v>
      </c>
      <c r="D16" s="616">
        <f>IF(A16&lt;&gt;0,C16/C12*100,"")</f>
        <v>7.1428571428571423</v>
      </c>
      <c r="E16" s="341"/>
      <c r="F16" s="339">
        <v>0</v>
      </c>
      <c r="G16" s="611">
        <f t="shared" ref="G16:G18" si="4">IF($A16&lt;&gt;0,F16/$C16*100,"")</f>
        <v>0</v>
      </c>
      <c r="H16" s="341"/>
      <c r="I16" s="341"/>
      <c r="J16" s="611"/>
      <c r="K16" s="341"/>
      <c r="L16" s="339">
        <v>0</v>
      </c>
      <c r="M16" s="611">
        <f t="shared" ref="M16:M18" si="5">IF($A16&lt;&gt;0,L16/$C16*100,"")</f>
        <v>0</v>
      </c>
      <c r="N16" s="341"/>
      <c r="O16" s="339">
        <v>2</v>
      </c>
      <c r="P16" s="611">
        <f t="shared" si="0"/>
        <v>11.111111111111111</v>
      </c>
      <c r="Q16" s="341"/>
      <c r="R16" s="339">
        <v>13</v>
      </c>
      <c r="S16" s="611">
        <f t="shared" si="1"/>
        <v>72.222222222222214</v>
      </c>
      <c r="T16" s="339"/>
      <c r="U16" s="339">
        <v>3</v>
      </c>
      <c r="V16" s="611">
        <f t="shared" si="2"/>
        <v>16.666666666666664</v>
      </c>
      <c r="W16" s="341"/>
    </row>
    <row r="17" spans="1:23" ht="18" customHeight="1">
      <c r="A17" s="407" t="s">
        <v>1579</v>
      </c>
      <c r="B17" s="36"/>
      <c r="C17" s="341">
        <f t="shared" si="3"/>
        <v>24</v>
      </c>
      <c r="D17" s="616">
        <f>IF(A17&lt;&gt;0,C17/C12*100,"")</f>
        <v>9.5238095238095237</v>
      </c>
      <c r="E17" s="341"/>
      <c r="F17" s="339">
        <v>0</v>
      </c>
      <c r="G17" s="611">
        <f t="shared" si="4"/>
        <v>0</v>
      </c>
      <c r="H17" s="341"/>
      <c r="I17" s="341"/>
      <c r="J17" s="611">
        <f>IF($A17&lt;&gt;0,I17/$C17*100,"")</f>
        <v>0</v>
      </c>
      <c r="K17" s="341"/>
      <c r="L17" s="339">
        <v>0</v>
      </c>
      <c r="M17" s="611">
        <f t="shared" si="5"/>
        <v>0</v>
      </c>
      <c r="N17" s="341"/>
      <c r="O17" s="339">
        <v>2</v>
      </c>
      <c r="P17" s="611">
        <f t="shared" si="0"/>
        <v>8.3333333333333321</v>
      </c>
      <c r="Q17" s="341"/>
      <c r="R17" s="339">
        <v>6</v>
      </c>
      <c r="S17" s="611">
        <f t="shared" si="1"/>
        <v>25</v>
      </c>
      <c r="T17" s="339"/>
      <c r="U17" s="339">
        <v>16</v>
      </c>
      <c r="V17" s="611">
        <f t="shared" si="2"/>
        <v>66.666666666666657</v>
      </c>
      <c r="W17" s="341"/>
    </row>
    <row r="18" spans="1:23" ht="18" customHeight="1">
      <c r="A18" s="407" t="s">
        <v>1580</v>
      </c>
      <c r="B18" s="36"/>
      <c r="C18" s="341">
        <f t="shared" si="3"/>
        <v>21</v>
      </c>
      <c r="D18" s="616">
        <f>IF(A18&lt;&gt;0,C18/C12*100,"")</f>
        <v>8.3333333333333321</v>
      </c>
      <c r="E18" s="341"/>
      <c r="F18" s="339">
        <v>2</v>
      </c>
      <c r="G18" s="611">
        <f t="shared" si="4"/>
        <v>9.5238095238095237</v>
      </c>
      <c r="H18" s="341"/>
      <c r="I18" s="341"/>
      <c r="J18" s="611">
        <f>IF($A18&lt;&gt;0,I18/$C18*100,"")</f>
        <v>0</v>
      </c>
      <c r="K18" s="341"/>
      <c r="L18" s="339">
        <v>0</v>
      </c>
      <c r="M18" s="611">
        <f t="shared" si="5"/>
        <v>0</v>
      </c>
      <c r="N18" s="341"/>
      <c r="O18" s="339">
        <v>0</v>
      </c>
      <c r="P18" s="611">
        <f t="shared" si="0"/>
        <v>0</v>
      </c>
      <c r="Q18" s="341"/>
      <c r="R18" s="339">
        <v>18</v>
      </c>
      <c r="S18" s="611">
        <f t="shared" si="1"/>
        <v>85.714285714285708</v>
      </c>
      <c r="T18" s="339"/>
      <c r="U18" s="339">
        <v>1</v>
      </c>
      <c r="V18" s="611">
        <f t="shared" si="2"/>
        <v>4.7619047619047619</v>
      </c>
      <c r="W18" s="341"/>
    </row>
    <row r="19" spans="1:23" ht="18" customHeight="1">
      <c r="A19" s="407" t="s">
        <v>1581</v>
      </c>
      <c r="B19" s="36"/>
      <c r="C19" s="341">
        <f t="shared" si="3"/>
        <v>1</v>
      </c>
      <c r="D19" s="616">
        <f>IF(A19&lt;&gt;0,C19/C12*100,"")</f>
        <v>0.3968253968253968</v>
      </c>
      <c r="E19" s="341"/>
      <c r="F19" s="339">
        <v>0</v>
      </c>
      <c r="G19" s="611">
        <f>IF($A19&lt;&gt;0,F19/$C19*100,"")</f>
        <v>0</v>
      </c>
      <c r="H19" s="341"/>
      <c r="I19" s="341"/>
      <c r="J19" s="611">
        <f>IF($A19&lt;&gt;0,I19/$C19*100,"")</f>
        <v>0</v>
      </c>
      <c r="K19" s="341"/>
      <c r="L19" s="339">
        <v>1</v>
      </c>
      <c r="M19" s="611">
        <f>IF($A19&lt;&gt;0,L19/$C19*100,"")</f>
        <v>100</v>
      </c>
      <c r="N19" s="341"/>
      <c r="O19" s="339">
        <v>0</v>
      </c>
      <c r="P19" s="611">
        <f t="shared" si="0"/>
        <v>0</v>
      </c>
      <c r="Q19" s="341"/>
      <c r="R19" s="339">
        <v>0</v>
      </c>
      <c r="S19" s="611">
        <f t="shared" si="1"/>
        <v>0</v>
      </c>
      <c r="T19" s="339"/>
      <c r="U19" s="339">
        <v>0</v>
      </c>
      <c r="V19" s="611">
        <f t="shared" si="2"/>
        <v>0</v>
      </c>
      <c r="W19" s="341"/>
    </row>
    <row r="20" spans="1:23" ht="18" customHeight="1">
      <c r="A20" s="407" t="s">
        <v>1570</v>
      </c>
      <c r="B20" s="36"/>
      <c r="C20" s="341">
        <f t="shared" si="3"/>
        <v>34</v>
      </c>
      <c r="D20" s="616">
        <f>IF(A20&lt;&gt;0,C20/C12*100,"")</f>
        <v>13.492063492063492</v>
      </c>
      <c r="E20" s="341"/>
      <c r="F20" s="339">
        <v>0</v>
      </c>
      <c r="G20" s="611">
        <f>IF($A20&lt;&gt;0,F20/$C20*100,"")</f>
        <v>0</v>
      </c>
      <c r="H20" s="341"/>
      <c r="I20" s="341"/>
      <c r="J20" s="611">
        <f>IF($A20&lt;&gt;0,I20/$C20*100,"")</f>
        <v>0</v>
      </c>
      <c r="K20" s="341"/>
      <c r="L20" s="339">
        <v>0</v>
      </c>
      <c r="M20" s="611">
        <f>IF($A20&lt;&gt;0,L20/$C20*100,"")</f>
        <v>0</v>
      </c>
      <c r="N20" s="341"/>
      <c r="O20" s="339">
        <v>19</v>
      </c>
      <c r="P20" s="611">
        <f t="shared" si="0"/>
        <v>55.882352941176471</v>
      </c>
      <c r="Q20" s="341"/>
      <c r="R20" s="339">
        <v>15</v>
      </c>
      <c r="S20" s="611">
        <f t="shared" si="1"/>
        <v>44.117647058823529</v>
      </c>
      <c r="T20" s="339"/>
      <c r="U20" s="339">
        <v>0</v>
      </c>
      <c r="V20" s="611">
        <f t="shared" si="2"/>
        <v>0</v>
      </c>
      <c r="W20" s="339"/>
    </row>
    <row r="21" spans="1:23" ht="18" customHeight="1">
      <c r="A21" s="407" t="s">
        <v>1556</v>
      </c>
      <c r="B21" s="36"/>
      <c r="C21" s="341">
        <f t="shared" si="3"/>
        <v>145</v>
      </c>
      <c r="D21" s="616">
        <f>IF(A21&lt;&gt;0,C21/C12*100,"")</f>
        <v>57.539682539682538</v>
      </c>
      <c r="E21" s="341"/>
      <c r="F21" s="339">
        <v>51</v>
      </c>
      <c r="G21" s="611">
        <f>IF($A21&lt;&gt;0,F21/$C21*100,"")</f>
        <v>35.172413793103445</v>
      </c>
      <c r="H21" s="341"/>
      <c r="I21" s="341"/>
      <c r="J21" s="611">
        <f>IF($A21&lt;&gt;0,I21/$C21*100,"")</f>
        <v>0</v>
      </c>
      <c r="K21" s="341"/>
      <c r="L21" s="339">
        <v>13</v>
      </c>
      <c r="M21" s="611">
        <f>IF($A21&lt;&gt;0,L21/$C21*100,"")</f>
        <v>8.9655172413793096</v>
      </c>
      <c r="N21" s="341"/>
      <c r="O21" s="339">
        <v>52</v>
      </c>
      <c r="P21" s="611">
        <f t="shared" si="0"/>
        <v>35.862068965517238</v>
      </c>
      <c r="Q21" s="341"/>
      <c r="R21" s="339">
        <v>22</v>
      </c>
      <c r="S21" s="611">
        <f t="shared" si="1"/>
        <v>15.172413793103448</v>
      </c>
      <c r="T21" s="339"/>
      <c r="U21" s="339">
        <v>7</v>
      </c>
      <c r="V21" s="611">
        <f t="shared" si="2"/>
        <v>4.8275862068965516</v>
      </c>
      <c r="W21" s="339"/>
    </row>
    <row r="22" spans="1:23" ht="18" customHeight="1">
      <c r="A22" s="617"/>
      <c r="B22" s="617"/>
      <c r="C22" s="617"/>
      <c r="D22" s="617"/>
      <c r="E22" s="617"/>
      <c r="F22" s="617"/>
      <c r="G22" s="617"/>
      <c r="H22" s="617"/>
      <c r="I22" s="617"/>
      <c r="J22" s="617"/>
      <c r="K22" s="617"/>
      <c r="L22" s="617"/>
      <c r="M22" s="617"/>
      <c r="N22" s="617"/>
      <c r="O22" s="617"/>
      <c r="P22" s="617"/>
      <c r="Q22" s="617"/>
      <c r="R22" s="617"/>
      <c r="S22" s="617"/>
      <c r="U22" s="617"/>
      <c r="V22" s="617"/>
    </row>
    <row r="23" spans="1:23" ht="14.25" customHeight="1">
      <c r="T23" s="612"/>
      <c r="W23" s="612"/>
    </row>
    <row r="24" spans="1:23" ht="18.75">
      <c r="A24" s="618" t="s">
        <v>1557</v>
      </c>
      <c r="B24" s="398"/>
      <c r="C24" s="611"/>
      <c r="D24" s="611"/>
      <c r="E24" s="398"/>
      <c r="F24" s="398"/>
      <c r="G24" s="398"/>
      <c r="H24" s="398"/>
      <c r="I24" s="398"/>
      <c r="J24" s="398"/>
      <c r="K24" s="398"/>
      <c r="L24" s="611"/>
      <c r="M24" s="611"/>
      <c r="N24" s="398"/>
      <c r="O24" s="611"/>
      <c r="P24" s="339"/>
      <c r="Q24" s="339"/>
      <c r="R24" s="339"/>
      <c r="S24" s="339"/>
      <c r="T24" s="339"/>
      <c r="U24" s="339"/>
      <c r="W24" s="341"/>
    </row>
    <row r="25" spans="1:23" ht="15" customHeight="1">
      <c r="A25" s="339" t="s">
        <v>2140</v>
      </c>
      <c r="T25" s="341"/>
      <c r="W25" s="341"/>
    </row>
    <row r="26" spans="1:23" ht="11.25" customHeight="1">
      <c r="T26" s="341"/>
      <c r="W26" s="341"/>
    </row>
    <row r="27" spans="1:23" s="339" customFormat="1">
      <c r="A27" s="339" t="s">
        <v>1545</v>
      </c>
    </row>
    <row r="28" spans="1:23" s="339" customFormat="1">
      <c r="A28" s="339" t="s">
        <v>385</v>
      </c>
    </row>
    <row r="29" spans="1:23" s="339" customFormat="1"/>
  </sheetData>
  <mergeCells count="7">
    <mergeCell ref="U8:V8"/>
    <mergeCell ref="C8:D8"/>
    <mergeCell ref="F8:G8"/>
    <mergeCell ref="I8:J8"/>
    <mergeCell ref="L8:M8"/>
    <mergeCell ref="O8:P8"/>
    <mergeCell ref="R8:S8"/>
  </mergeCells>
  <printOptions horizontalCentered="1" verticalCentered="1"/>
  <pageMargins left="0" right="0" top="0" bottom="0" header="0.31496062992125984" footer="0.31496062992125984"/>
  <pageSetup paperSize="9" scale="90" orientation="landscape" r:id="rId1"/>
  <drawing r:id="rId2"/>
</worksheet>
</file>

<file path=xl/worksheets/sheet93.xml><?xml version="1.0" encoding="utf-8"?>
<worksheet xmlns="http://schemas.openxmlformats.org/spreadsheetml/2006/main" xmlns:r="http://schemas.openxmlformats.org/officeDocument/2006/relationships">
  <dimension ref="A1:M32"/>
  <sheetViews>
    <sheetView workbookViewId="0"/>
  </sheetViews>
  <sheetFormatPr baseColWidth="10" defaultRowHeight="15"/>
  <cols>
    <col min="1" max="1" width="22.7109375" customWidth="1"/>
    <col min="2" max="2" width="6.42578125" customWidth="1"/>
    <col min="3" max="3" width="9.7109375" style="43" customWidth="1"/>
    <col min="4" max="4" width="9.5703125" style="43" customWidth="1"/>
    <col min="5" max="5" width="6.7109375" customWidth="1"/>
    <col min="6" max="6" width="9.7109375" style="43" customWidth="1"/>
    <col min="7" max="7" width="4" customWidth="1"/>
    <col min="257" max="257" width="22.7109375" customWidth="1"/>
    <col min="258" max="258" width="6.42578125" customWidth="1"/>
    <col min="259" max="259" width="9.7109375" customWidth="1"/>
    <col min="260" max="260" width="9.5703125" customWidth="1"/>
    <col min="261" max="261" width="6.7109375" customWidth="1"/>
    <col min="262" max="262" width="9.7109375" customWidth="1"/>
    <col min="263" max="263" width="4" customWidth="1"/>
    <col min="513" max="513" width="22.7109375" customWidth="1"/>
    <col min="514" max="514" width="6.42578125" customWidth="1"/>
    <col min="515" max="515" width="9.7109375" customWidth="1"/>
    <col min="516" max="516" width="9.5703125" customWidth="1"/>
    <col min="517" max="517" width="6.7109375" customWidth="1"/>
    <col min="518" max="518" width="9.7109375" customWidth="1"/>
    <col min="519" max="519" width="4" customWidth="1"/>
    <col min="769" max="769" width="22.7109375" customWidth="1"/>
    <col min="770" max="770" width="6.42578125" customWidth="1"/>
    <col min="771" max="771" width="9.7109375" customWidth="1"/>
    <col min="772" max="772" width="9.5703125" customWidth="1"/>
    <col min="773" max="773" width="6.7109375" customWidth="1"/>
    <col min="774" max="774" width="9.7109375" customWidth="1"/>
    <col min="775" max="775" width="4" customWidth="1"/>
    <col min="1025" max="1025" width="22.7109375" customWidth="1"/>
    <col min="1026" max="1026" width="6.42578125" customWidth="1"/>
    <col min="1027" max="1027" width="9.7109375" customWidth="1"/>
    <col min="1028" max="1028" width="9.5703125" customWidth="1"/>
    <col min="1029" max="1029" width="6.7109375" customWidth="1"/>
    <col min="1030" max="1030" width="9.7109375" customWidth="1"/>
    <col min="1031" max="1031" width="4" customWidth="1"/>
    <col min="1281" max="1281" width="22.7109375" customWidth="1"/>
    <col min="1282" max="1282" width="6.42578125" customWidth="1"/>
    <col min="1283" max="1283" width="9.7109375" customWidth="1"/>
    <col min="1284" max="1284" width="9.5703125" customWidth="1"/>
    <col min="1285" max="1285" width="6.7109375" customWidth="1"/>
    <col min="1286" max="1286" width="9.7109375" customWidth="1"/>
    <col min="1287" max="1287" width="4" customWidth="1"/>
    <col min="1537" max="1537" width="22.7109375" customWidth="1"/>
    <col min="1538" max="1538" width="6.42578125" customWidth="1"/>
    <col min="1539" max="1539" width="9.7109375" customWidth="1"/>
    <col min="1540" max="1540" width="9.5703125" customWidth="1"/>
    <col min="1541" max="1541" width="6.7109375" customWidth="1"/>
    <col min="1542" max="1542" width="9.7109375" customWidth="1"/>
    <col min="1543" max="1543" width="4" customWidth="1"/>
    <col min="1793" max="1793" width="22.7109375" customWidth="1"/>
    <col min="1794" max="1794" width="6.42578125" customWidth="1"/>
    <col min="1795" max="1795" width="9.7109375" customWidth="1"/>
    <col min="1796" max="1796" width="9.5703125" customWidth="1"/>
    <col min="1797" max="1797" width="6.7109375" customWidth="1"/>
    <col min="1798" max="1798" width="9.7109375" customWidth="1"/>
    <col min="1799" max="1799" width="4" customWidth="1"/>
    <col min="2049" max="2049" width="22.7109375" customWidth="1"/>
    <col min="2050" max="2050" width="6.42578125" customWidth="1"/>
    <col min="2051" max="2051" width="9.7109375" customWidth="1"/>
    <col min="2052" max="2052" width="9.5703125" customWidth="1"/>
    <col min="2053" max="2053" width="6.7109375" customWidth="1"/>
    <col min="2054" max="2054" width="9.7109375" customWidth="1"/>
    <col min="2055" max="2055" width="4" customWidth="1"/>
    <col min="2305" max="2305" width="22.7109375" customWidth="1"/>
    <col min="2306" max="2306" width="6.42578125" customWidth="1"/>
    <col min="2307" max="2307" width="9.7109375" customWidth="1"/>
    <col min="2308" max="2308" width="9.5703125" customWidth="1"/>
    <col min="2309" max="2309" width="6.7109375" customWidth="1"/>
    <col min="2310" max="2310" width="9.7109375" customWidth="1"/>
    <col min="2311" max="2311" width="4" customWidth="1"/>
    <col min="2561" max="2561" width="22.7109375" customWidth="1"/>
    <col min="2562" max="2562" width="6.42578125" customWidth="1"/>
    <col min="2563" max="2563" width="9.7109375" customWidth="1"/>
    <col min="2564" max="2564" width="9.5703125" customWidth="1"/>
    <col min="2565" max="2565" width="6.7109375" customWidth="1"/>
    <col min="2566" max="2566" width="9.7109375" customWidth="1"/>
    <col min="2567" max="2567" width="4" customWidth="1"/>
    <col min="2817" max="2817" width="22.7109375" customWidth="1"/>
    <col min="2818" max="2818" width="6.42578125" customWidth="1"/>
    <col min="2819" max="2819" width="9.7109375" customWidth="1"/>
    <col min="2820" max="2820" width="9.5703125" customWidth="1"/>
    <col min="2821" max="2821" width="6.7109375" customWidth="1"/>
    <col min="2822" max="2822" width="9.7109375" customWidth="1"/>
    <col min="2823" max="2823" width="4" customWidth="1"/>
    <col min="3073" max="3073" width="22.7109375" customWidth="1"/>
    <col min="3074" max="3074" width="6.42578125" customWidth="1"/>
    <col min="3075" max="3075" width="9.7109375" customWidth="1"/>
    <col min="3076" max="3076" width="9.5703125" customWidth="1"/>
    <col min="3077" max="3077" width="6.7109375" customWidth="1"/>
    <col min="3078" max="3078" width="9.7109375" customWidth="1"/>
    <col min="3079" max="3079" width="4" customWidth="1"/>
    <col min="3329" max="3329" width="22.7109375" customWidth="1"/>
    <col min="3330" max="3330" width="6.42578125" customWidth="1"/>
    <col min="3331" max="3331" width="9.7109375" customWidth="1"/>
    <col min="3332" max="3332" width="9.5703125" customWidth="1"/>
    <col min="3333" max="3333" width="6.7109375" customWidth="1"/>
    <col min="3334" max="3334" width="9.7109375" customWidth="1"/>
    <col min="3335" max="3335" width="4" customWidth="1"/>
    <col min="3585" max="3585" width="22.7109375" customWidth="1"/>
    <col min="3586" max="3586" width="6.42578125" customWidth="1"/>
    <col min="3587" max="3587" width="9.7109375" customWidth="1"/>
    <col min="3588" max="3588" width="9.5703125" customWidth="1"/>
    <col min="3589" max="3589" width="6.7109375" customWidth="1"/>
    <col min="3590" max="3590" width="9.7109375" customWidth="1"/>
    <col min="3591" max="3591" width="4" customWidth="1"/>
    <col min="3841" max="3841" width="22.7109375" customWidth="1"/>
    <col min="3842" max="3842" width="6.42578125" customWidth="1"/>
    <col min="3843" max="3843" width="9.7109375" customWidth="1"/>
    <col min="3844" max="3844" width="9.5703125" customWidth="1"/>
    <col min="3845" max="3845" width="6.7109375" customWidth="1"/>
    <col min="3846" max="3846" width="9.7109375" customWidth="1"/>
    <col min="3847" max="3847" width="4" customWidth="1"/>
    <col min="4097" max="4097" width="22.7109375" customWidth="1"/>
    <col min="4098" max="4098" width="6.42578125" customWidth="1"/>
    <col min="4099" max="4099" width="9.7109375" customWidth="1"/>
    <col min="4100" max="4100" width="9.5703125" customWidth="1"/>
    <col min="4101" max="4101" width="6.7109375" customWidth="1"/>
    <col min="4102" max="4102" width="9.7109375" customWidth="1"/>
    <col min="4103" max="4103" width="4" customWidth="1"/>
    <col min="4353" max="4353" width="22.7109375" customWidth="1"/>
    <col min="4354" max="4354" width="6.42578125" customWidth="1"/>
    <col min="4355" max="4355" width="9.7109375" customWidth="1"/>
    <col min="4356" max="4356" width="9.5703125" customWidth="1"/>
    <col min="4357" max="4357" width="6.7109375" customWidth="1"/>
    <col min="4358" max="4358" width="9.7109375" customWidth="1"/>
    <col min="4359" max="4359" width="4" customWidth="1"/>
    <col min="4609" max="4609" width="22.7109375" customWidth="1"/>
    <col min="4610" max="4610" width="6.42578125" customWidth="1"/>
    <col min="4611" max="4611" width="9.7109375" customWidth="1"/>
    <col min="4612" max="4612" width="9.5703125" customWidth="1"/>
    <col min="4613" max="4613" width="6.7109375" customWidth="1"/>
    <col min="4614" max="4614" width="9.7109375" customWidth="1"/>
    <col min="4615" max="4615" width="4" customWidth="1"/>
    <col min="4865" max="4865" width="22.7109375" customWidth="1"/>
    <col min="4866" max="4866" width="6.42578125" customWidth="1"/>
    <col min="4867" max="4867" width="9.7109375" customWidth="1"/>
    <col min="4868" max="4868" width="9.5703125" customWidth="1"/>
    <col min="4869" max="4869" width="6.7109375" customWidth="1"/>
    <col min="4870" max="4870" width="9.7109375" customWidth="1"/>
    <col min="4871" max="4871" width="4" customWidth="1"/>
    <col min="5121" max="5121" width="22.7109375" customWidth="1"/>
    <col min="5122" max="5122" width="6.42578125" customWidth="1"/>
    <col min="5123" max="5123" width="9.7109375" customWidth="1"/>
    <col min="5124" max="5124" width="9.5703125" customWidth="1"/>
    <col min="5125" max="5125" width="6.7109375" customWidth="1"/>
    <col min="5126" max="5126" width="9.7109375" customWidth="1"/>
    <col min="5127" max="5127" width="4" customWidth="1"/>
    <col min="5377" max="5377" width="22.7109375" customWidth="1"/>
    <col min="5378" max="5378" width="6.42578125" customWidth="1"/>
    <col min="5379" max="5379" width="9.7109375" customWidth="1"/>
    <col min="5380" max="5380" width="9.5703125" customWidth="1"/>
    <col min="5381" max="5381" width="6.7109375" customWidth="1"/>
    <col min="5382" max="5382" width="9.7109375" customWidth="1"/>
    <col min="5383" max="5383" width="4" customWidth="1"/>
    <col min="5633" max="5633" width="22.7109375" customWidth="1"/>
    <col min="5634" max="5634" width="6.42578125" customWidth="1"/>
    <col min="5635" max="5635" width="9.7109375" customWidth="1"/>
    <col min="5636" max="5636" width="9.5703125" customWidth="1"/>
    <col min="5637" max="5637" width="6.7109375" customWidth="1"/>
    <col min="5638" max="5638" width="9.7109375" customWidth="1"/>
    <col min="5639" max="5639" width="4" customWidth="1"/>
    <col min="5889" max="5889" width="22.7109375" customWidth="1"/>
    <col min="5890" max="5890" width="6.42578125" customWidth="1"/>
    <col min="5891" max="5891" width="9.7109375" customWidth="1"/>
    <col min="5892" max="5892" width="9.5703125" customWidth="1"/>
    <col min="5893" max="5893" width="6.7109375" customWidth="1"/>
    <col min="5894" max="5894" width="9.7109375" customWidth="1"/>
    <col min="5895" max="5895" width="4" customWidth="1"/>
    <col min="6145" max="6145" width="22.7109375" customWidth="1"/>
    <col min="6146" max="6146" width="6.42578125" customWidth="1"/>
    <col min="6147" max="6147" width="9.7109375" customWidth="1"/>
    <col min="6148" max="6148" width="9.5703125" customWidth="1"/>
    <col min="6149" max="6149" width="6.7109375" customWidth="1"/>
    <col min="6150" max="6150" width="9.7109375" customWidth="1"/>
    <col min="6151" max="6151" width="4" customWidth="1"/>
    <col min="6401" max="6401" width="22.7109375" customWidth="1"/>
    <col min="6402" max="6402" width="6.42578125" customWidth="1"/>
    <col min="6403" max="6403" width="9.7109375" customWidth="1"/>
    <col min="6404" max="6404" width="9.5703125" customWidth="1"/>
    <col min="6405" max="6405" width="6.7109375" customWidth="1"/>
    <col min="6406" max="6406" width="9.7109375" customWidth="1"/>
    <col min="6407" max="6407" width="4" customWidth="1"/>
    <col min="6657" max="6657" width="22.7109375" customWidth="1"/>
    <col min="6658" max="6658" width="6.42578125" customWidth="1"/>
    <col min="6659" max="6659" width="9.7109375" customWidth="1"/>
    <col min="6660" max="6660" width="9.5703125" customWidth="1"/>
    <col min="6661" max="6661" width="6.7109375" customWidth="1"/>
    <col min="6662" max="6662" width="9.7109375" customWidth="1"/>
    <col min="6663" max="6663" width="4" customWidth="1"/>
    <col min="6913" max="6913" width="22.7109375" customWidth="1"/>
    <col min="6914" max="6914" width="6.42578125" customWidth="1"/>
    <col min="6915" max="6915" width="9.7109375" customWidth="1"/>
    <col min="6916" max="6916" width="9.5703125" customWidth="1"/>
    <col min="6917" max="6917" width="6.7109375" customWidth="1"/>
    <col min="6918" max="6918" width="9.7109375" customWidth="1"/>
    <col min="6919" max="6919" width="4" customWidth="1"/>
    <col min="7169" max="7169" width="22.7109375" customWidth="1"/>
    <col min="7170" max="7170" width="6.42578125" customWidth="1"/>
    <col min="7171" max="7171" width="9.7109375" customWidth="1"/>
    <col min="7172" max="7172" width="9.5703125" customWidth="1"/>
    <col min="7173" max="7173" width="6.7109375" customWidth="1"/>
    <col min="7174" max="7174" width="9.7109375" customWidth="1"/>
    <col min="7175" max="7175" width="4" customWidth="1"/>
    <col min="7425" max="7425" width="22.7109375" customWidth="1"/>
    <col min="7426" max="7426" width="6.42578125" customWidth="1"/>
    <col min="7427" max="7427" width="9.7109375" customWidth="1"/>
    <col min="7428" max="7428" width="9.5703125" customWidth="1"/>
    <col min="7429" max="7429" width="6.7109375" customWidth="1"/>
    <col min="7430" max="7430" width="9.7109375" customWidth="1"/>
    <col min="7431" max="7431" width="4" customWidth="1"/>
    <col min="7681" max="7681" width="22.7109375" customWidth="1"/>
    <col min="7682" max="7682" width="6.42578125" customWidth="1"/>
    <col min="7683" max="7683" width="9.7109375" customWidth="1"/>
    <col min="7684" max="7684" width="9.5703125" customWidth="1"/>
    <col min="7685" max="7685" width="6.7109375" customWidth="1"/>
    <col min="7686" max="7686" width="9.7109375" customWidth="1"/>
    <col min="7687" max="7687" width="4" customWidth="1"/>
    <col min="7937" max="7937" width="22.7109375" customWidth="1"/>
    <col min="7938" max="7938" width="6.42578125" customWidth="1"/>
    <col min="7939" max="7939" width="9.7109375" customWidth="1"/>
    <col min="7940" max="7940" width="9.5703125" customWidth="1"/>
    <col min="7941" max="7941" width="6.7109375" customWidth="1"/>
    <col min="7942" max="7942" width="9.7109375" customWidth="1"/>
    <col min="7943" max="7943" width="4" customWidth="1"/>
    <col min="8193" max="8193" width="22.7109375" customWidth="1"/>
    <col min="8194" max="8194" width="6.42578125" customWidth="1"/>
    <col min="8195" max="8195" width="9.7109375" customWidth="1"/>
    <col min="8196" max="8196" width="9.5703125" customWidth="1"/>
    <col min="8197" max="8197" width="6.7109375" customWidth="1"/>
    <col min="8198" max="8198" width="9.7109375" customWidth="1"/>
    <col min="8199" max="8199" width="4" customWidth="1"/>
    <col min="8449" max="8449" width="22.7109375" customWidth="1"/>
    <col min="8450" max="8450" width="6.42578125" customWidth="1"/>
    <col min="8451" max="8451" width="9.7109375" customWidth="1"/>
    <col min="8452" max="8452" width="9.5703125" customWidth="1"/>
    <col min="8453" max="8453" width="6.7109375" customWidth="1"/>
    <col min="8454" max="8454" width="9.7109375" customWidth="1"/>
    <col min="8455" max="8455" width="4" customWidth="1"/>
    <col min="8705" max="8705" width="22.7109375" customWidth="1"/>
    <col min="8706" max="8706" width="6.42578125" customWidth="1"/>
    <col min="8707" max="8707" width="9.7109375" customWidth="1"/>
    <col min="8708" max="8708" width="9.5703125" customWidth="1"/>
    <col min="8709" max="8709" width="6.7109375" customWidth="1"/>
    <col min="8710" max="8710" width="9.7109375" customWidth="1"/>
    <col min="8711" max="8711" width="4" customWidth="1"/>
    <col min="8961" max="8961" width="22.7109375" customWidth="1"/>
    <col min="8962" max="8962" width="6.42578125" customWidth="1"/>
    <col min="8963" max="8963" width="9.7109375" customWidth="1"/>
    <col min="8964" max="8964" width="9.5703125" customWidth="1"/>
    <col min="8965" max="8965" width="6.7109375" customWidth="1"/>
    <col min="8966" max="8966" width="9.7109375" customWidth="1"/>
    <col min="8967" max="8967" width="4" customWidth="1"/>
    <col min="9217" max="9217" width="22.7109375" customWidth="1"/>
    <col min="9218" max="9218" width="6.42578125" customWidth="1"/>
    <col min="9219" max="9219" width="9.7109375" customWidth="1"/>
    <col min="9220" max="9220" width="9.5703125" customWidth="1"/>
    <col min="9221" max="9221" width="6.7109375" customWidth="1"/>
    <col min="9222" max="9222" width="9.7109375" customWidth="1"/>
    <col min="9223" max="9223" width="4" customWidth="1"/>
    <col min="9473" max="9473" width="22.7109375" customWidth="1"/>
    <col min="9474" max="9474" width="6.42578125" customWidth="1"/>
    <col min="9475" max="9475" width="9.7109375" customWidth="1"/>
    <col min="9476" max="9476" width="9.5703125" customWidth="1"/>
    <col min="9477" max="9477" width="6.7109375" customWidth="1"/>
    <col min="9478" max="9478" width="9.7109375" customWidth="1"/>
    <col min="9479" max="9479" width="4" customWidth="1"/>
    <col min="9729" max="9729" width="22.7109375" customWidth="1"/>
    <col min="9730" max="9730" width="6.42578125" customWidth="1"/>
    <col min="9731" max="9731" width="9.7109375" customWidth="1"/>
    <col min="9732" max="9732" width="9.5703125" customWidth="1"/>
    <col min="9733" max="9733" width="6.7109375" customWidth="1"/>
    <col min="9734" max="9734" width="9.7109375" customWidth="1"/>
    <col min="9735" max="9735" width="4" customWidth="1"/>
    <col min="9985" max="9985" width="22.7109375" customWidth="1"/>
    <col min="9986" max="9986" width="6.42578125" customWidth="1"/>
    <col min="9987" max="9987" width="9.7109375" customWidth="1"/>
    <col min="9988" max="9988" width="9.5703125" customWidth="1"/>
    <col min="9989" max="9989" width="6.7109375" customWidth="1"/>
    <col min="9990" max="9990" width="9.7109375" customWidth="1"/>
    <col min="9991" max="9991" width="4" customWidth="1"/>
    <col min="10241" max="10241" width="22.7109375" customWidth="1"/>
    <col min="10242" max="10242" width="6.42578125" customWidth="1"/>
    <col min="10243" max="10243" width="9.7109375" customWidth="1"/>
    <col min="10244" max="10244" width="9.5703125" customWidth="1"/>
    <col min="10245" max="10245" width="6.7109375" customWidth="1"/>
    <col min="10246" max="10246" width="9.7109375" customWidth="1"/>
    <col min="10247" max="10247" width="4" customWidth="1"/>
    <col min="10497" max="10497" width="22.7109375" customWidth="1"/>
    <col min="10498" max="10498" width="6.42578125" customWidth="1"/>
    <col min="10499" max="10499" width="9.7109375" customWidth="1"/>
    <col min="10500" max="10500" width="9.5703125" customWidth="1"/>
    <col min="10501" max="10501" width="6.7109375" customWidth="1"/>
    <col min="10502" max="10502" width="9.7109375" customWidth="1"/>
    <col min="10503" max="10503" width="4" customWidth="1"/>
    <col min="10753" max="10753" width="22.7109375" customWidth="1"/>
    <col min="10754" max="10754" width="6.42578125" customWidth="1"/>
    <col min="10755" max="10755" width="9.7109375" customWidth="1"/>
    <col min="10756" max="10756" width="9.5703125" customWidth="1"/>
    <col min="10757" max="10757" width="6.7109375" customWidth="1"/>
    <col min="10758" max="10758" width="9.7109375" customWidth="1"/>
    <col min="10759" max="10759" width="4" customWidth="1"/>
    <col min="11009" max="11009" width="22.7109375" customWidth="1"/>
    <col min="11010" max="11010" width="6.42578125" customWidth="1"/>
    <col min="11011" max="11011" width="9.7109375" customWidth="1"/>
    <col min="11012" max="11012" width="9.5703125" customWidth="1"/>
    <col min="11013" max="11013" width="6.7109375" customWidth="1"/>
    <col min="11014" max="11014" width="9.7109375" customWidth="1"/>
    <col min="11015" max="11015" width="4" customWidth="1"/>
    <col min="11265" max="11265" width="22.7109375" customWidth="1"/>
    <col min="11266" max="11266" width="6.42578125" customWidth="1"/>
    <col min="11267" max="11267" width="9.7109375" customWidth="1"/>
    <col min="11268" max="11268" width="9.5703125" customWidth="1"/>
    <col min="11269" max="11269" width="6.7109375" customWidth="1"/>
    <col min="11270" max="11270" width="9.7109375" customWidth="1"/>
    <col min="11271" max="11271" width="4" customWidth="1"/>
    <col min="11521" max="11521" width="22.7109375" customWidth="1"/>
    <col min="11522" max="11522" width="6.42578125" customWidth="1"/>
    <col min="11523" max="11523" width="9.7109375" customWidth="1"/>
    <col min="11524" max="11524" width="9.5703125" customWidth="1"/>
    <col min="11525" max="11525" width="6.7109375" customWidth="1"/>
    <col min="11526" max="11526" width="9.7109375" customWidth="1"/>
    <col min="11527" max="11527" width="4" customWidth="1"/>
    <col min="11777" max="11777" width="22.7109375" customWidth="1"/>
    <col min="11778" max="11778" width="6.42578125" customWidth="1"/>
    <col min="11779" max="11779" width="9.7109375" customWidth="1"/>
    <col min="11780" max="11780" width="9.5703125" customWidth="1"/>
    <col min="11781" max="11781" width="6.7109375" customWidth="1"/>
    <col min="11782" max="11782" width="9.7109375" customWidth="1"/>
    <col min="11783" max="11783" width="4" customWidth="1"/>
    <col min="12033" max="12033" width="22.7109375" customWidth="1"/>
    <col min="12034" max="12034" width="6.42578125" customWidth="1"/>
    <col min="12035" max="12035" width="9.7109375" customWidth="1"/>
    <col min="12036" max="12036" width="9.5703125" customWidth="1"/>
    <col min="12037" max="12037" width="6.7109375" customWidth="1"/>
    <col min="12038" max="12038" width="9.7109375" customWidth="1"/>
    <col min="12039" max="12039" width="4" customWidth="1"/>
    <col min="12289" max="12289" width="22.7109375" customWidth="1"/>
    <col min="12290" max="12290" width="6.42578125" customWidth="1"/>
    <col min="12291" max="12291" width="9.7109375" customWidth="1"/>
    <col min="12292" max="12292" width="9.5703125" customWidth="1"/>
    <col min="12293" max="12293" width="6.7109375" customWidth="1"/>
    <col min="12294" max="12294" width="9.7109375" customWidth="1"/>
    <col min="12295" max="12295" width="4" customWidth="1"/>
    <col min="12545" max="12545" width="22.7109375" customWidth="1"/>
    <col min="12546" max="12546" width="6.42578125" customWidth="1"/>
    <col min="12547" max="12547" width="9.7109375" customWidth="1"/>
    <col min="12548" max="12548" width="9.5703125" customWidth="1"/>
    <col min="12549" max="12549" width="6.7109375" customWidth="1"/>
    <col min="12550" max="12550" width="9.7109375" customWidth="1"/>
    <col min="12551" max="12551" width="4" customWidth="1"/>
    <col min="12801" max="12801" width="22.7109375" customWidth="1"/>
    <col min="12802" max="12802" width="6.42578125" customWidth="1"/>
    <col min="12803" max="12803" width="9.7109375" customWidth="1"/>
    <col min="12804" max="12804" width="9.5703125" customWidth="1"/>
    <col min="12805" max="12805" width="6.7109375" customWidth="1"/>
    <col min="12806" max="12806" width="9.7109375" customWidth="1"/>
    <col min="12807" max="12807" width="4" customWidth="1"/>
    <col min="13057" max="13057" width="22.7109375" customWidth="1"/>
    <col min="13058" max="13058" width="6.42578125" customWidth="1"/>
    <col min="13059" max="13059" width="9.7109375" customWidth="1"/>
    <col min="13060" max="13060" width="9.5703125" customWidth="1"/>
    <col min="13061" max="13061" width="6.7109375" customWidth="1"/>
    <col min="13062" max="13062" width="9.7109375" customWidth="1"/>
    <col min="13063" max="13063" width="4" customWidth="1"/>
    <col min="13313" max="13313" width="22.7109375" customWidth="1"/>
    <col min="13314" max="13314" width="6.42578125" customWidth="1"/>
    <col min="13315" max="13315" width="9.7109375" customWidth="1"/>
    <col min="13316" max="13316" width="9.5703125" customWidth="1"/>
    <col min="13317" max="13317" width="6.7109375" customWidth="1"/>
    <col min="13318" max="13318" width="9.7109375" customWidth="1"/>
    <col min="13319" max="13319" width="4" customWidth="1"/>
    <col min="13569" max="13569" width="22.7109375" customWidth="1"/>
    <col min="13570" max="13570" width="6.42578125" customWidth="1"/>
    <col min="13571" max="13571" width="9.7109375" customWidth="1"/>
    <col min="13572" max="13572" width="9.5703125" customWidth="1"/>
    <col min="13573" max="13573" width="6.7109375" customWidth="1"/>
    <col min="13574" max="13574" width="9.7109375" customWidth="1"/>
    <col min="13575" max="13575" width="4" customWidth="1"/>
    <col min="13825" max="13825" width="22.7109375" customWidth="1"/>
    <col min="13826" max="13826" width="6.42578125" customWidth="1"/>
    <col min="13827" max="13827" width="9.7109375" customWidth="1"/>
    <col min="13828" max="13828" width="9.5703125" customWidth="1"/>
    <col min="13829" max="13829" width="6.7109375" customWidth="1"/>
    <col min="13830" max="13830" width="9.7109375" customWidth="1"/>
    <col min="13831" max="13831" width="4" customWidth="1"/>
    <col min="14081" max="14081" width="22.7109375" customWidth="1"/>
    <col min="14082" max="14082" width="6.42578125" customWidth="1"/>
    <col min="14083" max="14083" width="9.7109375" customWidth="1"/>
    <col min="14084" max="14084" width="9.5703125" customWidth="1"/>
    <col min="14085" max="14085" width="6.7109375" customWidth="1"/>
    <col min="14086" max="14086" width="9.7109375" customWidth="1"/>
    <col min="14087" max="14087" width="4" customWidth="1"/>
    <col min="14337" max="14337" width="22.7109375" customWidth="1"/>
    <col min="14338" max="14338" width="6.42578125" customWidth="1"/>
    <col min="14339" max="14339" width="9.7109375" customWidth="1"/>
    <col min="14340" max="14340" width="9.5703125" customWidth="1"/>
    <col min="14341" max="14341" width="6.7109375" customWidth="1"/>
    <col min="14342" max="14342" width="9.7109375" customWidth="1"/>
    <col min="14343" max="14343" width="4" customWidth="1"/>
    <col min="14593" max="14593" width="22.7109375" customWidth="1"/>
    <col min="14594" max="14594" width="6.42578125" customWidth="1"/>
    <col min="14595" max="14595" width="9.7109375" customWidth="1"/>
    <col min="14596" max="14596" width="9.5703125" customWidth="1"/>
    <col min="14597" max="14597" width="6.7109375" customWidth="1"/>
    <col min="14598" max="14598" width="9.7109375" customWidth="1"/>
    <col min="14599" max="14599" width="4" customWidth="1"/>
    <col min="14849" max="14849" width="22.7109375" customWidth="1"/>
    <col min="14850" max="14850" width="6.42578125" customWidth="1"/>
    <col min="14851" max="14851" width="9.7109375" customWidth="1"/>
    <col min="14852" max="14852" width="9.5703125" customWidth="1"/>
    <col min="14853" max="14853" width="6.7109375" customWidth="1"/>
    <col min="14854" max="14854" width="9.7109375" customWidth="1"/>
    <col min="14855" max="14855" width="4" customWidth="1"/>
    <col min="15105" max="15105" width="22.7109375" customWidth="1"/>
    <col min="15106" max="15106" width="6.42578125" customWidth="1"/>
    <col min="15107" max="15107" width="9.7109375" customWidth="1"/>
    <col min="15108" max="15108" width="9.5703125" customWidth="1"/>
    <col min="15109" max="15109" width="6.7109375" customWidth="1"/>
    <col min="15110" max="15110" width="9.7109375" customWidth="1"/>
    <col min="15111" max="15111" width="4" customWidth="1"/>
    <col min="15361" max="15361" width="22.7109375" customWidth="1"/>
    <col min="15362" max="15362" width="6.42578125" customWidth="1"/>
    <col min="15363" max="15363" width="9.7109375" customWidth="1"/>
    <col min="15364" max="15364" width="9.5703125" customWidth="1"/>
    <col min="15365" max="15365" width="6.7109375" customWidth="1"/>
    <col min="15366" max="15366" width="9.7109375" customWidth="1"/>
    <col min="15367" max="15367" width="4" customWidth="1"/>
    <col min="15617" max="15617" width="22.7109375" customWidth="1"/>
    <col min="15618" max="15618" width="6.42578125" customWidth="1"/>
    <col min="15619" max="15619" width="9.7109375" customWidth="1"/>
    <col min="15620" max="15620" width="9.5703125" customWidth="1"/>
    <col min="15621" max="15621" width="6.7109375" customWidth="1"/>
    <col min="15622" max="15622" width="9.7109375" customWidth="1"/>
    <col min="15623" max="15623" width="4" customWidth="1"/>
    <col min="15873" max="15873" width="22.7109375" customWidth="1"/>
    <col min="15874" max="15874" width="6.42578125" customWidth="1"/>
    <col min="15875" max="15875" width="9.7109375" customWidth="1"/>
    <col min="15876" max="15876" width="9.5703125" customWidth="1"/>
    <col min="15877" max="15877" width="6.7109375" customWidth="1"/>
    <col min="15878" max="15878" width="9.7109375" customWidth="1"/>
    <col min="15879" max="15879" width="4" customWidth="1"/>
    <col min="16129" max="16129" width="22.7109375" customWidth="1"/>
    <col min="16130" max="16130" width="6.42578125" customWidth="1"/>
    <col min="16131" max="16131" width="9.7109375" customWidth="1"/>
    <col min="16132" max="16132" width="9.5703125" customWidth="1"/>
    <col min="16133" max="16133" width="6.7109375" customWidth="1"/>
    <col min="16134" max="16134" width="9.7109375" customWidth="1"/>
    <col min="16135" max="16135" width="4" customWidth="1"/>
  </cols>
  <sheetData>
    <row r="1" spans="1:13">
      <c r="A1" s="42" t="s">
        <v>366</v>
      </c>
      <c r="B1" s="42"/>
      <c r="C1" s="94"/>
      <c r="D1" s="94"/>
      <c r="E1" s="42"/>
      <c r="F1" s="94"/>
      <c r="G1" s="42"/>
    </row>
    <row r="2" spans="1:13">
      <c r="A2" s="42" t="s">
        <v>367</v>
      </c>
      <c r="B2" s="42"/>
      <c r="C2" s="94"/>
      <c r="D2" s="94"/>
      <c r="E2" s="42"/>
      <c r="F2" s="94"/>
      <c r="G2" s="42"/>
    </row>
    <row r="3" spans="1:13">
      <c r="A3" s="42"/>
      <c r="B3" s="42"/>
      <c r="C3" s="94"/>
      <c r="D3" s="94"/>
      <c r="E3" s="42"/>
      <c r="F3" s="94"/>
      <c r="G3" s="42"/>
    </row>
    <row r="4" spans="1:13">
      <c r="A4" s="42" t="s">
        <v>1584</v>
      </c>
      <c r="B4" s="42"/>
      <c r="C4" s="94"/>
      <c r="D4" s="94"/>
      <c r="E4" s="42"/>
      <c r="F4" s="94"/>
      <c r="G4" s="42"/>
    </row>
    <row r="5" spans="1:13">
      <c r="A5" s="42" t="s">
        <v>1585</v>
      </c>
      <c r="B5" s="42"/>
      <c r="C5" s="94"/>
      <c r="D5" s="94"/>
      <c r="E5" s="42"/>
      <c r="F5" s="94"/>
      <c r="G5" s="42"/>
    </row>
    <row r="6" spans="1:13">
      <c r="A6" s="42" t="s">
        <v>1586</v>
      </c>
      <c r="B6" s="42"/>
      <c r="C6" s="94"/>
      <c r="D6" s="94"/>
      <c r="E6" s="42"/>
      <c r="F6" s="94"/>
      <c r="G6" s="42"/>
    </row>
    <row r="7" spans="1:13" ht="15.75" customHeight="1" thickBot="1">
      <c r="A7" s="42"/>
      <c r="B7" s="42"/>
      <c r="C7" s="94"/>
      <c r="D7" s="94"/>
      <c r="E7" s="42"/>
      <c r="F7" s="94"/>
      <c r="G7" s="42"/>
      <c r="L7" s="36"/>
      <c r="M7" s="36"/>
    </row>
    <row r="8" spans="1:13" ht="12.75" customHeight="1">
      <c r="A8" s="237"/>
      <c r="B8" s="237"/>
      <c r="C8" s="236"/>
      <c r="D8" s="236"/>
      <c r="E8" s="237"/>
      <c r="F8" s="236"/>
      <c r="G8" s="237"/>
    </row>
    <row r="9" spans="1:13" ht="12.75" customHeight="1">
      <c r="A9" s="95" t="s">
        <v>1587</v>
      </c>
      <c r="B9" s="1288" t="s">
        <v>293</v>
      </c>
      <c r="C9" s="1288"/>
      <c r="D9" s="240"/>
      <c r="E9" s="1288" t="s">
        <v>294</v>
      </c>
      <c r="F9" s="1288"/>
      <c r="G9" s="242"/>
    </row>
    <row r="10" spans="1:13" ht="12.75" customHeight="1">
      <c r="A10" s="95"/>
      <c r="B10" s="628" t="s">
        <v>957</v>
      </c>
      <c r="C10" s="629" t="s">
        <v>1588</v>
      </c>
      <c r="D10" s="241"/>
      <c r="E10" s="469" t="s">
        <v>957</v>
      </c>
      <c r="F10" s="630" t="s">
        <v>1588</v>
      </c>
      <c r="G10" s="242"/>
    </row>
    <row r="11" spans="1:13" ht="12.75" customHeight="1" thickBot="1">
      <c r="A11" s="249"/>
      <c r="B11" s="249"/>
      <c r="C11" s="248"/>
      <c r="D11" s="248"/>
      <c r="E11" s="631"/>
      <c r="F11" s="632"/>
      <c r="G11" s="631"/>
    </row>
    <row r="12" spans="1:13" ht="12.75" customHeight="1">
      <c r="A12" s="95"/>
      <c r="B12" s="95"/>
      <c r="C12" s="240"/>
      <c r="D12" s="240"/>
      <c r="E12" s="242"/>
      <c r="F12" s="241"/>
      <c r="G12" s="242"/>
    </row>
    <row r="13" spans="1:13" ht="24.95" customHeight="1">
      <c r="A13" s="90" t="s">
        <v>501</v>
      </c>
      <c r="B13" s="314">
        <f>SUM(B14:B21)</f>
        <v>2683</v>
      </c>
      <c r="C13" s="240">
        <f>SUM(C14:C21)</f>
        <v>100</v>
      </c>
      <c r="E13" s="314">
        <f>SUM(E14:E21)</f>
        <v>2516</v>
      </c>
      <c r="F13" s="240">
        <f>SUM(F14:F21)</f>
        <v>100</v>
      </c>
      <c r="G13" s="242"/>
    </row>
    <row r="14" spans="1:13" ht="24.95" customHeight="1">
      <c r="A14" s="95" t="s">
        <v>1589</v>
      </c>
      <c r="B14" s="95">
        <v>85</v>
      </c>
      <c r="C14" s="240">
        <f>B14/$B$13*100</f>
        <v>3.1680954155795749</v>
      </c>
      <c r="E14" s="95">
        <v>76</v>
      </c>
      <c r="F14" s="633">
        <f>E14/$E$13*100</f>
        <v>3.0206677265500796</v>
      </c>
      <c r="G14" s="242"/>
    </row>
    <row r="15" spans="1:13" ht="24.95" customHeight="1">
      <c r="A15" s="95" t="s">
        <v>1590</v>
      </c>
      <c r="B15" s="95">
        <v>186</v>
      </c>
      <c r="C15" s="240">
        <f t="shared" ref="C15:C21" si="0">B15/$B$13*100</f>
        <v>6.9325382035035412</v>
      </c>
      <c r="E15" s="95">
        <v>186</v>
      </c>
      <c r="F15" s="633">
        <f t="shared" ref="F15:F21" si="1">E15/$E$13*100</f>
        <v>7.3926868044515111</v>
      </c>
      <c r="G15" s="242"/>
    </row>
    <row r="16" spans="1:13" ht="24.95" customHeight="1">
      <c r="A16" s="95" t="s">
        <v>1591</v>
      </c>
      <c r="B16" s="95">
        <v>352</v>
      </c>
      <c r="C16" s="240">
        <f t="shared" si="0"/>
        <v>13.119642191576594</v>
      </c>
      <c r="E16" s="95">
        <v>356</v>
      </c>
      <c r="F16" s="633">
        <f t="shared" si="1"/>
        <v>14.149443561208267</v>
      </c>
      <c r="G16" s="242"/>
    </row>
    <row r="17" spans="1:7" ht="24.95" customHeight="1">
      <c r="A17" s="95" t="s">
        <v>1592</v>
      </c>
      <c r="B17" s="95">
        <v>743</v>
      </c>
      <c r="C17" s="240">
        <f t="shared" si="0"/>
        <v>27.692881103242641</v>
      </c>
      <c r="E17" s="95">
        <v>728</v>
      </c>
      <c r="F17" s="633">
        <f t="shared" si="1"/>
        <v>28.934817170111288</v>
      </c>
      <c r="G17" s="242"/>
    </row>
    <row r="18" spans="1:7" ht="24.95" customHeight="1">
      <c r="A18" s="95" t="s">
        <v>1593</v>
      </c>
      <c r="B18" s="95">
        <v>697</v>
      </c>
      <c r="C18" s="240">
        <f t="shared" si="0"/>
        <v>25.978382407752516</v>
      </c>
      <c r="E18" s="95">
        <v>643</v>
      </c>
      <c r="F18" s="633">
        <f t="shared" si="1"/>
        <v>25.556438791732912</v>
      </c>
      <c r="G18" s="242"/>
    </row>
    <row r="19" spans="1:7" ht="24.95" customHeight="1">
      <c r="A19" s="95" t="s">
        <v>1594</v>
      </c>
      <c r="B19" s="95">
        <v>400</v>
      </c>
      <c r="C19" s="240">
        <f t="shared" si="0"/>
        <v>14.908684308609764</v>
      </c>
      <c r="E19" s="95">
        <v>351</v>
      </c>
      <c r="F19" s="633">
        <f t="shared" si="1"/>
        <v>13.950715421303656</v>
      </c>
      <c r="G19" s="242"/>
    </row>
    <row r="20" spans="1:7" ht="24.95" customHeight="1">
      <c r="A20" s="95" t="s">
        <v>1595</v>
      </c>
      <c r="B20" s="95">
        <v>213</v>
      </c>
      <c r="C20" s="240">
        <f t="shared" si="0"/>
        <v>7.9388743943346993</v>
      </c>
      <c r="E20" s="95">
        <v>175</v>
      </c>
      <c r="F20" s="633">
        <f t="shared" si="1"/>
        <v>6.9554848966613667</v>
      </c>
      <c r="G20" s="242"/>
    </row>
    <row r="21" spans="1:7" ht="24.95" customHeight="1">
      <c r="A21" s="95" t="s">
        <v>1596</v>
      </c>
      <c r="B21" s="95">
        <v>7</v>
      </c>
      <c r="C21" s="240">
        <f t="shared" si="0"/>
        <v>0.26090197540067089</v>
      </c>
      <c r="E21" s="95">
        <v>1</v>
      </c>
      <c r="F21" s="633">
        <f t="shared" si="1"/>
        <v>3.9745627980922099E-2</v>
      </c>
      <c r="G21" s="242"/>
    </row>
    <row r="22" spans="1:7" ht="12.75" customHeight="1" thickBot="1">
      <c r="A22" s="249"/>
      <c r="B22" s="249"/>
      <c r="C22" s="248"/>
      <c r="D22" s="248"/>
      <c r="E22" s="303"/>
      <c r="F22" s="302"/>
      <c r="G22" s="631"/>
    </row>
    <row r="23" spans="1:7" ht="12.75" customHeight="1">
      <c r="A23" s="95"/>
      <c r="B23" s="95"/>
      <c r="C23" s="240"/>
      <c r="D23" s="240"/>
      <c r="E23" s="312"/>
      <c r="F23" s="633"/>
      <c r="G23" s="242"/>
    </row>
    <row r="24" spans="1:7" ht="12.75" customHeight="1">
      <c r="A24" s="95" t="s">
        <v>1582</v>
      </c>
      <c r="B24" s="95"/>
      <c r="C24" s="240"/>
      <c r="D24" s="240"/>
      <c r="E24" s="312"/>
      <c r="F24" s="633"/>
      <c r="G24" s="242"/>
    </row>
    <row r="25" spans="1:7" ht="12.75" customHeight="1">
      <c r="A25" s="95" t="s">
        <v>365</v>
      </c>
      <c r="B25" s="95"/>
      <c r="C25" s="240"/>
      <c r="D25" s="240"/>
      <c r="E25" s="312"/>
      <c r="F25" s="633"/>
      <c r="G25" s="242"/>
    </row>
    <row r="26" spans="1:7">
      <c r="A26" s="634"/>
      <c r="B26" s="634"/>
      <c r="C26" s="635"/>
      <c r="D26" s="635"/>
      <c r="E26" s="242"/>
      <c r="F26" s="241"/>
      <c r="G26" s="242"/>
    </row>
    <row r="27" spans="1:7">
      <c r="A27" s="634"/>
      <c r="B27" s="634"/>
      <c r="C27" s="635"/>
      <c r="D27" s="635"/>
      <c r="E27" s="241"/>
      <c r="F27" s="241"/>
      <c r="G27" s="241"/>
    </row>
    <row r="28" spans="1:7">
      <c r="A28" s="42"/>
      <c r="B28" s="42"/>
      <c r="C28" s="94"/>
      <c r="D28" s="94"/>
      <c r="E28" s="636"/>
      <c r="F28" s="637"/>
      <c r="G28" s="636"/>
    </row>
    <row r="29" spans="1:7">
      <c r="A29" s="42"/>
      <c r="B29" s="42"/>
      <c r="C29" s="94"/>
      <c r="D29" s="94"/>
      <c r="E29" s="636"/>
      <c r="F29" s="637"/>
      <c r="G29" s="636"/>
    </row>
    <row r="30" spans="1:7">
      <c r="A30" s="638"/>
      <c r="B30" s="638"/>
      <c r="C30" s="639"/>
      <c r="D30" s="639"/>
      <c r="E30" s="640"/>
      <c r="F30" s="641"/>
      <c r="G30" s="640"/>
    </row>
    <row r="31" spans="1:7">
      <c r="A31" s="638"/>
      <c r="B31" s="638"/>
      <c r="C31" s="639"/>
      <c r="D31" s="639"/>
      <c r="E31" s="638"/>
      <c r="F31" s="639"/>
      <c r="G31" s="638"/>
    </row>
    <row r="32" spans="1:7">
      <c r="A32" s="638"/>
      <c r="B32" s="638"/>
      <c r="C32" s="639"/>
      <c r="D32" s="639"/>
      <c r="E32" s="638"/>
      <c r="F32" s="639"/>
      <c r="G32" s="638"/>
    </row>
  </sheetData>
  <mergeCells count="2">
    <mergeCell ref="B9:C9"/>
    <mergeCell ref="E9:F9"/>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dimension ref="A1:L42"/>
  <sheetViews>
    <sheetView workbookViewId="0">
      <selection activeCell="A4" sqref="A4"/>
    </sheetView>
  </sheetViews>
  <sheetFormatPr baseColWidth="10" defaultColWidth="9.140625" defaultRowHeight="14.25"/>
  <cols>
    <col min="1" max="1" width="31.42578125" style="944" customWidth="1"/>
    <col min="2" max="2" width="2.42578125" style="944" customWidth="1"/>
    <col min="3" max="3" width="8" style="945" customWidth="1"/>
    <col min="4" max="4" width="7.5703125" style="948" customWidth="1"/>
    <col min="5" max="5" width="2.28515625" style="944" customWidth="1"/>
    <col min="6" max="6" width="7.85546875" style="945" customWidth="1"/>
    <col min="7" max="7" width="7.28515625" style="946" customWidth="1"/>
    <col min="8" max="8" width="2.42578125" style="944" customWidth="1"/>
    <col min="9" max="9" width="8" style="945" customWidth="1"/>
    <col min="10" max="10" width="7.85546875" style="946" customWidth="1"/>
    <col min="11" max="11" width="4" style="944" customWidth="1"/>
    <col min="12" max="256" width="9.140625" style="944"/>
    <col min="257" max="257" width="28.5703125" style="944" customWidth="1"/>
    <col min="258" max="258" width="2.42578125" style="944" customWidth="1"/>
    <col min="259" max="259" width="8" style="944" customWidth="1"/>
    <col min="260" max="260" width="7.5703125" style="944" customWidth="1"/>
    <col min="261" max="261" width="2.28515625" style="944" customWidth="1"/>
    <col min="262" max="262" width="7.85546875" style="944" customWidth="1"/>
    <col min="263" max="263" width="7.28515625" style="944" customWidth="1"/>
    <col min="264" max="264" width="2.42578125" style="944" customWidth="1"/>
    <col min="265" max="265" width="8" style="944" customWidth="1"/>
    <col min="266" max="266" width="7.85546875" style="944" customWidth="1"/>
    <col min="267" max="267" width="4" style="944" customWidth="1"/>
    <col min="268" max="512" width="9.140625" style="944"/>
    <col min="513" max="513" width="28.5703125" style="944" customWidth="1"/>
    <col min="514" max="514" width="2.42578125" style="944" customWidth="1"/>
    <col min="515" max="515" width="8" style="944" customWidth="1"/>
    <col min="516" max="516" width="7.5703125" style="944" customWidth="1"/>
    <col min="517" max="517" width="2.28515625" style="944" customWidth="1"/>
    <col min="518" max="518" width="7.85546875" style="944" customWidth="1"/>
    <col min="519" max="519" width="7.28515625" style="944" customWidth="1"/>
    <col min="520" max="520" width="2.42578125" style="944" customWidth="1"/>
    <col min="521" max="521" width="8" style="944" customWidth="1"/>
    <col min="522" max="522" width="7.85546875" style="944" customWidth="1"/>
    <col min="523" max="523" width="4" style="944" customWidth="1"/>
    <col min="524" max="768" width="9.140625" style="944"/>
    <col min="769" max="769" width="28.5703125" style="944" customWidth="1"/>
    <col min="770" max="770" width="2.42578125" style="944" customWidth="1"/>
    <col min="771" max="771" width="8" style="944" customWidth="1"/>
    <col min="772" max="772" width="7.5703125" style="944" customWidth="1"/>
    <col min="773" max="773" width="2.28515625" style="944" customWidth="1"/>
    <col min="774" max="774" width="7.85546875" style="944" customWidth="1"/>
    <col min="775" max="775" width="7.28515625" style="944" customWidth="1"/>
    <col min="776" max="776" width="2.42578125" style="944" customWidth="1"/>
    <col min="777" max="777" width="8" style="944" customWidth="1"/>
    <col min="778" max="778" width="7.85546875" style="944" customWidth="1"/>
    <col min="779" max="779" width="4" style="944" customWidth="1"/>
    <col min="780" max="1024" width="9.140625" style="944"/>
    <col min="1025" max="1025" width="28.5703125" style="944" customWidth="1"/>
    <col min="1026" max="1026" width="2.42578125" style="944" customWidth="1"/>
    <col min="1027" max="1027" width="8" style="944" customWidth="1"/>
    <col min="1028" max="1028" width="7.5703125" style="944" customWidth="1"/>
    <col min="1029" max="1029" width="2.28515625" style="944" customWidth="1"/>
    <col min="1030" max="1030" width="7.85546875" style="944" customWidth="1"/>
    <col min="1031" max="1031" width="7.28515625" style="944" customWidth="1"/>
    <col min="1032" max="1032" width="2.42578125" style="944" customWidth="1"/>
    <col min="1033" max="1033" width="8" style="944" customWidth="1"/>
    <col min="1034" max="1034" width="7.85546875" style="944" customWidth="1"/>
    <col min="1035" max="1035" width="4" style="944" customWidth="1"/>
    <col min="1036" max="1280" width="9.140625" style="944"/>
    <col min="1281" max="1281" width="28.5703125" style="944" customWidth="1"/>
    <col min="1282" max="1282" width="2.42578125" style="944" customWidth="1"/>
    <col min="1283" max="1283" width="8" style="944" customWidth="1"/>
    <col min="1284" max="1284" width="7.5703125" style="944" customWidth="1"/>
    <col min="1285" max="1285" width="2.28515625" style="944" customWidth="1"/>
    <col min="1286" max="1286" width="7.85546875" style="944" customWidth="1"/>
    <col min="1287" max="1287" width="7.28515625" style="944" customWidth="1"/>
    <col min="1288" max="1288" width="2.42578125" style="944" customWidth="1"/>
    <col min="1289" max="1289" width="8" style="944" customWidth="1"/>
    <col min="1290" max="1290" width="7.85546875" style="944" customWidth="1"/>
    <col min="1291" max="1291" width="4" style="944" customWidth="1"/>
    <col min="1292" max="1536" width="9.140625" style="944"/>
    <col min="1537" max="1537" width="28.5703125" style="944" customWidth="1"/>
    <col min="1538" max="1538" width="2.42578125" style="944" customWidth="1"/>
    <col min="1539" max="1539" width="8" style="944" customWidth="1"/>
    <col min="1540" max="1540" width="7.5703125" style="944" customWidth="1"/>
    <col min="1541" max="1541" width="2.28515625" style="944" customWidth="1"/>
    <col min="1542" max="1542" width="7.85546875" style="944" customWidth="1"/>
    <col min="1543" max="1543" width="7.28515625" style="944" customWidth="1"/>
    <col min="1544" max="1544" width="2.42578125" style="944" customWidth="1"/>
    <col min="1545" max="1545" width="8" style="944" customWidth="1"/>
    <col min="1546" max="1546" width="7.85546875" style="944" customWidth="1"/>
    <col min="1547" max="1547" width="4" style="944" customWidth="1"/>
    <col min="1548" max="1792" width="9.140625" style="944"/>
    <col min="1793" max="1793" width="28.5703125" style="944" customWidth="1"/>
    <col min="1794" max="1794" width="2.42578125" style="944" customWidth="1"/>
    <col min="1795" max="1795" width="8" style="944" customWidth="1"/>
    <col min="1796" max="1796" width="7.5703125" style="944" customWidth="1"/>
    <col min="1797" max="1797" width="2.28515625" style="944" customWidth="1"/>
    <col min="1798" max="1798" width="7.85546875" style="944" customWidth="1"/>
    <col min="1799" max="1799" width="7.28515625" style="944" customWidth="1"/>
    <col min="1800" max="1800" width="2.42578125" style="944" customWidth="1"/>
    <col min="1801" max="1801" width="8" style="944" customWidth="1"/>
    <col min="1802" max="1802" width="7.85546875" style="944" customWidth="1"/>
    <col min="1803" max="1803" width="4" style="944" customWidth="1"/>
    <col min="1804" max="2048" width="9.140625" style="944"/>
    <col min="2049" max="2049" width="28.5703125" style="944" customWidth="1"/>
    <col min="2050" max="2050" width="2.42578125" style="944" customWidth="1"/>
    <col min="2051" max="2051" width="8" style="944" customWidth="1"/>
    <col min="2052" max="2052" width="7.5703125" style="944" customWidth="1"/>
    <col min="2053" max="2053" width="2.28515625" style="944" customWidth="1"/>
    <col min="2054" max="2054" width="7.85546875" style="944" customWidth="1"/>
    <col min="2055" max="2055" width="7.28515625" style="944" customWidth="1"/>
    <col min="2056" max="2056" width="2.42578125" style="944" customWidth="1"/>
    <col min="2057" max="2057" width="8" style="944" customWidth="1"/>
    <col min="2058" max="2058" width="7.85546875" style="944" customWidth="1"/>
    <col min="2059" max="2059" width="4" style="944" customWidth="1"/>
    <col min="2060" max="2304" width="9.140625" style="944"/>
    <col min="2305" max="2305" width="28.5703125" style="944" customWidth="1"/>
    <col min="2306" max="2306" width="2.42578125" style="944" customWidth="1"/>
    <col min="2307" max="2307" width="8" style="944" customWidth="1"/>
    <col min="2308" max="2308" width="7.5703125" style="944" customWidth="1"/>
    <col min="2309" max="2309" width="2.28515625" style="944" customWidth="1"/>
    <col min="2310" max="2310" width="7.85546875" style="944" customWidth="1"/>
    <col min="2311" max="2311" width="7.28515625" style="944" customWidth="1"/>
    <col min="2312" max="2312" width="2.42578125" style="944" customWidth="1"/>
    <col min="2313" max="2313" width="8" style="944" customWidth="1"/>
    <col min="2314" max="2314" width="7.85546875" style="944" customWidth="1"/>
    <col min="2315" max="2315" width="4" style="944" customWidth="1"/>
    <col min="2316" max="2560" width="9.140625" style="944"/>
    <col min="2561" max="2561" width="28.5703125" style="944" customWidth="1"/>
    <col min="2562" max="2562" width="2.42578125" style="944" customWidth="1"/>
    <col min="2563" max="2563" width="8" style="944" customWidth="1"/>
    <col min="2564" max="2564" width="7.5703125" style="944" customWidth="1"/>
    <col min="2565" max="2565" width="2.28515625" style="944" customWidth="1"/>
    <col min="2566" max="2566" width="7.85546875" style="944" customWidth="1"/>
    <col min="2567" max="2567" width="7.28515625" style="944" customWidth="1"/>
    <col min="2568" max="2568" width="2.42578125" style="944" customWidth="1"/>
    <col min="2569" max="2569" width="8" style="944" customWidth="1"/>
    <col min="2570" max="2570" width="7.85546875" style="944" customWidth="1"/>
    <col min="2571" max="2571" width="4" style="944" customWidth="1"/>
    <col min="2572" max="2816" width="9.140625" style="944"/>
    <col min="2817" max="2817" width="28.5703125" style="944" customWidth="1"/>
    <col min="2818" max="2818" width="2.42578125" style="944" customWidth="1"/>
    <col min="2819" max="2819" width="8" style="944" customWidth="1"/>
    <col min="2820" max="2820" width="7.5703125" style="944" customWidth="1"/>
    <col min="2821" max="2821" width="2.28515625" style="944" customWidth="1"/>
    <col min="2822" max="2822" width="7.85546875" style="944" customWidth="1"/>
    <col min="2823" max="2823" width="7.28515625" style="944" customWidth="1"/>
    <col min="2824" max="2824" width="2.42578125" style="944" customWidth="1"/>
    <col min="2825" max="2825" width="8" style="944" customWidth="1"/>
    <col min="2826" max="2826" width="7.85546875" style="944" customWidth="1"/>
    <col min="2827" max="2827" width="4" style="944" customWidth="1"/>
    <col min="2828" max="3072" width="9.140625" style="944"/>
    <col min="3073" max="3073" width="28.5703125" style="944" customWidth="1"/>
    <col min="3074" max="3074" width="2.42578125" style="944" customWidth="1"/>
    <col min="3075" max="3075" width="8" style="944" customWidth="1"/>
    <col min="3076" max="3076" width="7.5703125" style="944" customWidth="1"/>
    <col min="3077" max="3077" width="2.28515625" style="944" customWidth="1"/>
    <col min="3078" max="3078" width="7.85546875" style="944" customWidth="1"/>
    <col min="3079" max="3079" width="7.28515625" style="944" customWidth="1"/>
    <col min="3080" max="3080" width="2.42578125" style="944" customWidth="1"/>
    <col min="3081" max="3081" width="8" style="944" customWidth="1"/>
    <col min="3082" max="3082" width="7.85546875" style="944" customWidth="1"/>
    <col min="3083" max="3083" width="4" style="944" customWidth="1"/>
    <col min="3084" max="3328" width="9.140625" style="944"/>
    <col min="3329" max="3329" width="28.5703125" style="944" customWidth="1"/>
    <col min="3330" max="3330" width="2.42578125" style="944" customWidth="1"/>
    <col min="3331" max="3331" width="8" style="944" customWidth="1"/>
    <col min="3332" max="3332" width="7.5703125" style="944" customWidth="1"/>
    <col min="3333" max="3333" width="2.28515625" style="944" customWidth="1"/>
    <col min="3334" max="3334" width="7.85546875" style="944" customWidth="1"/>
    <col min="3335" max="3335" width="7.28515625" style="944" customWidth="1"/>
    <col min="3336" max="3336" width="2.42578125" style="944" customWidth="1"/>
    <col min="3337" max="3337" width="8" style="944" customWidth="1"/>
    <col min="3338" max="3338" width="7.85546875" style="944" customWidth="1"/>
    <col min="3339" max="3339" width="4" style="944" customWidth="1"/>
    <col min="3340" max="3584" width="9.140625" style="944"/>
    <col min="3585" max="3585" width="28.5703125" style="944" customWidth="1"/>
    <col min="3586" max="3586" width="2.42578125" style="944" customWidth="1"/>
    <col min="3587" max="3587" width="8" style="944" customWidth="1"/>
    <col min="3588" max="3588" width="7.5703125" style="944" customWidth="1"/>
    <col min="3589" max="3589" width="2.28515625" style="944" customWidth="1"/>
    <col min="3590" max="3590" width="7.85546875" style="944" customWidth="1"/>
    <col min="3591" max="3591" width="7.28515625" style="944" customWidth="1"/>
    <col min="3592" max="3592" width="2.42578125" style="944" customWidth="1"/>
    <col min="3593" max="3593" width="8" style="944" customWidth="1"/>
    <col min="3594" max="3594" width="7.85546875" style="944" customWidth="1"/>
    <col min="3595" max="3595" width="4" style="944" customWidth="1"/>
    <col min="3596" max="3840" width="9.140625" style="944"/>
    <col min="3841" max="3841" width="28.5703125" style="944" customWidth="1"/>
    <col min="3842" max="3842" width="2.42578125" style="944" customWidth="1"/>
    <col min="3843" max="3843" width="8" style="944" customWidth="1"/>
    <col min="3844" max="3844" width="7.5703125" style="944" customWidth="1"/>
    <col min="3845" max="3845" width="2.28515625" style="944" customWidth="1"/>
    <col min="3846" max="3846" width="7.85546875" style="944" customWidth="1"/>
    <col min="3847" max="3847" width="7.28515625" style="944" customWidth="1"/>
    <col min="3848" max="3848" width="2.42578125" style="944" customWidth="1"/>
    <col min="3849" max="3849" width="8" style="944" customWidth="1"/>
    <col min="3850" max="3850" width="7.85546875" style="944" customWidth="1"/>
    <col min="3851" max="3851" width="4" style="944" customWidth="1"/>
    <col min="3852" max="4096" width="9.140625" style="944"/>
    <col min="4097" max="4097" width="28.5703125" style="944" customWidth="1"/>
    <col min="4098" max="4098" width="2.42578125" style="944" customWidth="1"/>
    <col min="4099" max="4099" width="8" style="944" customWidth="1"/>
    <col min="4100" max="4100" width="7.5703125" style="944" customWidth="1"/>
    <col min="4101" max="4101" width="2.28515625" style="944" customWidth="1"/>
    <col min="4102" max="4102" width="7.85546875" style="944" customWidth="1"/>
    <col min="4103" max="4103" width="7.28515625" style="944" customWidth="1"/>
    <col min="4104" max="4104" width="2.42578125" style="944" customWidth="1"/>
    <col min="4105" max="4105" width="8" style="944" customWidth="1"/>
    <col min="4106" max="4106" width="7.85546875" style="944" customWidth="1"/>
    <col min="4107" max="4107" width="4" style="944" customWidth="1"/>
    <col min="4108" max="4352" width="9.140625" style="944"/>
    <col min="4353" max="4353" width="28.5703125" style="944" customWidth="1"/>
    <col min="4354" max="4354" width="2.42578125" style="944" customWidth="1"/>
    <col min="4355" max="4355" width="8" style="944" customWidth="1"/>
    <col min="4356" max="4356" width="7.5703125" style="944" customWidth="1"/>
    <col min="4357" max="4357" width="2.28515625" style="944" customWidth="1"/>
    <col min="4358" max="4358" width="7.85546875" style="944" customWidth="1"/>
    <col min="4359" max="4359" width="7.28515625" style="944" customWidth="1"/>
    <col min="4360" max="4360" width="2.42578125" style="944" customWidth="1"/>
    <col min="4361" max="4361" width="8" style="944" customWidth="1"/>
    <col min="4362" max="4362" width="7.85546875" style="944" customWidth="1"/>
    <col min="4363" max="4363" width="4" style="944" customWidth="1"/>
    <col min="4364" max="4608" width="9.140625" style="944"/>
    <col min="4609" max="4609" width="28.5703125" style="944" customWidth="1"/>
    <col min="4610" max="4610" width="2.42578125" style="944" customWidth="1"/>
    <col min="4611" max="4611" width="8" style="944" customWidth="1"/>
    <col min="4612" max="4612" width="7.5703125" style="944" customWidth="1"/>
    <col min="4613" max="4613" width="2.28515625" style="944" customWidth="1"/>
    <col min="4614" max="4614" width="7.85546875" style="944" customWidth="1"/>
    <col min="4615" max="4615" width="7.28515625" style="944" customWidth="1"/>
    <col min="4616" max="4616" width="2.42578125" style="944" customWidth="1"/>
    <col min="4617" max="4617" width="8" style="944" customWidth="1"/>
    <col min="4618" max="4618" width="7.85546875" style="944" customWidth="1"/>
    <col min="4619" max="4619" width="4" style="944" customWidth="1"/>
    <col min="4620" max="4864" width="9.140625" style="944"/>
    <col min="4865" max="4865" width="28.5703125" style="944" customWidth="1"/>
    <col min="4866" max="4866" width="2.42578125" style="944" customWidth="1"/>
    <col min="4867" max="4867" width="8" style="944" customWidth="1"/>
    <col min="4868" max="4868" width="7.5703125" style="944" customWidth="1"/>
    <col min="4869" max="4869" width="2.28515625" style="944" customWidth="1"/>
    <col min="4870" max="4870" width="7.85546875" style="944" customWidth="1"/>
    <col min="4871" max="4871" width="7.28515625" style="944" customWidth="1"/>
    <col min="4872" max="4872" width="2.42578125" style="944" customWidth="1"/>
    <col min="4873" max="4873" width="8" style="944" customWidth="1"/>
    <col min="4874" max="4874" width="7.85546875" style="944" customWidth="1"/>
    <col min="4875" max="4875" width="4" style="944" customWidth="1"/>
    <col min="4876" max="5120" width="9.140625" style="944"/>
    <col min="5121" max="5121" width="28.5703125" style="944" customWidth="1"/>
    <col min="5122" max="5122" width="2.42578125" style="944" customWidth="1"/>
    <col min="5123" max="5123" width="8" style="944" customWidth="1"/>
    <col min="5124" max="5124" width="7.5703125" style="944" customWidth="1"/>
    <col min="5125" max="5125" width="2.28515625" style="944" customWidth="1"/>
    <col min="5126" max="5126" width="7.85546875" style="944" customWidth="1"/>
    <col min="5127" max="5127" width="7.28515625" style="944" customWidth="1"/>
    <col min="5128" max="5128" width="2.42578125" style="944" customWidth="1"/>
    <col min="5129" max="5129" width="8" style="944" customWidth="1"/>
    <col min="5130" max="5130" width="7.85546875" style="944" customWidth="1"/>
    <col min="5131" max="5131" width="4" style="944" customWidth="1"/>
    <col min="5132" max="5376" width="9.140625" style="944"/>
    <col min="5377" max="5377" width="28.5703125" style="944" customWidth="1"/>
    <col min="5378" max="5378" width="2.42578125" style="944" customWidth="1"/>
    <col min="5379" max="5379" width="8" style="944" customWidth="1"/>
    <col min="5380" max="5380" width="7.5703125" style="944" customWidth="1"/>
    <col min="5381" max="5381" width="2.28515625" style="944" customWidth="1"/>
    <col min="5382" max="5382" width="7.85546875" style="944" customWidth="1"/>
    <col min="5383" max="5383" width="7.28515625" style="944" customWidth="1"/>
    <col min="5384" max="5384" width="2.42578125" style="944" customWidth="1"/>
    <col min="5385" max="5385" width="8" style="944" customWidth="1"/>
    <col min="5386" max="5386" width="7.85546875" style="944" customWidth="1"/>
    <col min="5387" max="5387" width="4" style="944" customWidth="1"/>
    <col min="5388" max="5632" width="9.140625" style="944"/>
    <col min="5633" max="5633" width="28.5703125" style="944" customWidth="1"/>
    <col min="5634" max="5634" width="2.42578125" style="944" customWidth="1"/>
    <col min="5635" max="5635" width="8" style="944" customWidth="1"/>
    <col min="5636" max="5636" width="7.5703125" style="944" customWidth="1"/>
    <col min="5637" max="5637" width="2.28515625" style="944" customWidth="1"/>
    <col min="5638" max="5638" width="7.85546875" style="944" customWidth="1"/>
    <col min="5639" max="5639" width="7.28515625" style="944" customWidth="1"/>
    <col min="5640" max="5640" width="2.42578125" style="944" customWidth="1"/>
    <col min="5641" max="5641" width="8" style="944" customWidth="1"/>
    <col min="5642" max="5642" width="7.85546875" style="944" customWidth="1"/>
    <col min="5643" max="5643" width="4" style="944" customWidth="1"/>
    <col min="5644" max="5888" width="9.140625" style="944"/>
    <col min="5889" max="5889" width="28.5703125" style="944" customWidth="1"/>
    <col min="5890" max="5890" width="2.42578125" style="944" customWidth="1"/>
    <col min="5891" max="5891" width="8" style="944" customWidth="1"/>
    <col min="5892" max="5892" width="7.5703125" style="944" customWidth="1"/>
    <col min="5893" max="5893" width="2.28515625" style="944" customWidth="1"/>
    <col min="5894" max="5894" width="7.85546875" style="944" customWidth="1"/>
    <col min="5895" max="5895" width="7.28515625" style="944" customWidth="1"/>
    <col min="5896" max="5896" width="2.42578125" style="944" customWidth="1"/>
    <col min="5897" max="5897" width="8" style="944" customWidth="1"/>
    <col min="5898" max="5898" width="7.85546875" style="944" customWidth="1"/>
    <col min="5899" max="5899" width="4" style="944" customWidth="1"/>
    <col min="5900" max="6144" width="9.140625" style="944"/>
    <col min="6145" max="6145" width="28.5703125" style="944" customWidth="1"/>
    <col min="6146" max="6146" width="2.42578125" style="944" customWidth="1"/>
    <col min="6147" max="6147" width="8" style="944" customWidth="1"/>
    <col min="6148" max="6148" width="7.5703125" style="944" customWidth="1"/>
    <col min="6149" max="6149" width="2.28515625" style="944" customWidth="1"/>
    <col min="6150" max="6150" width="7.85546875" style="944" customWidth="1"/>
    <col min="6151" max="6151" width="7.28515625" style="944" customWidth="1"/>
    <col min="6152" max="6152" width="2.42578125" style="944" customWidth="1"/>
    <col min="6153" max="6153" width="8" style="944" customWidth="1"/>
    <col min="6154" max="6154" width="7.85546875" style="944" customWidth="1"/>
    <col min="6155" max="6155" width="4" style="944" customWidth="1"/>
    <col min="6156" max="6400" width="9.140625" style="944"/>
    <col min="6401" max="6401" width="28.5703125" style="944" customWidth="1"/>
    <col min="6402" max="6402" width="2.42578125" style="944" customWidth="1"/>
    <col min="6403" max="6403" width="8" style="944" customWidth="1"/>
    <col min="6404" max="6404" width="7.5703125" style="944" customWidth="1"/>
    <col min="6405" max="6405" width="2.28515625" style="944" customWidth="1"/>
    <col min="6406" max="6406" width="7.85546875" style="944" customWidth="1"/>
    <col min="6407" max="6407" width="7.28515625" style="944" customWidth="1"/>
    <col min="6408" max="6408" width="2.42578125" style="944" customWidth="1"/>
    <col min="6409" max="6409" width="8" style="944" customWidth="1"/>
    <col min="6410" max="6410" width="7.85546875" style="944" customWidth="1"/>
    <col min="6411" max="6411" width="4" style="944" customWidth="1"/>
    <col min="6412" max="6656" width="9.140625" style="944"/>
    <col min="6657" max="6657" width="28.5703125" style="944" customWidth="1"/>
    <col min="6658" max="6658" width="2.42578125" style="944" customWidth="1"/>
    <col min="6659" max="6659" width="8" style="944" customWidth="1"/>
    <col min="6660" max="6660" width="7.5703125" style="944" customWidth="1"/>
    <col min="6661" max="6661" width="2.28515625" style="944" customWidth="1"/>
    <col min="6662" max="6662" width="7.85546875" style="944" customWidth="1"/>
    <col min="6663" max="6663" width="7.28515625" style="944" customWidth="1"/>
    <col min="6664" max="6664" width="2.42578125" style="944" customWidth="1"/>
    <col min="6665" max="6665" width="8" style="944" customWidth="1"/>
    <col min="6666" max="6666" width="7.85546875" style="944" customWidth="1"/>
    <col min="6667" max="6667" width="4" style="944" customWidth="1"/>
    <col min="6668" max="6912" width="9.140625" style="944"/>
    <col min="6913" max="6913" width="28.5703125" style="944" customWidth="1"/>
    <col min="6914" max="6914" width="2.42578125" style="944" customWidth="1"/>
    <col min="6915" max="6915" width="8" style="944" customWidth="1"/>
    <col min="6916" max="6916" width="7.5703125" style="944" customWidth="1"/>
    <col min="6917" max="6917" width="2.28515625" style="944" customWidth="1"/>
    <col min="6918" max="6918" width="7.85546875" style="944" customWidth="1"/>
    <col min="6919" max="6919" width="7.28515625" style="944" customWidth="1"/>
    <col min="6920" max="6920" width="2.42578125" style="944" customWidth="1"/>
    <col min="6921" max="6921" width="8" style="944" customWidth="1"/>
    <col min="6922" max="6922" width="7.85546875" style="944" customWidth="1"/>
    <col min="6923" max="6923" width="4" style="944" customWidth="1"/>
    <col min="6924" max="7168" width="9.140625" style="944"/>
    <col min="7169" max="7169" width="28.5703125" style="944" customWidth="1"/>
    <col min="7170" max="7170" width="2.42578125" style="944" customWidth="1"/>
    <col min="7171" max="7171" width="8" style="944" customWidth="1"/>
    <col min="7172" max="7172" width="7.5703125" style="944" customWidth="1"/>
    <col min="7173" max="7173" width="2.28515625" style="944" customWidth="1"/>
    <col min="7174" max="7174" width="7.85546875" style="944" customWidth="1"/>
    <col min="7175" max="7175" width="7.28515625" style="944" customWidth="1"/>
    <col min="7176" max="7176" width="2.42578125" style="944" customWidth="1"/>
    <col min="7177" max="7177" width="8" style="944" customWidth="1"/>
    <col min="7178" max="7178" width="7.85546875" style="944" customWidth="1"/>
    <col min="7179" max="7179" width="4" style="944" customWidth="1"/>
    <col min="7180" max="7424" width="9.140625" style="944"/>
    <col min="7425" max="7425" width="28.5703125" style="944" customWidth="1"/>
    <col min="7426" max="7426" width="2.42578125" style="944" customWidth="1"/>
    <col min="7427" max="7427" width="8" style="944" customWidth="1"/>
    <col min="7428" max="7428" width="7.5703125" style="944" customWidth="1"/>
    <col min="7429" max="7429" width="2.28515625" style="944" customWidth="1"/>
    <col min="7430" max="7430" width="7.85546875" style="944" customWidth="1"/>
    <col min="7431" max="7431" width="7.28515625" style="944" customWidth="1"/>
    <col min="7432" max="7432" width="2.42578125" style="944" customWidth="1"/>
    <col min="7433" max="7433" width="8" style="944" customWidth="1"/>
    <col min="7434" max="7434" width="7.85546875" style="944" customWidth="1"/>
    <col min="7435" max="7435" width="4" style="944" customWidth="1"/>
    <col min="7436" max="7680" width="9.140625" style="944"/>
    <col min="7681" max="7681" width="28.5703125" style="944" customWidth="1"/>
    <col min="7682" max="7682" width="2.42578125" style="944" customWidth="1"/>
    <col min="7683" max="7683" width="8" style="944" customWidth="1"/>
    <col min="7684" max="7684" width="7.5703125" style="944" customWidth="1"/>
    <col min="7685" max="7685" width="2.28515625" style="944" customWidth="1"/>
    <col min="7686" max="7686" width="7.85546875" style="944" customWidth="1"/>
    <col min="7687" max="7687" width="7.28515625" style="944" customWidth="1"/>
    <col min="7688" max="7688" width="2.42578125" style="944" customWidth="1"/>
    <col min="7689" max="7689" width="8" style="944" customWidth="1"/>
    <col min="7690" max="7690" width="7.85546875" style="944" customWidth="1"/>
    <col min="7691" max="7691" width="4" style="944" customWidth="1"/>
    <col min="7692" max="7936" width="9.140625" style="944"/>
    <col min="7937" max="7937" width="28.5703125" style="944" customWidth="1"/>
    <col min="7938" max="7938" width="2.42578125" style="944" customWidth="1"/>
    <col min="7939" max="7939" width="8" style="944" customWidth="1"/>
    <col min="7940" max="7940" width="7.5703125" style="944" customWidth="1"/>
    <col min="7941" max="7941" width="2.28515625" style="944" customWidth="1"/>
    <col min="7942" max="7942" width="7.85546875" style="944" customWidth="1"/>
    <col min="7943" max="7943" width="7.28515625" style="944" customWidth="1"/>
    <col min="7944" max="7944" width="2.42578125" style="944" customWidth="1"/>
    <col min="7945" max="7945" width="8" style="944" customWidth="1"/>
    <col min="7946" max="7946" width="7.85546875" style="944" customWidth="1"/>
    <col min="7947" max="7947" width="4" style="944" customWidth="1"/>
    <col min="7948" max="8192" width="9.140625" style="944"/>
    <col min="8193" max="8193" width="28.5703125" style="944" customWidth="1"/>
    <col min="8194" max="8194" width="2.42578125" style="944" customWidth="1"/>
    <col min="8195" max="8195" width="8" style="944" customWidth="1"/>
    <col min="8196" max="8196" width="7.5703125" style="944" customWidth="1"/>
    <col min="8197" max="8197" width="2.28515625" style="944" customWidth="1"/>
    <col min="8198" max="8198" width="7.85546875" style="944" customWidth="1"/>
    <col min="8199" max="8199" width="7.28515625" style="944" customWidth="1"/>
    <col min="8200" max="8200" width="2.42578125" style="944" customWidth="1"/>
    <col min="8201" max="8201" width="8" style="944" customWidth="1"/>
    <col min="8202" max="8202" width="7.85546875" style="944" customWidth="1"/>
    <col min="8203" max="8203" width="4" style="944" customWidth="1"/>
    <col min="8204" max="8448" width="9.140625" style="944"/>
    <col min="8449" max="8449" width="28.5703125" style="944" customWidth="1"/>
    <col min="8450" max="8450" width="2.42578125" style="944" customWidth="1"/>
    <col min="8451" max="8451" width="8" style="944" customWidth="1"/>
    <col min="8452" max="8452" width="7.5703125" style="944" customWidth="1"/>
    <col min="8453" max="8453" width="2.28515625" style="944" customWidth="1"/>
    <col min="8454" max="8454" width="7.85546875" style="944" customWidth="1"/>
    <col min="8455" max="8455" width="7.28515625" style="944" customWidth="1"/>
    <col min="8456" max="8456" width="2.42578125" style="944" customWidth="1"/>
    <col min="8457" max="8457" width="8" style="944" customWidth="1"/>
    <col min="8458" max="8458" width="7.85546875" style="944" customWidth="1"/>
    <col min="8459" max="8459" width="4" style="944" customWidth="1"/>
    <col min="8460" max="8704" width="9.140625" style="944"/>
    <col min="8705" max="8705" width="28.5703125" style="944" customWidth="1"/>
    <col min="8706" max="8706" width="2.42578125" style="944" customWidth="1"/>
    <col min="8707" max="8707" width="8" style="944" customWidth="1"/>
    <col min="8708" max="8708" width="7.5703125" style="944" customWidth="1"/>
    <col min="8709" max="8709" width="2.28515625" style="944" customWidth="1"/>
    <col min="8710" max="8710" width="7.85546875" style="944" customWidth="1"/>
    <col min="8711" max="8711" width="7.28515625" style="944" customWidth="1"/>
    <col min="8712" max="8712" width="2.42578125" style="944" customWidth="1"/>
    <col min="8713" max="8713" width="8" style="944" customWidth="1"/>
    <col min="8714" max="8714" width="7.85546875" style="944" customWidth="1"/>
    <col min="8715" max="8715" width="4" style="944" customWidth="1"/>
    <col min="8716" max="8960" width="9.140625" style="944"/>
    <col min="8961" max="8961" width="28.5703125" style="944" customWidth="1"/>
    <col min="8962" max="8962" width="2.42578125" style="944" customWidth="1"/>
    <col min="8963" max="8963" width="8" style="944" customWidth="1"/>
    <col min="8964" max="8964" width="7.5703125" style="944" customWidth="1"/>
    <col min="8965" max="8965" width="2.28515625" style="944" customWidth="1"/>
    <col min="8966" max="8966" width="7.85546875" style="944" customWidth="1"/>
    <col min="8967" max="8967" width="7.28515625" style="944" customWidth="1"/>
    <col min="8968" max="8968" width="2.42578125" style="944" customWidth="1"/>
    <col min="8969" max="8969" width="8" style="944" customWidth="1"/>
    <col min="8970" max="8970" width="7.85546875" style="944" customWidth="1"/>
    <col min="8971" max="8971" width="4" style="944" customWidth="1"/>
    <col min="8972" max="9216" width="9.140625" style="944"/>
    <col min="9217" max="9217" width="28.5703125" style="944" customWidth="1"/>
    <col min="9218" max="9218" width="2.42578125" style="944" customWidth="1"/>
    <col min="9219" max="9219" width="8" style="944" customWidth="1"/>
    <col min="9220" max="9220" width="7.5703125" style="944" customWidth="1"/>
    <col min="9221" max="9221" width="2.28515625" style="944" customWidth="1"/>
    <col min="9222" max="9222" width="7.85546875" style="944" customWidth="1"/>
    <col min="9223" max="9223" width="7.28515625" style="944" customWidth="1"/>
    <col min="9224" max="9224" width="2.42578125" style="944" customWidth="1"/>
    <col min="9225" max="9225" width="8" style="944" customWidth="1"/>
    <col min="9226" max="9226" width="7.85546875" style="944" customWidth="1"/>
    <col min="9227" max="9227" width="4" style="944" customWidth="1"/>
    <col min="9228" max="9472" width="9.140625" style="944"/>
    <col min="9473" max="9473" width="28.5703125" style="944" customWidth="1"/>
    <col min="9474" max="9474" width="2.42578125" style="944" customWidth="1"/>
    <col min="9475" max="9475" width="8" style="944" customWidth="1"/>
    <col min="9476" max="9476" width="7.5703125" style="944" customWidth="1"/>
    <col min="9477" max="9477" width="2.28515625" style="944" customWidth="1"/>
    <col min="9478" max="9478" width="7.85546875" style="944" customWidth="1"/>
    <col min="9479" max="9479" width="7.28515625" style="944" customWidth="1"/>
    <col min="9480" max="9480" width="2.42578125" style="944" customWidth="1"/>
    <col min="9481" max="9481" width="8" style="944" customWidth="1"/>
    <col min="9482" max="9482" width="7.85546875" style="944" customWidth="1"/>
    <col min="9483" max="9483" width="4" style="944" customWidth="1"/>
    <col min="9484" max="9728" width="9.140625" style="944"/>
    <col min="9729" max="9729" width="28.5703125" style="944" customWidth="1"/>
    <col min="9730" max="9730" width="2.42578125" style="944" customWidth="1"/>
    <col min="9731" max="9731" width="8" style="944" customWidth="1"/>
    <col min="9732" max="9732" width="7.5703125" style="944" customWidth="1"/>
    <col min="9733" max="9733" width="2.28515625" style="944" customWidth="1"/>
    <col min="9734" max="9734" width="7.85546875" style="944" customWidth="1"/>
    <col min="9735" max="9735" width="7.28515625" style="944" customWidth="1"/>
    <col min="9736" max="9736" width="2.42578125" style="944" customWidth="1"/>
    <col min="9737" max="9737" width="8" style="944" customWidth="1"/>
    <col min="9738" max="9738" width="7.85546875" style="944" customWidth="1"/>
    <col min="9739" max="9739" width="4" style="944" customWidth="1"/>
    <col min="9740" max="9984" width="9.140625" style="944"/>
    <col min="9985" max="9985" width="28.5703125" style="944" customWidth="1"/>
    <col min="9986" max="9986" width="2.42578125" style="944" customWidth="1"/>
    <col min="9987" max="9987" width="8" style="944" customWidth="1"/>
    <col min="9988" max="9988" width="7.5703125" style="944" customWidth="1"/>
    <col min="9989" max="9989" width="2.28515625" style="944" customWidth="1"/>
    <col min="9990" max="9990" width="7.85546875" style="944" customWidth="1"/>
    <col min="9991" max="9991" width="7.28515625" style="944" customWidth="1"/>
    <col min="9992" max="9992" width="2.42578125" style="944" customWidth="1"/>
    <col min="9993" max="9993" width="8" style="944" customWidth="1"/>
    <col min="9994" max="9994" width="7.85546875" style="944" customWidth="1"/>
    <col min="9995" max="9995" width="4" style="944" customWidth="1"/>
    <col min="9996" max="10240" width="9.140625" style="944"/>
    <col min="10241" max="10241" width="28.5703125" style="944" customWidth="1"/>
    <col min="10242" max="10242" width="2.42578125" style="944" customWidth="1"/>
    <col min="10243" max="10243" width="8" style="944" customWidth="1"/>
    <col min="10244" max="10244" width="7.5703125" style="944" customWidth="1"/>
    <col min="10245" max="10245" width="2.28515625" style="944" customWidth="1"/>
    <col min="10246" max="10246" width="7.85546875" style="944" customWidth="1"/>
    <col min="10247" max="10247" width="7.28515625" style="944" customWidth="1"/>
    <col min="10248" max="10248" width="2.42578125" style="944" customWidth="1"/>
    <col min="10249" max="10249" width="8" style="944" customWidth="1"/>
    <col min="10250" max="10250" width="7.85546875" style="944" customWidth="1"/>
    <col min="10251" max="10251" width="4" style="944" customWidth="1"/>
    <col min="10252" max="10496" width="9.140625" style="944"/>
    <col min="10497" max="10497" width="28.5703125" style="944" customWidth="1"/>
    <col min="10498" max="10498" width="2.42578125" style="944" customWidth="1"/>
    <col min="10499" max="10499" width="8" style="944" customWidth="1"/>
    <col min="10500" max="10500" width="7.5703125" style="944" customWidth="1"/>
    <col min="10501" max="10501" width="2.28515625" style="944" customWidth="1"/>
    <col min="10502" max="10502" width="7.85546875" style="944" customWidth="1"/>
    <col min="10503" max="10503" width="7.28515625" style="944" customWidth="1"/>
    <col min="10504" max="10504" width="2.42578125" style="944" customWidth="1"/>
    <col min="10505" max="10505" width="8" style="944" customWidth="1"/>
    <col min="10506" max="10506" width="7.85546875" style="944" customWidth="1"/>
    <col min="10507" max="10507" width="4" style="944" customWidth="1"/>
    <col min="10508" max="10752" width="9.140625" style="944"/>
    <col min="10753" max="10753" width="28.5703125" style="944" customWidth="1"/>
    <col min="10754" max="10754" width="2.42578125" style="944" customWidth="1"/>
    <col min="10755" max="10755" width="8" style="944" customWidth="1"/>
    <col min="10756" max="10756" width="7.5703125" style="944" customWidth="1"/>
    <col min="10757" max="10757" width="2.28515625" style="944" customWidth="1"/>
    <col min="10758" max="10758" width="7.85546875" style="944" customWidth="1"/>
    <col min="10759" max="10759" width="7.28515625" style="944" customWidth="1"/>
    <col min="10760" max="10760" width="2.42578125" style="944" customWidth="1"/>
    <col min="10761" max="10761" width="8" style="944" customWidth="1"/>
    <col min="10762" max="10762" width="7.85546875" style="944" customWidth="1"/>
    <col min="10763" max="10763" width="4" style="944" customWidth="1"/>
    <col min="10764" max="11008" width="9.140625" style="944"/>
    <col min="11009" max="11009" width="28.5703125" style="944" customWidth="1"/>
    <col min="11010" max="11010" width="2.42578125" style="944" customWidth="1"/>
    <col min="11011" max="11011" width="8" style="944" customWidth="1"/>
    <col min="11012" max="11012" width="7.5703125" style="944" customWidth="1"/>
    <col min="11013" max="11013" width="2.28515625" style="944" customWidth="1"/>
    <col min="11014" max="11014" width="7.85546875" style="944" customWidth="1"/>
    <col min="11015" max="11015" width="7.28515625" style="944" customWidth="1"/>
    <col min="11016" max="11016" width="2.42578125" style="944" customWidth="1"/>
    <col min="11017" max="11017" width="8" style="944" customWidth="1"/>
    <col min="11018" max="11018" width="7.85546875" style="944" customWidth="1"/>
    <col min="11019" max="11019" width="4" style="944" customWidth="1"/>
    <col min="11020" max="11264" width="9.140625" style="944"/>
    <col min="11265" max="11265" width="28.5703125" style="944" customWidth="1"/>
    <col min="11266" max="11266" width="2.42578125" style="944" customWidth="1"/>
    <col min="11267" max="11267" width="8" style="944" customWidth="1"/>
    <col min="11268" max="11268" width="7.5703125" style="944" customWidth="1"/>
    <col min="11269" max="11269" width="2.28515625" style="944" customWidth="1"/>
    <col min="11270" max="11270" width="7.85546875" style="944" customWidth="1"/>
    <col min="11271" max="11271" width="7.28515625" style="944" customWidth="1"/>
    <col min="11272" max="11272" width="2.42578125" style="944" customWidth="1"/>
    <col min="11273" max="11273" width="8" style="944" customWidth="1"/>
    <col min="11274" max="11274" width="7.85546875" style="944" customWidth="1"/>
    <col min="11275" max="11275" width="4" style="944" customWidth="1"/>
    <col min="11276" max="11520" width="9.140625" style="944"/>
    <col min="11521" max="11521" width="28.5703125" style="944" customWidth="1"/>
    <col min="11522" max="11522" width="2.42578125" style="944" customWidth="1"/>
    <col min="11523" max="11523" width="8" style="944" customWidth="1"/>
    <col min="11524" max="11524" width="7.5703125" style="944" customWidth="1"/>
    <col min="11525" max="11525" width="2.28515625" style="944" customWidth="1"/>
    <col min="11526" max="11526" width="7.85546875" style="944" customWidth="1"/>
    <col min="11527" max="11527" width="7.28515625" style="944" customWidth="1"/>
    <col min="11528" max="11528" width="2.42578125" style="944" customWidth="1"/>
    <col min="11529" max="11529" width="8" style="944" customWidth="1"/>
    <col min="11530" max="11530" width="7.85546875" style="944" customWidth="1"/>
    <col min="11531" max="11531" width="4" style="944" customWidth="1"/>
    <col min="11532" max="11776" width="9.140625" style="944"/>
    <col min="11777" max="11777" width="28.5703125" style="944" customWidth="1"/>
    <col min="11778" max="11778" width="2.42578125" style="944" customWidth="1"/>
    <col min="11779" max="11779" width="8" style="944" customWidth="1"/>
    <col min="11780" max="11780" width="7.5703125" style="944" customWidth="1"/>
    <col min="11781" max="11781" width="2.28515625" style="944" customWidth="1"/>
    <col min="11782" max="11782" width="7.85546875" style="944" customWidth="1"/>
    <col min="11783" max="11783" width="7.28515625" style="944" customWidth="1"/>
    <col min="11784" max="11784" width="2.42578125" style="944" customWidth="1"/>
    <col min="11785" max="11785" width="8" style="944" customWidth="1"/>
    <col min="11786" max="11786" width="7.85546875" style="944" customWidth="1"/>
    <col min="11787" max="11787" width="4" style="944" customWidth="1"/>
    <col min="11788" max="12032" width="9.140625" style="944"/>
    <col min="12033" max="12033" width="28.5703125" style="944" customWidth="1"/>
    <col min="12034" max="12034" width="2.42578125" style="944" customWidth="1"/>
    <col min="12035" max="12035" width="8" style="944" customWidth="1"/>
    <col min="12036" max="12036" width="7.5703125" style="944" customWidth="1"/>
    <col min="12037" max="12037" width="2.28515625" style="944" customWidth="1"/>
    <col min="12038" max="12038" width="7.85546875" style="944" customWidth="1"/>
    <col min="12039" max="12039" width="7.28515625" style="944" customWidth="1"/>
    <col min="12040" max="12040" width="2.42578125" style="944" customWidth="1"/>
    <col min="12041" max="12041" width="8" style="944" customWidth="1"/>
    <col min="12042" max="12042" width="7.85546875" style="944" customWidth="1"/>
    <col min="12043" max="12043" width="4" style="944" customWidth="1"/>
    <col min="12044" max="12288" width="9.140625" style="944"/>
    <col min="12289" max="12289" width="28.5703125" style="944" customWidth="1"/>
    <col min="12290" max="12290" width="2.42578125" style="944" customWidth="1"/>
    <col min="12291" max="12291" width="8" style="944" customWidth="1"/>
    <col min="12292" max="12292" width="7.5703125" style="944" customWidth="1"/>
    <col min="12293" max="12293" width="2.28515625" style="944" customWidth="1"/>
    <col min="12294" max="12294" width="7.85546875" style="944" customWidth="1"/>
    <col min="12295" max="12295" width="7.28515625" style="944" customWidth="1"/>
    <col min="12296" max="12296" width="2.42578125" style="944" customWidth="1"/>
    <col min="12297" max="12297" width="8" style="944" customWidth="1"/>
    <col min="12298" max="12298" width="7.85546875" style="944" customWidth="1"/>
    <col min="12299" max="12299" width="4" style="944" customWidth="1"/>
    <col min="12300" max="12544" width="9.140625" style="944"/>
    <col min="12545" max="12545" width="28.5703125" style="944" customWidth="1"/>
    <col min="12546" max="12546" width="2.42578125" style="944" customWidth="1"/>
    <col min="12547" max="12547" width="8" style="944" customWidth="1"/>
    <col min="12548" max="12548" width="7.5703125" style="944" customWidth="1"/>
    <col min="12549" max="12549" width="2.28515625" style="944" customWidth="1"/>
    <col min="12550" max="12550" width="7.85546875" style="944" customWidth="1"/>
    <col min="12551" max="12551" width="7.28515625" style="944" customWidth="1"/>
    <col min="12552" max="12552" width="2.42578125" style="944" customWidth="1"/>
    <col min="12553" max="12553" width="8" style="944" customWidth="1"/>
    <col min="12554" max="12554" width="7.85546875" style="944" customWidth="1"/>
    <col min="12555" max="12555" width="4" style="944" customWidth="1"/>
    <col min="12556" max="12800" width="9.140625" style="944"/>
    <col min="12801" max="12801" width="28.5703125" style="944" customWidth="1"/>
    <col min="12802" max="12802" width="2.42578125" style="944" customWidth="1"/>
    <col min="12803" max="12803" width="8" style="944" customWidth="1"/>
    <col min="12804" max="12804" width="7.5703125" style="944" customWidth="1"/>
    <col min="12805" max="12805" width="2.28515625" style="944" customWidth="1"/>
    <col min="12806" max="12806" width="7.85546875" style="944" customWidth="1"/>
    <col min="12807" max="12807" width="7.28515625" style="944" customWidth="1"/>
    <col min="12808" max="12808" width="2.42578125" style="944" customWidth="1"/>
    <col min="12809" max="12809" width="8" style="944" customWidth="1"/>
    <col min="12810" max="12810" width="7.85546875" style="944" customWidth="1"/>
    <col min="12811" max="12811" width="4" style="944" customWidth="1"/>
    <col min="12812" max="13056" width="9.140625" style="944"/>
    <col min="13057" max="13057" width="28.5703125" style="944" customWidth="1"/>
    <col min="13058" max="13058" width="2.42578125" style="944" customWidth="1"/>
    <col min="13059" max="13059" width="8" style="944" customWidth="1"/>
    <col min="13060" max="13060" width="7.5703125" style="944" customWidth="1"/>
    <col min="13061" max="13061" width="2.28515625" style="944" customWidth="1"/>
    <col min="13062" max="13062" width="7.85546875" style="944" customWidth="1"/>
    <col min="13063" max="13063" width="7.28515625" style="944" customWidth="1"/>
    <col min="13064" max="13064" width="2.42578125" style="944" customWidth="1"/>
    <col min="13065" max="13065" width="8" style="944" customWidth="1"/>
    <col min="13066" max="13066" width="7.85546875" style="944" customWidth="1"/>
    <col min="13067" max="13067" width="4" style="944" customWidth="1"/>
    <col min="13068" max="13312" width="9.140625" style="944"/>
    <col min="13313" max="13313" width="28.5703125" style="944" customWidth="1"/>
    <col min="13314" max="13314" width="2.42578125" style="944" customWidth="1"/>
    <col min="13315" max="13315" width="8" style="944" customWidth="1"/>
    <col min="13316" max="13316" width="7.5703125" style="944" customWidth="1"/>
    <col min="13317" max="13317" width="2.28515625" style="944" customWidth="1"/>
    <col min="13318" max="13318" width="7.85546875" style="944" customWidth="1"/>
    <col min="13319" max="13319" width="7.28515625" style="944" customWidth="1"/>
    <col min="13320" max="13320" width="2.42578125" style="944" customWidth="1"/>
    <col min="13321" max="13321" width="8" style="944" customWidth="1"/>
    <col min="13322" max="13322" width="7.85546875" style="944" customWidth="1"/>
    <col min="13323" max="13323" width="4" style="944" customWidth="1"/>
    <col min="13324" max="13568" width="9.140625" style="944"/>
    <col min="13569" max="13569" width="28.5703125" style="944" customWidth="1"/>
    <col min="13570" max="13570" width="2.42578125" style="944" customWidth="1"/>
    <col min="13571" max="13571" width="8" style="944" customWidth="1"/>
    <col min="13572" max="13572" width="7.5703125" style="944" customWidth="1"/>
    <col min="13573" max="13573" width="2.28515625" style="944" customWidth="1"/>
    <col min="13574" max="13574" width="7.85546875" style="944" customWidth="1"/>
    <col min="13575" max="13575" width="7.28515625" style="944" customWidth="1"/>
    <col min="13576" max="13576" width="2.42578125" style="944" customWidth="1"/>
    <col min="13577" max="13577" width="8" style="944" customWidth="1"/>
    <col min="13578" max="13578" width="7.85546875" style="944" customWidth="1"/>
    <col min="13579" max="13579" width="4" style="944" customWidth="1"/>
    <col min="13580" max="13824" width="9.140625" style="944"/>
    <col min="13825" max="13825" width="28.5703125" style="944" customWidth="1"/>
    <col min="13826" max="13826" width="2.42578125" style="944" customWidth="1"/>
    <col min="13827" max="13827" width="8" style="944" customWidth="1"/>
    <col min="13828" max="13828" width="7.5703125" style="944" customWidth="1"/>
    <col min="13829" max="13829" width="2.28515625" style="944" customWidth="1"/>
    <col min="13830" max="13830" width="7.85546875" style="944" customWidth="1"/>
    <col min="13831" max="13831" width="7.28515625" style="944" customWidth="1"/>
    <col min="13832" max="13832" width="2.42578125" style="944" customWidth="1"/>
    <col min="13833" max="13833" width="8" style="944" customWidth="1"/>
    <col min="13834" max="13834" width="7.85546875" style="944" customWidth="1"/>
    <col min="13835" max="13835" width="4" style="944" customWidth="1"/>
    <col min="13836" max="14080" width="9.140625" style="944"/>
    <col min="14081" max="14081" width="28.5703125" style="944" customWidth="1"/>
    <col min="14082" max="14082" width="2.42578125" style="944" customWidth="1"/>
    <col min="14083" max="14083" width="8" style="944" customWidth="1"/>
    <col min="14084" max="14084" width="7.5703125" style="944" customWidth="1"/>
    <col min="14085" max="14085" width="2.28515625" style="944" customWidth="1"/>
    <col min="14086" max="14086" width="7.85546875" style="944" customWidth="1"/>
    <col min="14087" max="14087" width="7.28515625" style="944" customWidth="1"/>
    <col min="14088" max="14088" width="2.42578125" style="944" customWidth="1"/>
    <col min="14089" max="14089" width="8" style="944" customWidth="1"/>
    <col min="14090" max="14090" width="7.85546875" style="944" customWidth="1"/>
    <col min="14091" max="14091" width="4" style="944" customWidth="1"/>
    <col min="14092" max="14336" width="9.140625" style="944"/>
    <col min="14337" max="14337" width="28.5703125" style="944" customWidth="1"/>
    <col min="14338" max="14338" width="2.42578125" style="944" customWidth="1"/>
    <col min="14339" max="14339" width="8" style="944" customWidth="1"/>
    <col min="14340" max="14340" width="7.5703125" style="944" customWidth="1"/>
    <col min="14341" max="14341" width="2.28515625" style="944" customWidth="1"/>
    <col min="14342" max="14342" width="7.85546875" style="944" customWidth="1"/>
    <col min="14343" max="14343" width="7.28515625" style="944" customWidth="1"/>
    <col min="14344" max="14344" width="2.42578125" style="944" customWidth="1"/>
    <col min="14345" max="14345" width="8" style="944" customWidth="1"/>
    <col min="14346" max="14346" width="7.85546875" style="944" customWidth="1"/>
    <col min="14347" max="14347" width="4" style="944" customWidth="1"/>
    <col min="14348" max="14592" width="9.140625" style="944"/>
    <col min="14593" max="14593" width="28.5703125" style="944" customWidth="1"/>
    <col min="14594" max="14594" width="2.42578125" style="944" customWidth="1"/>
    <col min="14595" max="14595" width="8" style="944" customWidth="1"/>
    <col min="14596" max="14596" width="7.5703125" style="944" customWidth="1"/>
    <col min="14597" max="14597" width="2.28515625" style="944" customWidth="1"/>
    <col min="14598" max="14598" width="7.85546875" style="944" customWidth="1"/>
    <col min="14599" max="14599" width="7.28515625" style="944" customWidth="1"/>
    <col min="14600" max="14600" width="2.42578125" style="944" customWidth="1"/>
    <col min="14601" max="14601" width="8" style="944" customWidth="1"/>
    <col min="14602" max="14602" width="7.85546875" style="944" customWidth="1"/>
    <col min="14603" max="14603" width="4" style="944" customWidth="1"/>
    <col min="14604" max="14848" width="9.140625" style="944"/>
    <col min="14849" max="14849" width="28.5703125" style="944" customWidth="1"/>
    <col min="14850" max="14850" width="2.42578125" style="944" customWidth="1"/>
    <col min="14851" max="14851" width="8" style="944" customWidth="1"/>
    <col min="14852" max="14852" width="7.5703125" style="944" customWidth="1"/>
    <col min="14853" max="14853" width="2.28515625" style="944" customWidth="1"/>
    <col min="14854" max="14854" width="7.85546875" style="944" customWidth="1"/>
    <col min="14855" max="14855" width="7.28515625" style="944" customWidth="1"/>
    <col min="14856" max="14856" width="2.42578125" style="944" customWidth="1"/>
    <col min="14857" max="14857" width="8" style="944" customWidth="1"/>
    <col min="14858" max="14858" width="7.85546875" style="944" customWidth="1"/>
    <col min="14859" max="14859" width="4" style="944" customWidth="1"/>
    <col min="14860" max="15104" width="9.140625" style="944"/>
    <col min="15105" max="15105" width="28.5703125" style="944" customWidth="1"/>
    <col min="15106" max="15106" width="2.42578125" style="944" customWidth="1"/>
    <col min="15107" max="15107" width="8" style="944" customWidth="1"/>
    <col min="15108" max="15108" width="7.5703125" style="944" customWidth="1"/>
    <col min="15109" max="15109" width="2.28515625" style="944" customWidth="1"/>
    <col min="15110" max="15110" width="7.85546875" style="944" customWidth="1"/>
    <col min="15111" max="15111" width="7.28515625" style="944" customWidth="1"/>
    <col min="15112" max="15112" width="2.42578125" style="944" customWidth="1"/>
    <col min="15113" max="15113" width="8" style="944" customWidth="1"/>
    <col min="15114" max="15114" width="7.85546875" style="944" customWidth="1"/>
    <col min="15115" max="15115" width="4" style="944" customWidth="1"/>
    <col min="15116" max="15360" width="9.140625" style="944"/>
    <col min="15361" max="15361" width="28.5703125" style="944" customWidth="1"/>
    <col min="15362" max="15362" width="2.42578125" style="944" customWidth="1"/>
    <col min="15363" max="15363" width="8" style="944" customWidth="1"/>
    <col min="15364" max="15364" width="7.5703125" style="944" customWidth="1"/>
    <col min="15365" max="15365" width="2.28515625" style="944" customWidth="1"/>
    <col min="15366" max="15366" width="7.85546875" style="944" customWidth="1"/>
    <col min="15367" max="15367" width="7.28515625" style="944" customWidth="1"/>
    <col min="15368" max="15368" width="2.42578125" style="944" customWidth="1"/>
    <col min="15369" max="15369" width="8" style="944" customWidth="1"/>
    <col min="15370" max="15370" width="7.85546875" style="944" customWidth="1"/>
    <col min="15371" max="15371" width="4" style="944" customWidth="1"/>
    <col min="15372" max="15616" width="9.140625" style="944"/>
    <col min="15617" max="15617" width="28.5703125" style="944" customWidth="1"/>
    <col min="15618" max="15618" width="2.42578125" style="944" customWidth="1"/>
    <col min="15619" max="15619" width="8" style="944" customWidth="1"/>
    <col min="15620" max="15620" width="7.5703125" style="944" customWidth="1"/>
    <col min="15621" max="15621" width="2.28515625" style="944" customWidth="1"/>
    <col min="15622" max="15622" width="7.85546875" style="944" customWidth="1"/>
    <col min="15623" max="15623" width="7.28515625" style="944" customWidth="1"/>
    <col min="15624" max="15624" width="2.42578125" style="944" customWidth="1"/>
    <col min="15625" max="15625" width="8" style="944" customWidth="1"/>
    <col min="15626" max="15626" width="7.85546875" style="944" customWidth="1"/>
    <col min="15627" max="15627" width="4" style="944" customWidth="1"/>
    <col min="15628" max="15872" width="9.140625" style="944"/>
    <col min="15873" max="15873" width="28.5703125" style="944" customWidth="1"/>
    <col min="15874" max="15874" width="2.42578125" style="944" customWidth="1"/>
    <col min="15875" max="15875" width="8" style="944" customWidth="1"/>
    <col min="15876" max="15876" width="7.5703125" style="944" customWidth="1"/>
    <col min="15877" max="15877" width="2.28515625" style="944" customWidth="1"/>
    <col min="15878" max="15878" width="7.85546875" style="944" customWidth="1"/>
    <col min="15879" max="15879" width="7.28515625" style="944" customWidth="1"/>
    <col min="15880" max="15880" width="2.42578125" style="944" customWidth="1"/>
    <col min="15881" max="15881" width="8" style="944" customWidth="1"/>
    <col min="15882" max="15882" width="7.85546875" style="944" customWidth="1"/>
    <col min="15883" max="15883" width="4" style="944" customWidth="1"/>
    <col min="15884" max="16128" width="9.140625" style="944"/>
    <col min="16129" max="16129" width="28.5703125" style="944" customWidth="1"/>
    <col min="16130" max="16130" width="2.42578125" style="944" customWidth="1"/>
    <col min="16131" max="16131" width="8" style="944" customWidth="1"/>
    <col min="16132" max="16132" width="7.5703125" style="944" customWidth="1"/>
    <col min="16133" max="16133" width="2.28515625" style="944" customWidth="1"/>
    <col min="16134" max="16134" width="7.85546875" style="944" customWidth="1"/>
    <col min="16135" max="16135" width="7.28515625" style="944" customWidth="1"/>
    <col min="16136" max="16136" width="2.42578125" style="944" customWidth="1"/>
    <col min="16137" max="16137" width="8" style="944" customWidth="1"/>
    <col min="16138" max="16138" width="7.85546875" style="944" customWidth="1"/>
    <col min="16139" max="16139" width="4" style="944" customWidth="1"/>
    <col min="16140" max="16384" width="9.140625" style="944"/>
  </cols>
  <sheetData>
    <row r="1" spans="1:12">
      <c r="A1" s="944" t="s">
        <v>311</v>
      </c>
    </row>
    <row r="2" spans="1:12">
      <c r="A2" s="944" t="s">
        <v>312</v>
      </c>
    </row>
    <row r="4" spans="1:12">
      <c r="A4" s="208" t="s">
        <v>1597</v>
      </c>
    </row>
    <row r="5" spans="1:12">
      <c r="A5" s="208" t="s">
        <v>1598</v>
      </c>
    </row>
    <row r="6" spans="1:12" ht="15" thickBot="1"/>
    <row r="7" spans="1:12" ht="15" customHeight="1">
      <c r="A7" s="1002"/>
      <c r="B7" s="1002"/>
      <c r="C7" s="1003"/>
      <c r="D7" s="1004"/>
      <c r="E7" s="1002"/>
      <c r="F7" s="1003"/>
      <c r="G7" s="1005"/>
      <c r="H7" s="1002"/>
      <c r="I7" s="1003"/>
      <c r="J7" s="1005"/>
      <c r="K7" s="1005"/>
    </row>
    <row r="8" spans="1:12" ht="15" customHeight="1">
      <c r="A8" s="949" t="s">
        <v>1599</v>
      </c>
      <c r="B8" s="949"/>
      <c r="C8" s="1318" t="s">
        <v>1094</v>
      </c>
      <c r="D8" s="1319"/>
      <c r="E8" s="976"/>
      <c r="F8" s="1320" t="s">
        <v>1600</v>
      </c>
      <c r="G8" s="1320"/>
      <c r="H8" s="976"/>
      <c r="I8" s="1320" t="s">
        <v>301</v>
      </c>
      <c r="J8" s="1320"/>
    </row>
    <row r="9" spans="1:12" ht="15" customHeight="1">
      <c r="A9" s="380" t="s">
        <v>1601</v>
      </c>
      <c r="B9" s="949"/>
      <c r="C9" s="1006" t="s">
        <v>360</v>
      </c>
      <c r="D9" s="1007" t="s">
        <v>10</v>
      </c>
      <c r="E9" s="976"/>
      <c r="F9" s="975" t="s">
        <v>360</v>
      </c>
      <c r="G9" s="1008" t="s">
        <v>10</v>
      </c>
      <c r="H9" s="976"/>
      <c r="I9" s="975" t="s">
        <v>360</v>
      </c>
      <c r="J9" s="982" t="s">
        <v>10</v>
      </c>
    </row>
    <row r="10" spans="1:12" ht="15" customHeight="1" thickBot="1">
      <c r="A10" s="1009"/>
      <c r="B10" s="1009"/>
      <c r="C10" s="1010"/>
      <c r="D10" s="1011"/>
      <c r="E10" s="1009"/>
      <c r="F10" s="1010"/>
      <c r="G10" s="1012"/>
      <c r="H10" s="1009"/>
      <c r="I10" s="1010"/>
      <c r="J10" s="1012"/>
    </row>
    <row r="11" spans="1:12" ht="15" customHeight="1">
      <c r="A11" s="949"/>
      <c r="B11" s="949"/>
      <c r="C11" s="1013"/>
      <c r="D11" s="1014"/>
      <c r="E11" s="949"/>
      <c r="F11" s="1013"/>
      <c r="G11" s="1015"/>
      <c r="H11" s="949"/>
      <c r="I11" s="1013"/>
      <c r="K11" s="1005"/>
    </row>
    <row r="12" spans="1:12" ht="15" customHeight="1">
      <c r="A12" s="707" t="s">
        <v>5</v>
      </c>
      <c r="B12" s="949"/>
      <c r="C12" s="1013">
        <f>SUM(C13:C35)</f>
        <v>502</v>
      </c>
      <c r="D12" s="1016">
        <f>SUM(D13:D35)</f>
        <v>100</v>
      </c>
      <c r="E12" s="949"/>
      <c r="F12" s="1013">
        <f>SUM(F13:F35)</f>
        <v>254</v>
      </c>
      <c r="G12" s="1016">
        <f>IF(A12&lt;&gt;0,F12/C12*100,"")</f>
        <v>50.597609561752989</v>
      </c>
      <c r="H12" s="949"/>
      <c r="I12" s="1013">
        <f>SUM(I13:I35)</f>
        <v>248</v>
      </c>
      <c r="J12" s="1016">
        <f>IF(A12&lt;&gt;0,I12/C12*100,"")</f>
        <v>49.402390438247011</v>
      </c>
      <c r="K12" s="1015"/>
      <c r="L12" s="946"/>
    </row>
    <row r="13" spans="1:12" ht="13.9" customHeight="1">
      <c r="A13" s="853" t="s">
        <v>1602</v>
      </c>
      <c r="B13" s="965"/>
      <c r="C13" s="1017">
        <f>SUM(F13+I13)</f>
        <v>20</v>
      </c>
      <c r="D13" s="1016">
        <f>IF(C12&lt;&gt;0,C13/$C$12*100,"")</f>
        <v>3.9840637450199203</v>
      </c>
      <c r="E13" s="1018"/>
      <c r="F13" s="1017">
        <v>18</v>
      </c>
      <c r="G13" s="1016">
        <f>IF(A13&lt;&gt;0,F13/C13*100,"")</f>
        <v>90</v>
      </c>
      <c r="H13" s="1018"/>
      <c r="I13" s="1017">
        <v>2</v>
      </c>
      <c r="J13" s="1016">
        <f t="shared" ref="J13:J35" si="0">IF(A13&lt;&gt;0,I13/C13*100,"")</f>
        <v>10</v>
      </c>
    </row>
    <row r="14" spans="1:12" ht="13.9" customHeight="1">
      <c r="A14" s="853" t="s">
        <v>1603</v>
      </c>
      <c r="B14" s="965"/>
      <c r="C14" s="1017">
        <f t="shared" ref="C14:C35" si="1">SUM(F14+I14)</f>
        <v>21</v>
      </c>
      <c r="D14" s="1016">
        <f t="shared" ref="D14:D35" si="2">IF(C13&lt;&gt;0,C14/$C$12*100,"")</f>
        <v>4.1832669322709162</v>
      </c>
      <c r="E14" s="1018"/>
      <c r="F14" s="1017">
        <v>6</v>
      </c>
      <c r="G14" s="1016">
        <f t="shared" ref="G14:G35" si="3">IF(A14&lt;&gt;0,F14/C14*100,"")</f>
        <v>28.571428571428569</v>
      </c>
      <c r="H14" s="1018"/>
      <c r="I14" s="1017">
        <v>15</v>
      </c>
      <c r="J14" s="1016">
        <f t="shared" si="0"/>
        <v>71.428571428571431</v>
      </c>
    </row>
    <row r="15" spans="1:12" ht="13.9" customHeight="1">
      <c r="A15" s="853" t="s">
        <v>1324</v>
      </c>
      <c r="B15" s="965"/>
      <c r="C15" s="1017">
        <f t="shared" si="1"/>
        <v>8</v>
      </c>
      <c r="D15" s="1016">
        <f t="shared" si="2"/>
        <v>1.593625498007968</v>
      </c>
      <c r="E15" s="1018"/>
      <c r="F15" s="1017">
        <v>5</v>
      </c>
      <c r="G15" s="1016">
        <f t="shared" si="3"/>
        <v>62.5</v>
      </c>
      <c r="H15" s="1018"/>
      <c r="I15" s="1017">
        <v>3</v>
      </c>
      <c r="J15" s="1016">
        <f t="shared" si="0"/>
        <v>37.5</v>
      </c>
    </row>
    <row r="16" spans="1:12" ht="13.9" customHeight="1">
      <c r="A16" s="853" t="s">
        <v>1604</v>
      </c>
      <c r="B16" s="965"/>
      <c r="C16" s="1017">
        <f t="shared" si="1"/>
        <v>18</v>
      </c>
      <c r="D16" s="1016">
        <f t="shared" si="2"/>
        <v>3.5856573705179287</v>
      </c>
      <c r="E16" s="1018"/>
      <c r="F16" s="1017">
        <v>6</v>
      </c>
      <c r="G16" s="1016">
        <f t="shared" si="3"/>
        <v>33.333333333333329</v>
      </c>
      <c r="H16" s="1018"/>
      <c r="I16" s="1017">
        <v>12</v>
      </c>
      <c r="J16" s="1016">
        <f t="shared" si="0"/>
        <v>66.666666666666657</v>
      </c>
    </row>
    <row r="17" spans="1:10" ht="13.9" customHeight="1">
      <c r="A17" s="853" t="s">
        <v>1605</v>
      </c>
      <c r="B17" s="965"/>
      <c r="C17" s="1017">
        <f t="shared" si="1"/>
        <v>2</v>
      </c>
      <c r="D17" s="1016">
        <f t="shared" si="2"/>
        <v>0.39840637450199201</v>
      </c>
      <c r="E17" s="1018"/>
      <c r="F17" s="1017">
        <v>1</v>
      </c>
      <c r="G17" s="1016">
        <f t="shared" si="3"/>
        <v>50</v>
      </c>
      <c r="H17" s="1018"/>
      <c r="I17" s="1017">
        <v>1</v>
      </c>
      <c r="J17" s="1016">
        <f t="shared" si="0"/>
        <v>50</v>
      </c>
    </row>
    <row r="18" spans="1:10" ht="13.9" customHeight="1">
      <c r="A18" s="853" t="s">
        <v>1606</v>
      </c>
      <c r="B18" s="965"/>
      <c r="C18" s="1017">
        <f t="shared" si="1"/>
        <v>1</v>
      </c>
      <c r="D18" s="1016">
        <f t="shared" si="2"/>
        <v>0.19920318725099601</v>
      </c>
      <c r="E18" s="1018"/>
      <c r="F18" s="1017">
        <v>1</v>
      </c>
      <c r="G18" s="1016">
        <f t="shared" si="3"/>
        <v>100</v>
      </c>
      <c r="H18" s="1018"/>
      <c r="I18" s="1017"/>
      <c r="J18" s="1016">
        <f t="shared" si="0"/>
        <v>0</v>
      </c>
    </row>
    <row r="19" spans="1:10" ht="13.9" customHeight="1">
      <c r="A19" s="853" t="s">
        <v>1607</v>
      </c>
      <c r="B19" s="965"/>
      <c r="C19" s="1017">
        <f t="shared" si="1"/>
        <v>1</v>
      </c>
      <c r="D19" s="1016">
        <f t="shared" si="2"/>
        <v>0.19920318725099601</v>
      </c>
      <c r="E19" s="1018"/>
      <c r="F19" s="1017">
        <v>1</v>
      </c>
      <c r="G19" s="1016">
        <f t="shared" si="3"/>
        <v>100</v>
      </c>
      <c r="H19" s="1018"/>
      <c r="I19" s="1017"/>
      <c r="J19" s="1016">
        <f t="shared" si="0"/>
        <v>0</v>
      </c>
    </row>
    <row r="20" spans="1:10" ht="13.9" customHeight="1">
      <c r="A20" s="853" t="s">
        <v>1608</v>
      </c>
      <c r="B20" s="965"/>
      <c r="C20" s="1017">
        <f t="shared" si="1"/>
        <v>2</v>
      </c>
      <c r="D20" s="1016">
        <f t="shared" si="2"/>
        <v>0.39840637450199201</v>
      </c>
      <c r="E20" s="1018"/>
      <c r="F20" s="1017">
        <v>2</v>
      </c>
      <c r="G20" s="1016">
        <f t="shared" si="3"/>
        <v>100</v>
      </c>
      <c r="H20" s="1018"/>
      <c r="I20" s="1017"/>
      <c r="J20" s="1016">
        <f t="shared" si="0"/>
        <v>0</v>
      </c>
    </row>
    <row r="21" spans="1:10" ht="13.9" customHeight="1">
      <c r="A21" s="853" t="s">
        <v>1609</v>
      </c>
      <c r="B21" s="965"/>
      <c r="C21" s="1017">
        <f t="shared" si="1"/>
        <v>2</v>
      </c>
      <c r="D21" s="1016">
        <f t="shared" si="2"/>
        <v>0.39840637450199201</v>
      </c>
      <c r="E21" s="1018"/>
      <c r="F21" s="1017">
        <v>1</v>
      </c>
      <c r="G21" s="1016">
        <f t="shared" si="3"/>
        <v>50</v>
      </c>
      <c r="H21" s="1018"/>
      <c r="I21" s="1017">
        <v>1</v>
      </c>
      <c r="J21" s="1016">
        <f t="shared" si="0"/>
        <v>50</v>
      </c>
    </row>
    <row r="22" spans="1:10" ht="13.9" customHeight="1">
      <c r="A22" s="853" t="s">
        <v>1610</v>
      </c>
      <c r="B22" s="965"/>
      <c r="C22" s="1017">
        <f t="shared" si="1"/>
        <v>18</v>
      </c>
      <c r="D22" s="1016">
        <f t="shared" si="2"/>
        <v>3.5856573705179287</v>
      </c>
      <c r="E22" s="1018"/>
      <c r="F22" s="1017">
        <v>10</v>
      </c>
      <c r="G22" s="1016">
        <f t="shared" si="3"/>
        <v>55.555555555555557</v>
      </c>
      <c r="H22" s="1018"/>
      <c r="I22" s="1017">
        <v>8</v>
      </c>
      <c r="J22" s="1016">
        <f t="shared" si="0"/>
        <v>44.444444444444443</v>
      </c>
    </row>
    <row r="23" spans="1:10" ht="13.9" customHeight="1">
      <c r="A23" s="853" t="s">
        <v>1611</v>
      </c>
      <c r="B23" s="965"/>
      <c r="C23" s="1017">
        <f t="shared" si="1"/>
        <v>12</v>
      </c>
      <c r="D23" s="1016">
        <f t="shared" si="2"/>
        <v>2.3904382470119523</v>
      </c>
      <c r="E23" s="1018"/>
      <c r="F23" s="1017">
        <v>4</v>
      </c>
      <c r="G23" s="1016">
        <f t="shared" si="3"/>
        <v>33.333333333333329</v>
      </c>
      <c r="H23" s="1018"/>
      <c r="I23" s="1017">
        <v>8</v>
      </c>
      <c r="J23" s="1016">
        <f t="shared" si="0"/>
        <v>66.666666666666657</v>
      </c>
    </row>
    <row r="24" spans="1:10" ht="13.9" customHeight="1">
      <c r="A24" s="853" t="s">
        <v>1612</v>
      </c>
      <c r="B24" s="965"/>
      <c r="C24" s="1017">
        <f t="shared" si="1"/>
        <v>10</v>
      </c>
      <c r="D24" s="1016">
        <f t="shared" si="2"/>
        <v>1.9920318725099602</v>
      </c>
      <c r="E24" s="1018"/>
      <c r="F24" s="1017">
        <v>4</v>
      </c>
      <c r="G24" s="1016">
        <f t="shared" si="3"/>
        <v>40</v>
      </c>
      <c r="H24" s="1018"/>
      <c r="I24" s="1017">
        <v>6</v>
      </c>
      <c r="J24" s="1016">
        <f t="shared" si="0"/>
        <v>60</v>
      </c>
    </row>
    <row r="25" spans="1:10" ht="13.9" customHeight="1">
      <c r="A25" s="853" t="s">
        <v>1613</v>
      </c>
      <c r="B25" s="965"/>
      <c r="C25" s="1017">
        <f t="shared" si="1"/>
        <v>2</v>
      </c>
      <c r="D25" s="1016">
        <f t="shared" si="2"/>
        <v>0.39840637450199201</v>
      </c>
      <c r="E25" s="1018"/>
      <c r="F25" s="1017">
        <v>2</v>
      </c>
      <c r="G25" s="1016">
        <f t="shared" si="3"/>
        <v>100</v>
      </c>
      <c r="H25" s="1018"/>
      <c r="I25" s="1017"/>
      <c r="J25" s="1016">
        <f t="shared" si="0"/>
        <v>0</v>
      </c>
    </row>
    <row r="26" spans="1:10" ht="13.9" customHeight="1">
      <c r="A26" s="853" t="s">
        <v>1614</v>
      </c>
      <c r="B26" s="965"/>
      <c r="C26" s="1017">
        <f t="shared" si="1"/>
        <v>2</v>
      </c>
      <c r="D26" s="1016">
        <f t="shared" si="2"/>
        <v>0.39840637450199201</v>
      </c>
      <c r="E26" s="1018"/>
      <c r="F26" s="1017"/>
      <c r="G26" s="1016">
        <f t="shared" si="3"/>
        <v>0</v>
      </c>
      <c r="H26" s="1018"/>
      <c r="I26" s="1017">
        <v>2</v>
      </c>
      <c r="J26" s="1016">
        <f t="shared" si="0"/>
        <v>100</v>
      </c>
    </row>
    <row r="27" spans="1:10" ht="13.9" customHeight="1">
      <c r="A27" s="853" t="s">
        <v>1615</v>
      </c>
      <c r="B27" s="965"/>
      <c r="C27" s="1017">
        <f t="shared" si="1"/>
        <v>9</v>
      </c>
      <c r="D27" s="1016">
        <f t="shared" si="2"/>
        <v>1.7928286852589643</v>
      </c>
      <c r="E27" s="1018"/>
      <c r="F27" s="1017">
        <v>5</v>
      </c>
      <c r="G27" s="1016">
        <f t="shared" si="3"/>
        <v>55.555555555555557</v>
      </c>
      <c r="H27" s="1018"/>
      <c r="I27" s="1017">
        <v>4</v>
      </c>
      <c r="J27" s="1016">
        <f t="shared" si="0"/>
        <v>44.444444444444443</v>
      </c>
    </row>
    <row r="28" spans="1:10" ht="13.9" customHeight="1">
      <c r="A28" s="853" t="s">
        <v>1616</v>
      </c>
      <c r="B28" s="965"/>
      <c r="C28" s="1017">
        <f t="shared" si="1"/>
        <v>3</v>
      </c>
      <c r="D28" s="1016">
        <f t="shared" si="2"/>
        <v>0.59760956175298807</v>
      </c>
      <c r="E28" s="1018"/>
      <c r="F28" s="1017">
        <v>2</v>
      </c>
      <c r="G28" s="1016">
        <f t="shared" si="3"/>
        <v>66.666666666666657</v>
      </c>
      <c r="H28" s="1018"/>
      <c r="I28" s="1017">
        <v>1</v>
      </c>
      <c r="J28" s="1016">
        <f t="shared" si="0"/>
        <v>33.333333333333329</v>
      </c>
    </row>
    <row r="29" spans="1:10" ht="13.9" customHeight="1">
      <c r="A29" s="853" t="s">
        <v>1617</v>
      </c>
      <c r="B29" s="965"/>
      <c r="C29" s="1017">
        <f t="shared" si="1"/>
        <v>4</v>
      </c>
      <c r="D29" s="1016">
        <f t="shared" si="2"/>
        <v>0.79681274900398402</v>
      </c>
      <c r="E29" s="1018"/>
      <c r="F29" s="1017">
        <v>1</v>
      </c>
      <c r="G29" s="1016">
        <f t="shared" si="3"/>
        <v>25</v>
      </c>
      <c r="H29" s="1018"/>
      <c r="I29" s="1017">
        <v>3</v>
      </c>
      <c r="J29" s="1016">
        <f t="shared" si="0"/>
        <v>75</v>
      </c>
    </row>
    <row r="30" spans="1:10" ht="13.9" customHeight="1">
      <c r="A30" s="853" t="s">
        <v>1618</v>
      </c>
      <c r="B30" s="965"/>
      <c r="C30" s="1017">
        <f t="shared" si="1"/>
        <v>3</v>
      </c>
      <c r="D30" s="1016">
        <f t="shared" si="2"/>
        <v>0.59760956175298807</v>
      </c>
      <c r="E30" s="1018"/>
      <c r="F30" s="1017">
        <v>0</v>
      </c>
      <c r="G30" s="1016">
        <f t="shared" si="3"/>
        <v>0</v>
      </c>
      <c r="H30" s="1018"/>
      <c r="I30" s="1017">
        <v>3</v>
      </c>
      <c r="J30" s="1016">
        <f t="shared" si="0"/>
        <v>100</v>
      </c>
    </row>
    <row r="31" spans="1:10" ht="13.9" customHeight="1">
      <c r="A31" s="853" t="s">
        <v>1619</v>
      </c>
      <c r="B31" s="965"/>
      <c r="C31" s="1017">
        <f t="shared" si="1"/>
        <v>6</v>
      </c>
      <c r="D31" s="1016">
        <f t="shared" si="2"/>
        <v>1.1952191235059761</v>
      </c>
      <c r="E31" s="1018"/>
      <c r="F31" s="1017">
        <v>3</v>
      </c>
      <c r="G31" s="1016">
        <f t="shared" si="3"/>
        <v>50</v>
      </c>
      <c r="H31" s="1018"/>
      <c r="I31" s="1017">
        <v>3</v>
      </c>
      <c r="J31" s="1016">
        <f t="shared" si="0"/>
        <v>50</v>
      </c>
    </row>
    <row r="32" spans="1:10" ht="13.9" customHeight="1">
      <c r="A32" s="853" t="s">
        <v>1620</v>
      </c>
      <c r="B32" s="965"/>
      <c r="C32" s="1017">
        <f t="shared" si="1"/>
        <v>2</v>
      </c>
      <c r="D32" s="1016">
        <f t="shared" si="2"/>
        <v>0.39840637450199201</v>
      </c>
      <c r="E32" s="1018"/>
      <c r="F32" s="1017">
        <v>1</v>
      </c>
      <c r="G32" s="1016">
        <f t="shared" si="3"/>
        <v>50</v>
      </c>
      <c r="H32" s="1018"/>
      <c r="I32" s="1017">
        <v>1</v>
      </c>
      <c r="J32" s="1016">
        <f t="shared" si="0"/>
        <v>50</v>
      </c>
    </row>
    <row r="33" spans="1:11" ht="13.9" customHeight="1">
      <c r="A33" s="853" t="s">
        <v>1621</v>
      </c>
      <c r="B33" s="965"/>
      <c r="C33" s="1017">
        <f t="shared" si="1"/>
        <v>1</v>
      </c>
      <c r="D33" s="1016">
        <f t="shared" si="2"/>
        <v>0.19920318725099601</v>
      </c>
      <c r="E33" s="1018"/>
      <c r="F33" s="1017"/>
      <c r="G33" s="1016">
        <f t="shared" si="3"/>
        <v>0</v>
      </c>
      <c r="H33" s="1018"/>
      <c r="I33" s="1017">
        <v>1</v>
      </c>
      <c r="J33" s="1016">
        <f t="shared" si="0"/>
        <v>100</v>
      </c>
    </row>
    <row r="34" spans="1:11" ht="13.9" customHeight="1">
      <c r="A34" s="853" t="s">
        <v>1622</v>
      </c>
      <c r="B34" s="965"/>
      <c r="C34" s="1017">
        <f t="shared" si="1"/>
        <v>5</v>
      </c>
      <c r="D34" s="1016">
        <f t="shared" si="2"/>
        <v>0.99601593625498008</v>
      </c>
      <c r="E34" s="1018"/>
      <c r="F34" s="1017">
        <v>1</v>
      </c>
      <c r="G34" s="1016">
        <f t="shared" si="3"/>
        <v>20</v>
      </c>
      <c r="H34" s="1018"/>
      <c r="I34" s="1017">
        <v>4</v>
      </c>
      <c r="J34" s="1016">
        <f t="shared" si="0"/>
        <v>80</v>
      </c>
    </row>
    <row r="35" spans="1:11" ht="13.9" customHeight="1">
      <c r="A35" s="853" t="s">
        <v>1623</v>
      </c>
      <c r="B35" s="965"/>
      <c r="C35" s="1017">
        <f t="shared" si="1"/>
        <v>350</v>
      </c>
      <c r="D35" s="1016">
        <f t="shared" si="2"/>
        <v>69.721115537848604</v>
      </c>
      <c r="E35" s="1018"/>
      <c r="F35" s="1017">
        <v>180</v>
      </c>
      <c r="G35" s="1016">
        <f t="shared" si="3"/>
        <v>51.428571428571423</v>
      </c>
      <c r="H35" s="1018"/>
      <c r="I35" s="1017">
        <v>170</v>
      </c>
      <c r="J35" s="1016">
        <f t="shared" si="0"/>
        <v>48.571428571428569</v>
      </c>
    </row>
    <row r="36" spans="1:11" ht="13.9" customHeight="1" thickBot="1">
      <c r="A36" s="965"/>
      <c r="B36" s="965"/>
      <c r="C36" s="1017"/>
      <c r="D36" s="1019"/>
      <c r="E36" s="1018"/>
      <c r="F36" s="1017"/>
      <c r="G36" s="1016"/>
      <c r="H36" s="1018"/>
      <c r="I36" s="1017"/>
      <c r="J36" s="1016"/>
    </row>
    <row r="37" spans="1:11" ht="13.15" customHeight="1">
      <c r="A37" s="1002"/>
      <c r="B37" s="1002"/>
      <c r="C37" s="1003"/>
      <c r="D37" s="1004"/>
      <c r="E37" s="1002"/>
      <c r="F37" s="1003"/>
      <c r="G37" s="1005"/>
      <c r="H37" s="1002"/>
      <c r="I37" s="1003"/>
      <c r="J37" s="1005"/>
      <c r="K37" s="1005"/>
    </row>
    <row r="38" spans="1:11" ht="13.15" customHeight="1">
      <c r="A38" s="520" t="s">
        <v>2142</v>
      </c>
      <c r="B38" s="949"/>
      <c r="C38" s="1013"/>
      <c r="D38" s="1014"/>
      <c r="E38" s="949"/>
      <c r="F38" s="1013"/>
      <c r="G38" s="1015"/>
      <c r="H38" s="949"/>
      <c r="I38" s="1013"/>
      <c r="J38" s="1015"/>
      <c r="K38" s="1015"/>
    </row>
    <row r="39" spans="1:11" ht="13.15" customHeight="1">
      <c r="A39" s="944" t="s">
        <v>1624</v>
      </c>
      <c r="B39" s="949"/>
      <c r="C39" s="1013"/>
      <c r="D39" s="1014"/>
      <c r="E39" s="949"/>
      <c r="F39" s="1013"/>
      <c r="G39" s="1015"/>
      <c r="H39" s="949"/>
      <c r="I39" s="1013"/>
      <c r="J39" s="1015"/>
      <c r="K39" s="1015"/>
    </row>
    <row r="40" spans="1:11" ht="6.75" customHeight="1">
      <c r="A40" s="949"/>
      <c r="B40" s="949"/>
      <c r="C40" s="1013"/>
      <c r="D40" s="1014"/>
      <c r="E40" s="949"/>
      <c r="F40" s="1013"/>
      <c r="G40" s="1015"/>
      <c r="H40" s="949"/>
      <c r="I40" s="1013"/>
      <c r="J40" s="1015"/>
      <c r="K40" s="1015"/>
    </row>
    <row r="41" spans="1:11">
      <c r="A41" s="944" t="s">
        <v>1545</v>
      </c>
    </row>
    <row r="42" spans="1:11">
      <c r="A42" s="944" t="s">
        <v>365</v>
      </c>
    </row>
  </sheetData>
  <mergeCells count="3">
    <mergeCell ref="C8:D8"/>
    <mergeCell ref="F8:G8"/>
    <mergeCell ref="I8:J8"/>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95.xml><?xml version="1.0" encoding="utf-8"?>
<worksheet xmlns="http://schemas.openxmlformats.org/spreadsheetml/2006/main" xmlns:r="http://schemas.openxmlformats.org/officeDocument/2006/relationships">
  <dimension ref="A1:M32"/>
  <sheetViews>
    <sheetView workbookViewId="0">
      <selection activeCell="A2" sqref="A2"/>
    </sheetView>
  </sheetViews>
  <sheetFormatPr baseColWidth="10" defaultRowHeight="15"/>
  <cols>
    <col min="1" max="1" width="22.7109375" customWidth="1"/>
    <col min="2" max="2" width="6.42578125" customWidth="1"/>
    <col min="3" max="3" width="9.7109375" style="43" customWidth="1"/>
    <col min="4" max="4" width="9.5703125" style="43" customWidth="1"/>
    <col min="5" max="5" width="6.7109375" customWidth="1"/>
    <col min="6" max="6" width="9.7109375" style="43" customWidth="1"/>
    <col min="7" max="7" width="4" customWidth="1"/>
    <col min="257" max="257" width="22.7109375" customWidth="1"/>
    <col min="258" max="258" width="6.42578125" customWidth="1"/>
    <col min="259" max="259" width="9.7109375" customWidth="1"/>
    <col min="260" max="260" width="9.5703125" customWidth="1"/>
    <col min="261" max="261" width="6.7109375" customWidth="1"/>
    <col min="262" max="262" width="9.7109375" customWidth="1"/>
    <col min="263" max="263" width="4" customWidth="1"/>
    <col min="513" max="513" width="22.7109375" customWidth="1"/>
    <col min="514" max="514" width="6.42578125" customWidth="1"/>
    <col min="515" max="515" width="9.7109375" customWidth="1"/>
    <col min="516" max="516" width="9.5703125" customWidth="1"/>
    <col min="517" max="517" width="6.7109375" customWidth="1"/>
    <col min="518" max="518" width="9.7109375" customWidth="1"/>
    <col min="519" max="519" width="4" customWidth="1"/>
    <col min="769" max="769" width="22.7109375" customWidth="1"/>
    <col min="770" max="770" width="6.42578125" customWidth="1"/>
    <col min="771" max="771" width="9.7109375" customWidth="1"/>
    <col min="772" max="772" width="9.5703125" customWidth="1"/>
    <col min="773" max="773" width="6.7109375" customWidth="1"/>
    <col min="774" max="774" width="9.7109375" customWidth="1"/>
    <col min="775" max="775" width="4" customWidth="1"/>
    <col min="1025" max="1025" width="22.7109375" customWidth="1"/>
    <col min="1026" max="1026" width="6.42578125" customWidth="1"/>
    <col min="1027" max="1027" width="9.7109375" customWidth="1"/>
    <col min="1028" max="1028" width="9.5703125" customWidth="1"/>
    <col min="1029" max="1029" width="6.7109375" customWidth="1"/>
    <col min="1030" max="1030" width="9.7109375" customWidth="1"/>
    <col min="1031" max="1031" width="4" customWidth="1"/>
    <col min="1281" max="1281" width="22.7109375" customWidth="1"/>
    <col min="1282" max="1282" width="6.42578125" customWidth="1"/>
    <col min="1283" max="1283" width="9.7109375" customWidth="1"/>
    <col min="1284" max="1284" width="9.5703125" customWidth="1"/>
    <col min="1285" max="1285" width="6.7109375" customWidth="1"/>
    <col min="1286" max="1286" width="9.7109375" customWidth="1"/>
    <col min="1287" max="1287" width="4" customWidth="1"/>
    <col min="1537" max="1537" width="22.7109375" customWidth="1"/>
    <col min="1538" max="1538" width="6.42578125" customWidth="1"/>
    <col min="1539" max="1539" width="9.7109375" customWidth="1"/>
    <col min="1540" max="1540" width="9.5703125" customWidth="1"/>
    <col min="1541" max="1541" width="6.7109375" customWidth="1"/>
    <col min="1542" max="1542" width="9.7109375" customWidth="1"/>
    <col min="1543" max="1543" width="4" customWidth="1"/>
    <col min="1793" max="1793" width="22.7109375" customWidth="1"/>
    <col min="1794" max="1794" width="6.42578125" customWidth="1"/>
    <col min="1795" max="1795" width="9.7109375" customWidth="1"/>
    <col min="1796" max="1796" width="9.5703125" customWidth="1"/>
    <col min="1797" max="1797" width="6.7109375" customWidth="1"/>
    <col min="1798" max="1798" width="9.7109375" customWidth="1"/>
    <col min="1799" max="1799" width="4" customWidth="1"/>
    <col min="2049" max="2049" width="22.7109375" customWidth="1"/>
    <col min="2050" max="2050" width="6.42578125" customWidth="1"/>
    <col min="2051" max="2051" width="9.7109375" customWidth="1"/>
    <col min="2052" max="2052" width="9.5703125" customWidth="1"/>
    <col min="2053" max="2053" width="6.7109375" customWidth="1"/>
    <col min="2054" max="2054" width="9.7109375" customWidth="1"/>
    <col min="2055" max="2055" width="4" customWidth="1"/>
    <col min="2305" max="2305" width="22.7109375" customWidth="1"/>
    <col min="2306" max="2306" width="6.42578125" customWidth="1"/>
    <col min="2307" max="2307" width="9.7109375" customWidth="1"/>
    <col min="2308" max="2308" width="9.5703125" customWidth="1"/>
    <col min="2309" max="2309" width="6.7109375" customWidth="1"/>
    <col min="2310" max="2310" width="9.7109375" customWidth="1"/>
    <col min="2311" max="2311" width="4" customWidth="1"/>
    <col min="2561" max="2561" width="22.7109375" customWidth="1"/>
    <col min="2562" max="2562" width="6.42578125" customWidth="1"/>
    <col min="2563" max="2563" width="9.7109375" customWidth="1"/>
    <col min="2564" max="2564" width="9.5703125" customWidth="1"/>
    <col min="2565" max="2565" width="6.7109375" customWidth="1"/>
    <col min="2566" max="2566" width="9.7109375" customWidth="1"/>
    <col min="2567" max="2567" width="4" customWidth="1"/>
    <col min="2817" max="2817" width="22.7109375" customWidth="1"/>
    <col min="2818" max="2818" width="6.42578125" customWidth="1"/>
    <col min="2819" max="2819" width="9.7109375" customWidth="1"/>
    <col min="2820" max="2820" width="9.5703125" customWidth="1"/>
    <col min="2821" max="2821" width="6.7109375" customWidth="1"/>
    <col min="2822" max="2822" width="9.7109375" customWidth="1"/>
    <col min="2823" max="2823" width="4" customWidth="1"/>
    <col min="3073" max="3073" width="22.7109375" customWidth="1"/>
    <col min="3074" max="3074" width="6.42578125" customWidth="1"/>
    <col min="3075" max="3075" width="9.7109375" customWidth="1"/>
    <col min="3076" max="3076" width="9.5703125" customWidth="1"/>
    <col min="3077" max="3077" width="6.7109375" customWidth="1"/>
    <col min="3078" max="3078" width="9.7109375" customWidth="1"/>
    <col min="3079" max="3079" width="4" customWidth="1"/>
    <col min="3329" max="3329" width="22.7109375" customWidth="1"/>
    <col min="3330" max="3330" width="6.42578125" customWidth="1"/>
    <col min="3331" max="3331" width="9.7109375" customWidth="1"/>
    <col min="3332" max="3332" width="9.5703125" customWidth="1"/>
    <col min="3333" max="3333" width="6.7109375" customWidth="1"/>
    <col min="3334" max="3334" width="9.7109375" customWidth="1"/>
    <col min="3335" max="3335" width="4" customWidth="1"/>
    <col min="3585" max="3585" width="22.7109375" customWidth="1"/>
    <col min="3586" max="3586" width="6.42578125" customWidth="1"/>
    <col min="3587" max="3587" width="9.7109375" customWidth="1"/>
    <col min="3588" max="3588" width="9.5703125" customWidth="1"/>
    <col min="3589" max="3589" width="6.7109375" customWidth="1"/>
    <col min="3590" max="3590" width="9.7109375" customWidth="1"/>
    <col min="3591" max="3591" width="4" customWidth="1"/>
    <col min="3841" max="3841" width="22.7109375" customWidth="1"/>
    <col min="3842" max="3842" width="6.42578125" customWidth="1"/>
    <col min="3843" max="3843" width="9.7109375" customWidth="1"/>
    <col min="3844" max="3844" width="9.5703125" customWidth="1"/>
    <col min="3845" max="3845" width="6.7109375" customWidth="1"/>
    <col min="3846" max="3846" width="9.7109375" customWidth="1"/>
    <col min="3847" max="3847" width="4" customWidth="1"/>
    <col min="4097" max="4097" width="22.7109375" customWidth="1"/>
    <col min="4098" max="4098" width="6.42578125" customWidth="1"/>
    <col min="4099" max="4099" width="9.7109375" customWidth="1"/>
    <col min="4100" max="4100" width="9.5703125" customWidth="1"/>
    <col min="4101" max="4101" width="6.7109375" customWidth="1"/>
    <col min="4102" max="4102" width="9.7109375" customWidth="1"/>
    <col min="4103" max="4103" width="4" customWidth="1"/>
    <col min="4353" max="4353" width="22.7109375" customWidth="1"/>
    <col min="4354" max="4354" width="6.42578125" customWidth="1"/>
    <col min="4355" max="4355" width="9.7109375" customWidth="1"/>
    <col min="4356" max="4356" width="9.5703125" customWidth="1"/>
    <col min="4357" max="4357" width="6.7109375" customWidth="1"/>
    <col min="4358" max="4358" width="9.7109375" customWidth="1"/>
    <col min="4359" max="4359" width="4" customWidth="1"/>
    <col min="4609" max="4609" width="22.7109375" customWidth="1"/>
    <col min="4610" max="4610" width="6.42578125" customWidth="1"/>
    <col min="4611" max="4611" width="9.7109375" customWidth="1"/>
    <col min="4612" max="4612" width="9.5703125" customWidth="1"/>
    <col min="4613" max="4613" width="6.7109375" customWidth="1"/>
    <col min="4614" max="4614" width="9.7109375" customWidth="1"/>
    <col min="4615" max="4615" width="4" customWidth="1"/>
    <col min="4865" max="4865" width="22.7109375" customWidth="1"/>
    <col min="4866" max="4866" width="6.42578125" customWidth="1"/>
    <col min="4867" max="4867" width="9.7109375" customWidth="1"/>
    <col min="4868" max="4868" width="9.5703125" customWidth="1"/>
    <col min="4869" max="4869" width="6.7109375" customWidth="1"/>
    <col min="4870" max="4870" width="9.7109375" customWidth="1"/>
    <col min="4871" max="4871" width="4" customWidth="1"/>
    <col min="5121" max="5121" width="22.7109375" customWidth="1"/>
    <col min="5122" max="5122" width="6.42578125" customWidth="1"/>
    <col min="5123" max="5123" width="9.7109375" customWidth="1"/>
    <col min="5124" max="5124" width="9.5703125" customWidth="1"/>
    <col min="5125" max="5125" width="6.7109375" customWidth="1"/>
    <col min="5126" max="5126" width="9.7109375" customWidth="1"/>
    <col min="5127" max="5127" width="4" customWidth="1"/>
    <col min="5377" max="5377" width="22.7109375" customWidth="1"/>
    <col min="5378" max="5378" width="6.42578125" customWidth="1"/>
    <col min="5379" max="5379" width="9.7109375" customWidth="1"/>
    <col min="5380" max="5380" width="9.5703125" customWidth="1"/>
    <col min="5381" max="5381" width="6.7109375" customWidth="1"/>
    <col min="5382" max="5382" width="9.7109375" customWidth="1"/>
    <col min="5383" max="5383" width="4" customWidth="1"/>
    <col min="5633" max="5633" width="22.7109375" customWidth="1"/>
    <col min="5634" max="5634" width="6.42578125" customWidth="1"/>
    <col min="5635" max="5635" width="9.7109375" customWidth="1"/>
    <col min="5636" max="5636" width="9.5703125" customWidth="1"/>
    <col min="5637" max="5637" width="6.7109375" customWidth="1"/>
    <col min="5638" max="5638" width="9.7109375" customWidth="1"/>
    <col min="5639" max="5639" width="4" customWidth="1"/>
    <col min="5889" max="5889" width="22.7109375" customWidth="1"/>
    <col min="5890" max="5890" width="6.42578125" customWidth="1"/>
    <col min="5891" max="5891" width="9.7109375" customWidth="1"/>
    <col min="5892" max="5892" width="9.5703125" customWidth="1"/>
    <col min="5893" max="5893" width="6.7109375" customWidth="1"/>
    <col min="5894" max="5894" width="9.7109375" customWidth="1"/>
    <col min="5895" max="5895" width="4" customWidth="1"/>
    <col min="6145" max="6145" width="22.7109375" customWidth="1"/>
    <col min="6146" max="6146" width="6.42578125" customWidth="1"/>
    <col min="6147" max="6147" width="9.7109375" customWidth="1"/>
    <col min="6148" max="6148" width="9.5703125" customWidth="1"/>
    <col min="6149" max="6149" width="6.7109375" customWidth="1"/>
    <col min="6150" max="6150" width="9.7109375" customWidth="1"/>
    <col min="6151" max="6151" width="4" customWidth="1"/>
    <col min="6401" max="6401" width="22.7109375" customWidth="1"/>
    <col min="6402" max="6402" width="6.42578125" customWidth="1"/>
    <col min="6403" max="6403" width="9.7109375" customWidth="1"/>
    <col min="6404" max="6404" width="9.5703125" customWidth="1"/>
    <col min="6405" max="6405" width="6.7109375" customWidth="1"/>
    <col min="6406" max="6406" width="9.7109375" customWidth="1"/>
    <col min="6407" max="6407" width="4" customWidth="1"/>
    <col min="6657" max="6657" width="22.7109375" customWidth="1"/>
    <col min="6658" max="6658" width="6.42578125" customWidth="1"/>
    <col min="6659" max="6659" width="9.7109375" customWidth="1"/>
    <col min="6660" max="6660" width="9.5703125" customWidth="1"/>
    <col min="6661" max="6661" width="6.7109375" customWidth="1"/>
    <col min="6662" max="6662" width="9.7109375" customWidth="1"/>
    <col min="6663" max="6663" width="4" customWidth="1"/>
    <col min="6913" max="6913" width="22.7109375" customWidth="1"/>
    <col min="6914" max="6914" width="6.42578125" customWidth="1"/>
    <col min="6915" max="6915" width="9.7109375" customWidth="1"/>
    <col min="6916" max="6916" width="9.5703125" customWidth="1"/>
    <col min="6917" max="6917" width="6.7109375" customWidth="1"/>
    <col min="6918" max="6918" width="9.7109375" customWidth="1"/>
    <col min="6919" max="6919" width="4" customWidth="1"/>
    <col min="7169" max="7169" width="22.7109375" customWidth="1"/>
    <col min="7170" max="7170" width="6.42578125" customWidth="1"/>
    <col min="7171" max="7171" width="9.7109375" customWidth="1"/>
    <col min="7172" max="7172" width="9.5703125" customWidth="1"/>
    <col min="7173" max="7173" width="6.7109375" customWidth="1"/>
    <col min="7174" max="7174" width="9.7109375" customWidth="1"/>
    <col min="7175" max="7175" width="4" customWidth="1"/>
    <col min="7425" max="7425" width="22.7109375" customWidth="1"/>
    <col min="7426" max="7426" width="6.42578125" customWidth="1"/>
    <col min="7427" max="7427" width="9.7109375" customWidth="1"/>
    <col min="7428" max="7428" width="9.5703125" customWidth="1"/>
    <col min="7429" max="7429" width="6.7109375" customWidth="1"/>
    <col min="7430" max="7430" width="9.7109375" customWidth="1"/>
    <col min="7431" max="7431" width="4" customWidth="1"/>
    <col min="7681" max="7681" width="22.7109375" customWidth="1"/>
    <col min="7682" max="7682" width="6.42578125" customWidth="1"/>
    <col min="7683" max="7683" width="9.7109375" customWidth="1"/>
    <col min="7684" max="7684" width="9.5703125" customWidth="1"/>
    <col min="7685" max="7685" width="6.7109375" customWidth="1"/>
    <col min="7686" max="7686" width="9.7109375" customWidth="1"/>
    <col min="7687" max="7687" width="4" customWidth="1"/>
    <col min="7937" max="7937" width="22.7109375" customWidth="1"/>
    <col min="7938" max="7938" width="6.42578125" customWidth="1"/>
    <col min="7939" max="7939" width="9.7109375" customWidth="1"/>
    <col min="7940" max="7940" width="9.5703125" customWidth="1"/>
    <col min="7941" max="7941" width="6.7109375" customWidth="1"/>
    <col min="7942" max="7942" width="9.7109375" customWidth="1"/>
    <col min="7943" max="7943" width="4" customWidth="1"/>
    <col min="8193" max="8193" width="22.7109375" customWidth="1"/>
    <col min="8194" max="8194" width="6.42578125" customWidth="1"/>
    <col min="8195" max="8195" width="9.7109375" customWidth="1"/>
    <col min="8196" max="8196" width="9.5703125" customWidth="1"/>
    <col min="8197" max="8197" width="6.7109375" customWidth="1"/>
    <col min="8198" max="8198" width="9.7109375" customWidth="1"/>
    <col min="8199" max="8199" width="4" customWidth="1"/>
    <col min="8449" max="8449" width="22.7109375" customWidth="1"/>
    <col min="8450" max="8450" width="6.42578125" customWidth="1"/>
    <col min="8451" max="8451" width="9.7109375" customWidth="1"/>
    <col min="8452" max="8452" width="9.5703125" customWidth="1"/>
    <col min="8453" max="8453" width="6.7109375" customWidth="1"/>
    <col min="8454" max="8454" width="9.7109375" customWidth="1"/>
    <col min="8455" max="8455" width="4" customWidth="1"/>
    <col min="8705" max="8705" width="22.7109375" customWidth="1"/>
    <col min="8706" max="8706" width="6.42578125" customWidth="1"/>
    <col min="8707" max="8707" width="9.7109375" customWidth="1"/>
    <col min="8708" max="8708" width="9.5703125" customWidth="1"/>
    <col min="8709" max="8709" width="6.7109375" customWidth="1"/>
    <col min="8710" max="8710" width="9.7109375" customWidth="1"/>
    <col min="8711" max="8711" width="4" customWidth="1"/>
    <col min="8961" max="8961" width="22.7109375" customWidth="1"/>
    <col min="8962" max="8962" width="6.42578125" customWidth="1"/>
    <col min="8963" max="8963" width="9.7109375" customWidth="1"/>
    <col min="8964" max="8964" width="9.5703125" customWidth="1"/>
    <col min="8965" max="8965" width="6.7109375" customWidth="1"/>
    <col min="8966" max="8966" width="9.7109375" customWidth="1"/>
    <col min="8967" max="8967" width="4" customWidth="1"/>
    <col min="9217" max="9217" width="22.7109375" customWidth="1"/>
    <col min="9218" max="9218" width="6.42578125" customWidth="1"/>
    <col min="9219" max="9219" width="9.7109375" customWidth="1"/>
    <col min="9220" max="9220" width="9.5703125" customWidth="1"/>
    <col min="9221" max="9221" width="6.7109375" customWidth="1"/>
    <col min="9222" max="9222" width="9.7109375" customWidth="1"/>
    <col min="9223" max="9223" width="4" customWidth="1"/>
    <col min="9473" max="9473" width="22.7109375" customWidth="1"/>
    <col min="9474" max="9474" width="6.42578125" customWidth="1"/>
    <col min="9475" max="9475" width="9.7109375" customWidth="1"/>
    <col min="9476" max="9476" width="9.5703125" customWidth="1"/>
    <col min="9477" max="9477" width="6.7109375" customWidth="1"/>
    <col min="9478" max="9478" width="9.7109375" customWidth="1"/>
    <col min="9479" max="9479" width="4" customWidth="1"/>
    <col min="9729" max="9729" width="22.7109375" customWidth="1"/>
    <col min="9730" max="9730" width="6.42578125" customWidth="1"/>
    <col min="9731" max="9731" width="9.7109375" customWidth="1"/>
    <col min="9732" max="9732" width="9.5703125" customWidth="1"/>
    <col min="9733" max="9733" width="6.7109375" customWidth="1"/>
    <col min="9734" max="9734" width="9.7109375" customWidth="1"/>
    <col min="9735" max="9735" width="4" customWidth="1"/>
    <col min="9985" max="9985" width="22.7109375" customWidth="1"/>
    <col min="9986" max="9986" width="6.42578125" customWidth="1"/>
    <col min="9987" max="9987" width="9.7109375" customWidth="1"/>
    <col min="9988" max="9988" width="9.5703125" customWidth="1"/>
    <col min="9989" max="9989" width="6.7109375" customWidth="1"/>
    <col min="9990" max="9990" width="9.7109375" customWidth="1"/>
    <col min="9991" max="9991" width="4" customWidth="1"/>
    <col min="10241" max="10241" width="22.7109375" customWidth="1"/>
    <col min="10242" max="10242" width="6.42578125" customWidth="1"/>
    <col min="10243" max="10243" width="9.7109375" customWidth="1"/>
    <col min="10244" max="10244" width="9.5703125" customWidth="1"/>
    <col min="10245" max="10245" width="6.7109375" customWidth="1"/>
    <col min="10246" max="10246" width="9.7109375" customWidth="1"/>
    <col min="10247" max="10247" width="4" customWidth="1"/>
    <col min="10497" max="10497" width="22.7109375" customWidth="1"/>
    <col min="10498" max="10498" width="6.42578125" customWidth="1"/>
    <col min="10499" max="10499" width="9.7109375" customWidth="1"/>
    <col min="10500" max="10500" width="9.5703125" customWidth="1"/>
    <col min="10501" max="10501" width="6.7109375" customWidth="1"/>
    <col min="10502" max="10502" width="9.7109375" customWidth="1"/>
    <col min="10503" max="10503" width="4" customWidth="1"/>
    <col min="10753" max="10753" width="22.7109375" customWidth="1"/>
    <col min="10754" max="10754" width="6.42578125" customWidth="1"/>
    <col min="10755" max="10755" width="9.7109375" customWidth="1"/>
    <col min="10756" max="10756" width="9.5703125" customWidth="1"/>
    <col min="10757" max="10757" width="6.7109375" customWidth="1"/>
    <col min="10758" max="10758" width="9.7109375" customWidth="1"/>
    <col min="10759" max="10759" width="4" customWidth="1"/>
    <col min="11009" max="11009" width="22.7109375" customWidth="1"/>
    <col min="11010" max="11010" width="6.42578125" customWidth="1"/>
    <col min="11011" max="11011" width="9.7109375" customWidth="1"/>
    <col min="11012" max="11012" width="9.5703125" customWidth="1"/>
    <col min="11013" max="11013" width="6.7109375" customWidth="1"/>
    <col min="11014" max="11014" width="9.7109375" customWidth="1"/>
    <col min="11015" max="11015" width="4" customWidth="1"/>
    <col min="11265" max="11265" width="22.7109375" customWidth="1"/>
    <col min="11266" max="11266" width="6.42578125" customWidth="1"/>
    <col min="11267" max="11267" width="9.7109375" customWidth="1"/>
    <col min="11268" max="11268" width="9.5703125" customWidth="1"/>
    <col min="11269" max="11269" width="6.7109375" customWidth="1"/>
    <col min="11270" max="11270" width="9.7109375" customWidth="1"/>
    <col min="11271" max="11271" width="4" customWidth="1"/>
    <col min="11521" max="11521" width="22.7109375" customWidth="1"/>
    <col min="11522" max="11522" width="6.42578125" customWidth="1"/>
    <col min="11523" max="11523" width="9.7109375" customWidth="1"/>
    <col min="11524" max="11524" width="9.5703125" customWidth="1"/>
    <col min="11525" max="11525" width="6.7109375" customWidth="1"/>
    <col min="11526" max="11526" width="9.7109375" customWidth="1"/>
    <col min="11527" max="11527" width="4" customWidth="1"/>
    <col min="11777" max="11777" width="22.7109375" customWidth="1"/>
    <col min="11778" max="11778" width="6.42578125" customWidth="1"/>
    <col min="11779" max="11779" width="9.7109375" customWidth="1"/>
    <col min="11780" max="11780" width="9.5703125" customWidth="1"/>
    <col min="11781" max="11781" width="6.7109375" customWidth="1"/>
    <col min="11782" max="11782" width="9.7109375" customWidth="1"/>
    <col min="11783" max="11783" width="4" customWidth="1"/>
    <col min="12033" max="12033" width="22.7109375" customWidth="1"/>
    <col min="12034" max="12034" width="6.42578125" customWidth="1"/>
    <col min="12035" max="12035" width="9.7109375" customWidth="1"/>
    <col min="12036" max="12036" width="9.5703125" customWidth="1"/>
    <col min="12037" max="12037" width="6.7109375" customWidth="1"/>
    <col min="12038" max="12038" width="9.7109375" customWidth="1"/>
    <col min="12039" max="12039" width="4" customWidth="1"/>
    <col min="12289" max="12289" width="22.7109375" customWidth="1"/>
    <col min="12290" max="12290" width="6.42578125" customWidth="1"/>
    <col min="12291" max="12291" width="9.7109375" customWidth="1"/>
    <col min="12292" max="12292" width="9.5703125" customWidth="1"/>
    <col min="12293" max="12293" width="6.7109375" customWidth="1"/>
    <col min="12294" max="12294" width="9.7109375" customWidth="1"/>
    <col min="12295" max="12295" width="4" customWidth="1"/>
    <col min="12545" max="12545" width="22.7109375" customWidth="1"/>
    <col min="12546" max="12546" width="6.42578125" customWidth="1"/>
    <col min="12547" max="12547" width="9.7109375" customWidth="1"/>
    <col min="12548" max="12548" width="9.5703125" customWidth="1"/>
    <col min="12549" max="12549" width="6.7109375" customWidth="1"/>
    <col min="12550" max="12550" width="9.7109375" customWidth="1"/>
    <col min="12551" max="12551" width="4" customWidth="1"/>
    <col min="12801" max="12801" width="22.7109375" customWidth="1"/>
    <col min="12802" max="12802" width="6.42578125" customWidth="1"/>
    <col min="12803" max="12803" width="9.7109375" customWidth="1"/>
    <col min="12804" max="12804" width="9.5703125" customWidth="1"/>
    <col min="12805" max="12805" width="6.7109375" customWidth="1"/>
    <col min="12806" max="12806" width="9.7109375" customWidth="1"/>
    <col min="12807" max="12807" width="4" customWidth="1"/>
    <col min="13057" max="13057" width="22.7109375" customWidth="1"/>
    <col min="13058" max="13058" width="6.42578125" customWidth="1"/>
    <col min="13059" max="13059" width="9.7109375" customWidth="1"/>
    <col min="13060" max="13060" width="9.5703125" customWidth="1"/>
    <col min="13061" max="13061" width="6.7109375" customWidth="1"/>
    <col min="13062" max="13062" width="9.7109375" customWidth="1"/>
    <col min="13063" max="13063" width="4" customWidth="1"/>
    <col min="13313" max="13313" width="22.7109375" customWidth="1"/>
    <col min="13314" max="13314" width="6.42578125" customWidth="1"/>
    <col min="13315" max="13315" width="9.7109375" customWidth="1"/>
    <col min="13316" max="13316" width="9.5703125" customWidth="1"/>
    <col min="13317" max="13317" width="6.7109375" customWidth="1"/>
    <col min="13318" max="13318" width="9.7109375" customWidth="1"/>
    <col min="13319" max="13319" width="4" customWidth="1"/>
    <col min="13569" max="13569" width="22.7109375" customWidth="1"/>
    <col min="13570" max="13570" width="6.42578125" customWidth="1"/>
    <col min="13571" max="13571" width="9.7109375" customWidth="1"/>
    <col min="13572" max="13572" width="9.5703125" customWidth="1"/>
    <col min="13573" max="13573" width="6.7109375" customWidth="1"/>
    <col min="13574" max="13574" width="9.7109375" customWidth="1"/>
    <col min="13575" max="13575" width="4" customWidth="1"/>
    <col min="13825" max="13825" width="22.7109375" customWidth="1"/>
    <col min="13826" max="13826" width="6.42578125" customWidth="1"/>
    <col min="13827" max="13827" width="9.7109375" customWidth="1"/>
    <col min="13828" max="13828" width="9.5703125" customWidth="1"/>
    <col min="13829" max="13829" width="6.7109375" customWidth="1"/>
    <col min="13830" max="13830" width="9.7109375" customWidth="1"/>
    <col min="13831" max="13831" width="4" customWidth="1"/>
    <col min="14081" max="14081" width="22.7109375" customWidth="1"/>
    <col min="14082" max="14082" width="6.42578125" customWidth="1"/>
    <col min="14083" max="14083" width="9.7109375" customWidth="1"/>
    <col min="14084" max="14084" width="9.5703125" customWidth="1"/>
    <col min="14085" max="14085" width="6.7109375" customWidth="1"/>
    <col min="14086" max="14086" width="9.7109375" customWidth="1"/>
    <col min="14087" max="14087" width="4" customWidth="1"/>
    <col min="14337" max="14337" width="22.7109375" customWidth="1"/>
    <col min="14338" max="14338" width="6.42578125" customWidth="1"/>
    <col min="14339" max="14339" width="9.7109375" customWidth="1"/>
    <col min="14340" max="14340" width="9.5703125" customWidth="1"/>
    <col min="14341" max="14341" width="6.7109375" customWidth="1"/>
    <col min="14342" max="14342" width="9.7109375" customWidth="1"/>
    <col min="14343" max="14343" width="4" customWidth="1"/>
    <col min="14593" max="14593" width="22.7109375" customWidth="1"/>
    <col min="14594" max="14594" width="6.42578125" customWidth="1"/>
    <col min="14595" max="14595" width="9.7109375" customWidth="1"/>
    <col min="14596" max="14596" width="9.5703125" customWidth="1"/>
    <col min="14597" max="14597" width="6.7109375" customWidth="1"/>
    <col min="14598" max="14598" width="9.7109375" customWidth="1"/>
    <col min="14599" max="14599" width="4" customWidth="1"/>
    <col min="14849" max="14849" width="22.7109375" customWidth="1"/>
    <col min="14850" max="14850" width="6.42578125" customWidth="1"/>
    <col min="14851" max="14851" width="9.7109375" customWidth="1"/>
    <col min="14852" max="14852" width="9.5703125" customWidth="1"/>
    <col min="14853" max="14853" width="6.7109375" customWidth="1"/>
    <col min="14854" max="14854" width="9.7109375" customWidth="1"/>
    <col min="14855" max="14855" width="4" customWidth="1"/>
    <col min="15105" max="15105" width="22.7109375" customWidth="1"/>
    <col min="15106" max="15106" width="6.42578125" customWidth="1"/>
    <col min="15107" max="15107" width="9.7109375" customWidth="1"/>
    <col min="15108" max="15108" width="9.5703125" customWidth="1"/>
    <col min="15109" max="15109" width="6.7109375" customWidth="1"/>
    <col min="15110" max="15110" width="9.7109375" customWidth="1"/>
    <col min="15111" max="15111" width="4" customWidth="1"/>
    <col min="15361" max="15361" width="22.7109375" customWidth="1"/>
    <col min="15362" max="15362" width="6.42578125" customWidth="1"/>
    <col min="15363" max="15363" width="9.7109375" customWidth="1"/>
    <col min="15364" max="15364" width="9.5703125" customWidth="1"/>
    <col min="15365" max="15365" width="6.7109375" customWidth="1"/>
    <col min="15366" max="15366" width="9.7109375" customWidth="1"/>
    <col min="15367" max="15367" width="4" customWidth="1"/>
    <col min="15617" max="15617" width="22.7109375" customWidth="1"/>
    <col min="15618" max="15618" width="6.42578125" customWidth="1"/>
    <col min="15619" max="15619" width="9.7109375" customWidth="1"/>
    <col min="15620" max="15620" width="9.5703125" customWidth="1"/>
    <col min="15621" max="15621" width="6.7109375" customWidth="1"/>
    <col min="15622" max="15622" width="9.7109375" customWidth="1"/>
    <col min="15623" max="15623" width="4" customWidth="1"/>
    <col min="15873" max="15873" width="22.7109375" customWidth="1"/>
    <col min="15874" max="15874" width="6.42578125" customWidth="1"/>
    <col min="15875" max="15875" width="9.7109375" customWidth="1"/>
    <col min="15876" max="15876" width="9.5703125" customWidth="1"/>
    <col min="15877" max="15877" width="6.7109375" customWidth="1"/>
    <col min="15878" max="15878" width="9.7109375" customWidth="1"/>
    <col min="15879" max="15879" width="4" customWidth="1"/>
    <col min="16129" max="16129" width="22.7109375" customWidth="1"/>
    <col min="16130" max="16130" width="6.42578125" customWidth="1"/>
    <col min="16131" max="16131" width="9.7109375" customWidth="1"/>
    <col min="16132" max="16132" width="9.5703125" customWidth="1"/>
    <col min="16133" max="16133" width="6.7109375" customWidth="1"/>
    <col min="16134" max="16134" width="9.7109375" customWidth="1"/>
    <col min="16135" max="16135" width="4" customWidth="1"/>
  </cols>
  <sheetData>
    <row r="1" spans="1:13">
      <c r="A1" s="42" t="s">
        <v>366</v>
      </c>
      <c r="B1" s="42"/>
      <c r="C1" s="94"/>
      <c r="D1" s="94"/>
      <c r="E1" s="42"/>
      <c r="F1" s="94"/>
      <c r="G1" s="42"/>
    </row>
    <row r="2" spans="1:13">
      <c r="A2" s="44" t="s">
        <v>367</v>
      </c>
      <c r="B2" s="42"/>
      <c r="C2" s="94"/>
      <c r="D2" s="94"/>
      <c r="E2" s="42"/>
      <c r="F2" s="94"/>
      <c r="G2" s="42"/>
    </row>
    <row r="3" spans="1:13">
      <c r="A3" s="42"/>
      <c r="B3" s="42"/>
      <c r="C3" s="94"/>
      <c r="D3" s="94"/>
      <c r="E3" s="42"/>
      <c r="F3" s="94"/>
      <c r="G3" s="42"/>
    </row>
    <row r="4" spans="1:13">
      <c r="A4" s="42" t="s">
        <v>1625</v>
      </c>
      <c r="B4" s="42"/>
      <c r="C4" s="94"/>
      <c r="D4" s="94"/>
      <c r="E4" s="42"/>
      <c r="F4" s="94"/>
      <c r="G4" s="42"/>
    </row>
    <row r="5" spans="1:13">
      <c r="A5" s="42" t="s">
        <v>1626</v>
      </c>
      <c r="B5" s="42"/>
      <c r="C5" s="94"/>
      <c r="D5" s="94"/>
      <c r="E5" s="42"/>
      <c r="F5" s="94"/>
      <c r="G5" s="42"/>
    </row>
    <row r="6" spans="1:13">
      <c r="A6" s="42" t="s">
        <v>1627</v>
      </c>
      <c r="B6" s="42"/>
      <c r="C6" s="94"/>
      <c r="D6" s="94"/>
      <c r="E6" s="42"/>
      <c r="F6" s="94"/>
      <c r="G6" s="42"/>
    </row>
    <row r="7" spans="1:13" ht="15.75" customHeight="1" thickBot="1">
      <c r="A7" s="42"/>
      <c r="B7" s="42"/>
      <c r="C7" s="94"/>
      <c r="D7" s="94"/>
      <c r="E7" s="42"/>
      <c r="F7" s="94"/>
      <c r="G7" s="42"/>
      <c r="L7" s="36"/>
      <c r="M7" s="36"/>
    </row>
    <row r="8" spans="1:13" ht="12.75" customHeight="1">
      <c r="A8" s="237"/>
      <c r="B8" s="237"/>
      <c r="C8" s="236"/>
      <c r="D8" s="236"/>
      <c r="E8" s="237"/>
      <c r="F8" s="236"/>
      <c r="G8" s="237"/>
    </row>
    <row r="9" spans="1:13" ht="12.75" customHeight="1">
      <c r="A9" s="95" t="s">
        <v>1587</v>
      </c>
      <c r="B9" s="1288" t="s">
        <v>293</v>
      </c>
      <c r="C9" s="1288"/>
      <c r="D9" s="240"/>
      <c r="E9" s="1288" t="s">
        <v>294</v>
      </c>
      <c r="F9" s="1288"/>
      <c r="G9" s="242"/>
    </row>
    <row r="10" spans="1:13" ht="12.75" customHeight="1">
      <c r="A10" s="95"/>
      <c r="B10" s="628" t="s">
        <v>957</v>
      </c>
      <c r="C10" s="629" t="s">
        <v>1588</v>
      </c>
      <c r="D10" s="241"/>
      <c r="E10" s="469" t="s">
        <v>957</v>
      </c>
      <c r="F10" s="630" t="s">
        <v>1588</v>
      </c>
      <c r="G10" s="242"/>
    </row>
    <row r="11" spans="1:13" ht="12.75" customHeight="1" thickBot="1">
      <c r="A11" s="249"/>
      <c r="B11" s="249"/>
      <c r="C11" s="248"/>
      <c r="D11" s="248"/>
      <c r="E11" s="631"/>
      <c r="F11" s="632"/>
      <c r="G11" s="631"/>
    </row>
    <row r="12" spans="1:13" ht="12.75" customHeight="1">
      <c r="A12" s="95"/>
      <c r="B12" s="95"/>
      <c r="C12" s="240"/>
      <c r="D12" s="240"/>
      <c r="E12" s="242"/>
      <c r="F12" s="241"/>
      <c r="G12" s="242"/>
    </row>
    <row r="13" spans="1:13" ht="24.95" customHeight="1">
      <c r="A13" s="90" t="s">
        <v>501</v>
      </c>
      <c r="B13" s="314">
        <f>SUM(B14:B21)</f>
        <v>2683</v>
      </c>
      <c r="C13" s="240">
        <f>SUM(C14:C21)</f>
        <v>100</v>
      </c>
      <c r="E13" s="314">
        <f>SUM(E14:E21)</f>
        <v>2516</v>
      </c>
      <c r="F13" s="240">
        <f>SUM(F14:F21)</f>
        <v>99.999999999999986</v>
      </c>
      <c r="G13" s="242"/>
    </row>
    <row r="14" spans="1:13" ht="24.95" customHeight="1">
      <c r="A14" s="95" t="s">
        <v>1628</v>
      </c>
      <c r="B14" s="95">
        <v>115</v>
      </c>
      <c r="C14" s="240">
        <f>B14/$B$13*100</f>
        <v>4.2862467387253078</v>
      </c>
      <c r="E14" s="95">
        <v>76</v>
      </c>
      <c r="F14" s="633">
        <f>E14/$E$13*100</f>
        <v>3.0206677265500796</v>
      </c>
      <c r="G14" s="242"/>
    </row>
    <row r="15" spans="1:13" ht="24.95" customHeight="1">
      <c r="A15" s="95" t="s">
        <v>1629</v>
      </c>
      <c r="B15" s="95">
        <v>160</v>
      </c>
      <c r="C15" s="240">
        <f t="shared" ref="C15:C21" si="0">B15/$B$13*100</f>
        <v>5.9634737234439061</v>
      </c>
      <c r="E15" s="95">
        <v>133</v>
      </c>
      <c r="F15" s="633">
        <f t="shared" ref="F15:F21" si="1">E15/$E$13*100</f>
        <v>5.2861685214626393</v>
      </c>
      <c r="G15" s="242"/>
    </row>
    <row r="16" spans="1:13" ht="24.95" customHeight="1">
      <c r="A16" s="95" t="s">
        <v>1630</v>
      </c>
      <c r="B16" s="95">
        <v>239</v>
      </c>
      <c r="C16" s="240">
        <f t="shared" si="0"/>
        <v>8.9079388743943344</v>
      </c>
      <c r="E16" s="95">
        <v>212</v>
      </c>
      <c r="F16" s="633">
        <f t="shared" si="1"/>
        <v>8.4260731319554854</v>
      </c>
      <c r="G16" s="242"/>
    </row>
    <row r="17" spans="1:7" ht="24.95" customHeight="1">
      <c r="A17" s="95" t="s">
        <v>1631</v>
      </c>
      <c r="B17" s="95">
        <v>378</v>
      </c>
      <c r="C17" s="240">
        <f t="shared" si="0"/>
        <v>14.088706671636228</v>
      </c>
      <c r="E17" s="95">
        <v>356</v>
      </c>
      <c r="F17" s="633">
        <f t="shared" si="1"/>
        <v>14.149443561208267</v>
      </c>
      <c r="G17" s="242"/>
    </row>
    <row r="18" spans="1:7" ht="24.95" customHeight="1">
      <c r="A18" s="95" t="s">
        <v>1632</v>
      </c>
      <c r="B18" s="95">
        <v>170</v>
      </c>
      <c r="C18" s="240">
        <f t="shared" si="0"/>
        <v>6.3361908311591497</v>
      </c>
      <c r="E18" s="95">
        <v>163</v>
      </c>
      <c r="F18" s="633">
        <f t="shared" si="1"/>
        <v>6.4785373608903019</v>
      </c>
      <c r="G18" s="242"/>
    </row>
    <row r="19" spans="1:7" ht="24.95" customHeight="1">
      <c r="A19" s="95" t="s">
        <v>1633</v>
      </c>
      <c r="B19" s="95">
        <v>418</v>
      </c>
      <c r="C19" s="240">
        <f t="shared" si="0"/>
        <v>15.579575102497204</v>
      </c>
      <c r="E19" s="95">
        <v>402</v>
      </c>
      <c r="F19" s="633">
        <f t="shared" si="1"/>
        <v>15.977742448330684</v>
      </c>
      <c r="G19" s="242"/>
    </row>
    <row r="20" spans="1:7" ht="24.95" customHeight="1">
      <c r="A20" s="95" t="s">
        <v>1634</v>
      </c>
      <c r="B20" s="95">
        <v>1147</v>
      </c>
      <c r="C20" s="240">
        <f t="shared" si="0"/>
        <v>42.750652254938501</v>
      </c>
      <c r="E20" s="95">
        <v>1135</v>
      </c>
      <c r="F20" s="633">
        <f t="shared" si="1"/>
        <v>45.111287758346577</v>
      </c>
      <c r="G20" s="242"/>
    </row>
    <row r="21" spans="1:7" ht="24.95" customHeight="1">
      <c r="A21" s="95" t="s">
        <v>1635</v>
      </c>
      <c r="B21" s="95">
        <v>56</v>
      </c>
      <c r="C21" s="240">
        <f t="shared" si="0"/>
        <v>2.0872158032053671</v>
      </c>
      <c r="E21" s="95">
        <v>39</v>
      </c>
      <c r="F21" s="633">
        <f t="shared" si="1"/>
        <v>1.5500794912559619</v>
      </c>
      <c r="G21" s="242"/>
    </row>
    <row r="22" spans="1:7" ht="12.75" customHeight="1" thickBot="1">
      <c r="A22" s="249"/>
      <c r="B22" s="249"/>
      <c r="C22" s="248"/>
      <c r="D22" s="248"/>
      <c r="E22" s="303"/>
      <c r="F22" s="302"/>
      <c r="G22" s="631"/>
    </row>
    <row r="23" spans="1:7" ht="12.75" customHeight="1">
      <c r="A23" s="95"/>
      <c r="B23" s="95"/>
      <c r="C23" s="240"/>
      <c r="D23" s="240"/>
      <c r="E23" s="312"/>
      <c r="F23" s="633"/>
      <c r="G23" s="242"/>
    </row>
    <row r="24" spans="1:7" ht="12.75" customHeight="1">
      <c r="A24" s="95" t="s">
        <v>1582</v>
      </c>
      <c r="B24" s="95"/>
      <c r="C24" s="240"/>
      <c r="D24" s="240"/>
      <c r="E24" s="312"/>
      <c r="F24" s="633"/>
      <c r="G24" s="242"/>
    </row>
    <row r="25" spans="1:7" ht="12.75" customHeight="1">
      <c r="A25" s="95" t="s">
        <v>365</v>
      </c>
      <c r="B25" s="95"/>
      <c r="C25" s="240"/>
      <c r="D25" s="240"/>
      <c r="E25" s="312"/>
      <c r="F25" s="633"/>
      <c r="G25" s="242"/>
    </row>
    <row r="26" spans="1:7">
      <c r="A26" s="634"/>
      <c r="B26" s="634"/>
      <c r="C26" s="635"/>
      <c r="D26" s="635"/>
      <c r="E26" s="242"/>
      <c r="F26" s="241"/>
      <c r="G26" s="242"/>
    </row>
    <row r="27" spans="1:7">
      <c r="A27" s="634"/>
      <c r="B27" s="634"/>
      <c r="C27" s="635"/>
      <c r="D27" s="635"/>
      <c r="E27" s="241"/>
      <c r="F27" s="241"/>
      <c r="G27" s="241"/>
    </row>
    <row r="28" spans="1:7">
      <c r="A28" s="42"/>
      <c r="B28" s="42"/>
      <c r="C28" s="94"/>
      <c r="D28" s="94"/>
      <c r="E28" s="636"/>
      <c r="F28" s="637"/>
      <c r="G28" s="636"/>
    </row>
    <row r="29" spans="1:7">
      <c r="A29" s="42"/>
      <c r="B29" s="42"/>
      <c r="C29" s="94"/>
      <c r="D29" s="94"/>
      <c r="E29" s="636"/>
      <c r="F29" s="637"/>
      <c r="G29" s="636"/>
    </row>
    <row r="30" spans="1:7">
      <c r="A30" s="638"/>
      <c r="B30" s="638"/>
      <c r="C30" s="639"/>
      <c r="D30" s="639"/>
      <c r="E30" s="640"/>
      <c r="F30" s="641"/>
      <c r="G30" s="640"/>
    </row>
    <row r="31" spans="1:7">
      <c r="A31" s="638"/>
      <c r="B31" s="638"/>
      <c r="C31" s="639"/>
      <c r="D31" s="639"/>
      <c r="E31" s="638"/>
      <c r="F31" s="639"/>
      <c r="G31" s="638"/>
    </row>
    <row r="32" spans="1:7">
      <c r="A32" s="638"/>
      <c r="B32" s="638"/>
      <c r="C32" s="639"/>
      <c r="D32" s="639"/>
      <c r="E32" s="638"/>
      <c r="F32" s="639"/>
      <c r="G32" s="638"/>
    </row>
  </sheetData>
  <mergeCells count="2">
    <mergeCell ref="B9:C9"/>
    <mergeCell ref="E9:F9"/>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sheetPr>
    <tabColor theme="5" tint="0.59999389629810485"/>
  </sheetPr>
  <dimension ref="A1:D13"/>
  <sheetViews>
    <sheetView workbookViewId="0">
      <selection activeCell="M20" sqref="M20"/>
    </sheetView>
  </sheetViews>
  <sheetFormatPr baseColWidth="10" defaultColWidth="9.140625" defaultRowHeight="15"/>
  <cols>
    <col min="1" max="1" width="21.28515625" customWidth="1"/>
    <col min="2" max="3" width="10.7109375" style="41" customWidth="1"/>
    <col min="4" max="4" width="3.5703125" customWidth="1"/>
    <col min="257" max="257" width="21.28515625" customWidth="1"/>
    <col min="258" max="259" width="10.7109375" customWidth="1"/>
    <col min="260" max="260" width="3.5703125" customWidth="1"/>
    <col min="513" max="513" width="21.28515625" customWidth="1"/>
    <col min="514" max="515" width="10.7109375" customWidth="1"/>
    <col min="516" max="516" width="3.5703125" customWidth="1"/>
    <col min="769" max="769" width="21.28515625" customWidth="1"/>
    <col min="770" max="771" width="10.7109375" customWidth="1"/>
    <col min="772" max="772" width="3.5703125" customWidth="1"/>
    <col min="1025" max="1025" width="21.28515625" customWidth="1"/>
    <col min="1026" max="1027" width="10.7109375" customWidth="1"/>
    <col min="1028" max="1028" width="3.5703125" customWidth="1"/>
    <col min="1281" max="1281" width="21.28515625" customWidth="1"/>
    <col min="1282" max="1283" width="10.7109375" customWidth="1"/>
    <col min="1284" max="1284" width="3.5703125" customWidth="1"/>
    <col min="1537" max="1537" width="21.28515625" customWidth="1"/>
    <col min="1538" max="1539" width="10.7109375" customWidth="1"/>
    <col min="1540" max="1540" width="3.5703125" customWidth="1"/>
    <col min="1793" max="1793" width="21.28515625" customWidth="1"/>
    <col min="1794" max="1795" width="10.7109375" customWidth="1"/>
    <col min="1796" max="1796" width="3.5703125" customWidth="1"/>
    <col min="2049" max="2049" width="21.28515625" customWidth="1"/>
    <col min="2050" max="2051" width="10.7109375" customWidth="1"/>
    <col min="2052" max="2052" width="3.5703125" customWidth="1"/>
    <col min="2305" max="2305" width="21.28515625" customWidth="1"/>
    <col min="2306" max="2307" width="10.7109375" customWidth="1"/>
    <col min="2308" max="2308" width="3.5703125" customWidth="1"/>
    <col min="2561" max="2561" width="21.28515625" customWidth="1"/>
    <col min="2562" max="2563" width="10.7109375" customWidth="1"/>
    <col min="2564" max="2564" width="3.5703125" customWidth="1"/>
    <col min="2817" max="2817" width="21.28515625" customWidth="1"/>
    <col min="2818" max="2819" width="10.7109375" customWidth="1"/>
    <col min="2820" max="2820" width="3.5703125" customWidth="1"/>
    <col min="3073" max="3073" width="21.28515625" customWidth="1"/>
    <col min="3074" max="3075" width="10.7109375" customWidth="1"/>
    <col min="3076" max="3076" width="3.5703125" customWidth="1"/>
    <col min="3329" max="3329" width="21.28515625" customWidth="1"/>
    <col min="3330" max="3331" width="10.7109375" customWidth="1"/>
    <col min="3332" max="3332" width="3.5703125" customWidth="1"/>
    <col min="3585" max="3585" width="21.28515625" customWidth="1"/>
    <col min="3586" max="3587" width="10.7109375" customWidth="1"/>
    <col min="3588" max="3588" width="3.5703125" customWidth="1"/>
    <col min="3841" max="3841" width="21.28515625" customWidth="1"/>
    <col min="3842" max="3843" width="10.7109375" customWidth="1"/>
    <col min="3844" max="3844" width="3.5703125" customWidth="1"/>
    <col min="4097" max="4097" width="21.28515625" customWidth="1"/>
    <col min="4098" max="4099" width="10.7109375" customWidth="1"/>
    <col min="4100" max="4100" width="3.5703125" customWidth="1"/>
    <col min="4353" max="4353" width="21.28515625" customWidth="1"/>
    <col min="4354" max="4355" width="10.7109375" customWidth="1"/>
    <col min="4356" max="4356" width="3.5703125" customWidth="1"/>
    <col min="4609" max="4609" width="21.28515625" customWidth="1"/>
    <col min="4610" max="4611" width="10.7109375" customWidth="1"/>
    <col min="4612" max="4612" width="3.5703125" customWidth="1"/>
    <col min="4865" max="4865" width="21.28515625" customWidth="1"/>
    <col min="4866" max="4867" width="10.7109375" customWidth="1"/>
    <col min="4868" max="4868" width="3.5703125" customWidth="1"/>
    <col min="5121" max="5121" width="21.28515625" customWidth="1"/>
    <col min="5122" max="5123" width="10.7109375" customWidth="1"/>
    <col min="5124" max="5124" width="3.5703125" customWidth="1"/>
    <col min="5377" max="5377" width="21.28515625" customWidth="1"/>
    <col min="5378" max="5379" width="10.7109375" customWidth="1"/>
    <col min="5380" max="5380" width="3.5703125" customWidth="1"/>
    <col min="5633" max="5633" width="21.28515625" customWidth="1"/>
    <col min="5634" max="5635" width="10.7109375" customWidth="1"/>
    <col min="5636" max="5636" width="3.5703125" customWidth="1"/>
    <col min="5889" max="5889" width="21.28515625" customWidth="1"/>
    <col min="5890" max="5891" width="10.7109375" customWidth="1"/>
    <col min="5892" max="5892" width="3.5703125" customWidth="1"/>
    <col min="6145" max="6145" width="21.28515625" customWidth="1"/>
    <col min="6146" max="6147" width="10.7109375" customWidth="1"/>
    <col min="6148" max="6148" width="3.5703125" customWidth="1"/>
    <col min="6401" max="6401" width="21.28515625" customWidth="1"/>
    <col min="6402" max="6403" width="10.7109375" customWidth="1"/>
    <col min="6404" max="6404" width="3.5703125" customWidth="1"/>
    <col min="6657" max="6657" width="21.28515625" customWidth="1"/>
    <col min="6658" max="6659" width="10.7109375" customWidth="1"/>
    <col min="6660" max="6660" width="3.5703125" customWidth="1"/>
    <col min="6913" max="6913" width="21.28515625" customWidth="1"/>
    <col min="6914" max="6915" width="10.7109375" customWidth="1"/>
    <col min="6916" max="6916" width="3.5703125" customWidth="1"/>
    <col min="7169" max="7169" width="21.28515625" customWidth="1"/>
    <col min="7170" max="7171" width="10.7109375" customWidth="1"/>
    <col min="7172" max="7172" width="3.5703125" customWidth="1"/>
    <col min="7425" max="7425" width="21.28515625" customWidth="1"/>
    <col min="7426" max="7427" width="10.7109375" customWidth="1"/>
    <col min="7428" max="7428" width="3.5703125" customWidth="1"/>
    <col min="7681" max="7681" width="21.28515625" customWidth="1"/>
    <col min="7682" max="7683" width="10.7109375" customWidth="1"/>
    <col min="7684" max="7684" width="3.5703125" customWidth="1"/>
    <col min="7937" max="7937" width="21.28515625" customWidth="1"/>
    <col min="7938" max="7939" width="10.7109375" customWidth="1"/>
    <col min="7940" max="7940" width="3.5703125" customWidth="1"/>
    <col min="8193" max="8193" width="21.28515625" customWidth="1"/>
    <col min="8194" max="8195" width="10.7109375" customWidth="1"/>
    <col min="8196" max="8196" width="3.5703125" customWidth="1"/>
    <col min="8449" max="8449" width="21.28515625" customWidth="1"/>
    <col min="8450" max="8451" width="10.7109375" customWidth="1"/>
    <col min="8452" max="8452" width="3.5703125" customWidth="1"/>
    <col min="8705" max="8705" width="21.28515625" customWidth="1"/>
    <col min="8706" max="8707" width="10.7109375" customWidth="1"/>
    <col min="8708" max="8708" width="3.5703125" customWidth="1"/>
    <col min="8961" max="8961" width="21.28515625" customWidth="1"/>
    <col min="8962" max="8963" width="10.7109375" customWidth="1"/>
    <col min="8964" max="8964" width="3.5703125" customWidth="1"/>
    <col min="9217" max="9217" width="21.28515625" customWidth="1"/>
    <col min="9218" max="9219" width="10.7109375" customWidth="1"/>
    <col min="9220" max="9220" width="3.5703125" customWidth="1"/>
    <col min="9473" max="9473" width="21.28515625" customWidth="1"/>
    <col min="9474" max="9475" width="10.7109375" customWidth="1"/>
    <col min="9476" max="9476" width="3.5703125" customWidth="1"/>
    <col min="9729" max="9729" width="21.28515625" customWidth="1"/>
    <col min="9730" max="9731" width="10.7109375" customWidth="1"/>
    <col min="9732" max="9732" width="3.5703125" customWidth="1"/>
    <col min="9985" max="9985" width="21.28515625" customWidth="1"/>
    <col min="9986" max="9987" width="10.7109375" customWidth="1"/>
    <col min="9988" max="9988" width="3.5703125" customWidth="1"/>
    <col min="10241" max="10241" width="21.28515625" customWidth="1"/>
    <col min="10242" max="10243" width="10.7109375" customWidth="1"/>
    <col min="10244" max="10244" width="3.5703125" customWidth="1"/>
    <col min="10497" max="10497" width="21.28515625" customWidth="1"/>
    <col min="10498" max="10499" width="10.7109375" customWidth="1"/>
    <col min="10500" max="10500" width="3.5703125" customWidth="1"/>
    <col min="10753" max="10753" width="21.28515625" customWidth="1"/>
    <col min="10754" max="10755" width="10.7109375" customWidth="1"/>
    <col min="10756" max="10756" width="3.5703125" customWidth="1"/>
    <col min="11009" max="11009" width="21.28515625" customWidth="1"/>
    <col min="11010" max="11011" width="10.7109375" customWidth="1"/>
    <col min="11012" max="11012" width="3.5703125" customWidth="1"/>
    <col min="11265" max="11265" width="21.28515625" customWidth="1"/>
    <col min="11266" max="11267" width="10.7109375" customWidth="1"/>
    <col min="11268" max="11268" width="3.5703125" customWidth="1"/>
    <col min="11521" max="11521" width="21.28515625" customWidth="1"/>
    <col min="11522" max="11523" width="10.7109375" customWidth="1"/>
    <col min="11524" max="11524" width="3.5703125" customWidth="1"/>
    <col min="11777" max="11777" width="21.28515625" customWidth="1"/>
    <col min="11778" max="11779" width="10.7109375" customWidth="1"/>
    <col min="11780" max="11780" width="3.5703125" customWidth="1"/>
    <col min="12033" max="12033" width="21.28515625" customWidth="1"/>
    <col min="12034" max="12035" width="10.7109375" customWidth="1"/>
    <col min="12036" max="12036" width="3.5703125" customWidth="1"/>
    <col min="12289" max="12289" width="21.28515625" customWidth="1"/>
    <col min="12290" max="12291" width="10.7109375" customWidth="1"/>
    <col min="12292" max="12292" width="3.5703125" customWidth="1"/>
    <col min="12545" max="12545" width="21.28515625" customWidth="1"/>
    <col min="12546" max="12547" width="10.7109375" customWidth="1"/>
    <col min="12548" max="12548" width="3.5703125" customWidth="1"/>
    <col min="12801" max="12801" width="21.28515625" customWidth="1"/>
    <col min="12802" max="12803" width="10.7109375" customWidth="1"/>
    <col min="12804" max="12804" width="3.5703125" customWidth="1"/>
    <col min="13057" max="13057" width="21.28515625" customWidth="1"/>
    <col min="13058" max="13059" width="10.7109375" customWidth="1"/>
    <col min="13060" max="13060" width="3.5703125" customWidth="1"/>
    <col min="13313" max="13313" width="21.28515625" customWidth="1"/>
    <col min="13314" max="13315" width="10.7109375" customWidth="1"/>
    <col min="13316" max="13316" width="3.5703125" customWidth="1"/>
    <col min="13569" max="13569" width="21.28515625" customWidth="1"/>
    <col min="13570" max="13571" width="10.7109375" customWidth="1"/>
    <col min="13572" max="13572" width="3.5703125" customWidth="1"/>
    <col min="13825" max="13825" width="21.28515625" customWidth="1"/>
    <col min="13826" max="13827" width="10.7109375" customWidth="1"/>
    <col min="13828" max="13828" width="3.5703125" customWidth="1"/>
    <col min="14081" max="14081" width="21.28515625" customWidth="1"/>
    <col min="14082" max="14083" width="10.7109375" customWidth="1"/>
    <col min="14084" max="14084" width="3.5703125" customWidth="1"/>
    <col min="14337" max="14337" width="21.28515625" customWidth="1"/>
    <col min="14338" max="14339" width="10.7109375" customWidth="1"/>
    <col min="14340" max="14340" width="3.5703125" customWidth="1"/>
    <col min="14593" max="14593" width="21.28515625" customWidth="1"/>
    <col min="14594" max="14595" width="10.7109375" customWidth="1"/>
    <col min="14596" max="14596" width="3.5703125" customWidth="1"/>
    <col min="14849" max="14849" width="21.28515625" customWidth="1"/>
    <col min="14850" max="14851" width="10.7109375" customWidth="1"/>
    <col min="14852" max="14852" width="3.5703125" customWidth="1"/>
    <col min="15105" max="15105" width="21.28515625" customWidth="1"/>
    <col min="15106" max="15107" width="10.7109375" customWidth="1"/>
    <col min="15108" max="15108" width="3.5703125" customWidth="1"/>
    <col min="15361" max="15361" width="21.28515625" customWidth="1"/>
    <col min="15362" max="15363" width="10.7109375" customWidth="1"/>
    <col min="15364" max="15364" width="3.5703125" customWidth="1"/>
    <col min="15617" max="15617" width="21.28515625" customWidth="1"/>
    <col min="15618" max="15619" width="10.7109375" customWidth="1"/>
    <col min="15620" max="15620" width="3.5703125" customWidth="1"/>
    <col min="15873" max="15873" width="21.28515625" customWidth="1"/>
    <col min="15874" max="15875" width="10.7109375" customWidth="1"/>
    <col min="15876" max="15876" width="3.5703125" customWidth="1"/>
    <col min="16129" max="16129" width="21.28515625" customWidth="1"/>
    <col min="16130" max="16131" width="10.7109375" customWidth="1"/>
    <col min="16132" max="16132" width="3.5703125" customWidth="1"/>
  </cols>
  <sheetData>
    <row r="1" spans="1:4" ht="15" customHeight="1">
      <c r="A1" s="36"/>
      <c r="B1" s="251" t="s">
        <v>300</v>
      </c>
      <c r="C1" s="251" t="s">
        <v>301</v>
      </c>
      <c r="D1" s="38"/>
    </row>
    <row r="2" spans="1:4">
      <c r="A2" s="95" t="s">
        <v>1628</v>
      </c>
      <c r="B2" s="242">
        <v>115</v>
      </c>
      <c r="C2" s="242">
        <v>76</v>
      </c>
    </row>
    <row r="3" spans="1:4">
      <c r="A3" s="95" t="s">
        <v>1629</v>
      </c>
      <c r="B3" s="242">
        <v>160</v>
      </c>
      <c r="C3" s="242">
        <v>133</v>
      </c>
    </row>
    <row r="4" spans="1:4">
      <c r="A4" s="95" t="s">
        <v>1630</v>
      </c>
      <c r="B4" s="242">
        <v>239</v>
      </c>
      <c r="C4" s="242">
        <v>212</v>
      </c>
    </row>
    <row r="5" spans="1:4">
      <c r="A5" s="95" t="s">
        <v>1631</v>
      </c>
      <c r="B5" s="242">
        <v>378</v>
      </c>
      <c r="C5" s="242">
        <v>356</v>
      </c>
    </row>
    <row r="6" spans="1:4">
      <c r="A6" s="95" t="s">
        <v>1632</v>
      </c>
      <c r="B6" s="242">
        <v>170</v>
      </c>
      <c r="C6" s="242">
        <v>163</v>
      </c>
    </row>
    <row r="7" spans="1:4">
      <c r="A7" s="95" t="s">
        <v>1633</v>
      </c>
      <c r="B7" s="242">
        <v>418</v>
      </c>
      <c r="C7" s="242">
        <v>402</v>
      </c>
    </row>
    <row r="8" spans="1:4">
      <c r="A8" s="95" t="s">
        <v>1634</v>
      </c>
      <c r="B8" s="242">
        <v>1147</v>
      </c>
      <c r="C8" s="242">
        <v>1135</v>
      </c>
    </row>
    <row r="9" spans="1:4">
      <c r="A9" s="95" t="s">
        <v>1635</v>
      </c>
      <c r="B9" s="242">
        <v>56</v>
      </c>
      <c r="C9" s="242">
        <v>39</v>
      </c>
    </row>
    <row r="10" spans="1:4">
      <c r="A10" s="39"/>
      <c r="B10" s="40"/>
      <c r="C10" s="40"/>
    </row>
    <row r="11" spans="1:4">
      <c r="A11" s="39"/>
      <c r="B11" s="40"/>
      <c r="C11" s="40"/>
    </row>
    <row r="12" spans="1:4">
      <c r="A12" s="39"/>
    </row>
    <row r="13" spans="1:4">
      <c r="A13" s="39"/>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sheetPr>
    <tabColor rgb="FFFFFF00"/>
  </sheetPr>
  <dimension ref="A1:B38"/>
  <sheetViews>
    <sheetView topLeftCell="A19" workbookViewId="0">
      <selection activeCell="B9" sqref="B9"/>
    </sheetView>
  </sheetViews>
  <sheetFormatPr baseColWidth="10" defaultRowHeight="15"/>
  <cols>
    <col min="1" max="1" width="14.140625" style="279" customWidth="1"/>
    <col min="2" max="2" width="117.5703125" style="279" customWidth="1"/>
    <col min="3" max="16384" width="11.42578125" style="279"/>
  </cols>
  <sheetData>
    <row r="1" spans="1:2" ht="15.75">
      <c r="A1" s="28" t="s">
        <v>251</v>
      </c>
      <c r="B1" s="103"/>
    </row>
    <row r="2" spans="1:2" ht="15.75">
      <c r="A2" s="28" t="s">
        <v>1636</v>
      </c>
      <c r="B2" s="103"/>
    </row>
    <row r="3" spans="1:2">
      <c r="A3" s="642"/>
      <c r="B3" s="103"/>
    </row>
    <row r="4" spans="1:2" ht="15.75">
      <c r="A4" s="28" t="s">
        <v>722</v>
      </c>
      <c r="B4" s="103"/>
    </row>
    <row r="5" spans="1:2" ht="15.75">
      <c r="A5" s="29" t="s">
        <v>1637</v>
      </c>
      <c r="B5" s="29" t="s">
        <v>1638</v>
      </c>
    </row>
    <row r="6" spans="1:2">
      <c r="A6" s="642"/>
      <c r="B6" s="103"/>
    </row>
    <row r="7" spans="1:2" ht="15.75">
      <c r="A7" s="28" t="s">
        <v>1639</v>
      </c>
      <c r="B7" s="103"/>
    </row>
    <row r="8" spans="1:2" ht="15.75">
      <c r="A8" s="29" t="s">
        <v>1640</v>
      </c>
      <c r="B8" s="29" t="s">
        <v>1641</v>
      </c>
    </row>
    <row r="9" spans="1:2" ht="15.75">
      <c r="A9" s="29" t="s">
        <v>1642</v>
      </c>
      <c r="B9" s="29" t="s">
        <v>1643</v>
      </c>
    </row>
    <row r="10" spans="1:2" ht="15.75">
      <c r="A10" s="29" t="s">
        <v>1644</v>
      </c>
      <c r="B10" s="29" t="s">
        <v>1645</v>
      </c>
    </row>
    <row r="11" spans="1:2" ht="15.75">
      <c r="A11" s="29" t="s">
        <v>1646</v>
      </c>
      <c r="B11" s="29" t="s">
        <v>1647</v>
      </c>
    </row>
    <row r="12" spans="1:2" ht="15.75">
      <c r="A12" s="29" t="s">
        <v>1648</v>
      </c>
      <c r="B12" s="29" t="s">
        <v>1649</v>
      </c>
    </row>
    <row r="13" spans="1:2" ht="15.75">
      <c r="A13" s="29" t="s">
        <v>1650</v>
      </c>
      <c r="B13" s="29" t="s">
        <v>1651</v>
      </c>
    </row>
    <row r="14" spans="1:2" ht="15.75">
      <c r="A14" s="29" t="s">
        <v>1652</v>
      </c>
      <c r="B14" s="29" t="s">
        <v>1653</v>
      </c>
    </row>
    <row r="15" spans="1:2" ht="15.75">
      <c r="A15" s="29" t="s">
        <v>1654</v>
      </c>
      <c r="B15" s="29" t="s">
        <v>1655</v>
      </c>
    </row>
    <row r="16" spans="1:2" ht="15.75">
      <c r="A16" s="29" t="s">
        <v>1656</v>
      </c>
      <c r="B16" s="29" t="s">
        <v>1657</v>
      </c>
    </row>
    <row r="17" spans="1:2" ht="15.75">
      <c r="A17" s="29" t="s">
        <v>1658</v>
      </c>
      <c r="B17" s="29" t="s">
        <v>1659</v>
      </c>
    </row>
    <row r="18" spans="1:2" ht="15.75">
      <c r="A18" s="29" t="s">
        <v>1660</v>
      </c>
      <c r="B18" s="29" t="s">
        <v>1661</v>
      </c>
    </row>
    <row r="19" spans="1:2" ht="15.75">
      <c r="A19" s="29" t="s">
        <v>1662</v>
      </c>
      <c r="B19" s="29" t="s">
        <v>1663</v>
      </c>
    </row>
    <row r="20" spans="1:2">
      <c r="A20" s="642"/>
      <c r="B20" s="103"/>
    </row>
    <row r="21" spans="1:2" ht="15.75">
      <c r="A21" s="28" t="s">
        <v>1664</v>
      </c>
      <c r="B21" s="103"/>
    </row>
    <row r="22" spans="1:2" ht="31.5">
      <c r="A22" s="29" t="s">
        <v>1665</v>
      </c>
      <c r="B22" s="27" t="s">
        <v>1666</v>
      </c>
    </row>
    <row r="23" spans="1:2" ht="31.5">
      <c r="A23" s="29" t="s">
        <v>1667</v>
      </c>
      <c r="B23" s="27" t="s">
        <v>1668</v>
      </c>
    </row>
    <row r="24" spans="1:2" ht="15.75">
      <c r="A24" s="29" t="s">
        <v>1669</v>
      </c>
      <c r="B24" s="29" t="s">
        <v>1670</v>
      </c>
    </row>
    <row r="25" spans="1:2" ht="31.5">
      <c r="A25" s="29" t="s">
        <v>1671</v>
      </c>
      <c r="B25" s="27" t="s">
        <v>1672</v>
      </c>
    </row>
    <row r="26" spans="1:2" ht="31.5">
      <c r="A26" s="29" t="s">
        <v>1673</v>
      </c>
      <c r="B26" s="27" t="s">
        <v>1674</v>
      </c>
    </row>
    <row r="27" spans="1:2" ht="31.5">
      <c r="A27" s="29" t="s">
        <v>1675</v>
      </c>
      <c r="B27" s="27" t="s">
        <v>1676</v>
      </c>
    </row>
    <row r="28" spans="1:2" ht="31.5">
      <c r="A28" s="29" t="s">
        <v>1677</v>
      </c>
      <c r="B28" s="27" t="s">
        <v>1678</v>
      </c>
    </row>
    <row r="29" spans="1:2" ht="15.75">
      <c r="A29" s="29" t="s">
        <v>1679</v>
      </c>
      <c r="B29" s="29" t="s">
        <v>1680</v>
      </c>
    </row>
    <row r="30" spans="1:2" ht="15.75">
      <c r="A30" s="193" t="s">
        <v>1681</v>
      </c>
      <c r="B30" s="193" t="s">
        <v>1682</v>
      </c>
    </row>
    <row r="31" spans="1:2">
      <c r="A31" s="642"/>
      <c r="B31" s="103"/>
    </row>
    <row r="32" spans="1:2" ht="15.75">
      <c r="A32" s="28" t="s">
        <v>1079</v>
      </c>
      <c r="B32" s="103"/>
    </row>
    <row r="33" spans="1:2" ht="15.75">
      <c r="A33" s="29" t="s">
        <v>1683</v>
      </c>
      <c r="B33" s="29" t="s">
        <v>1684</v>
      </c>
    </row>
    <row r="34" spans="1:2" ht="15.75">
      <c r="A34" s="29" t="s">
        <v>1685</v>
      </c>
      <c r="B34" s="29" t="s">
        <v>1686</v>
      </c>
    </row>
    <row r="35" spans="1:2" ht="15.75">
      <c r="A35" s="29" t="s">
        <v>1687</v>
      </c>
      <c r="B35" s="29" t="s">
        <v>1688</v>
      </c>
    </row>
    <row r="36" spans="1:2" ht="15.75">
      <c r="A36" s="29" t="s">
        <v>1689</v>
      </c>
      <c r="B36" s="29" t="s">
        <v>1690</v>
      </c>
    </row>
    <row r="37" spans="1:2" ht="15.75">
      <c r="A37" s="29"/>
      <c r="B37" s="29"/>
    </row>
    <row r="38" spans="1:2">
      <c r="A38" s="642"/>
      <c r="B38" s="103"/>
    </row>
  </sheetData>
  <printOptions horizontalCentered="1" verticalCentered="1"/>
  <pageMargins left="0" right="0" top="0" bottom="0" header="0.31496062992125984" footer="0.31496062992125984"/>
  <pageSetup paperSize="9" scale="80" orientation="landscape" r:id="rId1"/>
</worksheet>
</file>

<file path=xl/worksheets/sheet98.xml><?xml version="1.0" encoding="utf-8"?>
<worksheet xmlns="http://schemas.openxmlformats.org/spreadsheetml/2006/main" xmlns:r="http://schemas.openxmlformats.org/officeDocument/2006/relationships">
  <dimension ref="A1:N46"/>
  <sheetViews>
    <sheetView workbookViewId="0"/>
  </sheetViews>
  <sheetFormatPr baseColWidth="10" defaultColWidth="8.85546875" defaultRowHeight="15"/>
  <cols>
    <col min="1" max="1" width="30.85546875" style="1" customWidth="1"/>
    <col min="2" max="2" width="2.42578125" customWidth="1"/>
    <col min="3" max="3" width="9.7109375" style="2" customWidth="1"/>
    <col min="4" max="4" width="8.7109375" style="1" customWidth="1"/>
    <col min="5" max="5" width="2.5703125" style="1" customWidth="1"/>
    <col min="6" max="6" width="9.7109375" style="2" customWidth="1"/>
    <col min="7" max="7" width="8.7109375" style="2" customWidth="1"/>
    <col min="8" max="8" width="2.7109375" style="2" customWidth="1"/>
    <col min="9" max="9" width="9.7109375" style="2" customWidth="1"/>
    <col min="10" max="10" width="8.7109375" style="2" customWidth="1"/>
    <col min="11" max="11" width="2.85546875" style="2" customWidth="1"/>
    <col min="12" max="12" width="9.42578125" style="2" customWidth="1"/>
    <col min="13" max="13" width="9.7109375" style="2" customWidth="1"/>
    <col min="14" max="14" width="3.7109375" style="3" customWidth="1"/>
    <col min="257" max="257" width="30.85546875" customWidth="1"/>
    <col min="258" max="258" width="2.42578125" customWidth="1"/>
    <col min="259" max="259" width="9.7109375" customWidth="1"/>
    <col min="260" max="260" width="8.7109375" customWidth="1"/>
    <col min="261" max="261" width="2.5703125" customWidth="1"/>
    <col min="262" max="262" width="9.7109375" customWidth="1"/>
    <col min="263" max="263" width="8.7109375" customWidth="1"/>
    <col min="264" max="264" width="2.7109375" customWidth="1"/>
    <col min="265" max="265" width="9.7109375" customWidth="1"/>
    <col min="266" max="266" width="8.7109375" customWidth="1"/>
    <col min="267" max="267" width="2.85546875" customWidth="1"/>
    <col min="268" max="268" width="9.42578125" customWidth="1"/>
    <col min="269" max="269" width="9.7109375" customWidth="1"/>
    <col min="270" max="270" width="3.7109375" customWidth="1"/>
    <col min="513" max="513" width="30.85546875" customWidth="1"/>
    <col min="514" max="514" width="2.42578125" customWidth="1"/>
    <col min="515" max="515" width="9.7109375" customWidth="1"/>
    <col min="516" max="516" width="8.7109375" customWidth="1"/>
    <col min="517" max="517" width="2.5703125" customWidth="1"/>
    <col min="518" max="518" width="9.7109375" customWidth="1"/>
    <col min="519" max="519" width="8.7109375" customWidth="1"/>
    <col min="520" max="520" width="2.7109375" customWidth="1"/>
    <col min="521" max="521" width="9.7109375" customWidth="1"/>
    <col min="522" max="522" width="8.7109375" customWidth="1"/>
    <col min="523" max="523" width="2.85546875" customWidth="1"/>
    <col min="524" max="524" width="9.42578125" customWidth="1"/>
    <col min="525" max="525" width="9.7109375" customWidth="1"/>
    <col min="526" max="526" width="3.7109375" customWidth="1"/>
    <col min="769" max="769" width="30.85546875" customWidth="1"/>
    <col min="770" max="770" width="2.42578125" customWidth="1"/>
    <col min="771" max="771" width="9.7109375" customWidth="1"/>
    <col min="772" max="772" width="8.7109375" customWidth="1"/>
    <col min="773" max="773" width="2.5703125" customWidth="1"/>
    <col min="774" max="774" width="9.7109375" customWidth="1"/>
    <col min="775" max="775" width="8.7109375" customWidth="1"/>
    <col min="776" max="776" width="2.7109375" customWidth="1"/>
    <col min="777" max="777" width="9.7109375" customWidth="1"/>
    <col min="778" max="778" width="8.7109375" customWidth="1"/>
    <col min="779" max="779" width="2.85546875" customWidth="1"/>
    <col min="780" max="780" width="9.42578125" customWidth="1"/>
    <col min="781" max="781" width="9.7109375" customWidth="1"/>
    <col min="782" max="782" width="3.7109375" customWidth="1"/>
    <col min="1025" max="1025" width="30.85546875" customWidth="1"/>
    <col min="1026" max="1026" width="2.42578125" customWidth="1"/>
    <col min="1027" max="1027" width="9.7109375" customWidth="1"/>
    <col min="1028" max="1028" width="8.7109375" customWidth="1"/>
    <col min="1029" max="1029" width="2.5703125" customWidth="1"/>
    <col min="1030" max="1030" width="9.7109375" customWidth="1"/>
    <col min="1031" max="1031" width="8.7109375" customWidth="1"/>
    <col min="1032" max="1032" width="2.7109375" customWidth="1"/>
    <col min="1033" max="1033" width="9.7109375" customWidth="1"/>
    <col min="1034" max="1034" width="8.7109375" customWidth="1"/>
    <col min="1035" max="1035" width="2.85546875" customWidth="1"/>
    <col min="1036" max="1036" width="9.42578125" customWidth="1"/>
    <col min="1037" max="1037" width="9.7109375" customWidth="1"/>
    <col min="1038" max="1038" width="3.7109375" customWidth="1"/>
    <col min="1281" max="1281" width="30.85546875" customWidth="1"/>
    <col min="1282" max="1282" width="2.42578125" customWidth="1"/>
    <col min="1283" max="1283" width="9.7109375" customWidth="1"/>
    <col min="1284" max="1284" width="8.7109375" customWidth="1"/>
    <col min="1285" max="1285" width="2.5703125" customWidth="1"/>
    <col min="1286" max="1286" width="9.7109375" customWidth="1"/>
    <col min="1287" max="1287" width="8.7109375" customWidth="1"/>
    <col min="1288" max="1288" width="2.7109375" customWidth="1"/>
    <col min="1289" max="1289" width="9.7109375" customWidth="1"/>
    <col min="1290" max="1290" width="8.7109375" customWidth="1"/>
    <col min="1291" max="1291" width="2.85546875" customWidth="1"/>
    <col min="1292" max="1292" width="9.42578125" customWidth="1"/>
    <col min="1293" max="1293" width="9.7109375" customWidth="1"/>
    <col min="1294" max="1294" width="3.7109375" customWidth="1"/>
    <col min="1537" max="1537" width="30.85546875" customWidth="1"/>
    <col min="1538" max="1538" width="2.42578125" customWidth="1"/>
    <col min="1539" max="1539" width="9.7109375" customWidth="1"/>
    <col min="1540" max="1540" width="8.7109375" customWidth="1"/>
    <col min="1541" max="1541" width="2.5703125" customWidth="1"/>
    <col min="1542" max="1542" width="9.7109375" customWidth="1"/>
    <col min="1543" max="1543" width="8.7109375" customWidth="1"/>
    <col min="1544" max="1544" width="2.7109375" customWidth="1"/>
    <col min="1545" max="1545" width="9.7109375" customWidth="1"/>
    <col min="1546" max="1546" width="8.7109375" customWidth="1"/>
    <col min="1547" max="1547" width="2.85546875" customWidth="1"/>
    <col min="1548" max="1548" width="9.42578125" customWidth="1"/>
    <col min="1549" max="1549" width="9.7109375" customWidth="1"/>
    <col min="1550" max="1550" width="3.7109375" customWidth="1"/>
    <col min="1793" max="1793" width="30.85546875" customWidth="1"/>
    <col min="1794" max="1794" width="2.42578125" customWidth="1"/>
    <col min="1795" max="1795" width="9.7109375" customWidth="1"/>
    <col min="1796" max="1796" width="8.7109375" customWidth="1"/>
    <col min="1797" max="1797" width="2.5703125" customWidth="1"/>
    <col min="1798" max="1798" width="9.7109375" customWidth="1"/>
    <col min="1799" max="1799" width="8.7109375" customWidth="1"/>
    <col min="1800" max="1800" width="2.7109375" customWidth="1"/>
    <col min="1801" max="1801" width="9.7109375" customWidth="1"/>
    <col min="1802" max="1802" width="8.7109375" customWidth="1"/>
    <col min="1803" max="1803" width="2.85546875" customWidth="1"/>
    <col min="1804" max="1804" width="9.42578125" customWidth="1"/>
    <col min="1805" max="1805" width="9.7109375" customWidth="1"/>
    <col min="1806" max="1806" width="3.7109375" customWidth="1"/>
    <col min="2049" max="2049" width="30.85546875" customWidth="1"/>
    <col min="2050" max="2050" width="2.42578125" customWidth="1"/>
    <col min="2051" max="2051" width="9.7109375" customWidth="1"/>
    <col min="2052" max="2052" width="8.7109375" customWidth="1"/>
    <col min="2053" max="2053" width="2.5703125" customWidth="1"/>
    <col min="2054" max="2054" width="9.7109375" customWidth="1"/>
    <col min="2055" max="2055" width="8.7109375" customWidth="1"/>
    <col min="2056" max="2056" width="2.7109375" customWidth="1"/>
    <col min="2057" max="2057" width="9.7109375" customWidth="1"/>
    <col min="2058" max="2058" width="8.7109375" customWidth="1"/>
    <col min="2059" max="2059" width="2.85546875" customWidth="1"/>
    <col min="2060" max="2060" width="9.42578125" customWidth="1"/>
    <col min="2061" max="2061" width="9.7109375" customWidth="1"/>
    <col min="2062" max="2062" width="3.7109375" customWidth="1"/>
    <col min="2305" max="2305" width="30.85546875" customWidth="1"/>
    <col min="2306" max="2306" width="2.42578125" customWidth="1"/>
    <col min="2307" max="2307" width="9.7109375" customWidth="1"/>
    <col min="2308" max="2308" width="8.7109375" customWidth="1"/>
    <col min="2309" max="2309" width="2.5703125" customWidth="1"/>
    <col min="2310" max="2310" width="9.7109375" customWidth="1"/>
    <col min="2311" max="2311" width="8.7109375" customWidth="1"/>
    <col min="2312" max="2312" width="2.7109375" customWidth="1"/>
    <col min="2313" max="2313" width="9.7109375" customWidth="1"/>
    <col min="2314" max="2314" width="8.7109375" customWidth="1"/>
    <col min="2315" max="2315" width="2.85546875" customWidth="1"/>
    <col min="2316" max="2316" width="9.42578125" customWidth="1"/>
    <col min="2317" max="2317" width="9.7109375" customWidth="1"/>
    <col min="2318" max="2318" width="3.7109375" customWidth="1"/>
    <col min="2561" max="2561" width="30.85546875" customWidth="1"/>
    <col min="2562" max="2562" width="2.42578125" customWidth="1"/>
    <col min="2563" max="2563" width="9.7109375" customWidth="1"/>
    <col min="2564" max="2564" width="8.7109375" customWidth="1"/>
    <col min="2565" max="2565" width="2.5703125" customWidth="1"/>
    <col min="2566" max="2566" width="9.7109375" customWidth="1"/>
    <col min="2567" max="2567" width="8.7109375" customWidth="1"/>
    <col min="2568" max="2568" width="2.7109375" customWidth="1"/>
    <col min="2569" max="2569" width="9.7109375" customWidth="1"/>
    <col min="2570" max="2570" width="8.7109375" customWidth="1"/>
    <col min="2571" max="2571" width="2.85546875" customWidth="1"/>
    <col min="2572" max="2572" width="9.42578125" customWidth="1"/>
    <col min="2573" max="2573" width="9.7109375" customWidth="1"/>
    <col min="2574" max="2574" width="3.7109375" customWidth="1"/>
    <col min="2817" max="2817" width="30.85546875" customWidth="1"/>
    <col min="2818" max="2818" width="2.42578125" customWidth="1"/>
    <col min="2819" max="2819" width="9.7109375" customWidth="1"/>
    <col min="2820" max="2820" width="8.7109375" customWidth="1"/>
    <col min="2821" max="2821" width="2.5703125" customWidth="1"/>
    <col min="2822" max="2822" width="9.7109375" customWidth="1"/>
    <col min="2823" max="2823" width="8.7109375" customWidth="1"/>
    <col min="2824" max="2824" width="2.7109375" customWidth="1"/>
    <col min="2825" max="2825" width="9.7109375" customWidth="1"/>
    <col min="2826" max="2826" width="8.7109375" customWidth="1"/>
    <col min="2827" max="2827" width="2.85546875" customWidth="1"/>
    <col min="2828" max="2828" width="9.42578125" customWidth="1"/>
    <col min="2829" max="2829" width="9.7109375" customWidth="1"/>
    <col min="2830" max="2830" width="3.7109375" customWidth="1"/>
    <col min="3073" max="3073" width="30.85546875" customWidth="1"/>
    <col min="3074" max="3074" width="2.42578125" customWidth="1"/>
    <col min="3075" max="3075" width="9.7109375" customWidth="1"/>
    <col min="3076" max="3076" width="8.7109375" customWidth="1"/>
    <col min="3077" max="3077" width="2.5703125" customWidth="1"/>
    <col min="3078" max="3078" width="9.7109375" customWidth="1"/>
    <col min="3079" max="3079" width="8.7109375" customWidth="1"/>
    <col min="3080" max="3080" width="2.7109375" customWidth="1"/>
    <col min="3081" max="3081" width="9.7109375" customWidth="1"/>
    <col min="3082" max="3082" width="8.7109375" customWidth="1"/>
    <col min="3083" max="3083" width="2.85546875" customWidth="1"/>
    <col min="3084" max="3084" width="9.42578125" customWidth="1"/>
    <col min="3085" max="3085" width="9.7109375" customWidth="1"/>
    <col min="3086" max="3086" width="3.7109375" customWidth="1"/>
    <col min="3329" max="3329" width="30.85546875" customWidth="1"/>
    <col min="3330" max="3330" width="2.42578125" customWidth="1"/>
    <col min="3331" max="3331" width="9.7109375" customWidth="1"/>
    <col min="3332" max="3332" width="8.7109375" customWidth="1"/>
    <col min="3333" max="3333" width="2.5703125" customWidth="1"/>
    <col min="3334" max="3334" width="9.7109375" customWidth="1"/>
    <col min="3335" max="3335" width="8.7109375" customWidth="1"/>
    <col min="3336" max="3336" width="2.7109375" customWidth="1"/>
    <col min="3337" max="3337" width="9.7109375" customWidth="1"/>
    <col min="3338" max="3338" width="8.7109375" customWidth="1"/>
    <col min="3339" max="3339" width="2.85546875" customWidth="1"/>
    <col min="3340" max="3340" width="9.42578125" customWidth="1"/>
    <col min="3341" max="3341" width="9.7109375" customWidth="1"/>
    <col min="3342" max="3342" width="3.7109375" customWidth="1"/>
    <col min="3585" max="3585" width="30.85546875" customWidth="1"/>
    <col min="3586" max="3586" width="2.42578125" customWidth="1"/>
    <col min="3587" max="3587" width="9.7109375" customWidth="1"/>
    <col min="3588" max="3588" width="8.7109375" customWidth="1"/>
    <col min="3589" max="3589" width="2.5703125" customWidth="1"/>
    <col min="3590" max="3590" width="9.7109375" customWidth="1"/>
    <col min="3591" max="3591" width="8.7109375" customWidth="1"/>
    <col min="3592" max="3592" width="2.7109375" customWidth="1"/>
    <col min="3593" max="3593" width="9.7109375" customWidth="1"/>
    <col min="3594" max="3594" width="8.7109375" customWidth="1"/>
    <col min="3595" max="3595" width="2.85546875" customWidth="1"/>
    <col min="3596" max="3596" width="9.42578125" customWidth="1"/>
    <col min="3597" max="3597" width="9.7109375" customWidth="1"/>
    <col min="3598" max="3598" width="3.7109375" customWidth="1"/>
    <col min="3841" max="3841" width="30.85546875" customWidth="1"/>
    <col min="3842" max="3842" width="2.42578125" customWidth="1"/>
    <col min="3843" max="3843" width="9.7109375" customWidth="1"/>
    <col min="3844" max="3844" width="8.7109375" customWidth="1"/>
    <col min="3845" max="3845" width="2.5703125" customWidth="1"/>
    <col min="3846" max="3846" width="9.7109375" customWidth="1"/>
    <col min="3847" max="3847" width="8.7109375" customWidth="1"/>
    <col min="3848" max="3848" width="2.7109375" customWidth="1"/>
    <col min="3849" max="3849" width="9.7109375" customWidth="1"/>
    <col min="3850" max="3850" width="8.7109375" customWidth="1"/>
    <col min="3851" max="3851" width="2.85546875" customWidth="1"/>
    <col min="3852" max="3852" width="9.42578125" customWidth="1"/>
    <col min="3853" max="3853" width="9.7109375" customWidth="1"/>
    <col min="3854" max="3854" width="3.7109375" customWidth="1"/>
    <col min="4097" max="4097" width="30.85546875" customWidth="1"/>
    <col min="4098" max="4098" width="2.42578125" customWidth="1"/>
    <col min="4099" max="4099" width="9.7109375" customWidth="1"/>
    <col min="4100" max="4100" width="8.7109375" customWidth="1"/>
    <col min="4101" max="4101" width="2.5703125" customWidth="1"/>
    <col min="4102" max="4102" width="9.7109375" customWidth="1"/>
    <col min="4103" max="4103" width="8.7109375" customWidth="1"/>
    <col min="4104" max="4104" width="2.7109375" customWidth="1"/>
    <col min="4105" max="4105" width="9.7109375" customWidth="1"/>
    <col min="4106" max="4106" width="8.7109375" customWidth="1"/>
    <col min="4107" max="4107" width="2.85546875" customWidth="1"/>
    <col min="4108" max="4108" width="9.42578125" customWidth="1"/>
    <col min="4109" max="4109" width="9.7109375" customWidth="1"/>
    <col min="4110" max="4110" width="3.7109375" customWidth="1"/>
    <col min="4353" max="4353" width="30.85546875" customWidth="1"/>
    <col min="4354" max="4354" width="2.42578125" customWidth="1"/>
    <col min="4355" max="4355" width="9.7109375" customWidth="1"/>
    <col min="4356" max="4356" width="8.7109375" customWidth="1"/>
    <col min="4357" max="4357" width="2.5703125" customWidth="1"/>
    <col min="4358" max="4358" width="9.7109375" customWidth="1"/>
    <col min="4359" max="4359" width="8.7109375" customWidth="1"/>
    <col min="4360" max="4360" width="2.7109375" customWidth="1"/>
    <col min="4361" max="4361" width="9.7109375" customWidth="1"/>
    <col min="4362" max="4362" width="8.7109375" customWidth="1"/>
    <col min="4363" max="4363" width="2.85546875" customWidth="1"/>
    <col min="4364" max="4364" width="9.42578125" customWidth="1"/>
    <col min="4365" max="4365" width="9.7109375" customWidth="1"/>
    <col min="4366" max="4366" width="3.7109375" customWidth="1"/>
    <col min="4609" max="4609" width="30.85546875" customWidth="1"/>
    <col min="4610" max="4610" width="2.42578125" customWidth="1"/>
    <col min="4611" max="4611" width="9.7109375" customWidth="1"/>
    <col min="4612" max="4612" width="8.7109375" customWidth="1"/>
    <col min="4613" max="4613" width="2.5703125" customWidth="1"/>
    <col min="4614" max="4614" width="9.7109375" customWidth="1"/>
    <col min="4615" max="4615" width="8.7109375" customWidth="1"/>
    <col min="4616" max="4616" width="2.7109375" customWidth="1"/>
    <col min="4617" max="4617" width="9.7109375" customWidth="1"/>
    <col min="4618" max="4618" width="8.7109375" customWidth="1"/>
    <col min="4619" max="4619" width="2.85546875" customWidth="1"/>
    <col min="4620" max="4620" width="9.42578125" customWidth="1"/>
    <col min="4621" max="4621" width="9.7109375" customWidth="1"/>
    <col min="4622" max="4622" width="3.7109375" customWidth="1"/>
    <col min="4865" max="4865" width="30.85546875" customWidth="1"/>
    <col min="4866" max="4866" width="2.42578125" customWidth="1"/>
    <col min="4867" max="4867" width="9.7109375" customWidth="1"/>
    <col min="4868" max="4868" width="8.7109375" customWidth="1"/>
    <col min="4869" max="4869" width="2.5703125" customWidth="1"/>
    <col min="4870" max="4870" width="9.7109375" customWidth="1"/>
    <col min="4871" max="4871" width="8.7109375" customWidth="1"/>
    <col min="4872" max="4872" width="2.7109375" customWidth="1"/>
    <col min="4873" max="4873" width="9.7109375" customWidth="1"/>
    <col min="4874" max="4874" width="8.7109375" customWidth="1"/>
    <col min="4875" max="4875" width="2.85546875" customWidth="1"/>
    <col min="4876" max="4876" width="9.42578125" customWidth="1"/>
    <col min="4877" max="4877" width="9.7109375" customWidth="1"/>
    <col min="4878" max="4878" width="3.7109375" customWidth="1"/>
    <col min="5121" max="5121" width="30.85546875" customWidth="1"/>
    <col min="5122" max="5122" width="2.42578125" customWidth="1"/>
    <col min="5123" max="5123" width="9.7109375" customWidth="1"/>
    <col min="5124" max="5124" width="8.7109375" customWidth="1"/>
    <col min="5125" max="5125" width="2.5703125" customWidth="1"/>
    <col min="5126" max="5126" width="9.7109375" customWidth="1"/>
    <col min="5127" max="5127" width="8.7109375" customWidth="1"/>
    <col min="5128" max="5128" width="2.7109375" customWidth="1"/>
    <col min="5129" max="5129" width="9.7109375" customWidth="1"/>
    <col min="5130" max="5130" width="8.7109375" customWidth="1"/>
    <col min="5131" max="5131" width="2.85546875" customWidth="1"/>
    <col min="5132" max="5132" width="9.42578125" customWidth="1"/>
    <col min="5133" max="5133" width="9.7109375" customWidth="1"/>
    <col min="5134" max="5134" width="3.7109375" customWidth="1"/>
    <col min="5377" max="5377" width="30.85546875" customWidth="1"/>
    <col min="5378" max="5378" width="2.42578125" customWidth="1"/>
    <col min="5379" max="5379" width="9.7109375" customWidth="1"/>
    <col min="5380" max="5380" width="8.7109375" customWidth="1"/>
    <col min="5381" max="5381" width="2.5703125" customWidth="1"/>
    <col min="5382" max="5382" width="9.7109375" customWidth="1"/>
    <col min="5383" max="5383" width="8.7109375" customWidth="1"/>
    <col min="5384" max="5384" width="2.7109375" customWidth="1"/>
    <col min="5385" max="5385" width="9.7109375" customWidth="1"/>
    <col min="5386" max="5386" width="8.7109375" customWidth="1"/>
    <col min="5387" max="5387" width="2.85546875" customWidth="1"/>
    <col min="5388" max="5388" width="9.42578125" customWidth="1"/>
    <col min="5389" max="5389" width="9.7109375" customWidth="1"/>
    <col min="5390" max="5390" width="3.7109375" customWidth="1"/>
    <col min="5633" max="5633" width="30.85546875" customWidth="1"/>
    <col min="5634" max="5634" width="2.42578125" customWidth="1"/>
    <col min="5635" max="5635" width="9.7109375" customWidth="1"/>
    <col min="5636" max="5636" width="8.7109375" customWidth="1"/>
    <col min="5637" max="5637" width="2.5703125" customWidth="1"/>
    <col min="5638" max="5638" width="9.7109375" customWidth="1"/>
    <col min="5639" max="5639" width="8.7109375" customWidth="1"/>
    <col min="5640" max="5640" width="2.7109375" customWidth="1"/>
    <col min="5641" max="5641" width="9.7109375" customWidth="1"/>
    <col min="5642" max="5642" width="8.7109375" customWidth="1"/>
    <col min="5643" max="5643" width="2.85546875" customWidth="1"/>
    <col min="5644" max="5644" width="9.42578125" customWidth="1"/>
    <col min="5645" max="5645" width="9.7109375" customWidth="1"/>
    <col min="5646" max="5646" width="3.7109375" customWidth="1"/>
    <col min="5889" max="5889" width="30.85546875" customWidth="1"/>
    <col min="5890" max="5890" width="2.42578125" customWidth="1"/>
    <col min="5891" max="5891" width="9.7109375" customWidth="1"/>
    <col min="5892" max="5892" width="8.7109375" customWidth="1"/>
    <col min="5893" max="5893" width="2.5703125" customWidth="1"/>
    <col min="5894" max="5894" width="9.7109375" customWidth="1"/>
    <col min="5895" max="5895" width="8.7109375" customWidth="1"/>
    <col min="5896" max="5896" width="2.7109375" customWidth="1"/>
    <col min="5897" max="5897" width="9.7109375" customWidth="1"/>
    <col min="5898" max="5898" width="8.7109375" customWidth="1"/>
    <col min="5899" max="5899" width="2.85546875" customWidth="1"/>
    <col min="5900" max="5900" width="9.42578125" customWidth="1"/>
    <col min="5901" max="5901" width="9.7109375" customWidth="1"/>
    <col min="5902" max="5902" width="3.7109375" customWidth="1"/>
    <col min="6145" max="6145" width="30.85546875" customWidth="1"/>
    <col min="6146" max="6146" width="2.42578125" customWidth="1"/>
    <col min="6147" max="6147" width="9.7109375" customWidth="1"/>
    <col min="6148" max="6148" width="8.7109375" customWidth="1"/>
    <col min="6149" max="6149" width="2.5703125" customWidth="1"/>
    <col min="6150" max="6150" width="9.7109375" customWidth="1"/>
    <col min="6151" max="6151" width="8.7109375" customWidth="1"/>
    <col min="6152" max="6152" width="2.7109375" customWidth="1"/>
    <col min="6153" max="6153" width="9.7109375" customWidth="1"/>
    <col min="6154" max="6154" width="8.7109375" customWidth="1"/>
    <col min="6155" max="6155" width="2.85546875" customWidth="1"/>
    <col min="6156" max="6156" width="9.42578125" customWidth="1"/>
    <col min="6157" max="6157" width="9.7109375" customWidth="1"/>
    <col min="6158" max="6158" width="3.7109375" customWidth="1"/>
    <col min="6401" max="6401" width="30.85546875" customWidth="1"/>
    <col min="6402" max="6402" width="2.42578125" customWidth="1"/>
    <col min="6403" max="6403" width="9.7109375" customWidth="1"/>
    <col min="6404" max="6404" width="8.7109375" customWidth="1"/>
    <col min="6405" max="6405" width="2.5703125" customWidth="1"/>
    <col min="6406" max="6406" width="9.7109375" customWidth="1"/>
    <col min="6407" max="6407" width="8.7109375" customWidth="1"/>
    <col min="6408" max="6408" width="2.7109375" customWidth="1"/>
    <col min="6409" max="6409" width="9.7109375" customWidth="1"/>
    <col min="6410" max="6410" width="8.7109375" customWidth="1"/>
    <col min="6411" max="6411" width="2.85546875" customWidth="1"/>
    <col min="6412" max="6412" width="9.42578125" customWidth="1"/>
    <col min="6413" max="6413" width="9.7109375" customWidth="1"/>
    <col min="6414" max="6414" width="3.7109375" customWidth="1"/>
    <col min="6657" max="6657" width="30.85546875" customWidth="1"/>
    <col min="6658" max="6658" width="2.42578125" customWidth="1"/>
    <col min="6659" max="6659" width="9.7109375" customWidth="1"/>
    <col min="6660" max="6660" width="8.7109375" customWidth="1"/>
    <col min="6661" max="6661" width="2.5703125" customWidth="1"/>
    <col min="6662" max="6662" width="9.7109375" customWidth="1"/>
    <col min="6663" max="6663" width="8.7109375" customWidth="1"/>
    <col min="6664" max="6664" width="2.7109375" customWidth="1"/>
    <col min="6665" max="6665" width="9.7109375" customWidth="1"/>
    <col min="6666" max="6666" width="8.7109375" customWidth="1"/>
    <col min="6667" max="6667" width="2.85546875" customWidth="1"/>
    <col min="6668" max="6668" width="9.42578125" customWidth="1"/>
    <col min="6669" max="6669" width="9.7109375" customWidth="1"/>
    <col min="6670" max="6670" width="3.7109375" customWidth="1"/>
    <col min="6913" max="6913" width="30.85546875" customWidth="1"/>
    <col min="6914" max="6914" width="2.42578125" customWidth="1"/>
    <col min="6915" max="6915" width="9.7109375" customWidth="1"/>
    <col min="6916" max="6916" width="8.7109375" customWidth="1"/>
    <col min="6917" max="6917" width="2.5703125" customWidth="1"/>
    <col min="6918" max="6918" width="9.7109375" customWidth="1"/>
    <col min="6919" max="6919" width="8.7109375" customWidth="1"/>
    <col min="6920" max="6920" width="2.7109375" customWidth="1"/>
    <col min="6921" max="6921" width="9.7109375" customWidth="1"/>
    <col min="6922" max="6922" width="8.7109375" customWidth="1"/>
    <col min="6923" max="6923" width="2.85546875" customWidth="1"/>
    <col min="6924" max="6924" width="9.42578125" customWidth="1"/>
    <col min="6925" max="6925" width="9.7109375" customWidth="1"/>
    <col min="6926" max="6926" width="3.7109375" customWidth="1"/>
    <col min="7169" max="7169" width="30.85546875" customWidth="1"/>
    <col min="7170" max="7170" width="2.42578125" customWidth="1"/>
    <col min="7171" max="7171" width="9.7109375" customWidth="1"/>
    <col min="7172" max="7172" width="8.7109375" customWidth="1"/>
    <col min="7173" max="7173" width="2.5703125" customWidth="1"/>
    <col min="7174" max="7174" width="9.7109375" customWidth="1"/>
    <col min="7175" max="7175" width="8.7109375" customWidth="1"/>
    <col min="7176" max="7176" width="2.7109375" customWidth="1"/>
    <col min="7177" max="7177" width="9.7109375" customWidth="1"/>
    <col min="7178" max="7178" width="8.7109375" customWidth="1"/>
    <col min="7179" max="7179" width="2.85546875" customWidth="1"/>
    <col min="7180" max="7180" width="9.42578125" customWidth="1"/>
    <col min="7181" max="7181" width="9.7109375" customWidth="1"/>
    <col min="7182" max="7182" width="3.7109375" customWidth="1"/>
    <col min="7425" max="7425" width="30.85546875" customWidth="1"/>
    <col min="7426" max="7426" width="2.42578125" customWidth="1"/>
    <col min="7427" max="7427" width="9.7109375" customWidth="1"/>
    <col min="7428" max="7428" width="8.7109375" customWidth="1"/>
    <col min="7429" max="7429" width="2.5703125" customWidth="1"/>
    <col min="7430" max="7430" width="9.7109375" customWidth="1"/>
    <col min="7431" max="7431" width="8.7109375" customWidth="1"/>
    <col min="7432" max="7432" width="2.7109375" customWidth="1"/>
    <col min="7433" max="7433" width="9.7109375" customWidth="1"/>
    <col min="7434" max="7434" width="8.7109375" customWidth="1"/>
    <col min="7435" max="7435" width="2.85546875" customWidth="1"/>
    <col min="7436" max="7436" width="9.42578125" customWidth="1"/>
    <col min="7437" max="7437" width="9.7109375" customWidth="1"/>
    <col min="7438" max="7438" width="3.7109375" customWidth="1"/>
    <col min="7681" max="7681" width="30.85546875" customWidth="1"/>
    <col min="7682" max="7682" width="2.42578125" customWidth="1"/>
    <col min="7683" max="7683" width="9.7109375" customWidth="1"/>
    <col min="7684" max="7684" width="8.7109375" customWidth="1"/>
    <col min="7685" max="7685" width="2.5703125" customWidth="1"/>
    <col min="7686" max="7686" width="9.7109375" customWidth="1"/>
    <col min="7687" max="7687" width="8.7109375" customWidth="1"/>
    <col min="7688" max="7688" width="2.7109375" customWidth="1"/>
    <col min="7689" max="7689" width="9.7109375" customWidth="1"/>
    <col min="7690" max="7690" width="8.7109375" customWidth="1"/>
    <col min="7691" max="7691" width="2.85546875" customWidth="1"/>
    <col min="7692" max="7692" width="9.42578125" customWidth="1"/>
    <col min="7693" max="7693" width="9.7109375" customWidth="1"/>
    <col min="7694" max="7694" width="3.7109375" customWidth="1"/>
    <col min="7937" max="7937" width="30.85546875" customWidth="1"/>
    <col min="7938" max="7938" width="2.42578125" customWidth="1"/>
    <col min="7939" max="7939" width="9.7109375" customWidth="1"/>
    <col min="7940" max="7940" width="8.7109375" customWidth="1"/>
    <col min="7941" max="7941" width="2.5703125" customWidth="1"/>
    <col min="7942" max="7942" width="9.7109375" customWidth="1"/>
    <col min="7943" max="7943" width="8.7109375" customWidth="1"/>
    <col min="7944" max="7944" width="2.7109375" customWidth="1"/>
    <col min="7945" max="7945" width="9.7109375" customWidth="1"/>
    <col min="7946" max="7946" width="8.7109375" customWidth="1"/>
    <col min="7947" max="7947" width="2.85546875" customWidth="1"/>
    <col min="7948" max="7948" width="9.42578125" customWidth="1"/>
    <col min="7949" max="7949" width="9.7109375" customWidth="1"/>
    <col min="7950" max="7950" width="3.7109375" customWidth="1"/>
    <col min="8193" max="8193" width="30.85546875" customWidth="1"/>
    <col min="8194" max="8194" width="2.42578125" customWidth="1"/>
    <col min="8195" max="8195" width="9.7109375" customWidth="1"/>
    <col min="8196" max="8196" width="8.7109375" customWidth="1"/>
    <col min="8197" max="8197" width="2.5703125" customWidth="1"/>
    <col min="8198" max="8198" width="9.7109375" customWidth="1"/>
    <col min="8199" max="8199" width="8.7109375" customWidth="1"/>
    <col min="8200" max="8200" width="2.7109375" customWidth="1"/>
    <col min="8201" max="8201" width="9.7109375" customWidth="1"/>
    <col min="8202" max="8202" width="8.7109375" customWidth="1"/>
    <col min="8203" max="8203" width="2.85546875" customWidth="1"/>
    <col min="8204" max="8204" width="9.42578125" customWidth="1"/>
    <col min="8205" max="8205" width="9.7109375" customWidth="1"/>
    <col min="8206" max="8206" width="3.7109375" customWidth="1"/>
    <col min="8449" max="8449" width="30.85546875" customWidth="1"/>
    <col min="8450" max="8450" width="2.42578125" customWidth="1"/>
    <col min="8451" max="8451" width="9.7109375" customWidth="1"/>
    <col min="8452" max="8452" width="8.7109375" customWidth="1"/>
    <col min="8453" max="8453" width="2.5703125" customWidth="1"/>
    <col min="8454" max="8454" width="9.7109375" customWidth="1"/>
    <col min="8455" max="8455" width="8.7109375" customWidth="1"/>
    <col min="8456" max="8456" width="2.7109375" customWidth="1"/>
    <col min="8457" max="8457" width="9.7109375" customWidth="1"/>
    <col min="8458" max="8458" width="8.7109375" customWidth="1"/>
    <col min="8459" max="8459" width="2.85546875" customWidth="1"/>
    <col min="8460" max="8460" width="9.42578125" customWidth="1"/>
    <col min="8461" max="8461" width="9.7109375" customWidth="1"/>
    <col min="8462" max="8462" width="3.7109375" customWidth="1"/>
    <col min="8705" max="8705" width="30.85546875" customWidth="1"/>
    <col min="8706" max="8706" width="2.42578125" customWidth="1"/>
    <col min="8707" max="8707" width="9.7109375" customWidth="1"/>
    <col min="8708" max="8708" width="8.7109375" customWidth="1"/>
    <col min="8709" max="8709" width="2.5703125" customWidth="1"/>
    <col min="8710" max="8710" width="9.7109375" customWidth="1"/>
    <col min="8711" max="8711" width="8.7109375" customWidth="1"/>
    <col min="8712" max="8712" width="2.7109375" customWidth="1"/>
    <col min="8713" max="8713" width="9.7109375" customWidth="1"/>
    <col min="8714" max="8714" width="8.7109375" customWidth="1"/>
    <col min="8715" max="8715" width="2.85546875" customWidth="1"/>
    <col min="8716" max="8716" width="9.42578125" customWidth="1"/>
    <col min="8717" max="8717" width="9.7109375" customWidth="1"/>
    <col min="8718" max="8718" width="3.7109375" customWidth="1"/>
    <col min="8961" max="8961" width="30.85546875" customWidth="1"/>
    <col min="8962" max="8962" width="2.42578125" customWidth="1"/>
    <col min="8963" max="8963" width="9.7109375" customWidth="1"/>
    <col min="8964" max="8964" width="8.7109375" customWidth="1"/>
    <col min="8965" max="8965" width="2.5703125" customWidth="1"/>
    <col min="8966" max="8966" width="9.7109375" customWidth="1"/>
    <col min="8967" max="8967" width="8.7109375" customWidth="1"/>
    <col min="8968" max="8968" width="2.7109375" customWidth="1"/>
    <col min="8969" max="8969" width="9.7109375" customWidth="1"/>
    <col min="8970" max="8970" width="8.7109375" customWidth="1"/>
    <col min="8971" max="8971" width="2.85546875" customWidth="1"/>
    <col min="8972" max="8972" width="9.42578125" customWidth="1"/>
    <col min="8973" max="8973" width="9.7109375" customWidth="1"/>
    <col min="8974" max="8974" width="3.7109375" customWidth="1"/>
    <col min="9217" max="9217" width="30.85546875" customWidth="1"/>
    <col min="9218" max="9218" width="2.42578125" customWidth="1"/>
    <col min="9219" max="9219" width="9.7109375" customWidth="1"/>
    <col min="9220" max="9220" width="8.7109375" customWidth="1"/>
    <col min="9221" max="9221" width="2.5703125" customWidth="1"/>
    <col min="9222" max="9222" width="9.7109375" customWidth="1"/>
    <col min="9223" max="9223" width="8.7109375" customWidth="1"/>
    <col min="9224" max="9224" width="2.7109375" customWidth="1"/>
    <col min="9225" max="9225" width="9.7109375" customWidth="1"/>
    <col min="9226" max="9226" width="8.7109375" customWidth="1"/>
    <col min="9227" max="9227" width="2.85546875" customWidth="1"/>
    <col min="9228" max="9228" width="9.42578125" customWidth="1"/>
    <col min="9229" max="9229" width="9.7109375" customWidth="1"/>
    <col min="9230" max="9230" width="3.7109375" customWidth="1"/>
    <col min="9473" max="9473" width="30.85546875" customWidth="1"/>
    <col min="9474" max="9474" width="2.42578125" customWidth="1"/>
    <col min="9475" max="9475" width="9.7109375" customWidth="1"/>
    <col min="9476" max="9476" width="8.7109375" customWidth="1"/>
    <col min="9477" max="9477" width="2.5703125" customWidth="1"/>
    <col min="9478" max="9478" width="9.7109375" customWidth="1"/>
    <col min="9479" max="9479" width="8.7109375" customWidth="1"/>
    <col min="9480" max="9480" width="2.7109375" customWidth="1"/>
    <col min="9481" max="9481" width="9.7109375" customWidth="1"/>
    <col min="9482" max="9482" width="8.7109375" customWidth="1"/>
    <col min="9483" max="9483" width="2.85546875" customWidth="1"/>
    <col min="9484" max="9484" width="9.42578125" customWidth="1"/>
    <col min="9485" max="9485" width="9.7109375" customWidth="1"/>
    <col min="9486" max="9486" width="3.7109375" customWidth="1"/>
    <col min="9729" max="9729" width="30.85546875" customWidth="1"/>
    <col min="9730" max="9730" width="2.42578125" customWidth="1"/>
    <col min="9731" max="9731" width="9.7109375" customWidth="1"/>
    <col min="9732" max="9732" width="8.7109375" customWidth="1"/>
    <col min="9733" max="9733" width="2.5703125" customWidth="1"/>
    <col min="9734" max="9734" width="9.7109375" customWidth="1"/>
    <col min="9735" max="9735" width="8.7109375" customWidth="1"/>
    <col min="9736" max="9736" width="2.7109375" customWidth="1"/>
    <col min="9737" max="9737" width="9.7109375" customWidth="1"/>
    <col min="9738" max="9738" width="8.7109375" customWidth="1"/>
    <col min="9739" max="9739" width="2.85546875" customWidth="1"/>
    <col min="9740" max="9740" width="9.42578125" customWidth="1"/>
    <col min="9741" max="9741" width="9.7109375" customWidth="1"/>
    <col min="9742" max="9742" width="3.7109375" customWidth="1"/>
    <col min="9985" max="9985" width="30.85546875" customWidth="1"/>
    <col min="9986" max="9986" width="2.42578125" customWidth="1"/>
    <col min="9987" max="9987" width="9.7109375" customWidth="1"/>
    <col min="9988" max="9988" width="8.7109375" customWidth="1"/>
    <col min="9989" max="9989" width="2.5703125" customWidth="1"/>
    <col min="9990" max="9990" width="9.7109375" customWidth="1"/>
    <col min="9991" max="9991" width="8.7109375" customWidth="1"/>
    <col min="9992" max="9992" width="2.7109375" customWidth="1"/>
    <col min="9993" max="9993" width="9.7109375" customWidth="1"/>
    <col min="9994" max="9994" width="8.7109375" customWidth="1"/>
    <col min="9995" max="9995" width="2.85546875" customWidth="1"/>
    <col min="9996" max="9996" width="9.42578125" customWidth="1"/>
    <col min="9997" max="9997" width="9.7109375" customWidth="1"/>
    <col min="9998" max="9998" width="3.7109375" customWidth="1"/>
    <col min="10241" max="10241" width="30.85546875" customWidth="1"/>
    <col min="10242" max="10242" width="2.42578125" customWidth="1"/>
    <col min="10243" max="10243" width="9.7109375" customWidth="1"/>
    <col min="10244" max="10244" width="8.7109375" customWidth="1"/>
    <col min="10245" max="10245" width="2.5703125" customWidth="1"/>
    <col min="10246" max="10246" width="9.7109375" customWidth="1"/>
    <col min="10247" max="10247" width="8.7109375" customWidth="1"/>
    <col min="10248" max="10248" width="2.7109375" customWidth="1"/>
    <col min="10249" max="10249" width="9.7109375" customWidth="1"/>
    <col min="10250" max="10250" width="8.7109375" customWidth="1"/>
    <col min="10251" max="10251" width="2.85546875" customWidth="1"/>
    <col min="10252" max="10252" width="9.42578125" customWidth="1"/>
    <col min="10253" max="10253" width="9.7109375" customWidth="1"/>
    <col min="10254" max="10254" width="3.7109375" customWidth="1"/>
    <col min="10497" max="10497" width="30.85546875" customWidth="1"/>
    <col min="10498" max="10498" width="2.42578125" customWidth="1"/>
    <col min="10499" max="10499" width="9.7109375" customWidth="1"/>
    <col min="10500" max="10500" width="8.7109375" customWidth="1"/>
    <col min="10501" max="10501" width="2.5703125" customWidth="1"/>
    <col min="10502" max="10502" width="9.7109375" customWidth="1"/>
    <col min="10503" max="10503" width="8.7109375" customWidth="1"/>
    <col min="10504" max="10504" width="2.7109375" customWidth="1"/>
    <col min="10505" max="10505" width="9.7109375" customWidth="1"/>
    <col min="10506" max="10506" width="8.7109375" customWidth="1"/>
    <col min="10507" max="10507" width="2.85546875" customWidth="1"/>
    <col min="10508" max="10508" width="9.42578125" customWidth="1"/>
    <col min="10509" max="10509" width="9.7109375" customWidth="1"/>
    <col min="10510" max="10510" width="3.7109375" customWidth="1"/>
    <col min="10753" max="10753" width="30.85546875" customWidth="1"/>
    <col min="10754" max="10754" width="2.42578125" customWidth="1"/>
    <col min="10755" max="10755" width="9.7109375" customWidth="1"/>
    <col min="10756" max="10756" width="8.7109375" customWidth="1"/>
    <col min="10757" max="10757" width="2.5703125" customWidth="1"/>
    <col min="10758" max="10758" width="9.7109375" customWidth="1"/>
    <col min="10759" max="10759" width="8.7109375" customWidth="1"/>
    <col min="10760" max="10760" width="2.7109375" customWidth="1"/>
    <col min="10761" max="10761" width="9.7109375" customWidth="1"/>
    <col min="10762" max="10762" width="8.7109375" customWidth="1"/>
    <col min="10763" max="10763" width="2.85546875" customWidth="1"/>
    <col min="10764" max="10764" width="9.42578125" customWidth="1"/>
    <col min="10765" max="10765" width="9.7109375" customWidth="1"/>
    <col min="10766" max="10766" width="3.7109375" customWidth="1"/>
    <col min="11009" max="11009" width="30.85546875" customWidth="1"/>
    <col min="11010" max="11010" width="2.42578125" customWidth="1"/>
    <col min="11011" max="11011" width="9.7109375" customWidth="1"/>
    <col min="11012" max="11012" width="8.7109375" customWidth="1"/>
    <col min="11013" max="11013" width="2.5703125" customWidth="1"/>
    <col min="11014" max="11014" width="9.7109375" customWidth="1"/>
    <col min="11015" max="11015" width="8.7109375" customWidth="1"/>
    <col min="11016" max="11016" width="2.7109375" customWidth="1"/>
    <col min="11017" max="11017" width="9.7109375" customWidth="1"/>
    <col min="11018" max="11018" width="8.7109375" customWidth="1"/>
    <col min="11019" max="11019" width="2.85546875" customWidth="1"/>
    <col min="11020" max="11020" width="9.42578125" customWidth="1"/>
    <col min="11021" max="11021" width="9.7109375" customWidth="1"/>
    <col min="11022" max="11022" width="3.7109375" customWidth="1"/>
    <col min="11265" max="11265" width="30.85546875" customWidth="1"/>
    <col min="11266" max="11266" width="2.42578125" customWidth="1"/>
    <col min="11267" max="11267" width="9.7109375" customWidth="1"/>
    <col min="11268" max="11268" width="8.7109375" customWidth="1"/>
    <col min="11269" max="11269" width="2.5703125" customWidth="1"/>
    <col min="11270" max="11270" width="9.7109375" customWidth="1"/>
    <col min="11271" max="11271" width="8.7109375" customWidth="1"/>
    <col min="11272" max="11272" width="2.7109375" customWidth="1"/>
    <col min="11273" max="11273" width="9.7109375" customWidth="1"/>
    <col min="11274" max="11274" width="8.7109375" customWidth="1"/>
    <col min="11275" max="11275" width="2.85546875" customWidth="1"/>
    <col min="11276" max="11276" width="9.42578125" customWidth="1"/>
    <col min="11277" max="11277" width="9.7109375" customWidth="1"/>
    <col min="11278" max="11278" width="3.7109375" customWidth="1"/>
    <col min="11521" max="11521" width="30.85546875" customWidth="1"/>
    <col min="11522" max="11522" width="2.42578125" customWidth="1"/>
    <col min="11523" max="11523" width="9.7109375" customWidth="1"/>
    <col min="11524" max="11524" width="8.7109375" customWidth="1"/>
    <col min="11525" max="11525" width="2.5703125" customWidth="1"/>
    <col min="11526" max="11526" width="9.7109375" customWidth="1"/>
    <col min="11527" max="11527" width="8.7109375" customWidth="1"/>
    <col min="11528" max="11528" width="2.7109375" customWidth="1"/>
    <col min="11529" max="11529" width="9.7109375" customWidth="1"/>
    <col min="11530" max="11530" width="8.7109375" customWidth="1"/>
    <col min="11531" max="11531" width="2.85546875" customWidth="1"/>
    <col min="11532" max="11532" width="9.42578125" customWidth="1"/>
    <col min="11533" max="11533" width="9.7109375" customWidth="1"/>
    <col min="11534" max="11534" width="3.7109375" customWidth="1"/>
    <col min="11777" max="11777" width="30.85546875" customWidth="1"/>
    <col min="11778" max="11778" width="2.42578125" customWidth="1"/>
    <col min="11779" max="11779" width="9.7109375" customWidth="1"/>
    <col min="11780" max="11780" width="8.7109375" customWidth="1"/>
    <col min="11781" max="11781" width="2.5703125" customWidth="1"/>
    <col min="11782" max="11782" width="9.7109375" customWidth="1"/>
    <col min="11783" max="11783" width="8.7109375" customWidth="1"/>
    <col min="11784" max="11784" width="2.7109375" customWidth="1"/>
    <col min="11785" max="11785" width="9.7109375" customWidth="1"/>
    <col min="11786" max="11786" width="8.7109375" customWidth="1"/>
    <col min="11787" max="11787" width="2.85546875" customWidth="1"/>
    <col min="11788" max="11788" width="9.42578125" customWidth="1"/>
    <col min="11789" max="11789" width="9.7109375" customWidth="1"/>
    <col min="11790" max="11790" width="3.7109375" customWidth="1"/>
    <col min="12033" max="12033" width="30.85546875" customWidth="1"/>
    <col min="12034" max="12034" width="2.42578125" customWidth="1"/>
    <col min="12035" max="12035" width="9.7109375" customWidth="1"/>
    <col min="12036" max="12036" width="8.7109375" customWidth="1"/>
    <col min="12037" max="12037" width="2.5703125" customWidth="1"/>
    <col min="12038" max="12038" width="9.7109375" customWidth="1"/>
    <col min="12039" max="12039" width="8.7109375" customWidth="1"/>
    <col min="12040" max="12040" width="2.7109375" customWidth="1"/>
    <col min="12041" max="12041" width="9.7109375" customWidth="1"/>
    <col min="12042" max="12042" width="8.7109375" customWidth="1"/>
    <col min="12043" max="12043" width="2.85546875" customWidth="1"/>
    <col min="12044" max="12044" width="9.42578125" customWidth="1"/>
    <col min="12045" max="12045" width="9.7109375" customWidth="1"/>
    <col min="12046" max="12046" width="3.7109375" customWidth="1"/>
    <col min="12289" max="12289" width="30.85546875" customWidth="1"/>
    <col min="12290" max="12290" width="2.42578125" customWidth="1"/>
    <col min="12291" max="12291" width="9.7109375" customWidth="1"/>
    <col min="12292" max="12292" width="8.7109375" customWidth="1"/>
    <col min="12293" max="12293" width="2.5703125" customWidth="1"/>
    <col min="12294" max="12294" width="9.7109375" customWidth="1"/>
    <col min="12295" max="12295" width="8.7109375" customWidth="1"/>
    <col min="12296" max="12296" width="2.7109375" customWidth="1"/>
    <col min="12297" max="12297" width="9.7109375" customWidth="1"/>
    <col min="12298" max="12298" width="8.7109375" customWidth="1"/>
    <col min="12299" max="12299" width="2.85546875" customWidth="1"/>
    <col min="12300" max="12300" width="9.42578125" customWidth="1"/>
    <col min="12301" max="12301" width="9.7109375" customWidth="1"/>
    <col min="12302" max="12302" width="3.7109375" customWidth="1"/>
    <col min="12545" max="12545" width="30.85546875" customWidth="1"/>
    <col min="12546" max="12546" width="2.42578125" customWidth="1"/>
    <col min="12547" max="12547" width="9.7109375" customWidth="1"/>
    <col min="12548" max="12548" width="8.7109375" customWidth="1"/>
    <col min="12549" max="12549" width="2.5703125" customWidth="1"/>
    <col min="12550" max="12550" width="9.7109375" customWidth="1"/>
    <col min="12551" max="12551" width="8.7109375" customWidth="1"/>
    <col min="12552" max="12552" width="2.7109375" customWidth="1"/>
    <col min="12553" max="12553" width="9.7109375" customWidth="1"/>
    <col min="12554" max="12554" width="8.7109375" customWidth="1"/>
    <col min="12555" max="12555" width="2.85546875" customWidth="1"/>
    <col min="12556" max="12556" width="9.42578125" customWidth="1"/>
    <col min="12557" max="12557" width="9.7109375" customWidth="1"/>
    <col min="12558" max="12558" width="3.7109375" customWidth="1"/>
    <col min="12801" max="12801" width="30.85546875" customWidth="1"/>
    <col min="12802" max="12802" width="2.42578125" customWidth="1"/>
    <col min="12803" max="12803" width="9.7109375" customWidth="1"/>
    <col min="12804" max="12804" width="8.7109375" customWidth="1"/>
    <col min="12805" max="12805" width="2.5703125" customWidth="1"/>
    <col min="12806" max="12806" width="9.7109375" customWidth="1"/>
    <col min="12807" max="12807" width="8.7109375" customWidth="1"/>
    <col min="12808" max="12808" width="2.7109375" customWidth="1"/>
    <col min="12809" max="12809" width="9.7109375" customWidth="1"/>
    <col min="12810" max="12810" width="8.7109375" customWidth="1"/>
    <col min="12811" max="12811" width="2.85546875" customWidth="1"/>
    <col min="12812" max="12812" width="9.42578125" customWidth="1"/>
    <col min="12813" max="12813" width="9.7109375" customWidth="1"/>
    <col min="12814" max="12814" width="3.7109375" customWidth="1"/>
    <col min="13057" max="13057" width="30.85546875" customWidth="1"/>
    <col min="13058" max="13058" width="2.42578125" customWidth="1"/>
    <col min="13059" max="13059" width="9.7109375" customWidth="1"/>
    <col min="13060" max="13060" width="8.7109375" customWidth="1"/>
    <col min="13061" max="13061" width="2.5703125" customWidth="1"/>
    <col min="13062" max="13062" width="9.7109375" customWidth="1"/>
    <col min="13063" max="13063" width="8.7109375" customWidth="1"/>
    <col min="13064" max="13064" width="2.7109375" customWidth="1"/>
    <col min="13065" max="13065" width="9.7109375" customWidth="1"/>
    <col min="13066" max="13066" width="8.7109375" customWidth="1"/>
    <col min="13067" max="13067" width="2.85546875" customWidth="1"/>
    <col min="13068" max="13068" width="9.42578125" customWidth="1"/>
    <col min="13069" max="13069" width="9.7109375" customWidth="1"/>
    <col min="13070" max="13070" width="3.7109375" customWidth="1"/>
    <col min="13313" max="13313" width="30.85546875" customWidth="1"/>
    <col min="13314" max="13314" width="2.42578125" customWidth="1"/>
    <col min="13315" max="13315" width="9.7109375" customWidth="1"/>
    <col min="13316" max="13316" width="8.7109375" customWidth="1"/>
    <col min="13317" max="13317" width="2.5703125" customWidth="1"/>
    <col min="13318" max="13318" width="9.7109375" customWidth="1"/>
    <col min="13319" max="13319" width="8.7109375" customWidth="1"/>
    <col min="13320" max="13320" width="2.7109375" customWidth="1"/>
    <col min="13321" max="13321" width="9.7109375" customWidth="1"/>
    <col min="13322" max="13322" width="8.7109375" customWidth="1"/>
    <col min="13323" max="13323" width="2.85546875" customWidth="1"/>
    <col min="13324" max="13324" width="9.42578125" customWidth="1"/>
    <col min="13325" max="13325" width="9.7109375" customWidth="1"/>
    <col min="13326" max="13326" width="3.7109375" customWidth="1"/>
    <col min="13569" max="13569" width="30.85546875" customWidth="1"/>
    <col min="13570" max="13570" width="2.42578125" customWidth="1"/>
    <col min="13571" max="13571" width="9.7109375" customWidth="1"/>
    <col min="13572" max="13572" width="8.7109375" customWidth="1"/>
    <col min="13573" max="13573" width="2.5703125" customWidth="1"/>
    <col min="13574" max="13574" width="9.7109375" customWidth="1"/>
    <col min="13575" max="13575" width="8.7109375" customWidth="1"/>
    <col min="13576" max="13576" width="2.7109375" customWidth="1"/>
    <col min="13577" max="13577" width="9.7109375" customWidth="1"/>
    <col min="13578" max="13578" width="8.7109375" customWidth="1"/>
    <col min="13579" max="13579" width="2.85546875" customWidth="1"/>
    <col min="13580" max="13580" width="9.42578125" customWidth="1"/>
    <col min="13581" max="13581" width="9.7109375" customWidth="1"/>
    <col min="13582" max="13582" width="3.7109375" customWidth="1"/>
    <col min="13825" max="13825" width="30.85546875" customWidth="1"/>
    <col min="13826" max="13826" width="2.42578125" customWidth="1"/>
    <col min="13827" max="13827" width="9.7109375" customWidth="1"/>
    <col min="13828" max="13828" width="8.7109375" customWidth="1"/>
    <col min="13829" max="13829" width="2.5703125" customWidth="1"/>
    <col min="13830" max="13830" width="9.7109375" customWidth="1"/>
    <col min="13831" max="13831" width="8.7109375" customWidth="1"/>
    <col min="13832" max="13832" width="2.7109375" customWidth="1"/>
    <col min="13833" max="13833" width="9.7109375" customWidth="1"/>
    <col min="13834" max="13834" width="8.7109375" customWidth="1"/>
    <col min="13835" max="13835" width="2.85546875" customWidth="1"/>
    <col min="13836" max="13836" width="9.42578125" customWidth="1"/>
    <col min="13837" max="13837" width="9.7109375" customWidth="1"/>
    <col min="13838" max="13838" width="3.7109375" customWidth="1"/>
    <col min="14081" max="14081" width="30.85546875" customWidth="1"/>
    <col min="14082" max="14082" width="2.42578125" customWidth="1"/>
    <col min="14083" max="14083" width="9.7109375" customWidth="1"/>
    <col min="14084" max="14084" width="8.7109375" customWidth="1"/>
    <col min="14085" max="14085" width="2.5703125" customWidth="1"/>
    <col min="14086" max="14086" width="9.7109375" customWidth="1"/>
    <col min="14087" max="14087" width="8.7109375" customWidth="1"/>
    <col min="14088" max="14088" width="2.7109375" customWidth="1"/>
    <col min="14089" max="14089" width="9.7109375" customWidth="1"/>
    <col min="14090" max="14090" width="8.7109375" customWidth="1"/>
    <col min="14091" max="14091" width="2.85546875" customWidth="1"/>
    <col min="14092" max="14092" width="9.42578125" customWidth="1"/>
    <col min="14093" max="14093" width="9.7109375" customWidth="1"/>
    <col min="14094" max="14094" width="3.7109375" customWidth="1"/>
    <col min="14337" max="14337" width="30.85546875" customWidth="1"/>
    <col min="14338" max="14338" width="2.42578125" customWidth="1"/>
    <col min="14339" max="14339" width="9.7109375" customWidth="1"/>
    <col min="14340" max="14340" width="8.7109375" customWidth="1"/>
    <col min="14341" max="14341" width="2.5703125" customWidth="1"/>
    <col min="14342" max="14342" width="9.7109375" customWidth="1"/>
    <col min="14343" max="14343" width="8.7109375" customWidth="1"/>
    <col min="14344" max="14344" width="2.7109375" customWidth="1"/>
    <col min="14345" max="14345" width="9.7109375" customWidth="1"/>
    <col min="14346" max="14346" width="8.7109375" customWidth="1"/>
    <col min="14347" max="14347" width="2.85546875" customWidth="1"/>
    <col min="14348" max="14348" width="9.42578125" customWidth="1"/>
    <col min="14349" max="14349" width="9.7109375" customWidth="1"/>
    <col min="14350" max="14350" width="3.7109375" customWidth="1"/>
    <col min="14593" max="14593" width="30.85546875" customWidth="1"/>
    <col min="14594" max="14594" width="2.42578125" customWidth="1"/>
    <col min="14595" max="14595" width="9.7109375" customWidth="1"/>
    <col min="14596" max="14596" width="8.7109375" customWidth="1"/>
    <col min="14597" max="14597" width="2.5703125" customWidth="1"/>
    <col min="14598" max="14598" width="9.7109375" customWidth="1"/>
    <col min="14599" max="14599" width="8.7109375" customWidth="1"/>
    <col min="14600" max="14600" width="2.7109375" customWidth="1"/>
    <col min="14601" max="14601" width="9.7109375" customWidth="1"/>
    <col min="14602" max="14602" width="8.7109375" customWidth="1"/>
    <col min="14603" max="14603" width="2.85546875" customWidth="1"/>
    <col min="14604" max="14604" width="9.42578125" customWidth="1"/>
    <col min="14605" max="14605" width="9.7109375" customWidth="1"/>
    <col min="14606" max="14606" width="3.7109375" customWidth="1"/>
    <col min="14849" max="14849" width="30.85546875" customWidth="1"/>
    <col min="14850" max="14850" width="2.42578125" customWidth="1"/>
    <col min="14851" max="14851" width="9.7109375" customWidth="1"/>
    <col min="14852" max="14852" width="8.7109375" customWidth="1"/>
    <col min="14853" max="14853" width="2.5703125" customWidth="1"/>
    <col min="14854" max="14854" width="9.7109375" customWidth="1"/>
    <col min="14855" max="14855" width="8.7109375" customWidth="1"/>
    <col min="14856" max="14856" width="2.7109375" customWidth="1"/>
    <col min="14857" max="14857" width="9.7109375" customWidth="1"/>
    <col min="14858" max="14858" width="8.7109375" customWidth="1"/>
    <col min="14859" max="14859" width="2.85546875" customWidth="1"/>
    <col min="14860" max="14860" width="9.42578125" customWidth="1"/>
    <col min="14861" max="14861" width="9.7109375" customWidth="1"/>
    <col min="14862" max="14862" width="3.7109375" customWidth="1"/>
    <col min="15105" max="15105" width="30.85546875" customWidth="1"/>
    <col min="15106" max="15106" width="2.42578125" customWidth="1"/>
    <col min="15107" max="15107" width="9.7109375" customWidth="1"/>
    <col min="15108" max="15108" width="8.7109375" customWidth="1"/>
    <col min="15109" max="15109" width="2.5703125" customWidth="1"/>
    <col min="15110" max="15110" width="9.7109375" customWidth="1"/>
    <col min="15111" max="15111" width="8.7109375" customWidth="1"/>
    <col min="15112" max="15112" width="2.7109375" customWidth="1"/>
    <col min="15113" max="15113" width="9.7109375" customWidth="1"/>
    <col min="15114" max="15114" width="8.7109375" customWidth="1"/>
    <col min="15115" max="15115" width="2.85546875" customWidth="1"/>
    <col min="15116" max="15116" width="9.42578125" customWidth="1"/>
    <col min="15117" max="15117" width="9.7109375" customWidth="1"/>
    <col min="15118" max="15118" width="3.7109375" customWidth="1"/>
    <col min="15361" max="15361" width="30.85546875" customWidth="1"/>
    <col min="15362" max="15362" width="2.42578125" customWidth="1"/>
    <col min="15363" max="15363" width="9.7109375" customWidth="1"/>
    <col min="15364" max="15364" width="8.7109375" customWidth="1"/>
    <col min="15365" max="15365" width="2.5703125" customWidth="1"/>
    <col min="15366" max="15366" width="9.7109375" customWidth="1"/>
    <col min="15367" max="15367" width="8.7109375" customWidth="1"/>
    <col min="15368" max="15368" width="2.7109375" customWidth="1"/>
    <col min="15369" max="15369" width="9.7109375" customWidth="1"/>
    <col min="15370" max="15370" width="8.7109375" customWidth="1"/>
    <col min="15371" max="15371" width="2.85546875" customWidth="1"/>
    <col min="15372" max="15372" width="9.42578125" customWidth="1"/>
    <col min="15373" max="15373" width="9.7109375" customWidth="1"/>
    <col min="15374" max="15374" width="3.7109375" customWidth="1"/>
    <col min="15617" max="15617" width="30.85546875" customWidth="1"/>
    <col min="15618" max="15618" width="2.42578125" customWidth="1"/>
    <col min="15619" max="15619" width="9.7109375" customWidth="1"/>
    <col min="15620" max="15620" width="8.7109375" customWidth="1"/>
    <col min="15621" max="15621" width="2.5703125" customWidth="1"/>
    <col min="15622" max="15622" width="9.7109375" customWidth="1"/>
    <col min="15623" max="15623" width="8.7109375" customWidth="1"/>
    <col min="15624" max="15624" width="2.7109375" customWidth="1"/>
    <col min="15625" max="15625" width="9.7109375" customWidth="1"/>
    <col min="15626" max="15626" width="8.7109375" customWidth="1"/>
    <col min="15627" max="15627" width="2.85546875" customWidth="1"/>
    <col min="15628" max="15628" width="9.42578125" customWidth="1"/>
    <col min="15629" max="15629" width="9.7109375" customWidth="1"/>
    <col min="15630" max="15630" width="3.7109375" customWidth="1"/>
    <col min="15873" max="15873" width="30.85546875" customWidth="1"/>
    <col min="15874" max="15874" width="2.42578125" customWidth="1"/>
    <col min="15875" max="15875" width="9.7109375" customWidth="1"/>
    <col min="15876" max="15876" width="8.7109375" customWidth="1"/>
    <col min="15877" max="15877" width="2.5703125" customWidth="1"/>
    <col min="15878" max="15878" width="9.7109375" customWidth="1"/>
    <col min="15879" max="15879" width="8.7109375" customWidth="1"/>
    <col min="15880" max="15880" width="2.7109375" customWidth="1"/>
    <col min="15881" max="15881" width="9.7109375" customWidth="1"/>
    <col min="15882" max="15882" width="8.7109375" customWidth="1"/>
    <col min="15883" max="15883" width="2.85546875" customWidth="1"/>
    <col min="15884" max="15884" width="9.42578125" customWidth="1"/>
    <col min="15885" max="15885" width="9.7109375" customWidth="1"/>
    <col min="15886" max="15886" width="3.7109375" customWidth="1"/>
    <col min="16129" max="16129" width="30.85546875" customWidth="1"/>
    <col min="16130" max="16130" width="2.42578125" customWidth="1"/>
    <col min="16131" max="16131" width="9.7109375" customWidth="1"/>
    <col min="16132" max="16132" width="8.7109375" customWidth="1"/>
    <col min="16133" max="16133" width="2.5703125" customWidth="1"/>
    <col min="16134" max="16134" width="9.7109375" customWidth="1"/>
    <col min="16135" max="16135" width="8.7109375" customWidth="1"/>
    <col min="16136" max="16136" width="2.7109375" customWidth="1"/>
    <col min="16137" max="16137" width="9.7109375" customWidth="1"/>
    <col min="16138" max="16138" width="8.7109375" customWidth="1"/>
    <col min="16139" max="16139" width="2.85546875" customWidth="1"/>
    <col min="16140" max="16140" width="9.42578125" customWidth="1"/>
    <col min="16141" max="16141" width="9.7109375" customWidth="1"/>
    <col min="16142" max="16142" width="3.7109375" customWidth="1"/>
  </cols>
  <sheetData>
    <row r="1" spans="1:14">
      <c r="A1" s="1" t="s">
        <v>0</v>
      </c>
    </row>
    <row r="2" spans="1:14">
      <c r="A2" s="1" t="s">
        <v>1</v>
      </c>
    </row>
    <row r="3" spans="1:14" ht="6.95" customHeight="1"/>
    <row r="4" spans="1:14">
      <c r="A4" s="4" t="s">
        <v>1691</v>
      </c>
    </row>
    <row r="5" spans="1:14" ht="7.5" customHeight="1" thickBot="1"/>
    <row r="6" spans="1:14" ht="6.95" customHeight="1">
      <c r="A6" s="5"/>
      <c r="B6" s="6"/>
      <c r="C6" s="7"/>
      <c r="D6" s="5"/>
      <c r="E6" s="5"/>
      <c r="F6" s="7"/>
      <c r="G6" s="7"/>
      <c r="H6" s="7"/>
      <c r="I6" s="7"/>
      <c r="J6" s="7"/>
      <c r="K6" s="7"/>
      <c r="L6" s="7"/>
      <c r="M6" s="7"/>
    </row>
    <row r="7" spans="1:14">
      <c r="C7" s="1257" t="s">
        <v>3</v>
      </c>
      <c r="D7" s="1257"/>
      <c r="E7" s="1257"/>
      <c r="F7" s="1257"/>
      <c r="G7" s="1257"/>
      <c r="H7" s="1257"/>
      <c r="I7" s="1257"/>
      <c r="J7" s="1257"/>
      <c r="K7" s="1257"/>
      <c r="L7" s="1257"/>
      <c r="M7" s="1257"/>
      <c r="N7" s="8"/>
    </row>
    <row r="8" spans="1:14">
      <c r="A8" s="9" t="s">
        <v>4</v>
      </c>
      <c r="C8" s="1258" t="s">
        <v>5</v>
      </c>
      <c r="D8" s="1258"/>
      <c r="F8" s="1259" t="s">
        <v>6</v>
      </c>
      <c r="G8" s="1259"/>
      <c r="H8" s="10"/>
      <c r="I8" s="1259" t="s">
        <v>7</v>
      </c>
      <c r="J8" s="1259"/>
      <c r="K8" s="10"/>
      <c r="L8" s="1259" t="s">
        <v>8</v>
      </c>
      <c r="M8" s="1259"/>
      <c r="N8" s="8"/>
    </row>
    <row r="9" spans="1:14">
      <c r="C9" s="11" t="s">
        <v>9</v>
      </c>
      <c r="D9" s="12" t="s">
        <v>10</v>
      </c>
      <c r="F9" s="12" t="s">
        <v>9</v>
      </c>
      <c r="G9" s="12" t="s">
        <v>10</v>
      </c>
      <c r="I9" s="12" t="s">
        <v>9</v>
      </c>
      <c r="J9" s="12" t="s">
        <v>10</v>
      </c>
      <c r="L9" s="12" t="s">
        <v>9</v>
      </c>
      <c r="M9" s="12" t="s">
        <v>10</v>
      </c>
      <c r="N9" s="13"/>
    </row>
    <row r="10" spans="1:14" ht="6.95" customHeight="1" thickBot="1">
      <c r="A10" s="14"/>
      <c r="B10" s="15"/>
      <c r="C10" s="16"/>
      <c r="D10" s="14"/>
      <c r="E10" s="14"/>
      <c r="F10" s="16"/>
      <c r="G10" s="16"/>
      <c r="H10" s="16"/>
      <c r="I10" s="16"/>
      <c r="J10" s="16"/>
      <c r="K10" s="16"/>
      <c r="L10" s="16"/>
      <c r="M10" s="16"/>
    </row>
    <row r="11" spans="1:14" ht="6.95" customHeight="1"/>
    <row r="12" spans="1:14">
      <c r="A12" s="9" t="s">
        <v>163</v>
      </c>
      <c r="C12" s="2">
        <f>IF($A12&lt;&gt;0,F12+I12+L12,"")</f>
        <v>267.25</v>
      </c>
      <c r="D12" s="17">
        <f>IF($A12&lt;&gt;0,G12+J12+M12,"")</f>
        <v>100</v>
      </c>
      <c r="F12" s="2">
        <f>SUM(F14+F26)</f>
        <v>1</v>
      </c>
      <c r="G12" s="2">
        <f>IF($A12&lt;&gt;0,F12/$C12*100,"")</f>
        <v>0.37418147801683815</v>
      </c>
      <c r="I12" s="2">
        <f>SUM(I14+I26)</f>
        <v>52.25</v>
      </c>
      <c r="J12" s="2">
        <f>IF($A12&lt;&gt;0,I12/$C12*100,"")</f>
        <v>19.550982226379794</v>
      </c>
      <c r="L12" s="2">
        <f>SUM(L14+L26)</f>
        <v>214</v>
      </c>
      <c r="M12" s="2">
        <f>IF($A12&lt;&gt;0,L12/$C12*100,"")</f>
        <v>80.074836295603376</v>
      </c>
    </row>
    <row r="13" spans="1:14" ht="10.5" customHeight="1">
      <c r="A13" s="4"/>
      <c r="C13" s="2" t="str">
        <f t="shared" ref="C13:D28" si="0">IF($A13&lt;&gt;0,F13+I13+L13,"")</f>
        <v/>
      </c>
      <c r="D13" s="17" t="str">
        <f t="shared" si="0"/>
        <v/>
      </c>
      <c r="G13" s="2" t="str">
        <f t="shared" ref="G13:G24" si="1">IF($A13&lt;&gt;0,F13/$C13*100,"")</f>
        <v/>
      </c>
      <c r="J13" s="2" t="str">
        <f t="shared" ref="J13:J24" si="2">IF($A13&lt;&gt;0,I13/$C13*100,"")</f>
        <v/>
      </c>
      <c r="L13" s="2" t="s">
        <v>11</v>
      </c>
      <c r="M13" s="2" t="str">
        <f t="shared" ref="M13:M25" si="3">IF($A13&lt;&gt;0,L13/$C13*100,"")</f>
        <v/>
      </c>
    </row>
    <row r="14" spans="1:14">
      <c r="A14" s="9" t="s">
        <v>326</v>
      </c>
      <c r="C14" s="2">
        <f t="shared" si="0"/>
        <v>205.5</v>
      </c>
      <c r="D14" s="17">
        <f t="shared" si="0"/>
        <v>100</v>
      </c>
      <c r="F14" s="2">
        <f>SUM(F15:F24)</f>
        <v>0</v>
      </c>
      <c r="G14" s="2">
        <f t="shared" si="1"/>
        <v>0</v>
      </c>
      <c r="I14" s="2">
        <f>SUM(I15:I24)</f>
        <v>38.5</v>
      </c>
      <c r="J14" s="2">
        <f t="shared" si="2"/>
        <v>18.734793187347933</v>
      </c>
      <c r="L14" s="2">
        <f>SUM(L15:L24)</f>
        <v>167</v>
      </c>
      <c r="M14" s="2">
        <f t="shared" si="3"/>
        <v>81.265206812652067</v>
      </c>
    </row>
    <row r="15" spans="1:14" ht="6.95" customHeight="1">
      <c r="C15" s="2" t="str">
        <f t="shared" si="0"/>
        <v/>
      </c>
      <c r="D15" s="17" t="str">
        <f t="shared" si="0"/>
        <v/>
      </c>
      <c r="G15" s="2" t="str">
        <f t="shared" si="1"/>
        <v/>
      </c>
      <c r="J15" s="2" t="str">
        <f t="shared" si="2"/>
        <v/>
      </c>
      <c r="L15" s="2" t="s">
        <v>11</v>
      </c>
      <c r="M15" s="2" t="str">
        <f t="shared" si="3"/>
        <v/>
      </c>
    </row>
    <row r="16" spans="1:14">
      <c r="A16" s="1" t="s">
        <v>164</v>
      </c>
      <c r="C16" s="2">
        <f t="shared" si="0"/>
        <v>6.5</v>
      </c>
      <c r="D16" s="17">
        <f t="shared" si="0"/>
        <v>100</v>
      </c>
      <c r="F16" s="2">
        <v>0</v>
      </c>
      <c r="G16" s="2">
        <f t="shared" si="1"/>
        <v>0</v>
      </c>
      <c r="I16" s="2">
        <v>1</v>
      </c>
      <c r="J16" s="2">
        <f t="shared" si="2"/>
        <v>15.384615384615385</v>
      </c>
      <c r="L16" s="2">
        <v>5.5</v>
      </c>
      <c r="M16" s="2">
        <f t="shared" si="3"/>
        <v>84.615384615384613</v>
      </c>
    </row>
    <row r="17" spans="1:13" ht="10.5" customHeight="1">
      <c r="D17" s="17"/>
    </row>
    <row r="18" spans="1:13">
      <c r="A18" s="1" t="s">
        <v>165</v>
      </c>
      <c r="C18" s="2">
        <f t="shared" si="0"/>
        <v>47</v>
      </c>
      <c r="D18" s="17">
        <f t="shared" si="0"/>
        <v>100</v>
      </c>
      <c r="F18" s="2">
        <v>0</v>
      </c>
      <c r="G18" s="2">
        <f t="shared" si="1"/>
        <v>0</v>
      </c>
      <c r="I18" s="2">
        <v>0</v>
      </c>
      <c r="J18" s="2">
        <f t="shared" si="2"/>
        <v>0</v>
      </c>
      <c r="L18" s="2">
        <v>47</v>
      </c>
      <c r="M18" s="2">
        <f t="shared" si="3"/>
        <v>100</v>
      </c>
    </row>
    <row r="19" spans="1:13" ht="10.5" customHeight="1">
      <c r="D19" s="17"/>
    </row>
    <row r="20" spans="1:13">
      <c r="A20" s="1" t="s">
        <v>166</v>
      </c>
      <c r="C20" s="2">
        <f t="shared" si="0"/>
        <v>41.75</v>
      </c>
      <c r="D20" s="17">
        <f t="shared" si="0"/>
        <v>100</v>
      </c>
      <c r="F20" s="2">
        <v>0</v>
      </c>
      <c r="G20" s="2">
        <f t="shared" si="1"/>
        <v>0</v>
      </c>
      <c r="I20" s="2">
        <v>3.5</v>
      </c>
      <c r="J20" s="2">
        <f t="shared" si="2"/>
        <v>8.3832335329341312</v>
      </c>
      <c r="L20" s="2">
        <v>38.25</v>
      </c>
      <c r="M20" s="2">
        <f t="shared" si="3"/>
        <v>91.616766467065872</v>
      </c>
    </row>
    <row r="21" spans="1:13" ht="10.5" customHeight="1">
      <c r="D21" s="17"/>
    </row>
    <row r="22" spans="1:13">
      <c r="A22" s="1" t="s">
        <v>167</v>
      </c>
      <c r="C22" s="2">
        <f t="shared" si="0"/>
        <v>40</v>
      </c>
      <c r="D22" s="17">
        <f t="shared" si="0"/>
        <v>100</v>
      </c>
      <c r="F22" s="2">
        <v>0</v>
      </c>
      <c r="G22" s="2">
        <f t="shared" si="1"/>
        <v>0</v>
      </c>
      <c r="I22" s="2">
        <v>30.5</v>
      </c>
      <c r="J22" s="2">
        <f t="shared" si="2"/>
        <v>76.25</v>
      </c>
      <c r="L22" s="2">
        <v>9.5</v>
      </c>
      <c r="M22" s="2">
        <f t="shared" si="3"/>
        <v>23.75</v>
      </c>
    </row>
    <row r="23" spans="1:13" ht="10.5" customHeight="1">
      <c r="D23" s="17"/>
    </row>
    <row r="24" spans="1:13">
      <c r="A24" s="1" t="s">
        <v>168</v>
      </c>
      <c r="C24" s="2">
        <f t="shared" si="0"/>
        <v>70.25</v>
      </c>
      <c r="D24" s="17">
        <f t="shared" si="0"/>
        <v>100</v>
      </c>
      <c r="F24" s="2">
        <v>0</v>
      </c>
      <c r="G24" s="2">
        <f t="shared" si="1"/>
        <v>0</v>
      </c>
      <c r="I24" s="2">
        <v>3.5</v>
      </c>
      <c r="J24" s="2">
        <f t="shared" si="2"/>
        <v>4.9822064056939501</v>
      </c>
      <c r="L24" s="2">
        <v>66.75</v>
      </c>
      <c r="M24" s="2">
        <f t="shared" si="3"/>
        <v>95.017793594306056</v>
      </c>
    </row>
    <row r="25" spans="1:13" ht="10.5" customHeight="1">
      <c r="C25" s="2" t="str">
        <f t="shared" si="0"/>
        <v/>
      </c>
      <c r="D25" s="17" t="str">
        <f t="shared" si="0"/>
        <v/>
      </c>
      <c r="L25" s="2" t="s">
        <v>11</v>
      </c>
      <c r="M25" s="2" t="str">
        <f t="shared" si="3"/>
        <v/>
      </c>
    </row>
    <row r="26" spans="1:13">
      <c r="A26" s="9" t="s">
        <v>213</v>
      </c>
      <c r="C26" s="2">
        <f t="shared" si="0"/>
        <v>61.75</v>
      </c>
      <c r="D26" s="17">
        <f t="shared" si="0"/>
        <v>100</v>
      </c>
      <c r="F26" s="2">
        <f>SUM(F28:F36)</f>
        <v>1</v>
      </c>
      <c r="G26" s="2">
        <f>IF($A26&lt;&gt;0,F26/$C26*100,"")</f>
        <v>1.6194331983805668</v>
      </c>
      <c r="I26" s="2">
        <f>SUM(I28:I36)</f>
        <v>13.75</v>
      </c>
      <c r="J26" s="2">
        <f>IF($A26&lt;&gt;0,I26/$C26*100,"")</f>
        <v>22.267206477732792</v>
      </c>
      <c r="L26" s="2">
        <f>SUM(L28:L36)</f>
        <v>47</v>
      </c>
      <c r="M26" s="2">
        <f>IF($A26&lt;&gt;0,L26/$C26*100,"")</f>
        <v>76.113360323886639</v>
      </c>
    </row>
    <row r="27" spans="1:13" ht="6.95" customHeight="1">
      <c r="C27" s="2" t="str">
        <f t="shared" si="0"/>
        <v/>
      </c>
      <c r="D27" s="17" t="str">
        <f t="shared" si="0"/>
        <v/>
      </c>
      <c r="G27" s="2" t="str">
        <f>IF($A27&lt;&gt;0,F27/$C27*100,"")</f>
        <v/>
      </c>
      <c r="J27" s="2" t="str">
        <f>IF($A27&lt;&gt;0,I27/$C27*100,"")</f>
        <v/>
      </c>
      <c r="L27" s="2" t="s">
        <v>11</v>
      </c>
      <c r="M27" s="2" t="str">
        <f>IF($A27&lt;&gt;0,L27/$C27*100,"")</f>
        <v/>
      </c>
    </row>
    <row r="28" spans="1:13">
      <c r="A28" s="19" t="s">
        <v>1692</v>
      </c>
      <c r="C28" s="2">
        <f t="shared" si="0"/>
        <v>20.5</v>
      </c>
      <c r="D28" s="17">
        <f t="shared" si="0"/>
        <v>100</v>
      </c>
      <c r="F28" s="21">
        <v>0</v>
      </c>
      <c r="G28" s="2">
        <f>IF($A28&lt;&gt;0,F28/$C28*100,"")</f>
        <v>0</v>
      </c>
      <c r="I28" s="18">
        <f>5+0.25</f>
        <v>5.25</v>
      </c>
      <c r="J28" s="2">
        <f>IF($A28&lt;&gt;0,I28/$C28*100,"")</f>
        <v>25.609756097560975</v>
      </c>
      <c r="L28" s="2">
        <v>15.25</v>
      </c>
      <c r="M28" s="2">
        <f>IF($A28&lt;&gt;0,L28/$C28*100,"")</f>
        <v>74.390243902439025</v>
      </c>
    </row>
    <row r="29" spans="1:13" ht="10.5" customHeight="1">
      <c r="A29" s="19"/>
      <c r="D29" s="17"/>
      <c r="F29" s="21"/>
      <c r="I29" s="18"/>
    </row>
    <row r="30" spans="1:13">
      <c r="A30" s="19" t="s">
        <v>224</v>
      </c>
      <c r="C30" s="2">
        <f>IF($A30&lt;&gt;0,F30+I30+L30,"")</f>
        <v>11</v>
      </c>
      <c r="D30" s="17">
        <f>IF($A30&lt;&gt;0,G30+J30+M30,"")</f>
        <v>100</v>
      </c>
      <c r="F30" s="2">
        <v>0.5</v>
      </c>
      <c r="G30" s="2">
        <f>IF($A30&lt;&gt;0,F30/$C30*100,"")</f>
        <v>4.5454545454545459</v>
      </c>
      <c r="I30" s="2">
        <v>2</v>
      </c>
      <c r="J30" s="2">
        <f>IF($A30&lt;&gt;0,I30/$C30*100,"")</f>
        <v>18.181818181818183</v>
      </c>
      <c r="L30" s="2">
        <v>8.5</v>
      </c>
      <c r="M30" s="2">
        <f>IF($A30&lt;&gt;0,L30/$C30*100,"")</f>
        <v>77.272727272727266</v>
      </c>
    </row>
    <row r="31" spans="1:13" ht="10.5" customHeight="1">
      <c r="A31" s="19"/>
      <c r="D31" s="17"/>
    </row>
    <row r="32" spans="1:13">
      <c r="A32" s="19" t="s">
        <v>1693</v>
      </c>
      <c r="C32" s="2">
        <f t="shared" ref="C32:D36" si="4">IF($A32&lt;&gt;0,F32+I32+L32,"")</f>
        <v>14</v>
      </c>
      <c r="D32" s="17">
        <f t="shared" si="4"/>
        <v>100</v>
      </c>
      <c r="F32" s="21">
        <v>0.5</v>
      </c>
      <c r="G32" s="2">
        <f>IF($A32&lt;&gt;0,F32/$C32*100,"")</f>
        <v>3.5714285714285712</v>
      </c>
      <c r="I32" s="2">
        <v>3.25</v>
      </c>
      <c r="J32" s="2">
        <f>IF($A32&lt;&gt;0,I32/$C32*100,"")</f>
        <v>23.214285714285715</v>
      </c>
      <c r="L32" s="2">
        <f>7.25+3</f>
        <v>10.25</v>
      </c>
      <c r="M32" s="2">
        <f>IF($A32&lt;&gt;0,L32/$C32*100,"")</f>
        <v>73.214285714285708</v>
      </c>
    </row>
    <row r="33" spans="1:13" ht="10.5" customHeight="1">
      <c r="A33" s="19"/>
      <c r="D33" s="17"/>
      <c r="F33" s="21"/>
    </row>
    <row r="34" spans="1:13">
      <c r="A34" s="19" t="s">
        <v>236</v>
      </c>
      <c r="C34" s="2">
        <f t="shared" si="4"/>
        <v>10</v>
      </c>
      <c r="D34" s="17">
        <f t="shared" si="4"/>
        <v>100</v>
      </c>
      <c r="F34" s="2">
        <v>0</v>
      </c>
      <c r="G34" s="2">
        <f>IF($A34&lt;&gt;0,F34/$C34*100,"")</f>
        <v>0</v>
      </c>
      <c r="I34" s="2">
        <v>1.5</v>
      </c>
      <c r="J34" s="2">
        <f>IF($A34&lt;&gt;0,I34/$C34*100,"")</f>
        <v>15</v>
      </c>
      <c r="L34" s="2">
        <v>8.5</v>
      </c>
      <c r="M34" s="2">
        <f>IF($A34&lt;&gt;0,L34/$C34*100,"")</f>
        <v>85</v>
      </c>
    </row>
    <row r="35" spans="1:13" ht="10.5" customHeight="1">
      <c r="A35" s="19"/>
      <c r="D35" s="17"/>
    </row>
    <row r="36" spans="1:13">
      <c r="A36" s="19" t="s">
        <v>242</v>
      </c>
      <c r="C36" s="2">
        <f t="shared" si="4"/>
        <v>6.25</v>
      </c>
      <c r="D36" s="17">
        <f t="shared" si="4"/>
        <v>100</v>
      </c>
      <c r="F36" s="2">
        <v>0</v>
      </c>
      <c r="G36" s="2">
        <f>IF($A36&lt;&gt;0,F36/$C36*100,"")</f>
        <v>0</v>
      </c>
      <c r="I36" s="2">
        <v>1.75</v>
      </c>
      <c r="J36" s="2">
        <f>IF($A36&lt;&gt;0,I36/$C36*100,"")</f>
        <v>28.000000000000004</v>
      </c>
      <c r="L36" s="2">
        <v>4.5</v>
      </c>
      <c r="M36" s="2">
        <f>IF($A36&lt;&gt;0,L36/$C36*100,"")</f>
        <v>72</v>
      </c>
    </row>
    <row r="37" spans="1:13" ht="6.95" customHeight="1" thickBot="1">
      <c r="A37" s="14"/>
      <c r="B37" s="15"/>
      <c r="C37" s="16"/>
      <c r="D37" s="14"/>
      <c r="E37" s="14"/>
      <c r="F37" s="16"/>
      <c r="G37" s="16"/>
      <c r="H37" s="16"/>
      <c r="I37" s="16"/>
      <c r="J37" s="16"/>
      <c r="K37" s="16"/>
      <c r="L37" s="16"/>
      <c r="M37" s="16"/>
    </row>
    <row r="38" spans="1:13" ht="6.95" customHeight="1"/>
    <row r="39" spans="1:13" ht="13.5" customHeight="1">
      <c r="A39" s="22" t="s">
        <v>245</v>
      </c>
    </row>
    <row r="40" spans="1:13">
      <c r="A40" s="22" t="s">
        <v>246</v>
      </c>
    </row>
    <row r="41" spans="1:13">
      <c r="A41" s="22" t="s">
        <v>247</v>
      </c>
    </row>
    <row r="42" spans="1:13" ht="11.25" customHeight="1">
      <c r="A42" s="22" t="s">
        <v>248</v>
      </c>
    </row>
    <row r="43" spans="1:13">
      <c r="A43" s="4" t="s">
        <v>249</v>
      </c>
    </row>
    <row r="44" spans="1:13">
      <c r="A44" s="1" t="s">
        <v>250</v>
      </c>
    </row>
    <row r="46" spans="1:13" ht="15.75">
      <c r="A46" s="23"/>
    </row>
  </sheetData>
  <mergeCells count="5">
    <mergeCell ref="C7:M7"/>
    <mergeCell ref="C8:D8"/>
    <mergeCell ref="F8:G8"/>
    <mergeCell ref="I8:J8"/>
    <mergeCell ref="L8:M8"/>
  </mergeCells>
  <printOptions horizontalCentered="1" verticalCentered="1"/>
  <pageMargins left="0" right="0" top="0" bottom="0" header="0.31496062992125984" footer="0.31496062992125984"/>
  <pageSetup paperSize="9" scale="90" orientation="landscape" r:id="rId1"/>
</worksheet>
</file>

<file path=xl/worksheets/sheet99.xml><?xml version="1.0" encoding="utf-8"?>
<worksheet xmlns="http://schemas.openxmlformats.org/spreadsheetml/2006/main" xmlns:r="http://schemas.openxmlformats.org/officeDocument/2006/relationships">
  <sheetPr>
    <tabColor theme="5" tint="0.59999389629810485"/>
  </sheetPr>
  <dimension ref="B1:K4"/>
  <sheetViews>
    <sheetView workbookViewId="0">
      <selection activeCell="J2" sqref="J2"/>
    </sheetView>
  </sheetViews>
  <sheetFormatPr baseColWidth="10" defaultRowHeight="15"/>
  <sheetData>
    <row r="1" spans="2:11" ht="12.75" customHeight="1"/>
    <row r="2" spans="2:11" ht="12.75" customHeight="1">
      <c r="J2" s="771"/>
    </row>
    <row r="3" spans="2:11" ht="12.75" customHeight="1">
      <c r="B3" s="42" t="s">
        <v>8</v>
      </c>
      <c r="C3" s="42" t="s">
        <v>1694</v>
      </c>
      <c r="D3" s="42" t="s">
        <v>6</v>
      </c>
      <c r="H3" s="33"/>
    </row>
    <row r="4" spans="2:11" ht="12.75" customHeight="1">
      <c r="B4" s="606">
        <v>80.069999999999993</v>
      </c>
      <c r="C4" s="606">
        <v>19.55</v>
      </c>
      <c r="D4" s="606">
        <v>0.37</v>
      </c>
      <c r="H4" s="34"/>
      <c r="K4" s="3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142</vt:i4>
      </vt:variant>
      <vt:variant>
        <vt:lpstr>Rangos con nombre</vt:lpstr>
      </vt:variant>
      <vt:variant>
        <vt:i4>1</vt:i4>
      </vt:variant>
    </vt:vector>
  </HeadingPairs>
  <TitlesOfParts>
    <vt:vector size="143" baseType="lpstr">
      <vt:lpstr>DEFINICIONES</vt:lpstr>
      <vt:lpstr>SIMBOLOGIA</vt:lpstr>
      <vt:lpstr>INDICE DE RECURSOS HUMANOS</vt:lpstr>
      <vt:lpstr>CUADRO RH1</vt:lpstr>
      <vt:lpstr>GRAFICO RH1</vt:lpstr>
      <vt:lpstr>CUADRO RH2</vt:lpstr>
      <vt:lpstr>CUADRO RH3</vt:lpstr>
      <vt:lpstr>GRAFICO RH2</vt:lpstr>
      <vt:lpstr>CUADRO RH4</vt:lpstr>
      <vt:lpstr>CUADRO RH5</vt:lpstr>
      <vt:lpstr>GRAFICO RH3</vt:lpstr>
      <vt:lpstr>CUADRO RH6</vt:lpstr>
      <vt:lpstr>CUADRO RH7</vt:lpstr>
      <vt:lpstr>GRAFICO RH4</vt:lpstr>
      <vt:lpstr>CUADRO RH8</vt:lpstr>
      <vt:lpstr>CUADRO RH9</vt:lpstr>
      <vt:lpstr>GRAFICO RH5</vt:lpstr>
      <vt:lpstr>CUADRO RH10</vt:lpstr>
      <vt:lpstr>CUADRO RH11</vt:lpstr>
      <vt:lpstr>GRAFICO RH6</vt:lpstr>
      <vt:lpstr>CUADRO RH12</vt:lpstr>
      <vt:lpstr>CUADRO RH13</vt:lpstr>
      <vt:lpstr>GRAFICO RH7</vt:lpstr>
      <vt:lpstr>CUADRO RH14</vt:lpstr>
      <vt:lpstr>CUADRO RH 15</vt:lpstr>
      <vt:lpstr>GRAFICO RH8</vt:lpstr>
      <vt:lpstr>INDICE RECURSOS FINANCIEROS </vt:lpstr>
      <vt:lpstr>CUADRO RF1</vt:lpstr>
      <vt:lpstr>GRAFICO RF1</vt:lpstr>
      <vt:lpstr>CUADRO RF2</vt:lpstr>
      <vt:lpstr>CUADRO RF3</vt:lpstr>
      <vt:lpstr>CUADRO RF4</vt:lpstr>
      <vt:lpstr>INDICE DE DOCENCIA</vt:lpstr>
      <vt:lpstr>CUADRO D1</vt:lpstr>
      <vt:lpstr>GRAFICO D1</vt:lpstr>
      <vt:lpstr>CUADRO D2</vt:lpstr>
      <vt:lpstr>GRAFICO D2</vt:lpstr>
      <vt:lpstr>CUADRO D3</vt:lpstr>
      <vt:lpstr>GRAFICO D3</vt:lpstr>
      <vt:lpstr>CUADRO D4</vt:lpstr>
      <vt:lpstr>CUADRO D5</vt:lpstr>
      <vt:lpstr>CUADRO D6</vt:lpstr>
      <vt:lpstr>CUADRO D7</vt:lpstr>
      <vt:lpstr>CUADRO D8</vt:lpstr>
      <vt:lpstr>CUADRO D9</vt:lpstr>
      <vt:lpstr>CUADRO D10</vt:lpstr>
      <vt:lpstr>CUADRO D11</vt:lpstr>
      <vt:lpstr>CUADRO D12</vt:lpstr>
      <vt:lpstr>CUADRO D13</vt:lpstr>
      <vt:lpstr>CUADRO D14</vt:lpstr>
      <vt:lpstr>CUADRO D15</vt:lpstr>
      <vt:lpstr>CUADRO D16</vt:lpstr>
      <vt:lpstr>GRAFICO D4</vt:lpstr>
      <vt:lpstr>CUADRO D17</vt:lpstr>
      <vt:lpstr>GRAFICO D5</vt:lpstr>
      <vt:lpstr>GRAFICO D5.1</vt:lpstr>
      <vt:lpstr>CUADRO D18</vt:lpstr>
      <vt:lpstr>GRAFICO D6</vt:lpstr>
      <vt:lpstr>GRAFICO D6.1</vt:lpstr>
      <vt:lpstr>CUADRO D19</vt:lpstr>
      <vt:lpstr>GRAFICO D7</vt:lpstr>
      <vt:lpstr>INDICE DE INVESTIGACION</vt:lpstr>
      <vt:lpstr>CUADRO I-1</vt:lpstr>
      <vt:lpstr>GRAFICO I-1</vt:lpstr>
      <vt:lpstr>CUADRO I-2</vt:lpstr>
      <vt:lpstr>GRAFICO I-2</vt:lpstr>
      <vt:lpstr>CUADRO I-3</vt:lpstr>
      <vt:lpstr>CUADRO I-4</vt:lpstr>
      <vt:lpstr>GRAFICO I-3</vt:lpstr>
      <vt:lpstr>CUADRO I-5</vt:lpstr>
      <vt:lpstr>GRAFICO I-4</vt:lpstr>
      <vt:lpstr>CUADRO I-6</vt:lpstr>
      <vt:lpstr>CUADRO I-7</vt:lpstr>
      <vt:lpstr>CUADRO I-8</vt:lpstr>
      <vt:lpstr>GRAFICO I-5</vt:lpstr>
      <vt:lpstr>CUADRO I-9</vt:lpstr>
      <vt:lpstr>CUADRO I-10</vt:lpstr>
      <vt:lpstr>CUADRO I-11</vt:lpstr>
      <vt:lpstr>CUADRO I-12</vt:lpstr>
      <vt:lpstr>CUADRO I-13</vt:lpstr>
      <vt:lpstr>INDICE DE ACCION SOCIAL</vt:lpstr>
      <vt:lpstr>CUADRO AS1</vt:lpstr>
      <vt:lpstr>GRAFICO AS1</vt:lpstr>
      <vt:lpstr>CUADRO AS2</vt:lpstr>
      <vt:lpstr>GRAFICO AS2</vt:lpstr>
      <vt:lpstr>CUADRO AS3</vt:lpstr>
      <vt:lpstr>CUADRO AS4</vt:lpstr>
      <vt:lpstr>GRAFICO AS3</vt:lpstr>
      <vt:lpstr>CUADRO AS5</vt:lpstr>
      <vt:lpstr>CUADRO AS6 </vt:lpstr>
      <vt:lpstr>GRAFICO AS4</vt:lpstr>
      <vt:lpstr>CUADRO AS7</vt:lpstr>
      <vt:lpstr>CUADRO AS8</vt:lpstr>
      <vt:lpstr>CUADRO AS9</vt:lpstr>
      <vt:lpstr>CUADRO AS10</vt:lpstr>
      <vt:lpstr>GRAFICO AS5</vt:lpstr>
      <vt:lpstr>INDICE DE VIDA ESTUDIANTIL</vt:lpstr>
      <vt:lpstr>CUADRO VE1</vt:lpstr>
      <vt:lpstr>GRAFICO VE1</vt:lpstr>
      <vt:lpstr>CUADRO VE2</vt:lpstr>
      <vt:lpstr>CUADRO VE3</vt:lpstr>
      <vt:lpstr>GRAFICO VE2</vt:lpstr>
      <vt:lpstr>CUADRO VE4</vt:lpstr>
      <vt:lpstr>CUADRO VE5</vt:lpstr>
      <vt:lpstr>GRAFICO VE3</vt:lpstr>
      <vt:lpstr>CUADRO VE6</vt:lpstr>
      <vt:lpstr>CUADRO VE7</vt:lpstr>
      <vt:lpstr>GRAFICO VE4</vt:lpstr>
      <vt:lpstr>CUADRO VE8</vt:lpstr>
      <vt:lpstr>CUADRO VE9</vt:lpstr>
      <vt:lpstr>GRAFICO VE5</vt:lpstr>
      <vt:lpstr>CUADRO VE10</vt:lpstr>
      <vt:lpstr>CUADRO VE11</vt:lpstr>
      <vt:lpstr>GRAFICO VE6</vt:lpstr>
      <vt:lpstr>CUADRO VE12</vt:lpstr>
      <vt:lpstr>CUADRO VE13</vt:lpstr>
      <vt:lpstr>CUADRO VE14</vt:lpstr>
      <vt:lpstr>GRAFICO VE7</vt:lpstr>
      <vt:lpstr>CUADRO VE15</vt:lpstr>
      <vt:lpstr>CUADRO VE16</vt:lpstr>
      <vt:lpstr>GRAFICO VE8</vt:lpstr>
      <vt:lpstr>CUADRO VE17</vt:lpstr>
      <vt:lpstr>CUADRO VE18</vt:lpstr>
      <vt:lpstr>GRAFICO VE9</vt:lpstr>
      <vt:lpstr>CUADRO VE19</vt:lpstr>
      <vt:lpstr>CUADRO VE20</vt:lpstr>
      <vt:lpstr>CUADRO VE21</vt:lpstr>
      <vt:lpstr>CUADRO VE22</vt:lpstr>
      <vt:lpstr>CUADRO VE23</vt:lpstr>
      <vt:lpstr>CUADRO VE24</vt:lpstr>
      <vt:lpstr>CUADRO VE 25</vt:lpstr>
      <vt:lpstr>CUADRO VE26</vt:lpstr>
      <vt:lpstr>GRAFICO VE10</vt:lpstr>
      <vt:lpstr>INDICE DE ADMINISTRACION</vt:lpstr>
      <vt:lpstr>CUADRO AD1</vt:lpstr>
      <vt:lpstr>GRAFICO AD1</vt:lpstr>
      <vt:lpstr>INDICE DIRECCION SUPERIOR</vt:lpstr>
      <vt:lpstr>CUADRO DS1</vt:lpstr>
      <vt:lpstr>GRAFICO DS1</vt:lpstr>
      <vt:lpstr>CUADRO AI-1</vt:lpstr>
      <vt:lpstr>CUADRO AI-2</vt:lpstr>
      <vt:lpstr>GRAFICO AI-1</vt:lpstr>
      <vt:lpstr>'INDICE DE INVESTIGACION'!OLE_LINK1</vt:lpstr>
    </vt:vector>
  </TitlesOfParts>
  <Company>Universidad de Costa Rica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mainor</dc:creator>
  <cp:lastModifiedBy>mainor</cp:lastModifiedBy>
  <cp:lastPrinted>2018-09-28T16:46:05Z</cp:lastPrinted>
  <dcterms:created xsi:type="dcterms:W3CDTF">2018-07-13T14:56:24Z</dcterms:created>
  <dcterms:modified xsi:type="dcterms:W3CDTF">2018-10-02T21:58:19Z</dcterms:modified>
</cp:coreProperties>
</file>